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tocastro/PycharmProjects/Custos_Laranja/"/>
    </mc:Choice>
  </mc:AlternateContent>
  <xr:revisionPtr revIDLastSave="0" documentId="13_ncr:1_{DBA6D22D-16C1-1742-9675-004B27459529}" xr6:coauthVersionLast="47" xr6:coauthVersionMax="47" xr10:uidLastSave="{00000000-0000-0000-0000-000000000000}"/>
  <bookViews>
    <workbookView xWindow="0" yWindow="740" windowWidth="29400" windowHeight="18380" activeTab="13" xr2:uid="{B1594B4B-43F9-6348-BDBA-3CA2DC27FF66}"/>
  </bookViews>
  <sheets>
    <sheet name="SLP" sheetId="1" r:id="rId1"/>
    <sheet name="ROSA" sheetId="2" r:id="rId2"/>
    <sheet name="STA ANA" sheetId="3" r:id="rId3"/>
    <sheet name="BOA" sheetId="4" r:id="rId4"/>
    <sheet name="STA MARIA" sheetId="5" r:id="rId5"/>
    <sheet name="CB I" sheetId="10" r:id="rId6"/>
    <sheet name="IG" sheetId="6" r:id="rId7"/>
    <sheet name="PN" sheetId="7" r:id="rId8"/>
    <sheet name="MJ" sheetId="8" r:id="rId9"/>
    <sheet name="RB I" sheetId="9" r:id="rId10"/>
    <sheet name="SF I" sheetId="13" r:id="rId11"/>
    <sheet name="STA CLARA" sheetId="16" r:id="rId12"/>
    <sheet name="FUNIL" sheetId="15" r:id="rId13"/>
    <sheet name="TOTAL PRODUÇÃO" sheetId="14" r:id="rId14"/>
  </sheets>
  <externalReferences>
    <externalReference r:id="rId15"/>
    <externalReference r:id="rId16"/>
    <externalReference r:id="rId17"/>
    <externalReference r:id="rId18"/>
  </externalReferences>
  <definedNames>
    <definedName name="_xlnm.Print_Area" localSheetId="3">BOA!$A$1:$AM$58</definedName>
    <definedName name="_xlnm.Print_Area" localSheetId="5">'CB I'!$A$1:$AM$58</definedName>
    <definedName name="_xlnm.Print_Area" localSheetId="12">FUNIL!$A$1:$AM$58</definedName>
    <definedName name="_xlnm.Print_Area" localSheetId="6">IG!$A$1:$AM$58</definedName>
    <definedName name="_xlnm.Print_Area" localSheetId="8">MJ!$A$1:$AM$58</definedName>
    <definedName name="_xlnm.Print_Area" localSheetId="7">PN!$A$1:$AM$58</definedName>
    <definedName name="_xlnm.Print_Area" localSheetId="9">'RB I'!$A$1:$AM$58</definedName>
    <definedName name="_xlnm.Print_Area" localSheetId="1">ROSA!$A$1:$AM$58</definedName>
    <definedName name="_xlnm.Print_Area" localSheetId="10">'SF I'!$A$1:$AM$58</definedName>
    <definedName name="_xlnm.Print_Area" localSheetId="0">SLP!$A$1:$AM$58</definedName>
    <definedName name="_xlnm.Print_Area" localSheetId="2">'STA ANA'!$A$1:$AM$58</definedName>
    <definedName name="_xlnm.Print_Area" localSheetId="11">'STA CLARA'!$A$1:$AM$58</definedName>
    <definedName name="_xlnm.Print_Area" localSheetId="4">'STA MARIA'!$A$1:$AM$58</definedName>
    <definedName name="_xlnm.Print_Area" localSheetId="13">'TOTAL PRODUÇÃO'!$A$1:$AM$58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9" i="16" l="1"/>
  <c r="AF78" i="16"/>
  <c r="Y78" i="16"/>
  <c r="R78" i="16"/>
  <c r="AM77" i="16"/>
  <c r="AF77" i="16"/>
  <c r="Y77" i="16"/>
  <c r="R77" i="16"/>
  <c r="AM75" i="16"/>
  <c r="AF75" i="16"/>
  <c r="Y75" i="16"/>
  <c r="R75" i="16"/>
  <c r="AM74" i="16"/>
  <c r="Y74" i="16"/>
  <c r="R74" i="16"/>
  <c r="R73" i="16"/>
  <c r="R72" i="16"/>
  <c r="AM71" i="16"/>
  <c r="AF71" i="16"/>
  <c r="Y71" i="16"/>
  <c r="R71" i="16"/>
  <c r="R70" i="16"/>
  <c r="AF69" i="16"/>
  <c r="R69" i="16"/>
  <c r="R68" i="16"/>
  <c r="AM67" i="16"/>
  <c r="AF67" i="16"/>
  <c r="Y67" i="16"/>
  <c r="R67" i="16"/>
  <c r="AM66" i="16"/>
  <c r="Y66" i="16"/>
  <c r="R66" i="16"/>
  <c r="AF65" i="16"/>
  <c r="Y65" i="16"/>
  <c r="R65" i="16"/>
  <c r="AM64" i="16"/>
  <c r="AF64" i="16"/>
  <c r="Y64" i="16"/>
  <c r="R64" i="16"/>
  <c r="AM63" i="16"/>
  <c r="AF63" i="16"/>
  <c r="Y63" i="16"/>
  <c r="R63" i="16"/>
  <c r="AF62" i="16"/>
  <c r="Y62" i="16"/>
  <c r="R62" i="16"/>
  <c r="AM61" i="16"/>
  <c r="AF61" i="16"/>
  <c r="Y61" i="16"/>
  <c r="R61" i="16"/>
  <c r="R81" i="16" s="1"/>
  <c r="CP58" i="16"/>
  <c r="AZ58" i="16"/>
  <c r="AS58" i="16"/>
  <c r="AS59" i="16" s="1"/>
  <c r="CO57" i="16"/>
  <c r="CN57" i="16" s="1"/>
  <c r="CM57" i="16"/>
  <c r="CK57" i="16"/>
  <c r="CQ57" i="16" s="1"/>
  <c r="CH57" i="16"/>
  <c r="CG57" i="16" s="1"/>
  <c r="CD57" i="16"/>
  <c r="CJ57" i="16" s="1"/>
  <c r="CA57" i="16"/>
  <c r="BZ57" i="16" s="1"/>
  <c r="BW57" i="16"/>
  <c r="CC57" i="16" s="1"/>
  <c r="BT57" i="16"/>
  <c r="BS57" i="16" s="1"/>
  <c r="BP57" i="16"/>
  <c r="BV57" i="16" s="1"/>
  <c r="BM57" i="16"/>
  <c r="BL57" i="16"/>
  <c r="BI57" i="16"/>
  <c r="BO57" i="16" s="1"/>
  <c r="BF57" i="16"/>
  <c r="BE57" i="16" s="1"/>
  <c r="BB57" i="16"/>
  <c r="BH57" i="16" s="1"/>
  <c r="AY57" i="16"/>
  <c r="AX57" i="16"/>
  <c r="AU57" i="16"/>
  <c r="B57" i="16" s="1"/>
  <c r="AR57" i="16"/>
  <c r="AQ57" i="16" s="1"/>
  <c r="AN57" i="16"/>
  <c r="AT57" i="16" s="1"/>
  <c r="AK57" i="16"/>
  <c r="AJ57" i="16"/>
  <c r="AI57" i="16"/>
  <c r="AH57" i="16" s="1"/>
  <c r="AG57" i="16"/>
  <c r="AM57" i="16" s="1"/>
  <c r="AD57" i="16"/>
  <c r="AC57" i="16" s="1"/>
  <c r="Z57" i="16"/>
  <c r="AF57" i="16" s="1"/>
  <c r="Y57" i="16"/>
  <c r="W57" i="16"/>
  <c r="V57" i="16" s="1"/>
  <c r="S57" i="16"/>
  <c r="R57" i="16"/>
  <c r="P57" i="16"/>
  <c r="I57" i="16" s="1"/>
  <c r="N57" i="16"/>
  <c r="L57" i="16"/>
  <c r="J57" i="16"/>
  <c r="CQ56" i="16"/>
  <c r="CO56" i="16"/>
  <c r="CN56" i="16"/>
  <c r="CM56" i="16"/>
  <c r="CL56" i="16" s="1"/>
  <c r="CK56" i="16"/>
  <c r="CH56" i="16"/>
  <c r="CG56" i="16"/>
  <c r="CD56" i="16"/>
  <c r="CJ56" i="16" s="1"/>
  <c r="CC56" i="16"/>
  <c r="CA56" i="16"/>
  <c r="BZ56" i="16" s="1"/>
  <c r="BW56" i="16"/>
  <c r="BY56" i="16" s="1"/>
  <c r="BX56" i="16" s="1"/>
  <c r="BT56" i="16"/>
  <c r="BS56" i="16"/>
  <c r="BP56" i="16"/>
  <c r="BV56" i="16" s="1"/>
  <c r="BO56" i="16"/>
  <c r="BM56" i="16"/>
  <c r="BL56" i="16"/>
  <c r="BK56" i="16"/>
  <c r="BJ56" i="16" s="1"/>
  <c r="BI56" i="16"/>
  <c r="BF56" i="16"/>
  <c r="BE56" i="16"/>
  <c r="BB56" i="16"/>
  <c r="BH56" i="16" s="1"/>
  <c r="AY56" i="16"/>
  <c r="AX56" i="16" s="1"/>
  <c r="AU56" i="16"/>
  <c r="B56" i="16" s="1"/>
  <c r="AT56" i="16"/>
  <c r="AR56" i="16"/>
  <c r="AQ56" i="16" s="1"/>
  <c r="AN56" i="16"/>
  <c r="AM56" i="16"/>
  <c r="AL56" i="16"/>
  <c r="AK56" i="16"/>
  <c r="AJ56" i="16"/>
  <c r="AI56" i="16"/>
  <c r="AH56" i="16" s="1"/>
  <c r="AG56" i="16"/>
  <c r="AE56" i="16"/>
  <c r="AD56" i="16"/>
  <c r="AB56" i="16"/>
  <c r="Z56" i="16"/>
  <c r="AA56" i="16" s="1"/>
  <c r="W56" i="16"/>
  <c r="V56" i="16" s="1"/>
  <c r="U56" i="16"/>
  <c r="T56" i="16" s="1"/>
  <c r="S56" i="16"/>
  <c r="Y56" i="16" s="1"/>
  <c r="P56" i="16"/>
  <c r="O56" i="16" s="1"/>
  <c r="N56" i="16"/>
  <c r="L56" i="16"/>
  <c r="R56" i="16" s="1"/>
  <c r="CP55" i="16"/>
  <c r="CI55" i="16"/>
  <c r="CB55" i="16"/>
  <c r="BU55" i="16"/>
  <c r="BU58" i="16" s="1"/>
  <c r="BN55" i="16"/>
  <c r="BN58" i="16" s="1"/>
  <c r="BN59" i="16" s="1"/>
  <c r="BG55" i="16"/>
  <c r="AZ55" i="16"/>
  <c r="AS55" i="16"/>
  <c r="CQ54" i="16"/>
  <c r="CO54" i="16"/>
  <c r="CN54" i="16" s="1"/>
  <c r="CK54" i="16"/>
  <c r="CH54" i="16"/>
  <c r="CG54" i="16"/>
  <c r="CD54" i="16"/>
  <c r="CJ54" i="16" s="1"/>
  <c r="CA54" i="16"/>
  <c r="BZ54" i="16"/>
  <c r="BY54" i="16"/>
  <c r="BW54" i="16"/>
  <c r="CC54" i="16" s="1"/>
  <c r="BT54" i="16"/>
  <c r="BS54" i="16" s="1"/>
  <c r="BP54" i="16"/>
  <c r="BV54" i="16" s="1"/>
  <c r="BO54" i="16"/>
  <c r="BM54" i="16"/>
  <c r="BL54" i="16" s="1"/>
  <c r="BI54" i="16"/>
  <c r="BF54" i="16"/>
  <c r="BE54" i="16" s="1"/>
  <c r="BB54" i="16"/>
  <c r="BH54" i="16" s="1"/>
  <c r="AY54" i="16"/>
  <c r="AX54" i="16" s="1"/>
  <c r="AW54" i="16"/>
  <c r="AU54" i="16"/>
  <c r="BA54" i="16" s="1"/>
  <c r="AR54" i="16"/>
  <c r="AQ54" i="16" s="1"/>
  <c r="AP54" i="16"/>
  <c r="AN54" i="16"/>
  <c r="AT54" i="16" s="1"/>
  <c r="AM54" i="16"/>
  <c r="AK54" i="16"/>
  <c r="AJ54" i="16" s="1"/>
  <c r="AG54" i="16"/>
  <c r="AD54" i="16"/>
  <c r="AC54" i="16" s="1"/>
  <c r="AB54" i="16"/>
  <c r="AA54" i="16" s="1"/>
  <c r="Z54" i="16"/>
  <c r="AF54" i="16" s="1"/>
  <c r="W54" i="16"/>
  <c r="V54" i="16"/>
  <c r="S54" i="16"/>
  <c r="P54" i="16"/>
  <c r="O54" i="16" s="1"/>
  <c r="L54" i="16"/>
  <c r="E54" i="16" s="1"/>
  <c r="K54" i="16" s="1"/>
  <c r="J54" i="16"/>
  <c r="CO53" i="16"/>
  <c r="CN53" i="16" s="1"/>
  <c r="CK53" i="16"/>
  <c r="CH53" i="16"/>
  <c r="CG53" i="16"/>
  <c r="CD53" i="16"/>
  <c r="CJ53" i="16" s="1"/>
  <c r="CA53" i="16"/>
  <c r="BZ53" i="16" s="1"/>
  <c r="BY53" i="16"/>
  <c r="BX53" i="16" s="1"/>
  <c r="BW53" i="16"/>
  <c r="CC53" i="16" s="1"/>
  <c r="BT53" i="16"/>
  <c r="BS53" i="16"/>
  <c r="BP53" i="16"/>
  <c r="BV53" i="16" s="1"/>
  <c r="BO53" i="16"/>
  <c r="BM53" i="16"/>
  <c r="BL53" i="16" s="1"/>
  <c r="BI53" i="16"/>
  <c r="BF53" i="16"/>
  <c r="BE53" i="16"/>
  <c r="BB53" i="16"/>
  <c r="BH53" i="16" s="1"/>
  <c r="AY53" i="16"/>
  <c r="AX53" i="16"/>
  <c r="AU53" i="16"/>
  <c r="BA53" i="16" s="1"/>
  <c r="AR53" i="16"/>
  <c r="AQ53" i="16"/>
  <c r="AN53" i="16"/>
  <c r="AT53" i="16" s="1"/>
  <c r="AK53" i="16"/>
  <c r="AJ53" i="16" s="1"/>
  <c r="AG53" i="16"/>
  <c r="AF53" i="16"/>
  <c r="AE53" i="16"/>
  <c r="AD53" i="16"/>
  <c r="Z53" i="16"/>
  <c r="AB53" i="16" s="1"/>
  <c r="X53" i="16"/>
  <c r="W53" i="16"/>
  <c r="V53" i="16"/>
  <c r="S53" i="16"/>
  <c r="Y53" i="16" s="1"/>
  <c r="R53" i="16"/>
  <c r="P53" i="16"/>
  <c r="O53" i="16"/>
  <c r="L53" i="16"/>
  <c r="N53" i="16" s="1"/>
  <c r="J53" i="16"/>
  <c r="CQ52" i="16"/>
  <c r="CO52" i="16"/>
  <c r="CN52" i="16" s="1"/>
  <c r="CM52" i="16"/>
  <c r="CK52" i="16"/>
  <c r="CL52" i="16" s="1"/>
  <c r="CH52" i="16"/>
  <c r="CG52" i="16" s="1"/>
  <c r="CF52" i="16"/>
  <c r="CE52" i="16" s="1"/>
  <c r="CD52" i="16"/>
  <c r="CJ52" i="16" s="1"/>
  <c r="CA52" i="16"/>
  <c r="BZ52" i="16" s="1"/>
  <c r="BW52" i="16"/>
  <c r="BV52" i="16"/>
  <c r="BT52" i="16"/>
  <c r="BS52" i="16" s="1"/>
  <c r="BP52" i="16"/>
  <c r="BM52" i="16"/>
  <c r="BL52" i="16"/>
  <c r="BI52" i="16"/>
  <c r="BO52" i="16" s="1"/>
  <c r="BF52" i="16"/>
  <c r="BE52" i="16"/>
  <c r="BB52" i="16"/>
  <c r="AY52" i="16"/>
  <c r="AX52" i="16" s="1"/>
  <c r="AU52" i="16"/>
  <c r="AR52" i="16"/>
  <c r="AQ52" i="16"/>
  <c r="AN52" i="16"/>
  <c r="AT52" i="16" s="1"/>
  <c r="AM52" i="16"/>
  <c r="AL52" i="16"/>
  <c r="AK52" i="16"/>
  <c r="AJ52" i="16"/>
  <c r="AI52" i="16"/>
  <c r="AG52" i="16"/>
  <c r="AH52" i="16" s="1"/>
  <c r="AE52" i="16"/>
  <c r="AB52" i="16"/>
  <c r="Z52" i="16"/>
  <c r="AA52" i="16" s="1"/>
  <c r="X52" i="16"/>
  <c r="W52" i="16"/>
  <c r="V52" i="16"/>
  <c r="S52" i="16"/>
  <c r="Q52" i="16"/>
  <c r="P52" i="16"/>
  <c r="L52" i="16"/>
  <c r="CO51" i="16"/>
  <c r="CN51" i="16"/>
  <c r="CK51" i="16"/>
  <c r="CQ51" i="16" s="1"/>
  <c r="CH51" i="16"/>
  <c r="CG51" i="16" s="1"/>
  <c r="CF51" i="16"/>
  <c r="CD51" i="16"/>
  <c r="CJ51" i="16" s="1"/>
  <c r="CC51" i="16"/>
  <c r="CA51" i="16"/>
  <c r="BZ51" i="16"/>
  <c r="BW51" i="16"/>
  <c r="BT51" i="16"/>
  <c r="BS51" i="16" s="1"/>
  <c r="BP51" i="16"/>
  <c r="BR51" i="16" s="1"/>
  <c r="BQ51" i="16" s="1"/>
  <c r="BM51" i="16"/>
  <c r="BL51" i="16"/>
  <c r="BK51" i="16"/>
  <c r="BJ51" i="16" s="1"/>
  <c r="BI51" i="16"/>
  <c r="BO51" i="16" s="1"/>
  <c r="BF51" i="16"/>
  <c r="BE51" i="16" s="1"/>
  <c r="BB51" i="16"/>
  <c r="AY51" i="16"/>
  <c r="AX51" i="16" s="1"/>
  <c r="AU51" i="16"/>
  <c r="BA51" i="16" s="1"/>
  <c r="AT51" i="16"/>
  <c r="AR51" i="16"/>
  <c r="AQ51" i="16"/>
  <c r="AN51" i="16"/>
  <c r="AP51" i="16" s="1"/>
  <c r="AO51" i="16" s="1"/>
  <c r="AL51" i="16"/>
  <c r="AK51" i="16"/>
  <c r="AJ51" i="16"/>
  <c r="AG51" i="16"/>
  <c r="AE51" i="16"/>
  <c r="AD51" i="16"/>
  <c r="AC51" i="16" s="1"/>
  <c r="Z51" i="16"/>
  <c r="X51" i="16"/>
  <c r="U51" i="16"/>
  <c r="T51" i="16" s="1"/>
  <c r="S51" i="16"/>
  <c r="Q51" i="16"/>
  <c r="P51" i="16"/>
  <c r="L51" i="16"/>
  <c r="R51" i="16" s="1"/>
  <c r="CO50" i="16"/>
  <c r="CN50" i="16" s="1"/>
  <c r="CK50" i="16"/>
  <c r="CQ50" i="16" s="1"/>
  <c r="CH50" i="16"/>
  <c r="CG50" i="16" s="1"/>
  <c r="CF50" i="16"/>
  <c r="CD50" i="16"/>
  <c r="CJ50" i="16" s="1"/>
  <c r="CA50" i="16"/>
  <c r="BZ50" i="16"/>
  <c r="BW50" i="16"/>
  <c r="BT50" i="16"/>
  <c r="BS50" i="16" s="1"/>
  <c r="BP50" i="16"/>
  <c r="BO50" i="16"/>
  <c r="BM50" i="16"/>
  <c r="BL50" i="16" s="1"/>
  <c r="BK50" i="16"/>
  <c r="BJ50" i="16" s="1"/>
  <c r="BI50" i="16"/>
  <c r="BF50" i="16"/>
  <c r="BE50" i="16"/>
  <c r="BB50" i="16"/>
  <c r="AY50" i="16"/>
  <c r="AX50" i="16" s="1"/>
  <c r="AU50" i="16"/>
  <c r="BA50" i="16" s="1"/>
  <c r="AR50" i="16"/>
  <c r="AQ50" i="16"/>
  <c r="AP50" i="16"/>
  <c r="AO50" i="16" s="1"/>
  <c r="AN50" i="16"/>
  <c r="AT50" i="16" s="1"/>
  <c r="AL50" i="16"/>
  <c r="AK50" i="16" s="1"/>
  <c r="AJ50" i="16"/>
  <c r="AG50" i="16"/>
  <c r="AF50" i="16"/>
  <c r="AE50" i="16"/>
  <c r="Z50" i="16"/>
  <c r="AB50" i="16" s="1"/>
  <c r="X50" i="16"/>
  <c r="W50" i="16" s="1"/>
  <c r="S50" i="16"/>
  <c r="U50" i="16" s="1"/>
  <c r="R50" i="16"/>
  <c r="Q50" i="16"/>
  <c r="J50" i="16" s="1"/>
  <c r="P50" i="16"/>
  <c r="O50" i="16" s="1"/>
  <c r="N50" i="16"/>
  <c r="L50" i="16"/>
  <c r="CO49" i="16"/>
  <c r="CN49" i="16" s="1"/>
  <c r="CK49" i="16"/>
  <c r="CJ49" i="16"/>
  <c r="CH49" i="16"/>
  <c r="CG49" i="16" s="1"/>
  <c r="CD49" i="16"/>
  <c r="CF49" i="16" s="1"/>
  <c r="CE49" i="16" s="1"/>
  <c r="CA49" i="16"/>
  <c r="BZ49" i="16" s="1"/>
  <c r="BY49" i="16"/>
  <c r="BX49" i="16" s="1"/>
  <c r="BW49" i="16"/>
  <c r="CC49" i="16" s="1"/>
  <c r="BT49" i="16"/>
  <c r="BS49" i="16" s="1"/>
  <c r="BP49" i="16"/>
  <c r="BV49" i="16" s="1"/>
  <c r="BM49" i="16"/>
  <c r="BL49" i="16" s="1"/>
  <c r="BI49" i="16"/>
  <c r="BO49" i="16" s="1"/>
  <c r="BH49" i="16"/>
  <c r="BF49" i="16"/>
  <c r="BE49" i="16" s="1"/>
  <c r="BD49" i="16"/>
  <c r="BC49" i="16" s="1"/>
  <c r="BB49" i="16"/>
  <c r="AY49" i="16"/>
  <c r="AX49" i="16"/>
  <c r="AU49" i="16"/>
  <c r="BA49" i="16" s="1"/>
  <c r="AT49" i="16"/>
  <c r="AR49" i="16"/>
  <c r="AQ49" i="16" s="1"/>
  <c r="AN49" i="16"/>
  <c r="AH49" i="16"/>
  <c r="AG49" i="16"/>
  <c r="AI49" i="16" s="1"/>
  <c r="AB49" i="16"/>
  <c r="Z49" i="16"/>
  <c r="S49" i="16"/>
  <c r="U49" i="16" s="1"/>
  <c r="T49" i="16" s="1"/>
  <c r="Q49" i="16"/>
  <c r="P49" i="16" s="1"/>
  <c r="L49" i="16"/>
  <c r="B49" i="16" s="1"/>
  <c r="CQ48" i="16"/>
  <c r="CO48" i="16"/>
  <c r="CN48" i="16" s="1"/>
  <c r="CK48" i="16"/>
  <c r="CH48" i="16"/>
  <c r="CG48" i="16" s="1"/>
  <c r="CF48" i="16"/>
  <c r="CE48" i="16" s="1"/>
  <c r="CD48" i="16"/>
  <c r="CJ48" i="16" s="1"/>
  <c r="CA48" i="16"/>
  <c r="BZ48" i="16" s="1"/>
  <c r="BW48" i="16"/>
  <c r="CC48" i="16" s="1"/>
  <c r="BT48" i="16"/>
  <c r="BS48" i="16" s="1"/>
  <c r="BP48" i="16"/>
  <c r="BV48" i="16" s="1"/>
  <c r="BM48" i="16"/>
  <c r="BL48" i="16" s="1"/>
  <c r="BI48" i="16"/>
  <c r="BK48" i="16" s="1"/>
  <c r="BF48" i="16"/>
  <c r="BE48" i="16"/>
  <c r="BD48" i="16"/>
  <c r="BC48" i="16" s="1"/>
  <c r="BB48" i="16"/>
  <c r="BH48" i="16" s="1"/>
  <c r="AY48" i="16"/>
  <c r="AX48" i="16" s="1"/>
  <c r="AU48" i="16"/>
  <c r="AR48" i="16"/>
  <c r="AQ48" i="16" s="1"/>
  <c r="AN48" i="16"/>
  <c r="AK48" i="16"/>
  <c r="AJ48" i="16"/>
  <c r="AG48" i="16"/>
  <c r="AE48" i="16"/>
  <c r="AD48" i="16" s="1"/>
  <c r="Z48" i="16"/>
  <c r="Y48" i="16"/>
  <c r="X48" i="16"/>
  <c r="W48" i="16"/>
  <c r="V48" i="16"/>
  <c r="U48" i="16"/>
  <c r="S48" i="16"/>
  <c r="Q48" i="16"/>
  <c r="L48" i="16"/>
  <c r="N48" i="16" s="1"/>
  <c r="M48" i="16" s="1"/>
  <c r="CO47" i="16"/>
  <c r="CN47" i="16"/>
  <c r="CK47" i="16"/>
  <c r="CQ47" i="16" s="1"/>
  <c r="CH47" i="16"/>
  <c r="CG47" i="16"/>
  <c r="CD47" i="16"/>
  <c r="CA47" i="16"/>
  <c r="BZ47" i="16"/>
  <c r="BW47" i="16"/>
  <c r="CC47" i="16" s="1"/>
  <c r="BT47" i="16"/>
  <c r="BS47" i="16" s="1"/>
  <c r="BP47" i="16"/>
  <c r="BR47" i="16" s="1"/>
  <c r="BM47" i="16"/>
  <c r="BL47" i="16"/>
  <c r="BK47" i="16"/>
  <c r="BJ47" i="16" s="1"/>
  <c r="BI47" i="16"/>
  <c r="BO47" i="16" s="1"/>
  <c r="BF47" i="16"/>
  <c r="BE47" i="16" s="1"/>
  <c r="BB47" i="16"/>
  <c r="BA47" i="16"/>
  <c r="AY47" i="16"/>
  <c r="AX47" i="16"/>
  <c r="AW47" i="16"/>
  <c r="AV47" i="16" s="1"/>
  <c r="AU47" i="16"/>
  <c r="AR47" i="16"/>
  <c r="AQ47" i="16"/>
  <c r="AN47" i="16"/>
  <c r="AT47" i="16" s="1"/>
  <c r="AK47" i="16"/>
  <c r="AJ47" i="16"/>
  <c r="AI47" i="16"/>
  <c r="AG47" i="16"/>
  <c r="AM47" i="16" s="1"/>
  <c r="AD47" i="16"/>
  <c r="AC47" i="16" s="1"/>
  <c r="Z47" i="16"/>
  <c r="AB47" i="16" s="1"/>
  <c r="Y47" i="16"/>
  <c r="W47" i="16"/>
  <c r="V47" i="16" s="1"/>
  <c r="S47" i="16"/>
  <c r="U47" i="16" s="1"/>
  <c r="T47" i="16" s="1"/>
  <c r="P47" i="16"/>
  <c r="I47" i="16" s="1"/>
  <c r="O47" i="16"/>
  <c r="L47" i="16"/>
  <c r="R47" i="16" s="1"/>
  <c r="J47" i="16"/>
  <c r="CO46" i="16"/>
  <c r="CN46" i="16"/>
  <c r="CK46" i="16"/>
  <c r="CQ46" i="16" s="1"/>
  <c r="CJ46" i="16"/>
  <c r="CH46" i="16"/>
  <c r="CG46" i="16" s="1"/>
  <c r="CD46" i="16"/>
  <c r="CF46" i="16" s="1"/>
  <c r="CC46" i="16"/>
  <c r="CA46" i="16"/>
  <c r="BZ46" i="16" s="1"/>
  <c r="BW46" i="16"/>
  <c r="BT46" i="16"/>
  <c r="BS46" i="16" s="1"/>
  <c r="BP46" i="16"/>
  <c r="BR46" i="16" s="1"/>
  <c r="BQ46" i="16" s="1"/>
  <c r="BM46" i="16"/>
  <c r="BL46" i="16"/>
  <c r="BK46" i="16"/>
  <c r="BJ46" i="16" s="1"/>
  <c r="BI46" i="16"/>
  <c r="BO46" i="16" s="1"/>
  <c r="BF46" i="16"/>
  <c r="BE46" i="16" s="1"/>
  <c r="BB46" i="16"/>
  <c r="BD46" i="16" s="1"/>
  <c r="AY46" i="16"/>
  <c r="AX46" i="16" s="1"/>
  <c r="AW46" i="16"/>
  <c r="AU46" i="16"/>
  <c r="AR46" i="16"/>
  <c r="AQ46" i="16" s="1"/>
  <c r="AN46" i="16"/>
  <c r="AT46" i="16" s="1"/>
  <c r="AK46" i="16"/>
  <c r="AJ46" i="16"/>
  <c r="AI46" i="16"/>
  <c r="AH46" i="16" s="1"/>
  <c r="AG46" i="16"/>
  <c r="AM46" i="16" s="1"/>
  <c r="AD46" i="16"/>
  <c r="AC46" i="16" s="1"/>
  <c r="AA46" i="16"/>
  <c r="Z46" i="16"/>
  <c r="AB46" i="16" s="1"/>
  <c r="Y46" i="16"/>
  <c r="W46" i="16"/>
  <c r="U46" i="16"/>
  <c r="S46" i="16"/>
  <c r="P46" i="16"/>
  <c r="O46" i="16" s="1"/>
  <c r="L46" i="16"/>
  <c r="J46" i="16"/>
  <c r="CQ45" i="16"/>
  <c r="CO45" i="16"/>
  <c r="CN45" i="16"/>
  <c r="CM45" i="16"/>
  <c r="CL45" i="16" s="1"/>
  <c r="CK45" i="16"/>
  <c r="CH45" i="16"/>
  <c r="CG45" i="16"/>
  <c r="CF45" i="16"/>
  <c r="CD45" i="16"/>
  <c r="CJ45" i="16" s="1"/>
  <c r="CA45" i="16"/>
  <c r="BZ45" i="16" s="1"/>
  <c r="BW45" i="16"/>
  <c r="BY45" i="16" s="1"/>
  <c r="BT45" i="16"/>
  <c r="BS45" i="16" s="1"/>
  <c r="BP45" i="16"/>
  <c r="BO45" i="16"/>
  <c r="BM45" i="16"/>
  <c r="BL45" i="16"/>
  <c r="BK45" i="16"/>
  <c r="BJ45" i="16" s="1"/>
  <c r="BI45" i="16"/>
  <c r="BF45" i="16"/>
  <c r="BE45" i="16"/>
  <c r="BD45" i="16"/>
  <c r="BB45" i="16"/>
  <c r="BH45" i="16" s="1"/>
  <c r="AY45" i="16"/>
  <c r="AX45" i="16" s="1"/>
  <c r="AU45" i="16"/>
  <c r="AW45" i="16" s="1"/>
  <c r="AR45" i="16"/>
  <c r="AQ45" i="16" s="1"/>
  <c r="AN45" i="16"/>
  <c r="AM45" i="16"/>
  <c r="AK45" i="16"/>
  <c r="AJ45" i="16"/>
  <c r="AI45" i="16"/>
  <c r="AH45" i="16" s="1"/>
  <c r="AG45" i="16"/>
  <c r="AD45" i="16"/>
  <c r="AC45" i="16"/>
  <c r="AB45" i="16"/>
  <c r="Z45" i="16"/>
  <c r="AF45" i="16" s="1"/>
  <c r="W45" i="16"/>
  <c r="V45" i="16" s="1"/>
  <c r="S45" i="16"/>
  <c r="U45" i="16" s="1"/>
  <c r="P45" i="16"/>
  <c r="I45" i="16" s="1"/>
  <c r="L45" i="16"/>
  <c r="B45" i="16" s="1"/>
  <c r="J45" i="16"/>
  <c r="CO44" i="16"/>
  <c r="CN44" i="16"/>
  <c r="CK44" i="16"/>
  <c r="CM44" i="16" s="1"/>
  <c r="CJ44" i="16"/>
  <c r="CH44" i="16"/>
  <c r="CG44" i="16"/>
  <c r="CF44" i="16"/>
  <c r="CD44" i="16"/>
  <c r="CA44" i="16"/>
  <c r="BZ44" i="16"/>
  <c r="BW44" i="16"/>
  <c r="CC44" i="16" s="1"/>
  <c r="BT44" i="16"/>
  <c r="BS44" i="16" s="1"/>
  <c r="BP44" i="16"/>
  <c r="BO44" i="16"/>
  <c r="BM44" i="16"/>
  <c r="BL44" i="16"/>
  <c r="BI44" i="16"/>
  <c r="BK44" i="16" s="1"/>
  <c r="BF44" i="16"/>
  <c r="BE44" i="16"/>
  <c r="BB44" i="16"/>
  <c r="BH44" i="16" s="1"/>
  <c r="AY44" i="16"/>
  <c r="AX44" i="16"/>
  <c r="AU44" i="16"/>
  <c r="AR44" i="16"/>
  <c r="AQ44" i="16" s="1"/>
  <c r="AN44" i="16"/>
  <c r="AP44" i="16" s="1"/>
  <c r="AM44" i="16"/>
  <c r="AK44" i="16"/>
  <c r="AJ44" i="16"/>
  <c r="AI44" i="16"/>
  <c r="AG44" i="16"/>
  <c r="AD44" i="16"/>
  <c r="AC44" i="16"/>
  <c r="Z44" i="16"/>
  <c r="W44" i="16"/>
  <c r="V44" i="16"/>
  <c r="S44" i="16"/>
  <c r="Y44" i="16" s="1"/>
  <c r="P44" i="16"/>
  <c r="O44" i="16" s="1"/>
  <c r="L44" i="16"/>
  <c r="B44" i="16" s="1"/>
  <c r="J44" i="16"/>
  <c r="I44" i="16"/>
  <c r="CQ43" i="16"/>
  <c r="CO43" i="16"/>
  <c r="CN43" i="16" s="1"/>
  <c r="CK43" i="16"/>
  <c r="CM43" i="16" s="1"/>
  <c r="CH43" i="16"/>
  <c r="CG43" i="16"/>
  <c r="CD43" i="16"/>
  <c r="CJ43" i="16" s="1"/>
  <c r="CA43" i="16"/>
  <c r="BZ43" i="16"/>
  <c r="BW43" i="16"/>
  <c r="CC43" i="16" s="1"/>
  <c r="BT43" i="16"/>
  <c r="BS43" i="16"/>
  <c r="BP43" i="16"/>
  <c r="BV43" i="16" s="1"/>
  <c r="BM43" i="16"/>
  <c r="BL43" i="16" s="1"/>
  <c r="BI43" i="16"/>
  <c r="BF43" i="16"/>
  <c r="BE43" i="16"/>
  <c r="BB43" i="16"/>
  <c r="BH43" i="16" s="1"/>
  <c r="AY43" i="16"/>
  <c r="AX43" i="16"/>
  <c r="AU43" i="16"/>
  <c r="BA43" i="16" s="1"/>
  <c r="AR43" i="16"/>
  <c r="AQ43" i="16"/>
  <c r="AN43" i="16"/>
  <c r="AM43" i="16"/>
  <c r="AL43" i="16"/>
  <c r="AI43" i="16"/>
  <c r="AG43" i="16"/>
  <c r="AH43" i="16" s="1"/>
  <c r="AE43" i="16"/>
  <c r="AD43" i="16"/>
  <c r="Z43" i="16"/>
  <c r="AB43" i="16" s="1"/>
  <c r="X43" i="16"/>
  <c r="S43" i="16"/>
  <c r="Q43" i="16"/>
  <c r="J43" i="16" s="1"/>
  <c r="L43" i="16"/>
  <c r="R43" i="16" s="1"/>
  <c r="CQ42" i="16"/>
  <c r="CO42" i="16"/>
  <c r="CN42" i="16"/>
  <c r="CM42" i="16"/>
  <c r="CK42" i="16"/>
  <c r="CH42" i="16"/>
  <c r="CG42" i="16" s="1"/>
  <c r="CD42" i="16"/>
  <c r="CA42" i="16"/>
  <c r="BZ42" i="16"/>
  <c r="BW42" i="16"/>
  <c r="CC42" i="16" s="1"/>
  <c r="BT42" i="16"/>
  <c r="BS42" i="16" s="1"/>
  <c r="BQ42" i="16"/>
  <c r="BP42" i="16"/>
  <c r="BR42" i="16" s="1"/>
  <c r="BO42" i="16"/>
  <c r="BM42" i="16"/>
  <c r="BL42" i="16"/>
  <c r="BI42" i="16"/>
  <c r="BK42" i="16" s="1"/>
  <c r="BF42" i="16"/>
  <c r="BE42" i="16" s="1"/>
  <c r="BB42" i="16"/>
  <c r="BH42" i="16" s="1"/>
  <c r="AY42" i="16"/>
  <c r="AX42" i="16"/>
  <c r="AU42" i="16"/>
  <c r="BA42" i="16" s="1"/>
  <c r="AT42" i="16"/>
  <c r="AR42" i="16"/>
  <c r="AQ42" i="16" s="1"/>
  <c r="AO42" i="16"/>
  <c r="AN42" i="16"/>
  <c r="AP42" i="16" s="1"/>
  <c r="AK42" i="16"/>
  <c r="AJ42" i="16"/>
  <c r="AG42" i="16"/>
  <c r="AM42" i="16" s="1"/>
  <c r="AE42" i="16"/>
  <c r="AB42" i="16"/>
  <c r="AA42" i="16" s="1"/>
  <c r="Z42" i="16"/>
  <c r="W42" i="16"/>
  <c r="V42" i="16"/>
  <c r="S42" i="16"/>
  <c r="Y42" i="16" s="1"/>
  <c r="P42" i="16"/>
  <c r="O42" i="16"/>
  <c r="L42" i="16"/>
  <c r="R42" i="16" s="1"/>
  <c r="CO41" i="16"/>
  <c r="CN41" i="16"/>
  <c r="CK41" i="16"/>
  <c r="CQ41" i="16" s="1"/>
  <c r="CJ41" i="16"/>
  <c r="CH41" i="16"/>
  <c r="CG41" i="16" s="1"/>
  <c r="CD41" i="16"/>
  <c r="CA41" i="16"/>
  <c r="BZ41" i="16" s="1"/>
  <c r="BY41" i="16"/>
  <c r="BW41" i="16"/>
  <c r="CC41" i="16" s="1"/>
  <c r="BT41" i="16"/>
  <c r="BS41" i="16" s="1"/>
  <c r="BP41" i="16"/>
  <c r="BV41" i="16" s="1"/>
  <c r="BM41" i="16"/>
  <c r="BL41" i="16"/>
  <c r="BK41" i="16"/>
  <c r="BI41" i="16"/>
  <c r="BF41" i="16"/>
  <c r="BE41" i="16" s="1"/>
  <c r="BB41" i="16"/>
  <c r="BH41" i="16" s="1"/>
  <c r="AY41" i="16"/>
  <c r="AX41" i="16" s="1"/>
  <c r="AU41" i="16"/>
  <c r="BA41" i="16" s="1"/>
  <c r="AR41" i="16"/>
  <c r="AQ41" i="16"/>
  <c r="AP41" i="16"/>
  <c r="AO41" i="16" s="1"/>
  <c r="AN41" i="16"/>
  <c r="AT41" i="16" s="1"/>
  <c r="AK41" i="16"/>
  <c r="AJ41" i="16"/>
  <c r="AG41" i="16"/>
  <c r="AM41" i="16" s="1"/>
  <c r="AD41" i="16"/>
  <c r="AC41" i="16"/>
  <c r="Z41" i="16"/>
  <c r="W41" i="16"/>
  <c r="V41" i="16"/>
  <c r="S41" i="16"/>
  <c r="P41" i="16"/>
  <c r="O41" i="16"/>
  <c r="L41" i="16"/>
  <c r="N41" i="16" s="1"/>
  <c r="J41" i="16"/>
  <c r="CO40" i="16"/>
  <c r="CN40" i="16" s="1"/>
  <c r="CK40" i="16"/>
  <c r="CJ40" i="16"/>
  <c r="CH40" i="16"/>
  <c r="CG40" i="16"/>
  <c r="CD40" i="16"/>
  <c r="CF40" i="16" s="1"/>
  <c r="CE40" i="16" s="1"/>
  <c r="CA40" i="16"/>
  <c r="BZ40" i="16" s="1"/>
  <c r="BW40" i="16"/>
  <c r="BT40" i="16"/>
  <c r="BS40" i="16" s="1"/>
  <c r="BP40" i="16"/>
  <c r="BV40" i="16" s="1"/>
  <c r="BM40" i="16"/>
  <c r="BL40" i="16" s="1"/>
  <c r="BI40" i="16"/>
  <c r="BO40" i="16" s="1"/>
  <c r="BF40" i="16"/>
  <c r="BE40" i="16"/>
  <c r="BB40" i="16"/>
  <c r="BH40" i="16" s="1"/>
  <c r="BA40" i="16"/>
  <c r="AY40" i="16"/>
  <c r="AX40" i="16" s="1"/>
  <c r="AU40" i="16"/>
  <c r="AR40" i="16"/>
  <c r="AQ40" i="16" s="1"/>
  <c r="AN40" i="16"/>
  <c r="AT40" i="16" s="1"/>
  <c r="AL40" i="16"/>
  <c r="AK40" i="16"/>
  <c r="AJ40" i="16"/>
  <c r="AG40" i="16"/>
  <c r="AE40" i="16"/>
  <c r="AD40" i="16"/>
  <c r="AC40" i="16" s="1"/>
  <c r="Z40" i="16"/>
  <c r="AF40" i="16" s="1"/>
  <c r="X40" i="16"/>
  <c r="W40" i="16"/>
  <c r="V40" i="16"/>
  <c r="S40" i="16"/>
  <c r="R40" i="16"/>
  <c r="Q40" i="16"/>
  <c r="L40" i="16"/>
  <c r="CO39" i="16"/>
  <c r="CN39" i="16"/>
  <c r="CK39" i="16"/>
  <c r="CH39" i="16"/>
  <c r="CG39" i="16" s="1"/>
  <c r="CD39" i="16"/>
  <c r="CJ39" i="16" s="1"/>
  <c r="CC39" i="16"/>
  <c r="CA39" i="16"/>
  <c r="BZ39" i="16" s="1"/>
  <c r="BW39" i="16"/>
  <c r="BT39" i="16"/>
  <c r="BS39" i="16"/>
  <c r="BP39" i="16"/>
  <c r="BM39" i="16"/>
  <c r="BL39" i="16"/>
  <c r="BI39" i="16"/>
  <c r="BH39" i="16"/>
  <c r="BF39" i="16"/>
  <c r="BE39" i="16"/>
  <c r="BB39" i="16"/>
  <c r="BA39" i="16"/>
  <c r="AY39" i="16"/>
  <c r="AX39" i="16"/>
  <c r="AU39" i="16"/>
  <c r="AW39" i="16" s="1"/>
  <c r="AV39" i="16" s="1"/>
  <c r="AR39" i="16"/>
  <c r="AQ39" i="16"/>
  <c r="AN39" i="16"/>
  <c r="AL39" i="16"/>
  <c r="AK39" i="16"/>
  <c r="AJ39" i="16"/>
  <c r="AG39" i="16"/>
  <c r="AM39" i="16" s="1"/>
  <c r="AE39" i="16"/>
  <c r="AB39" i="16"/>
  <c r="Z39" i="16"/>
  <c r="AF39" i="16" s="1"/>
  <c r="X39" i="16"/>
  <c r="S39" i="16"/>
  <c r="R39" i="16"/>
  <c r="P39" i="16"/>
  <c r="O39" i="16"/>
  <c r="N39" i="16"/>
  <c r="L39" i="16"/>
  <c r="CO38" i="16"/>
  <c r="CN38" i="16"/>
  <c r="CM38" i="16"/>
  <c r="CK38" i="16"/>
  <c r="CQ38" i="16" s="1"/>
  <c r="CH38" i="16"/>
  <c r="CG38" i="16" s="1"/>
  <c r="CD38" i="16"/>
  <c r="CA38" i="16"/>
  <c r="BZ38" i="16"/>
  <c r="BW38" i="16"/>
  <c r="BT38" i="16"/>
  <c r="BS38" i="16" s="1"/>
  <c r="BP38" i="16"/>
  <c r="BO38" i="16"/>
  <c r="BM38" i="16"/>
  <c r="BL38" i="16"/>
  <c r="BI38" i="16"/>
  <c r="BK38" i="16" s="1"/>
  <c r="BF38" i="16"/>
  <c r="BE38" i="16" s="1"/>
  <c r="BB38" i="16"/>
  <c r="BH38" i="16" s="1"/>
  <c r="AY38" i="16"/>
  <c r="AX38" i="16"/>
  <c r="AU38" i="16"/>
  <c r="AR38" i="16"/>
  <c r="AQ38" i="16" s="1"/>
  <c r="AO38" i="16"/>
  <c r="AN38" i="16"/>
  <c r="AP38" i="16" s="1"/>
  <c r="AM38" i="16"/>
  <c r="AK38" i="16"/>
  <c r="AJ38" i="16"/>
  <c r="AI38" i="16"/>
  <c r="AG38" i="16"/>
  <c r="AE38" i="16"/>
  <c r="AB38" i="16"/>
  <c r="Z38" i="16"/>
  <c r="X38" i="16"/>
  <c r="W38" i="16"/>
  <c r="V38" i="16"/>
  <c r="S38" i="16"/>
  <c r="U38" i="16" s="1"/>
  <c r="Q38" i="16"/>
  <c r="J38" i="16" s="1"/>
  <c r="P38" i="16"/>
  <c r="L38" i="16"/>
  <c r="CO37" i="16"/>
  <c r="CN37" i="16" s="1"/>
  <c r="CK37" i="16"/>
  <c r="CJ37" i="16"/>
  <c r="CH37" i="16"/>
  <c r="CG37" i="16"/>
  <c r="CF37" i="16"/>
  <c r="CD37" i="16"/>
  <c r="CA37" i="16"/>
  <c r="BZ37" i="16" s="1"/>
  <c r="BW37" i="16"/>
  <c r="CC37" i="16" s="1"/>
  <c r="BV37" i="16"/>
  <c r="BT37" i="16"/>
  <c r="BS37" i="16" s="1"/>
  <c r="BR37" i="16"/>
  <c r="BQ37" i="16"/>
  <c r="BP37" i="16"/>
  <c r="BM37" i="16"/>
  <c r="BL37" i="16"/>
  <c r="BK37" i="16"/>
  <c r="BJ37" i="16" s="1"/>
  <c r="BI37" i="16"/>
  <c r="BO37" i="16" s="1"/>
  <c r="BF37" i="16"/>
  <c r="BE37" i="16"/>
  <c r="BB37" i="16"/>
  <c r="AY37" i="16"/>
  <c r="AX37" i="16"/>
  <c r="AU37" i="16"/>
  <c r="AR37" i="16"/>
  <c r="AQ37" i="16"/>
  <c r="AN37" i="16"/>
  <c r="AP37" i="16" s="1"/>
  <c r="AO37" i="16" s="1"/>
  <c r="AL37" i="16"/>
  <c r="AK37" i="16"/>
  <c r="AJ37" i="16" s="1"/>
  <c r="AG37" i="16"/>
  <c r="Z37" i="16"/>
  <c r="S37" i="16"/>
  <c r="U37" i="16" s="1"/>
  <c r="T37" i="16" s="1"/>
  <c r="Q37" i="16"/>
  <c r="L37" i="16"/>
  <c r="CO36" i="16"/>
  <c r="CN36" i="16"/>
  <c r="CL36" i="16"/>
  <c r="CK36" i="16"/>
  <c r="CM36" i="16" s="1"/>
  <c r="CJ36" i="16"/>
  <c r="CH36" i="16"/>
  <c r="CG36" i="16"/>
  <c r="CE36" i="16"/>
  <c r="CD36" i="16"/>
  <c r="CF36" i="16" s="1"/>
  <c r="CA36" i="16"/>
  <c r="BZ36" i="16" s="1"/>
  <c r="BW36" i="16"/>
  <c r="BT36" i="16"/>
  <c r="BS36" i="16"/>
  <c r="BP36" i="16"/>
  <c r="BM36" i="16"/>
  <c r="BL36" i="16"/>
  <c r="BI36" i="16"/>
  <c r="BH36" i="16"/>
  <c r="BF36" i="16"/>
  <c r="BE36" i="16"/>
  <c r="BB36" i="16"/>
  <c r="BA36" i="16"/>
  <c r="AY36" i="16"/>
  <c r="AX36" i="16"/>
  <c r="AW36" i="16"/>
  <c r="AV36" i="16" s="1"/>
  <c r="AU36" i="16"/>
  <c r="AR36" i="16"/>
  <c r="AQ36" i="16" s="1"/>
  <c r="AN36" i="16"/>
  <c r="AL36" i="16"/>
  <c r="AK36" i="16"/>
  <c r="AJ36" i="16" s="1"/>
  <c r="AG36" i="16"/>
  <c r="AM36" i="16" s="1"/>
  <c r="AE36" i="16"/>
  <c r="Z36" i="16"/>
  <c r="X36" i="16"/>
  <c r="W36" i="16"/>
  <c r="U36" i="16"/>
  <c r="T36" i="16" s="1"/>
  <c r="S36" i="16"/>
  <c r="Y36" i="16" s="1"/>
  <c r="Q36" i="16"/>
  <c r="P36" i="16"/>
  <c r="O36" i="16"/>
  <c r="L36" i="16"/>
  <c r="J36" i="16"/>
  <c r="CO35" i="16"/>
  <c r="CN35" i="16" s="1"/>
  <c r="CK35" i="16"/>
  <c r="CH35" i="16"/>
  <c r="CG35" i="16" s="1"/>
  <c r="CD35" i="16"/>
  <c r="CA35" i="16"/>
  <c r="BZ35" i="16"/>
  <c r="BY35" i="16"/>
  <c r="BX35" i="16" s="1"/>
  <c r="BW35" i="16"/>
  <c r="CC35" i="16" s="1"/>
  <c r="BT35" i="16"/>
  <c r="BS35" i="16"/>
  <c r="BP35" i="16"/>
  <c r="BM35" i="16"/>
  <c r="BL35" i="16" s="1"/>
  <c r="BI35" i="16"/>
  <c r="BH35" i="16"/>
  <c r="BF35" i="16"/>
  <c r="BE35" i="16"/>
  <c r="BC35" i="16"/>
  <c r="BB35" i="16"/>
  <c r="BD35" i="16" s="1"/>
  <c r="AY35" i="16"/>
  <c r="AX35" i="16"/>
  <c r="AU35" i="16"/>
  <c r="BA35" i="16" s="1"/>
  <c r="AR35" i="16"/>
  <c r="AQ35" i="16"/>
  <c r="AN35" i="16"/>
  <c r="AM35" i="16"/>
  <c r="AK35" i="16"/>
  <c r="AJ35" i="16"/>
  <c r="AH35" i="16"/>
  <c r="AG35" i="16"/>
  <c r="AI35" i="16" s="1"/>
  <c r="AD35" i="16"/>
  <c r="AC35" i="16" s="1"/>
  <c r="AB35" i="16"/>
  <c r="Z35" i="16"/>
  <c r="W35" i="16"/>
  <c r="V35" i="16"/>
  <c r="U35" i="16"/>
  <c r="S35" i="16"/>
  <c r="Y35" i="16" s="1"/>
  <c r="P35" i="16"/>
  <c r="O35" i="16"/>
  <c r="L35" i="16"/>
  <c r="J35" i="16"/>
  <c r="I35" i="16"/>
  <c r="CO34" i="16"/>
  <c r="CN34" i="16"/>
  <c r="CM34" i="16"/>
  <c r="CK34" i="16"/>
  <c r="CJ34" i="16"/>
  <c r="CH34" i="16"/>
  <c r="CG34" i="16"/>
  <c r="CE34" i="16"/>
  <c r="CD34" i="16"/>
  <c r="CF34" i="16" s="1"/>
  <c r="CA34" i="16"/>
  <c r="BZ34" i="16"/>
  <c r="BW34" i="16"/>
  <c r="CC34" i="16" s="1"/>
  <c r="BT34" i="16"/>
  <c r="BS34" i="16" s="1"/>
  <c r="BP34" i="16"/>
  <c r="BM34" i="16"/>
  <c r="BL34" i="16"/>
  <c r="BI34" i="16"/>
  <c r="BF34" i="16"/>
  <c r="BE34" i="16" s="1"/>
  <c r="BB34" i="16"/>
  <c r="AY34" i="16"/>
  <c r="AX34" i="16" s="1"/>
  <c r="AU34" i="16"/>
  <c r="BA34" i="16" s="1"/>
  <c r="AT34" i="16"/>
  <c r="AR34" i="16"/>
  <c r="AP34" i="16"/>
  <c r="AN34" i="16"/>
  <c r="AK34" i="16"/>
  <c r="AJ34" i="16"/>
  <c r="AG34" i="16"/>
  <c r="AD34" i="16"/>
  <c r="AC34" i="16"/>
  <c r="Z34" i="16"/>
  <c r="W34" i="16"/>
  <c r="V34" i="16" s="1"/>
  <c r="S34" i="16"/>
  <c r="R34" i="16"/>
  <c r="P34" i="16"/>
  <c r="O34" i="16"/>
  <c r="L34" i="16"/>
  <c r="N34" i="16" s="1"/>
  <c r="J34" i="16"/>
  <c r="CQ33" i="16"/>
  <c r="CO33" i="16"/>
  <c r="CN33" i="16" s="1"/>
  <c r="CM33" i="16"/>
  <c r="CL33" i="16" s="1"/>
  <c r="CK33" i="16"/>
  <c r="CH33" i="16"/>
  <c r="CG33" i="16"/>
  <c r="CD33" i="16"/>
  <c r="CJ33" i="16" s="1"/>
  <c r="CA33" i="16"/>
  <c r="BZ33" i="16" s="1"/>
  <c r="BW33" i="16"/>
  <c r="CC33" i="16" s="1"/>
  <c r="BV33" i="16"/>
  <c r="BT33" i="16"/>
  <c r="BS33" i="16"/>
  <c r="BP33" i="16"/>
  <c r="BR33" i="16" s="1"/>
  <c r="BQ33" i="16" s="1"/>
  <c r="BM33" i="16"/>
  <c r="BL33" i="16" s="1"/>
  <c r="BI33" i="16"/>
  <c r="BO33" i="16" s="1"/>
  <c r="BF33" i="16"/>
  <c r="BE33" i="16"/>
  <c r="BB33" i="16"/>
  <c r="BH33" i="16" s="1"/>
  <c r="AY33" i="16"/>
  <c r="AX33" i="16" s="1"/>
  <c r="AU33" i="16"/>
  <c r="AW33" i="16" s="1"/>
  <c r="AT33" i="16"/>
  <c r="AR33" i="16"/>
  <c r="AQ33" i="16" s="1"/>
  <c r="AP33" i="16"/>
  <c r="AO33" i="16" s="1"/>
  <c r="AN33" i="16"/>
  <c r="AK33" i="16"/>
  <c r="AJ33" i="16"/>
  <c r="AG33" i="16"/>
  <c r="AM33" i="16" s="1"/>
  <c r="AF33" i="16"/>
  <c r="AD33" i="16"/>
  <c r="AC33" i="16"/>
  <c r="AA33" i="16"/>
  <c r="Z33" i="16"/>
  <c r="AB33" i="16" s="1"/>
  <c r="W33" i="16"/>
  <c r="V33" i="16" s="1"/>
  <c r="T33" i="16"/>
  <c r="S33" i="16"/>
  <c r="U33" i="16" s="1"/>
  <c r="Q33" i="16"/>
  <c r="J33" i="16" s="1"/>
  <c r="L33" i="16"/>
  <c r="CO32" i="16"/>
  <c r="CN32" i="16"/>
  <c r="CM32" i="16"/>
  <c r="CK32" i="16"/>
  <c r="CJ32" i="16"/>
  <c r="CH32" i="16"/>
  <c r="CG32" i="16" s="1"/>
  <c r="CD32" i="16"/>
  <c r="CA32" i="16"/>
  <c r="BZ32" i="16" s="1"/>
  <c r="BY32" i="16"/>
  <c r="BX32" i="16" s="1"/>
  <c r="BW32" i="16"/>
  <c r="CC32" i="16" s="1"/>
  <c r="BT32" i="16"/>
  <c r="BS32" i="16" s="1"/>
  <c r="BP32" i="16"/>
  <c r="BO32" i="16"/>
  <c r="BM32" i="16"/>
  <c r="BL32" i="16" s="1"/>
  <c r="BI32" i="16"/>
  <c r="BF32" i="16"/>
  <c r="BE32" i="16" s="1"/>
  <c r="BD32" i="16"/>
  <c r="BC32" i="16" s="1"/>
  <c r="BB32" i="16"/>
  <c r="BH32" i="16" s="1"/>
  <c r="AY32" i="16"/>
  <c r="AX32" i="16"/>
  <c r="AU32" i="16"/>
  <c r="BA32" i="16" s="1"/>
  <c r="AR32" i="16"/>
  <c r="AQ32" i="16" s="1"/>
  <c r="AN32" i="16"/>
  <c r="AT32" i="16" s="1"/>
  <c r="AL32" i="16"/>
  <c r="AG32" i="16"/>
  <c r="AF32" i="16"/>
  <c r="AE32" i="16"/>
  <c r="AD32" i="16"/>
  <c r="AC32" i="16"/>
  <c r="Z32" i="16"/>
  <c r="AB32" i="16" s="1"/>
  <c r="AA32" i="16" s="1"/>
  <c r="X32" i="16"/>
  <c r="V32" i="16" s="1"/>
  <c r="W32" i="16"/>
  <c r="U32" i="16"/>
  <c r="T32" i="16"/>
  <c r="S32" i="16"/>
  <c r="Y32" i="16" s="1"/>
  <c r="Q32" i="16"/>
  <c r="P32" i="16"/>
  <c r="N32" i="16"/>
  <c r="L32" i="16"/>
  <c r="CO31" i="16"/>
  <c r="CN31" i="16" s="1"/>
  <c r="CK31" i="16"/>
  <c r="CQ31" i="16" s="1"/>
  <c r="CH31" i="16"/>
  <c r="CG31" i="16"/>
  <c r="CF31" i="16"/>
  <c r="CD31" i="16"/>
  <c r="CA31" i="16"/>
  <c r="BZ31" i="16" s="1"/>
  <c r="BW31" i="16"/>
  <c r="BT31" i="16"/>
  <c r="BS31" i="16" s="1"/>
  <c r="BP31" i="16"/>
  <c r="BM31" i="16"/>
  <c r="BL31" i="16"/>
  <c r="BI31" i="16"/>
  <c r="BF31" i="16"/>
  <c r="BE31" i="16"/>
  <c r="BB31" i="16"/>
  <c r="BH31" i="16" s="1"/>
  <c r="BA31" i="16"/>
  <c r="AY31" i="16"/>
  <c r="AX31" i="16"/>
  <c r="AU31" i="16"/>
  <c r="AT31" i="16"/>
  <c r="AR31" i="16"/>
  <c r="AQ31" i="16" s="1"/>
  <c r="AN31" i="16"/>
  <c r="AL31" i="16"/>
  <c r="AG31" i="16"/>
  <c r="AI31" i="16" s="1"/>
  <c r="AD31" i="16"/>
  <c r="AC31" i="16"/>
  <c r="Z31" i="16"/>
  <c r="AF31" i="16" s="1"/>
  <c r="X31" i="16"/>
  <c r="S31" i="16"/>
  <c r="U31" i="16" s="1"/>
  <c r="T31" i="16" s="1"/>
  <c r="R31" i="16"/>
  <c r="P31" i="16"/>
  <c r="O31" i="16"/>
  <c r="L31" i="16"/>
  <c r="CO30" i="16"/>
  <c r="CN30" i="16"/>
  <c r="CK30" i="16"/>
  <c r="CJ30" i="16"/>
  <c r="CH30" i="16"/>
  <c r="CG30" i="16"/>
  <c r="CF30" i="16"/>
  <c r="CE30" i="16" s="1"/>
  <c r="CD30" i="16"/>
  <c r="CA30" i="16"/>
  <c r="BZ30" i="16" s="1"/>
  <c r="BY30" i="16"/>
  <c r="BW30" i="16"/>
  <c r="CC30" i="16" s="1"/>
  <c r="BT30" i="16"/>
  <c r="BS30" i="16"/>
  <c r="BP30" i="16"/>
  <c r="BM30" i="16"/>
  <c r="BL30" i="16" s="1"/>
  <c r="BI30" i="16"/>
  <c r="BO30" i="16" s="1"/>
  <c r="BH30" i="16"/>
  <c r="BF30" i="16"/>
  <c r="BE30" i="16" s="1"/>
  <c r="BB30" i="16"/>
  <c r="BD30" i="16" s="1"/>
  <c r="BC30" i="16" s="1"/>
  <c r="AY30" i="16"/>
  <c r="AX30" i="16" s="1"/>
  <c r="AU30" i="16"/>
  <c r="BA30" i="16" s="1"/>
  <c r="AR30" i="16"/>
  <c r="AQ30" i="16"/>
  <c r="AN30" i="16"/>
  <c r="AM30" i="16"/>
  <c r="AK30" i="16"/>
  <c r="AJ30" i="16"/>
  <c r="AG30" i="16"/>
  <c r="AD30" i="16"/>
  <c r="AC30" i="16" s="1"/>
  <c r="Z30" i="16"/>
  <c r="X30" i="16"/>
  <c r="U30" i="16"/>
  <c r="S30" i="16"/>
  <c r="P30" i="16"/>
  <c r="O30" i="16"/>
  <c r="L30" i="16"/>
  <c r="CO29" i="16"/>
  <c r="CN29" i="16"/>
  <c r="CK29" i="16"/>
  <c r="CQ29" i="16" s="1"/>
  <c r="CH29" i="16"/>
  <c r="CG29" i="16" s="1"/>
  <c r="CE29" i="16"/>
  <c r="CD29" i="16"/>
  <c r="CF29" i="16" s="1"/>
  <c r="CC29" i="16"/>
  <c r="CA29" i="16"/>
  <c r="BZ29" i="16"/>
  <c r="BY29" i="16"/>
  <c r="BW29" i="16"/>
  <c r="BT29" i="16"/>
  <c r="BS29" i="16" s="1"/>
  <c r="BP29" i="16"/>
  <c r="BR29" i="16" s="1"/>
  <c r="BM29" i="16"/>
  <c r="BL29" i="16"/>
  <c r="BK29" i="16"/>
  <c r="BJ29" i="16" s="1"/>
  <c r="BI29" i="16"/>
  <c r="BO29" i="16" s="1"/>
  <c r="BF29" i="16"/>
  <c r="BE29" i="16" s="1"/>
  <c r="BB29" i="16"/>
  <c r="BA29" i="16"/>
  <c r="AY29" i="16"/>
  <c r="AX29" i="16"/>
  <c r="AW29" i="16"/>
  <c r="AU29" i="16"/>
  <c r="AR29" i="16"/>
  <c r="AQ29" i="16" s="1"/>
  <c r="AN29" i="16"/>
  <c r="AK29" i="16"/>
  <c r="AJ29" i="16"/>
  <c r="AG29" i="16"/>
  <c r="AM29" i="16" s="1"/>
  <c r="AF29" i="16"/>
  <c r="AD29" i="16"/>
  <c r="AC29" i="16" s="1"/>
  <c r="Z29" i="16"/>
  <c r="AB29" i="16" s="1"/>
  <c r="Y29" i="16"/>
  <c r="W29" i="16"/>
  <c r="V29" i="16"/>
  <c r="S29" i="16"/>
  <c r="P29" i="16"/>
  <c r="O29" i="16" s="1"/>
  <c r="H29" i="16" s="1"/>
  <c r="L29" i="16"/>
  <c r="J29" i="16"/>
  <c r="I29" i="16"/>
  <c r="CQ28" i="16"/>
  <c r="CO28" i="16"/>
  <c r="CN28" i="16"/>
  <c r="CM28" i="16"/>
  <c r="CK28" i="16"/>
  <c r="CL28" i="16" s="1"/>
  <c r="CH28" i="16"/>
  <c r="CG28" i="16"/>
  <c r="CD28" i="16"/>
  <c r="CC28" i="16"/>
  <c r="CA28" i="16"/>
  <c r="BZ28" i="16" s="1"/>
  <c r="BX28" i="16"/>
  <c r="BW28" i="16"/>
  <c r="BY28" i="16" s="1"/>
  <c r="BT28" i="16"/>
  <c r="BS28" i="16" s="1"/>
  <c r="BR28" i="16"/>
  <c r="BP28" i="16"/>
  <c r="BV28" i="16" s="1"/>
  <c r="BO28" i="16"/>
  <c r="BM28" i="16"/>
  <c r="BL28" i="16" s="1"/>
  <c r="BI28" i="16"/>
  <c r="BK28" i="16" s="1"/>
  <c r="BJ28" i="16" s="1"/>
  <c r="BF28" i="16"/>
  <c r="BE28" i="16"/>
  <c r="BB28" i="16"/>
  <c r="AY28" i="16"/>
  <c r="AX28" i="16" s="1"/>
  <c r="AU28" i="16"/>
  <c r="AT28" i="16"/>
  <c r="AR28" i="16"/>
  <c r="AQ28" i="16" s="1"/>
  <c r="AN28" i="16"/>
  <c r="AK28" i="16"/>
  <c r="AJ28" i="16"/>
  <c r="AG28" i="16"/>
  <c r="AM28" i="16" s="1"/>
  <c r="AE28" i="16"/>
  <c r="AD28" i="16"/>
  <c r="AC28" i="16"/>
  <c r="Z28" i="16"/>
  <c r="AF28" i="16" s="1"/>
  <c r="X28" i="16"/>
  <c r="W28" i="16"/>
  <c r="V28" i="16"/>
  <c r="S28" i="16"/>
  <c r="Q28" i="16"/>
  <c r="L28" i="16"/>
  <c r="CQ27" i="16"/>
  <c r="CO27" i="16"/>
  <c r="CN27" i="16"/>
  <c r="CM27" i="16"/>
  <c r="CL27" i="16"/>
  <c r="CK27" i="16"/>
  <c r="CH27" i="16"/>
  <c r="CG27" i="16"/>
  <c r="CD27" i="16"/>
  <c r="CC27" i="16"/>
  <c r="CA27" i="16"/>
  <c r="BZ27" i="16"/>
  <c r="BY27" i="16"/>
  <c r="BX27" i="16" s="1"/>
  <c r="BW27" i="16"/>
  <c r="BT27" i="16"/>
  <c r="BS27" i="16" s="1"/>
  <c r="BP27" i="16"/>
  <c r="BM27" i="16"/>
  <c r="BL27" i="16"/>
  <c r="BI27" i="16"/>
  <c r="BH27" i="16"/>
  <c r="BF27" i="16"/>
  <c r="BE27" i="16" s="1"/>
  <c r="BB27" i="16"/>
  <c r="AY27" i="16"/>
  <c r="AX27" i="16" s="1"/>
  <c r="AU27" i="16"/>
  <c r="AR27" i="16"/>
  <c r="AQ27" i="16" s="1"/>
  <c r="AN27" i="16"/>
  <c r="AT27" i="16" s="1"/>
  <c r="AK27" i="16"/>
  <c r="AJ27" i="16"/>
  <c r="AI27" i="16"/>
  <c r="AG27" i="16"/>
  <c r="AF27" i="16"/>
  <c r="AD27" i="16"/>
  <c r="AC27" i="16"/>
  <c r="Z27" i="16"/>
  <c r="X27" i="16"/>
  <c r="J27" i="16" s="1"/>
  <c r="U27" i="16"/>
  <c r="S27" i="16"/>
  <c r="Y27" i="16" s="1"/>
  <c r="R27" i="16"/>
  <c r="P27" i="16"/>
  <c r="O27" i="16"/>
  <c r="L27" i="16"/>
  <c r="N27" i="16" s="1"/>
  <c r="CO26" i="16"/>
  <c r="CN26" i="16"/>
  <c r="CK26" i="16"/>
  <c r="CQ26" i="16" s="1"/>
  <c r="CH26" i="16"/>
  <c r="CG26" i="16"/>
  <c r="CD26" i="16"/>
  <c r="CJ26" i="16" s="1"/>
  <c r="CA26" i="16"/>
  <c r="BZ26" i="16" s="1"/>
  <c r="BW26" i="16"/>
  <c r="BY26" i="16" s="1"/>
  <c r="BT26" i="16"/>
  <c r="BS26" i="16"/>
  <c r="BR26" i="16"/>
  <c r="BP26" i="16"/>
  <c r="BV26" i="16" s="1"/>
  <c r="BM26" i="16"/>
  <c r="BL26" i="16"/>
  <c r="BK26" i="16"/>
  <c r="BI26" i="16"/>
  <c r="BF26" i="16"/>
  <c r="BE26" i="16"/>
  <c r="BD26" i="16"/>
  <c r="BB26" i="16"/>
  <c r="BH26" i="16" s="1"/>
  <c r="AY26" i="16"/>
  <c r="AX26" i="16" s="1"/>
  <c r="AU26" i="16"/>
  <c r="AW26" i="16" s="1"/>
  <c r="AR26" i="16"/>
  <c r="AQ26" i="16" s="1"/>
  <c r="AN26" i="16"/>
  <c r="AT26" i="16" s="1"/>
  <c r="AK26" i="16"/>
  <c r="AJ26" i="16"/>
  <c r="AG26" i="16"/>
  <c r="AM26" i="16" s="1"/>
  <c r="AE26" i="16"/>
  <c r="AD26" i="16"/>
  <c r="AC26" i="16" s="1"/>
  <c r="Z26" i="16"/>
  <c r="AF26" i="16" s="1"/>
  <c r="Y26" i="16"/>
  <c r="X26" i="16"/>
  <c r="W26" i="16"/>
  <c r="V26" i="16"/>
  <c r="S26" i="16"/>
  <c r="U26" i="16" s="1"/>
  <c r="Q26" i="16"/>
  <c r="N26" i="16"/>
  <c r="L26" i="16"/>
  <c r="E26" i="16"/>
  <c r="CO25" i="16"/>
  <c r="CN25" i="16"/>
  <c r="CK25" i="16"/>
  <c r="CQ25" i="16" s="1"/>
  <c r="CH25" i="16"/>
  <c r="CG25" i="16" s="1"/>
  <c r="CD25" i="16"/>
  <c r="CJ25" i="16" s="1"/>
  <c r="CC25" i="16"/>
  <c r="CA25" i="16"/>
  <c r="BZ25" i="16"/>
  <c r="BW25" i="16"/>
  <c r="BY25" i="16" s="1"/>
  <c r="BT25" i="16"/>
  <c r="BS25" i="16"/>
  <c r="BP25" i="16"/>
  <c r="BM25" i="16"/>
  <c r="BL25" i="16"/>
  <c r="BI25" i="16"/>
  <c r="BK25" i="16" s="1"/>
  <c r="BF25" i="16"/>
  <c r="BE25" i="16" s="1"/>
  <c r="BB25" i="16"/>
  <c r="BA25" i="16"/>
  <c r="AY25" i="16"/>
  <c r="AX25" i="16"/>
  <c r="AW25" i="16"/>
  <c r="AV25" i="16" s="1"/>
  <c r="AU25" i="16"/>
  <c r="AR25" i="16"/>
  <c r="AQ25" i="16"/>
  <c r="AN25" i="16"/>
  <c r="AM25" i="16"/>
  <c r="AK25" i="16"/>
  <c r="AJ25" i="16"/>
  <c r="AI25" i="16"/>
  <c r="AH25" i="16" s="1"/>
  <c r="AG25" i="16"/>
  <c r="AD25" i="16"/>
  <c r="AC25" i="16"/>
  <c r="Z25" i="16"/>
  <c r="Y25" i="16"/>
  <c r="X25" i="16"/>
  <c r="V25" i="16" s="1"/>
  <c r="W25" i="16"/>
  <c r="U25" i="16"/>
  <c r="S25" i="16"/>
  <c r="Q25" i="16"/>
  <c r="J25" i="16" s="1"/>
  <c r="P25" i="16"/>
  <c r="L25" i="16"/>
  <c r="R25" i="16" s="1"/>
  <c r="CO24" i="16"/>
  <c r="CN24" i="16"/>
  <c r="CM24" i="16"/>
  <c r="CK24" i="16"/>
  <c r="CH24" i="16"/>
  <c r="CG24" i="16" s="1"/>
  <c r="CD24" i="16"/>
  <c r="CA24" i="16"/>
  <c r="BZ24" i="16"/>
  <c r="BY24" i="16"/>
  <c r="BX24" i="16" s="1"/>
  <c r="BW24" i="16"/>
  <c r="CC24" i="16" s="1"/>
  <c r="BT24" i="16"/>
  <c r="BS24" i="16" s="1"/>
  <c r="BP24" i="16"/>
  <c r="BM24" i="16"/>
  <c r="BL24" i="16" s="1"/>
  <c r="BI24" i="16"/>
  <c r="BF24" i="16"/>
  <c r="BE24" i="16"/>
  <c r="BD24" i="16"/>
  <c r="BC24" i="16" s="1"/>
  <c r="BB24" i="16"/>
  <c r="BH24" i="16" s="1"/>
  <c r="AY24" i="16"/>
  <c r="AX24" i="16"/>
  <c r="AU24" i="16"/>
  <c r="BA24" i="16" s="1"/>
  <c r="AR24" i="16"/>
  <c r="AQ24" i="16" s="1"/>
  <c r="AN24" i="16"/>
  <c r="AT24" i="16" s="1"/>
  <c r="AM24" i="16"/>
  <c r="AK24" i="16"/>
  <c r="AJ24" i="16"/>
  <c r="AG24" i="16"/>
  <c r="AI24" i="16" s="1"/>
  <c r="AH24" i="16" s="1"/>
  <c r="AD24" i="16"/>
  <c r="AC24" i="16"/>
  <c r="Z24" i="16"/>
  <c r="X24" i="16"/>
  <c r="W24" i="16"/>
  <c r="V24" i="16"/>
  <c r="S24" i="16"/>
  <c r="Y24" i="16" s="1"/>
  <c r="R24" i="16"/>
  <c r="Q24" i="16"/>
  <c r="N24" i="16"/>
  <c r="L24" i="16"/>
  <c r="J24" i="16"/>
  <c r="CO23" i="16"/>
  <c r="CN23" i="16"/>
  <c r="CK23" i="16"/>
  <c r="CM23" i="16" s="1"/>
  <c r="CH23" i="16"/>
  <c r="CG23" i="16"/>
  <c r="CD23" i="16"/>
  <c r="CA23" i="16"/>
  <c r="BZ23" i="16" s="1"/>
  <c r="BY23" i="16"/>
  <c r="BX23" i="16" s="1"/>
  <c r="BW23" i="16"/>
  <c r="CC23" i="16" s="1"/>
  <c r="BT23" i="16"/>
  <c r="BS23" i="16"/>
  <c r="BP23" i="16"/>
  <c r="BV23" i="16" s="1"/>
  <c r="BM23" i="16"/>
  <c r="BL23" i="16"/>
  <c r="BJ23" i="16"/>
  <c r="BI23" i="16"/>
  <c r="BK23" i="16" s="1"/>
  <c r="BH23" i="16"/>
  <c r="BF23" i="16"/>
  <c r="BE23" i="16"/>
  <c r="BB23" i="16"/>
  <c r="AY23" i="16"/>
  <c r="AX23" i="16"/>
  <c r="AU23" i="16"/>
  <c r="AR23" i="16"/>
  <c r="AQ23" i="16" s="1"/>
  <c r="AN23" i="16"/>
  <c r="AK23" i="16"/>
  <c r="AJ23" i="16"/>
  <c r="AG23" i="16"/>
  <c r="AD23" i="16"/>
  <c r="AC23" i="16" s="1"/>
  <c r="Z23" i="16"/>
  <c r="W23" i="16"/>
  <c r="V23" i="16" s="1"/>
  <c r="S23" i="16"/>
  <c r="Y23" i="16" s="1"/>
  <c r="P23" i="16"/>
  <c r="O23" i="16"/>
  <c r="N23" i="16"/>
  <c r="L23" i="16"/>
  <c r="J23" i="16"/>
  <c r="H23" i="16"/>
  <c r="CO22" i="16"/>
  <c r="CN22" i="16"/>
  <c r="CK22" i="16"/>
  <c r="CM22" i="16" s="1"/>
  <c r="CH22" i="16"/>
  <c r="CG22" i="16"/>
  <c r="CD22" i="16"/>
  <c r="CA22" i="16"/>
  <c r="BZ22" i="16" s="1"/>
  <c r="BW22" i="16"/>
  <c r="BV22" i="16"/>
  <c r="BT22" i="16"/>
  <c r="BS22" i="16"/>
  <c r="BR22" i="16"/>
  <c r="BQ22" i="16" s="1"/>
  <c r="BP22" i="16"/>
  <c r="BM22" i="16"/>
  <c r="BL22" i="16"/>
  <c r="BI22" i="16"/>
  <c r="BF22" i="16"/>
  <c r="BE22" i="16"/>
  <c r="BB22" i="16"/>
  <c r="AY22" i="16"/>
  <c r="AX22" i="16"/>
  <c r="AU22" i="16"/>
  <c r="AR22" i="16"/>
  <c r="AQ22" i="16"/>
  <c r="AN22" i="16"/>
  <c r="AP22" i="16" s="1"/>
  <c r="AO22" i="16" s="1"/>
  <c r="AK22" i="16"/>
  <c r="AJ22" i="16" s="1"/>
  <c r="AG22" i="16"/>
  <c r="AE22" i="16"/>
  <c r="AD22" i="16"/>
  <c r="AC22" i="16"/>
  <c r="Z22" i="16"/>
  <c r="AB22" i="16" s="1"/>
  <c r="AA22" i="16" s="1"/>
  <c r="X22" i="16"/>
  <c r="S22" i="16"/>
  <c r="Y22" i="16" s="1"/>
  <c r="Q22" i="16"/>
  <c r="L22" i="16"/>
  <c r="CO21" i="16"/>
  <c r="CN21" i="16" s="1"/>
  <c r="CK21" i="16"/>
  <c r="CJ21" i="16"/>
  <c r="CH21" i="16"/>
  <c r="CG21" i="16"/>
  <c r="CF21" i="16"/>
  <c r="CD21" i="16"/>
  <c r="CA21" i="16"/>
  <c r="BZ21" i="16" s="1"/>
  <c r="BW21" i="16"/>
  <c r="BY21" i="16" s="1"/>
  <c r="BT21" i="16"/>
  <c r="BS21" i="16"/>
  <c r="BP21" i="16"/>
  <c r="BV21" i="16" s="1"/>
  <c r="BO21" i="16"/>
  <c r="BM21" i="16"/>
  <c r="BL21" i="16" s="1"/>
  <c r="BI21" i="16"/>
  <c r="BK21" i="16" s="1"/>
  <c r="BH21" i="16"/>
  <c r="BF21" i="16"/>
  <c r="BE21" i="16"/>
  <c r="BB21" i="16"/>
  <c r="AY21" i="16"/>
  <c r="AX21" i="16" s="1"/>
  <c r="AU21" i="16"/>
  <c r="BA21" i="16" s="1"/>
  <c r="AR21" i="16"/>
  <c r="AQ21" i="16"/>
  <c r="AP21" i="16"/>
  <c r="AO21" i="16" s="1"/>
  <c r="AN21" i="16"/>
  <c r="AT21" i="16" s="1"/>
  <c r="AK21" i="16"/>
  <c r="AJ21" i="16" s="1"/>
  <c r="AG21" i="16"/>
  <c r="AI21" i="16" s="1"/>
  <c r="AF21" i="16"/>
  <c r="AD21" i="16"/>
  <c r="AC21" i="16" s="1"/>
  <c r="AB21" i="16"/>
  <c r="Z21" i="16"/>
  <c r="W21" i="16"/>
  <c r="V21" i="16" s="1"/>
  <c r="H21" i="16" s="1"/>
  <c r="U21" i="16"/>
  <c r="S21" i="16"/>
  <c r="Y21" i="16" s="1"/>
  <c r="Q21" i="16"/>
  <c r="J21" i="16" s="1"/>
  <c r="P21" i="16"/>
  <c r="O21" i="16"/>
  <c r="N21" i="16"/>
  <c r="G21" i="16" s="1"/>
  <c r="L21" i="16"/>
  <c r="CO20" i="16"/>
  <c r="CN20" i="16" s="1"/>
  <c r="CK20" i="16"/>
  <c r="CQ20" i="16" s="1"/>
  <c r="CH20" i="16"/>
  <c r="CG20" i="16"/>
  <c r="CD20" i="16"/>
  <c r="CJ20" i="16" s="1"/>
  <c r="CA20" i="16"/>
  <c r="BZ20" i="16"/>
  <c r="BX20" i="16"/>
  <c r="BW20" i="16"/>
  <c r="BY20" i="16" s="1"/>
  <c r="BT20" i="16"/>
  <c r="BS20" i="16"/>
  <c r="BP20" i="16"/>
  <c r="BO20" i="16"/>
  <c r="BM20" i="16"/>
  <c r="BL20" i="16"/>
  <c r="BK20" i="16"/>
  <c r="BJ20" i="16" s="1"/>
  <c r="BI20" i="16"/>
  <c r="BF20" i="16"/>
  <c r="BE20" i="16"/>
  <c r="BB20" i="16"/>
  <c r="BA20" i="16"/>
  <c r="AY20" i="16"/>
  <c r="AX20" i="16" s="1"/>
  <c r="AU20" i="16"/>
  <c r="AR20" i="16"/>
  <c r="AQ20" i="16" s="1"/>
  <c r="AP20" i="16"/>
  <c r="AO20" i="16" s="1"/>
  <c r="AN20" i="16"/>
  <c r="AT20" i="16" s="1"/>
  <c r="AK20" i="16"/>
  <c r="AJ20" i="16" s="1"/>
  <c r="AG20" i="16"/>
  <c r="AM20" i="16" s="1"/>
  <c r="AD20" i="16"/>
  <c r="AC20" i="16"/>
  <c r="Z20" i="16"/>
  <c r="AB20" i="16" s="1"/>
  <c r="W20" i="16"/>
  <c r="V20" i="16" s="1"/>
  <c r="S20" i="16"/>
  <c r="R20" i="16"/>
  <c r="Q20" i="16"/>
  <c r="J20" i="16" s="1"/>
  <c r="P20" i="16"/>
  <c r="O20" i="16"/>
  <c r="N20" i="16"/>
  <c r="L20" i="16"/>
  <c r="CO19" i="16"/>
  <c r="CN19" i="16" s="1"/>
  <c r="CK19" i="16"/>
  <c r="CM19" i="16" s="1"/>
  <c r="CJ19" i="16"/>
  <c r="CH19" i="16"/>
  <c r="CG19" i="16" s="1"/>
  <c r="CD19" i="16"/>
  <c r="CF19" i="16" s="1"/>
  <c r="CE19" i="16" s="1"/>
  <c r="CA19" i="16"/>
  <c r="BZ19" i="16" s="1"/>
  <c r="BW19" i="16"/>
  <c r="BT19" i="16"/>
  <c r="BS19" i="16" s="1"/>
  <c r="BP19" i="16"/>
  <c r="BM19" i="16"/>
  <c r="BL19" i="16" s="1"/>
  <c r="BI19" i="16"/>
  <c r="BF19" i="16"/>
  <c r="BE19" i="16" s="1"/>
  <c r="BB19" i="16"/>
  <c r="AY19" i="16"/>
  <c r="AX19" i="16"/>
  <c r="AU19" i="16"/>
  <c r="AR19" i="16"/>
  <c r="AQ19" i="16" s="1"/>
  <c r="AN19" i="16"/>
  <c r="AM19" i="16"/>
  <c r="AK19" i="16"/>
  <c r="AJ19" i="16"/>
  <c r="AI19" i="16"/>
  <c r="AG19" i="16"/>
  <c r="AD19" i="16"/>
  <c r="AC19" i="16"/>
  <c r="Z19" i="16"/>
  <c r="W19" i="16"/>
  <c r="V19" i="16" s="1"/>
  <c r="S19" i="16"/>
  <c r="R19" i="16"/>
  <c r="P19" i="16"/>
  <c r="O19" i="16" s="1"/>
  <c r="N19" i="16"/>
  <c r="M19" i="16" s="1"/>
  <c r="L19" i="16"/>
  <c r="J19" i="16"/>
  <c r="CO18" i="16"/>
  <c r="CN18" i="16" s="1"/>
  <c r="CK18" i="16"/>
  <c r="CH18" i="16"/>
  <c r="CG18" i="16" s="1"/>
  <c r="CD18" i="16"/>
  <c r="CC18" i="16"/>
  <c r="CA18" i="16"/>
  <c r="BZ18" i="16" s="1"/>
  <c r="H18" i="16" s="1"/>
  <c r="BW18" i="16"/>
  <c r="BY18" i="16" s="1"/>
  <c r="BX18" i="16" s="1"/>
  <c r="BT18" i="16"/>
  <c r="BS18" i="16"/>
  <c r="BP18" i="16"/>
  <c r="BO18" i="16"/>
  <c r="BM18" i="16"/>
  <c r="BL18" i="16" s="1"/>
  <c r="BI18" i="16"/>
  <c r="BF18" i="16"/>
  <c r="BE18" i="16"/>
  <c r="BB18" i="16"/>
  <c r="BH18" i="16" s="1"/>
  <c r="AY18" i="16"/>
  <c r="AX18" i="16"/>
  <c r="AU18" i="16"/>
  <c r="AR18" i="16"/>
  <c r="AQ18" i="16" s="1"/>
  <c r="AN18" i="16"/>
  <c r="AK18" i="16"/>
  <c r="AJ18" i="16" s="1"/>
  <c r="AG18" i="16"/>
  <c r="AM18" i="16" s="1"/>
  <c r="AD18" i="16"/>
  <c r="AC18" i="16"/>
  <c r="Z18" i="16"/>
  <c r="W18" i="16"/>
  <c r="V18" i="16" s="1"/>
  <c r="S18" i="16"/>
  <c r="P18" i="16"/>
  <c r="O18" i="16"/>
  <c r="L18" i="16"/>
  <c r="R18" i="16" s="1"/>
  <c r="J18" i="16"/>
  <c r="CO17" i="16"/>
  <c r="CN17" i="16"/>
  <c r="CK17" i="16"/>
  <c r="CQ17" i="16" s="1"/>
  <c r="CH17" i="16"/>
  <c r="CG17" i="16" s="1"/>
  <c r="CD17" i="16"/>
  <c r="CJ17" i="16" s="1"/>
  <c r="CC17" i="16"/>
  <c r="CA17" i="16"/>
  <c r="BZ17" i="16" s="1"/>
  <c r="BW17" i="16"/>
  <c r="BY17" i="16" s="1"/>
  <c r="BT17" i="16"/>
  <c r="BS17" i="16"/>
  <c r="BP17" i="16"/>
  <c r="BV17" i="16" s="1"/>
  <c r="BM17" i="16"/>
  <c r="BL17" i="16" s="1"/>
  <c r="BI17" i="16"/>
  <c r="BF17" i="16"/>
  <c r="BE17" i="16" s="1"/>
  <c r="BB17" i="16"/>
  <c r="AY17" i="16"/>
  <c r="AX17" i="16"/>
  <c r="AW17" i="16"/>
  <c r="AU17" i="16"/>
  <c r="AR17" i="16"/>
  <c r="AQ17" i="16" s="1"/>
  <c r="AN17" i="16"/>
  <c r="AT17" i="16" s="1"/>
  <c r="AK17" i="16"/>
  <c r="AJ17" i="16"/>
  <c r="AI17" i="16"/>
  <c r="AH17" i="16" s="1"/>
  <c r="AG17" i="16"/>
  <c r="AM17" i="16" s="1"/>
  <c r="AD17" i="16"/>
  <c r="AC17" i="16" s="1"/>
  <c r="Z17" i="16"/>
  <c r="AB17" i="16" s="1"/>
  <c r="Y17" i="16"/>
  <c r="W17" i="16"/>
  <c r="V17" i="16" s="1"/>
  <c r="S17" i="16"/>
  <c r="R17" i="16"/>
  <c r="Q17" i="16"/>
  <c r="O17" i="16" s="1"/>
  <c r="H17" i="16" s="1"/>
  <c r="P17" i="16"/>
  <c r="I17" i="16" s="1"/>
  <c r="L17" i="16"/>
  <c r="J17" i="16"/>
  <c r="E17" i="16"/>
  <c r="CQ16" i="16"/>
  <c r="CO16" i="16"/>
  <c r="CN16" i="16"/>
  <c r="CK16" i="16"/>
  <c r="CM16" i="16" s="1"/>
  <c r="CL16" i="16" s="1"/>
  <c r="CH16" i="16"/>
  <c r="CG16" i="16"/>
  <c r="CD16" i="16"/>
  <c r="CJ16" i="16" s="1"/>
  <c r="CC16" i="16"/>
  <c r="CA16" i="16"/>
  <c r="BZ16" i="16"/>
  <c r="BW16" i="16"/>
  <c r="BY16" i="16" s="1"/>
  <c r="BT16" i="16"/>
  <c r="BS16" i="16"/>
  <c r="BP16" i="16"/>
  <c r="BR16" i="16" s="1"/>
  <c r="BM16" i="16"/>
  <c r="BL16" i="16"/>
  <c r="BK16" i="16"/>
  <c r="BJ16" i="16" s="1"/>
  <c r="BI16" i="16"/>
  <c r="BO16" i="16" s="1"/>
  <c r="BF16" i="16"/>
  <c r="BE16" i="16"/>
  <c r="BB16" i="16"/>
  <c r="BD16" i="16" s="1"/>
  <c r="AY16" i="16"/>
  <c r="AX16" i="16"/>
  <c r="AU16" i="16"/>
  <c r="AR16" i="16"/>
  <c r="AQ16" i="16"/>
  <c r="AN16" i="16"/>
  <c r="AP16" i="16" s="1"/>
  <c r="AL16" i="16"/>
  <c r="AK16" i="16"/>
  <c r="AJ16" i="16" s="1"/>
  <c r="AI16" i="16"/>
  <c r="AG16" i="16"/>
  <c r="AE16" i="16"/>
  <c r="Z16" i="16"/>
  <c r="AB16" i="16" s="1"/>
  <c r="X16" i="16"/>
  <c r="S16" i="16"/>
  <c r="U16" i="16" s="1"/>
  <c r="Q16" i="16"/>
  <c r="J16" i="16" s="1"/>
  <c r="P16" i="16"/>
  <c r="O16" i="16" s="1"/>
  <c r="N16" i="16"/>
  <c r="L16" i="16"/>
  <c r="CO15" i="16"/>
  <c r="CN15" i="16"/>
  <c r="CK15" i="16"/>
  <c r="CH15" i="16"/>
  <c r="CG15" i="16" s="1"/>
  <c r="CD15" i="16"/>
  <c r="CF15" i="16" s="1"/>
  <c r="CA15" i="16"/>
  <c r="BZ15" i="16"/>
  <c r="BW15" i="16"/>
  <c r="CC15" i="16" s="1"/>
  <c r="BT15" i="16"/>
  <c r="BS15" i="16" s="1"/>
  <c r="BP15" i="16"/>
  <c r="BR15" i="16" s="1"/>
  <c r="BO15" i="16"/>
  <c r="BM15" i="16"/>
  <c r="BL15" i="16" s="1"/>
  <c r="BI15" i="16"/>
  <c r="BK15" i="16" s="1"/>
  <c r="BF15" i="16"/>
  <c r="BE15" i="16" s="1"/>
  <c r="BD15" i="16"/>
  <c r="BB15" i="16"/>
  <c r="BH15" i="16" s="1"/>
  <c r="AY15" i="16"/>
  <c r="AX15" i="16"/>
  <c r="AU15" i="16"/>
  <c r="BA15" i="16" s="1"/>
  <c r="AR15" i="16"/>
  <c r="AQ15" i="16" s="1"/>
  <c r="AN15" i="16"/>
  <c r="AL15" i="16"/>
  <c r="AK15" i="16"/>
  <c r="AJ15" i="16" s="1"/>
  <c r="AG15" i="16"/>
  <c r="AE15" i="16"/>
  <c r="AC15" i="16" s="1"/>
  <c r="AD15" i="16"/>
  <c r="Z15" i="16"/>
  <c r="X15" i="16"/>
  <c r="Y15" i="16" s="1"/>
  <c r="S15" i="16"/>
  <c r="U15" i="16" s="1"/>
  <c r="T15" i="16" s="1"/>
  <c r="Q15" i="16"/>
  <c r="J15" i="16" s="1"/>
  <c r="L15" i="16"/>
  <c r="CO14" i="16"/>
  <c r="CN14" i="16" s="1"/>
  <c r="CK14" i="16"/>
  <c r="CH14" i="16"/>
  <c r="CG14" i="16"/>
  <c r="CF14" i="16"/>
  <c r="CE14" i="16" s="1"/>
  <c r="CD14" i="16"/>
  <c r="CJ14" i="16" s="1"/>
  <c r="CA14" i="16"/>
  <c r="BZ14" i="16" s="1"/>
  <c r="BW14" i="16"/>
  <c r="BY14" i="16" s="1"/>
  <c r="BV14" i="16"/>
  <c r="BT14" i="16"/>
  <c r="BS14" i="16" s="1"/>
  <c r="BP14" i="16"/>
  <c r="BO14" i="16"/>
  <c r="BM14" i="16"/>
  <c r="BL14" i="16"/>
  <c r="BI14" i="16"/>
  <c r="BK14" i="16" s="1"/>
  <c r="BF14" i="16"/>
  <c r="BE14" i="16"/>
  <c r="BB14" i="16"/>
  <c r="BH14" i="16" s="1"/>
  <c r="BA14" i="16"/>
  <c r="AY14" i="16"/>
  <c r="AX14" i="16" s="1"/>
  <c r="AU14" i="16"/>
  <c r="AW14" i="16" s="1"/>
  <c r="AT14" i="16"/>
  <c r="AR14" i="16"/>
  <c r="AQ14" i="16" s="1"/>
  <c r="AN14" i="16"/>
  <c r="AP14" i="16" s="1"/>
  <c r="AM14" i="16"/>
  <c r="AL14" i="16"/>
  <c r="AK14" i="16" s="1"/>
  <c r="AG14" i="16"/>
  <c r="AI14" i="16" s="1"/>
  <c r="AH14" i="16" s="1"/>
  <c r="AE14" i="16"/>
  <c r="J14" i="16" s="1"/>
  <c r="AD14" i="16"/>
  <c r="Z14" i="16"/>
  <c r="AF14" i="16" s="1"/>
  <c r="X14" i="16"/>
  <c r="W14" i="16"/>
  <c r="V14" i="16" s="1"/>
  <c r="U14" i="16"/>
  <c r="T14" i="16" s="1"/>
  <c r="S14" i="16"/>
  <c r="Y14" i="16" s="1"/>
  <c r="Q14" i="16"/>
  <c r="P14" i="16"/>
  <c r="O14" i="16"/>
  <c r="L14" i="16"/>
  <c r="R14" i="16" s="1"/>
  <c r="CO13" i="16"/>
  <c r="CN13" i="16"/>
  <c r="CM13" i="16"/>
  <c r="CK13" i="16"/>
  <c r="CQ13" i="16" s="1"/>
  <c r="CH13" i="16"/>
  <c r="CG13" i="16" s="1"/>
  <c r="CE13" i="16"/>
  <c r="CD13" i="16"/>
  <c r="CF13" i="16" s="1"/>
  <c r="CC13" i="16"/>
  <c r="CA13" i="16"/>
  <c r="BZ13" i="16" s="1"/>
  <c r="BW13" i="16"/>
  <c r="BY13" i="16" s="1"/>
  <c r="BT13" i="16"/>
  <c r="BS13" i="16" s="1"/>
  <c r="BP13" i="16"/>
  <c r="BM13" i="16"/>
  <c r="BL13" i="16"/>
  <c r="BK13" i="16"/>
  <c r="BJ13" i="16" s="1"/>
  <c r="BI13" i="16"/>
  <c r="BO13" i="16" s="1"/>
  <c r="BF13" i="16"/>
  <c r="BE13" i="16" s="1"/>
  <c r="BB13" i="16"/>
  <c r="BD13" i="16" s="1"/>
  <c r="BA13" i="16"/>
  <c r="AY13" i="16"/>
  <c r="AX13" i="16" s="1"/>
  <c r="AU13" i="16"/>
  <c r="AR13" i="16"/>
  <c r="AQ13" i="16"/>
  <c r="AN13" i="16"/>
  <c r="AK13" i="16"/>
  <c r="AJ13" i="16"/>
  <c r="AI13" i="16"/>
  <c r="AG13" i="16"/>
  <c r="AM13" i="16" s="1"/>
  <c r="AD13" i="16"/>
  <c r="AC13" i="16" s="1"/>
  <c r="Z13" i="16"/>
  <c r="Y13" i="16"/>
  <c r="W13" i="16"/>
  <c r="V13" i="16" s="1"/>
  <c r="U13" i="16"/>
  <c r="S13" i="16"/>
  <c r="P13" i="16"/>
  <c r="O13" i="16" s="1"/>
  <c r="L13" i="16"/>
  <c r="R13" i="16" s="1"/>
  <c r="J13" i="16"/>
  <c r="CQ12" i="16"/>
  <c r="CO12" i="16"/>
  <c r="CN12" i="16" s="1"/>
  <c r="CM12" i="16"/>
  <c r="CL12" i="16" s="1"/>
  <c r="CK12" i="16"/>
  <c r="CH12" i="16"/>
  <c r="CG12" i="16"/>
  <c r="CD12" i="16"/>
  <c r="CJ12" i="16" s="1"/>
  <c r="CC12" i="16"/>
  <c r="CA12" i="16"/>
  <c r="BZ12" i="16" s="1"/>
  <c r="BW12" i="16"/>
  <c r="BY12" i="16" s="1"/>
  <c r="BV12" i="16"/>
  <c r="BT12" i="16"/>
  <c r="BS12" i="16"/>
  <c r="BP12" i="16"/>
  <c r="BR12" i="16" s="1"/>
  <c r="BM12" i="16"/>
  <c r="BL12" i="16"/>
  <c r="BI12" i="16"/>
  <c r="BF12" i="16"/>
  <c r="BE12" i="16"/>
  <c r="BB12" i="16"/>
  <c r="BH12" i="16" s="1"/>
  <c r="BA12" i="16"/>
  <c r="AY12" i="16"/>
  <c r="AX12" i="16" s="1"/>
  <c r="AU12" i="16"/>
  <c r="AW12" i="16" s="1"/>
  <c r="AT12" i="16"/>
  <c r="AR12" i="16"/>
  <c r="AQ12" i="16" s="1"/>
  <c r="AN12" i="16"/>
  <c r="AK12" i="16"/>
  <c r="AJ12" i="16" s="1"/>
  <c r="AG12" i="16"/>
  <c r="AI12" i="16" s="1"/>
  <c r="AH12" i="16" s="1"/>
  <c r="AE12" i="16"/>
  <c r="AD12" i="16"/>
  <c r="AC12" i="16" s="1"/>
  <c r="Z12" i="16"/>
  <c r="AF12" i="16" s="1"/>
  <c r="X12" i="16"/>
  <c r="W12" i="16"/>
  <c r="V12" i="16"/>
  <c r="S12" i="16"/>
  <c r="R12" i="16"/>
  <c r="P12" i="16"/>
  <c r="O12" i="16" s="1"/>
  <c r="L12" i="16"/>
  <c r="N12" i="16" s="1"/>
  <c r="J12" i="16"/>
  <c r="E12" i="16"/>
  <c r="K12" i="16" s="1"/>
  <c r="CQ11" i="16"/>
  <c r="CO11" i="16"/>
  <c r="CN11" i="16" s="1"/>
  <c r="CL11" i="16"/>
  <c r="CK11" i="16"/>
  <c r="CM11" i="16" s="1"/>
  <c r="CH11" i="16"/>
  <c r="CG11" i="16" s="1"/>
  <c r="CD11" i="16"/>
  <c r="CC11" i="16"/>
  <c r="CA11" i="16"/>
  <c r="BZ11" i="16" s="1"/>
  <c r="BY11" i="16"/>
  <c r="BX11" i="16" s="1"/>
  <c r="BW11" i="16"/>
  <c r="BT11" i="16"/>
  <c r="BS11" i="16"/>
  <c r="BP11" i="16"/>
  <c r="BV11" i="16" s="1"/>
  <c r="BO11" i="16"/>
  <c r="BM11" i="16"/>
  <c r="BL11" i="16" s="1"/>
  <c r="BI11" i="16"/>
  <c r="BK11" i="16" s="1"/>
  <c r="BF11" i="16"/>
  <c r="BE11" i="16"/>
  <c r="BB11" i="16"/>
  <c r="AY11" i="16"/>
  <c r="AX11" i="16"/>
  <c r="AW11" i="16"/>
  <c r="AU11" i="16"/>
  <c r="AR11" i="16"/>
  <c r="AQ11" i="16"/>
  <c r="AN11" i="16"/>
  <c r="AM11" i="16"/>
  <c r="AK11" i="16"/>
  <c r="AJ11" i="16" s="1"/>
  <c r="AH11" i="16"/>
  <c r="AG11" i="16"/>
  <c r="AI11" i="16" s="1"/>
  <c r="AD11" i="16"/>
  <c r="AC11" i="16" s="1"/>
  <c r="Z11" i="16"/>
  <c r="Y11" i="16"/>
  <c r="W11" i="16"/>
  <c r="V11" i="16" s="1"/>
  <c r="U11" i="16"/>
  <c r="T11" i="16" s="1"/>
  <c r="S11" i="16"/>
  <c r="P11" i="16"/>
  <c r="O11" i="16"/>
  <c r="L11" i="16"/>
  <c r="R11" i="16" s="1"/>
  <c r="J11" i="16"/>
  <c r="E11" i="16"/>
  <c r="K11" i="16" s="1"/>
  <c r="CO10" i="16"/>
  <c r="CN10" i="16"/>
  <c r="CK10" i="16"/>
  <c r="CQ10" i="16" s="1"/>
  <c r="CH10" i="16"/>
  <c r="CG10" i="16" s="1"/>
  <c r="CD10" i="16"/>
  <c r="CF10" i="16" s="1"/>
  <c r="CC10" i="16"/>
  <c r="CA10" i="16"/>
  <c r="BZ10" i="16"/>
  <c r="BY10" i="16"/>
  <c r="BW10" i="16"/>
  <c r="BT10" i="16"/>
  <c r="BS10" i="16" s="1"/>
  <c r="BP10" i="16"/>
  <c r="BM10" i="16"/>
  <c r="BL10" i="16"/>
  <c r="BK10" i="16"/>
  <c r="BI10" i="16"/>
  <c r="BO10" i="16" s="1"/>
  <c r="BF10" i="16"/>
  <c r="BE10" i="16" s="1"/>
  <c r="BB10" i="16"/>
  <c r="BD10" i="16" s="1"/>
  <c r="AY10" i="16"/>
  <c r="AX10" i="16" s="1"/>
  <c r="AW10" i="16"/>
  <c r="AU10" i="16"/>
  <c r="BA10" i="16" s="1"/>
  <c r="AR10" i="16"/>
  <c r="AQ10" i="16"/>
  <c r="AN10" i="16"/>
  <c r="AT10" i="16" s="1"/>
  <c r="AL10" i="16"/>
  <c r="AK10" i="16"/>
  <c r="AJ10" i="16" s="1"/>
  <c r="AG10" i="16"/>
  <c r="AM10" i="16" s="1"/>
  <c r="AE10" i="16"/>
  <c r="AD10" i="16"/>
  <c r="AC10" i="16"/>
  <c r="Z10" i="16"/>
  <c r="AB10" i="16" s="1"/>
  <c r="X10" i="16"/>
  <c r="J10" i="16" s="1"/>
  <c r="S10" i="16"/>
  <c r="Q10" i="16"/>
  <c r="P10" i="16"/>
  <c r="L10" i="16"/>
  <c r="N10" i="16" s="1"/>
  <c r="CQ9" i="16"/>
  <c r="CO9" i="16"/>
  <c r="CN9" i="16" s="1"/>
  <c r="CK9" i="16"/>
  <c r="CM9" i="16" s="1"/>
  <c r="CH9" i="16"/>
  <c r="CG9" i="16" s="1"/>
  <c r="CF9" i="16"/>
  <c r="CD9" i="16"/>
  <c r="CJ9" i="16" s="1"/>
  <c r="CC9" i="16"/>
  <c r="CA9" i="16"/>
  <c r="BZ9" i="16" s="1"/>
  <c r="BW9" i="16"/>
  <c r="BY9" i="16" s="1"/>
  <c r="BX9" i="16" s="1"/>
  <c r="BT9" i="16"/>
  <c r="BS9" i="16"/>
  <c r="BP9" i="16"/>
  <c r="BV9" i="16" s="1"/>
  <c r="BM9" i="16"/>
  <c r="BL9" i="16" s="1"/>
  <c r="BI9" i="16"/>
  <c r="BK9" i="16" s="1"/>
  <c r="BF9" i="16"/>
  <c r="BE9" i="16" s="1"/>
  <c r="BB9" i="16"/>
  <c r="BA9" i="16"/>
  <c r="AY9" i="16"/>
  <c r="AX9" i="16"/>
  <c r="AW9" i="16"/>
  <c r="AU9" i="16"/>
  <c r="AV9" i="16" s="1"/>
  <c r="AR9" i="16"/>
  <c r="AQ9" i="16"/>
  <c r="AP9" i="16"/>
  <c r="AN9" i="16"/>
  <c r="AT9" i="16" s="1"/>
  <c r="AL9" i="16"/>
  <c r="AI9" i="16"/>
  <c r="AG9" i="16"/>
  <c r="AE9" i="16"/>
  <c r="AD9" i="16"/>
  <c r="Z9" i="16"/>
  <c r="Y9" i="16"/>
  <c r="X9" i="16"/>
  <c r="W9" i="16"/>
  <c r="V9" i="16"/>
  <c r="S9" i="16"/>
  <c r="Q9" i="16"/>
  <c r="J9" i="16" s="1"/>
  <c r="P9" i="16"/>
  <c r="L9" i="16"/>
  <c r="CO8" i="16"/>
  <c r="CN8" i="16"/>
  <c r="CK8" i="16"/>
  <c r="CH8" i="16"/>
  <c r="CG8" i="16"/>
  <c r="CF8" i="16"/>
  <c r="CD8" i="16"/>
  <c r="CA8" i="16"/>
  <c r="BZ8" i="16"/>
  <c r="BW8" i="16"/>
  <c r="BV8" i="16"/>
  <c r="BT8" i="16"/>
  <c r="BS8" i="16" s="1"/>
  <c r="BQ8" i="16"/>
  <c r="BP8" i="16"/>
  <c r="BR8" i="16" s="1"/>
  <c r="BM8" i="16"/>
  <c r="BL8" i="16" s="1"/>
  <c r="BI8" i="16"/>
  <c r="BH8" i="16"/>
  <c r="BF8" i="16"/>
  <c r="BE8" i="16" s="1"/>
  <c r="BD8" i="16"/>
  <c r="BC8" i="16" s="1"/>
  <c r="BB8" i="16"/>
  <c r="AY8" i="16"/>
  <c r="AX8" i="16"/>
  <c r="AU8" i="16"/>
  <c r="BA8" i="16" s="1"/>
  <c r="AT8" i="16"/>
  <c r="AR8" i="16"/>
  <c r="AQ8" i="16" s="1"/>
  <c r="AN8" i="16"/>
  <c r="AP8" i="16" s="1"/>
  <c r="AM8" i="16"/>
  <c r="AK8" i="16"/>
  <c r="AJ8" i="16"/>
  <c r="AG8" i="16"/>
  <c r="AD8" i="16"/>
  <c r="AC8" i="16"/>
  <c r="Z8" i="16"/>
  <c r="W8" i="16"/>
  <c r="V8" i="16"/>
  <c r="S8" i="16"/>
  <c r="Y8" i="16" s="1"/>
  <c r="R8" i="16"/>
  <c r="P8" i="16"/>
  <c r="O8" i="16" s="1"/>
  <c r="H8" i="16" s="1"/>
  <c r="L8" i="16"/>
  <c r="J8" i="16"/>
  <c r="CO7" i="16"/>
  <c r="CN7" i="16" s="1"/>
  <c r="CK7" i="16"/>
  <c r="CJ7" i="16"/>
  <c r="CH7" i="16"/>
  <c r="CG7" i="16"/>
  <c r="CF7" i="16"/>
  <c r="CD7" i="16"/>
  <c r="CA7" i="16"/>
  <c r="BZ7" i="16"/>
  <c r="BY7" i="16"/>
  <c r="BW7" i="16"/>
  <c r="BT7" i="16"/>
  <c r="BS7" i="16"/>
  <c r="BR7" i="16"/>
  <c r="BP7" i="16"/>
  <c r="BV7" i="16" s="1"/>
  <c r="BM7" i="16"/>
  <c r="BL7" i="16" s="1"/>
  <c r="BI7" i="16"/>
  <c r="BH7" i="16"/>
  <c r="BF7" i="16"/>
  <c r="BE7" i="16" s="1"/>
  <c r="BD7" i="16"/>
  <c r="BB7" i="16"/>
  <c r="AY7" i="16"/>
  <c r="AX7" i="16" s="1"/>
  <c r="AU7" i="16"/>
  <c r="BA7" i="16" s="1"/>
  <c r="AR7" i="16"/>
  <c r="AQ7" i="16"/>
  <c r="AN7" i="16"/>
  <c r="AT7" i="16" s="1"/>
  <c r="AL7" i="16"/>
  <c r="AG7" i="16"/>
  <c r="AI7" i="16" s="1"/>
  <c r="AD7" i="16"/>
  <c r="AC7" i="16" s="1"/>
  <c r="Z7" i="16"/>
  <c r="Y7" i="16"/>
  <c r="W7" i="16"/>
  <c r="V7" i="16"/>
  <c r="U7" i="16"/>
  <c r="T7" i="16" s="1"/>
  <c r="S7" i="16"/>
  <c r="P7" i="16"/>
  <c r="O7" i="16"/>
  <c r="L7" i="16"/>
  <c r="N7" i="16" s="1"/>
  <c r="CO6" i="16"/>
  <c r="CN6" i="16"/>
  <c r="CK6" i="16"/>
  <c r="CQ6" i="16" s="1"/>
  <c r="CH6" i="16"/>
  <c r="CG6" i="16"/>
  <c r="CD6" i="16"/>
  <c r="CA6" i="16"/>
  <c r="BZ6" i="16"/>
  <c r="BW6" i="16"/>
  <c r="BT6" i="16"/>
  <c r="BS6" i="16"/>
  <c r="BR6" i="16"/>
  <c r="BP6" i="16"/>
  <c r="BV6" i="16" s="1"/>
  <c r="BM6" i="16"/>
  <c r="BL6" i="16"/>
  <c r="BI6" i="16"/>
  <c r="BO6" i="16" s="1"/>
  <c r="BF6" i="16"/>
  <c r="BE6" i="16"/>
  <c r="BD6" i="16"/>
  <c r="BB6" i="16"/>
  <c r="BH6" i="16" s="1"/>
  <c r="AY6" i="16"/>
  <c r="AX6" i="16" s="1"/>
  <c r="AU6" i="16"/>
  <c r="AR6" i="16"/>
  <c r="AQ6" i="16"/>
  <c r="AP6" i="16"/>
  <c r="AO6" i="16"/>
  <c r="AN6" i="16"/>
  <c r="AT6" i="16" s="1"/>
  <c r="AK6" i="16"/>
  <c r="AJ6" i="16"/>
  <c r="AG6" i="16"/>
  <c r="AM6" i="16" s="1"/>
  <c r="AD6" i="16"/>
  <c r="AC6" i="16"/>
  <c r="Z6" i="16"/>
  <c r="AF6" i="16" s="1"/>
  <c r="Y6" i="16"/>
  <c r="W6" i="16"/>
  <c r="V6" i="16" s="1"/>
  <c r="S6" i="16"/>
  <c r="P6" i="16"/>
  <c r="I6" i="16" s="1"/>
  <c r="O6" i="16"/>
  <c r="L6" i="16"/>
  <c r="R6" i="16" s="1"/>
  <c r="J6" i="16"/>
  <c r="CO5" i="16"/>
  <c r="CN5" i="16"/>
  <c r="CK5" i="16"/>
  <c r="CH5" i="16"/>
  <c r="CG5" i="16"/>
  <c r="CF5" i="16"/>
  <c r="CD5" i="16"/>
  <c r="CJ5" i="16" s="1"/>
  <c r="CA5" i="16"/>
  <c r="BZ5" i="16"/>
  <c r="BW5" i="16"/>
  <c r="BT5" i="16"/>
  <c r="BS5" i="16"/>
  <c r="BP5" i="16"/>
  <c r="BM5" i="16"/>
  <c r="BL5" i="16"/>
  <c r="BI5" i="16"/>
  <c r="BF5" i="16"/>
  <c r="BE5" i="16" s="1"/>
  <c r="BB5" i="16"/>
  <c r="BH5" i="16" s="1"/>
  <c r="BA5" i="16"/>
  <c r="AY5" i="16"/>
  <c r="AX5" i="16"/>
  <c r="AU5" i="16"/>
  <c r="AT5" i="16"/>
  <c r="AR5" i="16"/>
  <c r="AQ5" i="16"/>
  <c r="AN5" i="16"/>
  <c r="AL5" i="16"/>
  <c r="AK5" i="16" s="1"/>
  <c r="AG5" i="16"/>
  <c r="AE5" i="16"/>
  <c r="AD5" i="16"/>
  <c r="AC5" i="16"/>
  <c r="AB5" i="16"/>
  <c r="AA5" i="16" s="1"/>
  <c r="Z5" i="16"/>
  <c r="AF5" i="16" s="1"/>
  <c r="X5" i="16"/>
  <c r="X4" i="16" s="1"/>
  <c r="S5" i="16"/>
  <c r="Q5" i="16"/>
  <c r="P5" i="16"/>
  <c r="O5" i="16"/>
  <c r="L5" i="16"/>
  <c r="CO4" i="16"/>
  <c r="CO55" i="16" s="1"/>
  <c r="CO58" i="16" s="1"/>
  <c r="CK4" i="16"/>
  <c r="CH4" i="16"/>
  <c r="CG4" i="16"/>
  <c r="CD4" i="16"/>
  <c r="CC4" i="16"/>
  <c r="CA4" i="16"/>
  <c r="BZ4" i="16"/>
  <c r="BW4" i="16"/>
  <c r="BV4" i="16"/>
  <c r="BT4" i="16"/>
  <c r="BT55" i="16" s="1"/>
  <c r="BT58" i="16" s="1"/>
  <c r="BS4" i="16"/>
  <c r="BR4" i="16"/>
  <c r="BP4" i="16"/>
  <c r="BM4" i="16"/>
  <c r="BL4" i="16"/>
  <c r="BI4" i="16"/>
  <c r="BF4" i="16"/>
  <c r="BE4" i="16"/>
  <c r="BB4" i="16"/>
  <c r="AY4" i="16"/>
  <c r="AY55" i="16" s="1"/>
  <c r="AY58" i="16" s="1"/>
  <c r="AU4" i="16"/>
  <c r="AR4" i="16"/>
  <c r="AQ4" i="16" s="1"/>
  <c r="AN4" i="16"/>
  <c r="AL4" i="16"/>
  <c r="AK4" i="16" s="1"/>
  <c r="AG4" i="16"/>
  <c r="Z4" i="16"/>
  <c r="W4" i="16"/>
  <c r="S4" i="16"/>
  <c r="Y4" i="16" s="1"/>
  <c r="R4" i="16"/>
  <c r="Q4" i="16"/>
  <c r="L4" i="16"/>
  <c r="E4" i="16" s="1"/>
  <c r="CQ57" i="15"/>
  <c r="CP57" i="15"/>
  <c r="CM57" i="15"/>
  <c r="CK57" i="15"/>
  <c r="CI57" i="15"/>
  <c r="CH57" i="15" s="1"/>
  <c r="CG57" i="15" s="1"/>
  <c r="CF57" i="15"/>
  <c r="CE57" i="15"/>
  <c r="CD57" i="15"/>
  <c r="CB57" i="15"/>
  <c r="CA57" i="15" s="1"/>
  <c r="BZ57" i="15" s="1"/>
  <c r="BW57" i="15"/>
  <c r="BU57" i="15"/>
  <c r="BT57" i="15" s="1"/>
  <c r="BR57" i="15"/>
  <c r="BQ57" i="15" s="1"/>
  <c r="BP57" i="15"/>
  <c r="BN57" i="15"/>
  <c r="BL57" i="15" s="1"/>
  <c r="BM57" i="15"/>
  <c r="BI57" i="15"/>
  <c r="BG57" i="15"/>
  <c r="BB57" i="15"/>
  <c r="AZ57" i="15"/>
  <c r="AU57" i="15"/>
  <c r="AS57" i="15"/>
  <c r="AR57" i="15" s="1"/>
  <c r="AQ57" i="15"/>
  <c r="AN57" i="15"/>
  <c r="AP57" i="15" s="1"/>
  <c r="AL57" i="15"/>
  <c r="AI57" i="15"/>
  <c r="AG57" i="15"/>
  <c r="AE57" i="15"/>
  <c r="Z57" i="15"/>
  <c r="AB57" i="15" s="1"/>
  <c r="X57" i="15"/>
  <c r="S57" i="15"/>
  <c r="Q57" i="15"/>
  <c r="P57" i="15" s="1"/>
  <c r="O57" i="15" s="1"/>
  <c r="L57" i="15"/>
  <c r="CP56" i="15"/>
  <c r="CO56" i="15" s="1"/>
  <c r="CK56" i="15"/>
  <c r="CI56" i="15"/>
  <c r="CH56" i="15" s="1"/>
  <c r="CG56" i="15" s="1"/>
  <c r="CF56" i="15"/>
  <c r="CE56" i="15" s="1"/>
  <c r="CD56" i="15"/>
  <c r="CB56" i="15"/>
  <c r="CA56" i="15" s="1"/>
  <c r="BZ56" i="15" s="1"/>
  <c r="BW56" i="15"/>
  <c r="CC56" i="15" s="1"/>
  <c r="BU56" i="15"/>
  <c r="BP56" i="15"/>
  <c r="BN56" i="15"/>
  <c r="BI56" i="15"/>
  <c r="BG56" i="15"/>
  <c r="BF56" i="15" s="1"/>
  <c r="BB56" i="15"/>
  <c r="BD56" i="15" s="1"/>
  <c r="AZ56" i="15"/>
  <c r="AW56" i="15"/>
  <c r="AU56" i="15"/>
  <c r="AS56" i="15"/>
  <c r="AN56" i="15"/>
  <c r="AL56" i="15"/>
  <c r="AK56" i="15" s="1"/>
  <c r="AG56" i="15"/>
  <c r="AE56" i="15"/>
  <c r="AD56" i="15" s="1"/>
  <c r="Z56" i="15"/>
  <c r="X56" i="15"/>
  <c r="W56" i="15" s="1"/>
  <c r="S56" i="15"/>
  <c r="Q56" i="15"/>
  <c r="L56" i="15"/>
  <c r="CP54" i="15"/>
  <c r="CO54" i="15" s="1"/>
  <c r="CK54" i="15"/>
  <c r="CJ54" i="15"/>
  <c r="CI54" i="15"/>
  <c r="CD54" i="15"/>
  <c r="CF54" i="15" s="1"/>
  <c r="CB54" i="15"/>
  <c r="CA54" i="15" s="1"/>
  <c r="BW54" i="15"/>
  <c r="BV54" i="15"/>
  <c r="BU54" i="15"/>
  <c r="BT54" i="15" s="1"/>
  <c r="BS54" i="15" s="1"/>
  <c r="BR54" i="15"/>
  <c r="BP54" i="15"/>
  <c r="BQ54" i="15" s="1"/>
  <c r="BN54" i="15"/>
  <c r="BM54" i="15" s="1"/>
  <c r="BL54" i="15" s="1"/>
  <c r="BI54" i="15"/>
  <c r="BK54" i="15" s="1"/>
  <c r="BG54" i="15"/>
  <c r="BF54" i="15" s="1"/>
  <c r="BB54" i="15"/>
  <c r="BA54" i="15"/>
  <c r="AZ54" i="15"/>
  <c r="AY54" i="15"/>
  <c r="AX54" i="15"/>
  <c r="AW54" i="15"/>
  <c r="AU54" i="15"/>
  <c r="AV54" i="15" s="1"/>
  <c r="AS54" i="15"/>
  <c r="AN54" i="15"/>
  <c r="AL54" i="15"/>
  <c r="AK54" i="15" s="1"/>
  <c r="AG54" i="15"/>
  <c r="AE54" i="15"/>
  <c r="AD54" i="15" s="1"/>
  <c r="AC54" i="15"/>
  <c r="Z54" i="15"/>
  <c r="X54" i="15"/>
  <c r="W54" i="15" s="1"/>
  <c r="U54" i="15"/>
  <c r="S54" i="15"/>
  <c r="Q54" i="15"/>
  <c r="P54" i="15" s="1"/>
  <c r="L54" i="15"/>
  <c r="N54" i="15" s="1"/>
  <c r="CP53" i="15"/>
  <c r="CQ53" i="15" s="1"/>
  <c r="CK53" i="15"/>
  <c r="CI53" i="15"/>
  <c r="CD53" i="15"/>
  <c r="CF53" i="15" s="1"/>
  <c r="CE53" i="15" s="1"/>
  <c r="CB53" i="15"/>
  <c r="CA53" i="15" s="1"/>
  <c r="BW53" i="15"/>
  <c r="BU53" i="15"/>
  <c r="BT53" i="15" s="1"/>
  <c r="BR53" i="15"/>
  <c r="BP53" i="15"/>
  <c r="BN53" i="15"/>
  <c r="BM53" i="15" s="1"/>
  <c r="BI53" i="15"/>
  <c r="BG53" i="15"/>
  <c r="BB53" i="15"/>
  <c r="AZ53" i="15"/>
  <c r="AY53" i="15" s="1"/>
  <c r="AU53" i="15"/>
  <c r="AS53" i="15"/>
  <c r="AN53" i="15"/>
  <c r="AL53" i="15"/>
  <c r="AK53" i="15" s="1"/>
  <c r="AG53" i="15"/>
  <c r="AI53" i="15" s="1"/>
  <c r="AE53" i="15"/>
  <c r="AD53" i="15" s="1"/>
  <c r="AB53" i="15"/>
  <c r="AA53" i="15"/>
  <c r="Z53" i="15"/>
  <c r="AF53" i="15" s="1"/>
  <c r="X53" i="15"/>
  <c r="W53" i="15" s="1"/>
  <c r="S53" i="15"/>
  <c r="U53" i="15" s="1"/>
  <c r="Q53" i="15"/>
  <c r="P53" i="15" s="1"/>
  <c r="N53" i="15"/>
  <c r="L53" i="15"/>
  <c r="E53" i="15" s="1"/>
  <c r="CP52" i="15"/>
  <c r="CK52" i="15"/>
  <c r="CI52" i="15"/>
  <c r="CH52" i="15"/>
  <c r="CG52" i="15" s="1"/>
  <c r="CF52" i="15"/>
  <c r="CE52" i="15" s="1"/>
  <c r="CD52" i="15"/>
  <c r="CB52" i="15"/>
  <c r="CA52" i="15" s="1"/>
  <c r="BW52" i="15"/>
  <c r="CC52" i="15" s="1"/>
  <c r="BU52" i="15"/>
  <c r="BP52" i="15"/>
  <c r="BN52" i="15"/>
  <c r="BM52" i="15" s="1"/>
  <c r="BI52" i="15"/>
  <c r="BG52" i="15"/>
  <c r="BF52" i="15" s="1"/>
  <c r="BB52" i="15"/>
  <c r="AZ52" i="15"/>
  <c r="AW52" i="15"/>
  <c r="AU52" i="15"/>
  <c r="AS52" i="15"/>
  <c r="AR52" i="15" s="1"/>
  <c r="AP52" i="15"/>
  <c r="AO52" i="15" s="1"/>
  <c r="AN52" i="15"/>
  <c r="AL52" i="15"/>
  <c r="AK52" i="15" s="1"/>
  <c r="AG52" i="15"/>
  <c r="AE52" i="15"/>
  <c r="AD52" i="15" s="1"/>
  <c r="AC52" i="15" s="1"/>
  <c r="AB52" i="15"/>
  <c r="AA52" i="15"/>
  <c r="Z52" i="15"/>
  <c r="X52" i="15"/>
  <c r="W52" i="15"/>
  <c r="V52" i="15" s="1"/>
  <c r="S52" i="15"/>
  <c r="Q52" i="15"/>
  <c r="N52" i="15"/>
  <c r="L52" i="15"/>
  <c r="M52" i="15" s="1"/>
  <c r="CP51" i="15"/>
  <c r="CO51" i="15" s="1"/>
  <c r="CN51" i="15" s="1"/>
  <c r="CK51" i="15"/>
  <c r="CI51" i="15"/>
  <c r="CD51" i="15"/>
  <c r="CF51" i="15" s="1"/>
  <c r="CB51" i="15"/>
  <c r="CA51" i="15" s="1"/>
  <c r="BW51" i="15"/>
  <c r="BU51" i="15"/>
  <c r="BT51" i="15" s="1"/>
  <c r="BP51" i="15"/>
  <c r="BN51" i="15"/>
  <c r="BM51" i="15" s="1"/>
  <c r="BI51" i="15"/>
  <c r="BG51" i="15"/>
  <c r="BF51" i="15"/>
  <c r="BE51" i="15" s="1"/>
  <c r="BB51" i="15"/>
  <c r="BD51" i="15" s="1"/>
  <c r="AZ51" i="15"/>
  <c r="AY51" i="15" s="1"/>
  <c r="AW51" i="15"/>
  <c r="AU51" i="15"/>
  <c r="AS51" i="15"/>
  <c r="AP51" i="15"/>
  <c r="AN51" i="15"/>
  <c r="AO51" i="15" s="1"/>
  <c r="AL51" i="15"/>
  <c r="AK51" i="15" s="1"/>
  <c r="AJ51" i="15" s="1"/>
  <c r="AG51" i="15"/>
  <c r="AF51" i="15"/>
  <c r="AE51" i="15"/>
  <c r="AB51" i="15"/>
  <c r="Z51" i="15"/>
  <c r="X51" i="15"/>
  <c r="W51" i="15" s="1"/>
  <c r="S51" i="15"/>
  <c r="U51" i="15" s="1"/>
  <c r="Q51" i="15"/>
  <c r="P51" i="15" s="1"/>
  <c r="L51" i="15"/>
  <c r="E51" i="15" s="1"/>
  <c r="CP50" i="15"/>
  <c r="CO50" i="15" s="1"/>
  <c r="CK50" i="15"/>
  <c r="CM50" i="15" s="1"/>
  <c r="CI50" i="15"/>
  <c r="CH50" i="15" s="1"/>
  <c r="CG50" i="15" s="1"/>
  <c r="CD50" i="15"/>
  <c r="CF50" i="15" s="1"/>
  <c r="CB50" i="15"/>
  <c r="CA50" i="15" s="1"/>
  <c r="BW50" i="15"/>
  <c r="BU50" i="15"/>
  <c r="BV50" i="15" s="1"/>
  <c r="BR50" i="15"/>
  <c r="BQ50" i="15" s="1"/>
  <c r="BP50" i="15"/>
  <c r="BN50" i="15"/>
  <c r="BM50" i="15"/>
  <c r="BL50" i="15" s="1"/>
  <c r="BI50" i="15"/>
  <c r="BG50" i="15"/>
  <c r="BB50" i="15"/>
  <c r="AZ50" i="15"/>
  <c r="AY50" i="15" s="1"/>
  <c r="AX50" i="15" s="1"/>
  <c r="AU50" i="15"/>
  <c r="AT50" i="15"/>
  <c r="AS50" i="15"/>
  <c r="AP50" i="15"/>
  <c r="AO50" i="15" s="1"/>
  <c r="AN50" i="15"/>
  <c r="AL50" i="15"/>
  <c r="AK50" i="15" s="1"/>
  <c r="AG50" i="15"/>
  <c r="AI50" i="15" s="1"/>
  <c r="AE50" i="15"/>
  <c r="AD50" i="15" s="1"/>
  <c r="AC50" i="15" s="1"/>
  <c r="Z50" i="15"/>
  <c r="X50" i="15"/>
  <c r="S50" i="15"/>
  <c r="B50" i="15" s="1"/>
  <c r="Q50" i="15"/>
  <c r="P50" i="15" s="1"/>
  <c r="L50" i="15"/>
  <c r="CP49" i="15"/>
  <c r="CK49" i="15"/>
  <c r="CI49" i="15"/>
  <c r="CJ49" i="15" s="1"/>
  <c r="CD49" i="15"/>
  <c r="CB49" i="15"/>
  <c r="CA49" i="15" s="1"/>
  <c r="BW49" i="15"/>
  <c r="BU49" i="15"/>
  <c r="BP49" i="15"/>
  <c r="BR49" i="15" s="1"/>
  <c r="BN49" i="15"/>
  <c r="BM49" i="15" s="1"/>
  <c r="BL49" i="15" s="1"/>
  <c r="BI49" i="15"/>
  <c r="BG49" i="15"/>
  <c r="BF49" i="15" s="1"/>
  <c r="BB49" i="15"/>
  <c r="AZ49" i="15"/>
  <c r="AY49" i="15"/>
  <c r="AX49" i="15" s="1"/>
  <c r="AW49" i="15"/>
  <c r="AV49" i="15"/>
  <c r="AU49" i="15"/>
  <c r="AS49" i="15"/>
  <c r="AR49" i="15" s="1"/>
  <c r="AN49" i="15"/>
  <c r="AT49" i="15" s="1"/>
  <c r="AL49" i="15"/>
  <c r="AG49" i="15"/>
  <c r="AE49" i="15"/>
  <c r="AD49" i="15" s="1"/>
  <c r="AC49" i="15" s="1"/>
  <c r="Z49" i="15"/>
  <c r="X49" i="15"/>
  <c r="W49" i="15" s="1"/>
  <c r="V49" i="15"/>
  <c r="S49" i="15"/>
  <c r="Q49" i="15"/>
  <c r="P49" i="15" s="1"/>
  <c r="L49" i="15"/>
  <c r="CP48" i="15"/>
  <c r="CK48" i="15"/>
  <c r="CM48" i="15" s="1"/>
  <c r="CL48" i="15" s="1"/>
  <c r="CI48" i="15"/>
  <c r="CH48" i="15" s="1"/>
  <c r="CF48" i="15"/>
  <c r="CD48" i="15"/>
  <c r="CB48" i="15"/>
  <c r="BW48" i="15"/>
  <c r="BU48" i="15"/>
  <c r="BT48" i="15" s="1"/>
  <c r="BS48" i="15" s="1"/>
  <c r="BR48" i="15"/>
  <c r="BP48" i="15"/>
  <c r="BN48" i="15"/>
  <c r="BM48" i="15"/>
  <c r="BI48" i="15"/>
  <c r="BG48" i="15"/>
  <c r="BF48" i="15" s="1"/>
  <c r="BE48" i="15" s="1"/>
  <c r="BD48" i="15"/>
  <c r="BB48" i="15"/>
  <c r="AZ48" i="15"/>
  <c r="AU48" i="15"/>
  <c r="AS48" i="15"/>
  <c r="AR48" i="15" s="1"/>
  <c r="AN48" i="15"/>
  <c r="AL48" i="15"/>
  <c r="AG48" i="15"/>
  <c r="AI48" i="15" s="1"/>
  <c r="AE48" i="15"/>
  <c r="AD48" i="15" s="1"/>
  <c r="Z48" i="15"/>
  <c r="X48" i="15"/>
  <c r="S48" i="15"/>
  <c r="Q48" i="15"/>
  <c r="P48" i="15" s="1"/>
  <c r="O48" i="15" s="1"/>
  <c r="L48" i="15"/>
  <c r="CP47" i="15"/>
  <c r="CN47" i="15" s="1"/>
  <c r="CO47" i="15"/>
  <c r="CK47" i="15"/>
  <c r="CQ47" i="15" s="1"/>
  <c r="CI47" i="15"/>
  <c r="CH47" i="15" s="1"/>
  <c r="CD47" i="15"/>
  <c r="CB47" i="15"/>
  <c r="CA47" i="15"/>
  <c r="BZ47" i="15" s="1"/>
  <c r="BW47" i="15"/>
  <c r="BY47" i="15" s="1"/>
  <c r="BU47" i="15"/>
  <c r="BT47" i="15" s="1"/>
  <c r="BP47" i="15"/>
  <c r="BN47" i="15"/>
  <c r="BI47" i="15"/>
  <c r="BG47" i="15"/>
  <c r="BF47" i="15"/>
  <c r="BE47" i="15" s="1"/>
  <c r="BB47" i="15"/>
  <c r="BA47" i="15"/>
  <c r="AZ47" i="15"/>
  <c r="AY47" i="15" s="1"/>
  <c r="AU47" i="15"/>
  <c r="AW47" i="15" s="1"/>
  <c r="AS47" i="15"/>
  <c r="AR47" i="15" s="1"/>
  <c r="AN47" i="15"/>
  <c r="AT47" i="15" s="1"/>
  <c r="AL47" i="15"/>
  <c r="AG47" i="15"/>
  <c r="AM47" i="15" s="1"/>
  <c r="AE47" i="15"/>
  <c r="AD47" i="15" s="1"/>
  <c r="AC47" i="15" s="1"/>
  <c r="Z47" i="15"/>
  <c r="AB47" i="15" s="1"/>
  <c r="Y47" i="15"/>
  <c r="X47" i="15"/>
  <c r="W47" i="15" s="1"/>
  <c r="U47" i="15"/>
  <c r="T47" i="15" s="1"/>
  <c r="S47" i="15"/>
  <c r="Q47" i="15"/>
  <c r="P47" i="15" s="1"/>
  <c r="L47" i="15"/>
  <c r="CQ46" i="15"/>
  <c r="CP46" i="15"/>
  <c r="CO46" i="15" s="1"/>
  <c r="CM46" i="15"/>
  <c r="CL46" i="15" s="1"/>
  <c r="CK46" i="15"/>
  <c r="CI46" i="15"/>
  <c r="CH46" i="15" s="1"/>
  <c r="CD46" i="15"/>
  <c r="CB46" i="15"/>
  <c r="BW46" i="15"/>
  <c r="BU46" i="15"/>
  <c r="BT46" i="15" s="1"/>
  <c r="BS46" i="15" s="1"/>
  <c r="BP46" i="15"/>
  <c r="BN46" i="15"/>
  <c r="BI46" i="15"/>
  <c r="BH46" i="15"/>
  <c r="BG46" i="15"/>
  <c r="BF46" i="15" s="1"/>
  <c r="BD46" i="15"/>
  <c r="BC46" i="15" s="1"/>
  <c r="BB46" i="15"/>
  <c r="AZ46" i="15"/>
  <c r="AY46" i="15"/>
  <c r="AU46" i="15"/>
  <c r="BA46" i="15" s="1"/>
  <c r="AS46" i="15"/>
  <c r="AR46" i="15"/>
  <c r="AQ46" i="15" s="1"/>
  <c r="AN46" i="15"/>
  <c r="AL46" i="15"/>
  <c r="AK46" i="15" s="1"/>
  <c r="AG46" i="15"/>
  <c r="AE46" i="15"/>
  <c r="AD46" i="15"/>
  <c r="AC46" i="15" s="1"/>
  <c r="Z46" i="15"/>
  <c r="X46" i="15"/>
  <c r="S46" i="15"/>
  <c r="Q46" i="15"/>
  <c r="P46" i="15"/>
  <c r="L46" i="15"/>
  <c r="R46" i="15" s="1"/>
  <c r="CP45" i="15"/>
  <c r="CK45" i="15"/>
  <c r="CI45" i="15"/>
  <c r="CH45" i="15" s="1"/>
  <c r="CD45" i="15"/>
  <c r="CC45" i="15"/>
  <c r="CB45" i="15"/>
  <c r="CA45" i="15" s="1"/>
  <c r="BX45" i="15"/>
  <c r="BW45" i="15"/>
  <c r="BY45" i="15" s="1"/>
  <c r="BU45" i="15"/>
  <c r="BT45" i="15" s="1"/>
  <c r="BP45" i="15"/>
  <c r="BN45" i="15"/>
  <c r="BM45" i="15"/>
  <c r="BK45" i="15"/>
  <c r="BJ45" i="15" s="1"/>
  <c r="BI45" i="15"/>
  <c r="BO45" i="15" s="1"/>
  <c r="BG45" i="15"/>
  <c r="BF45" i="15" s="1"/>
  <c r="BE45" i="15" s="1"/>
  <c r="BD45" i="15"/>
  <c r="BC45" i="15"/>
  <c r="BB45" i="15"/>
  <c r="BH45" i="15" s="1"/>
  <c r="AZ45" i="15"/>
  <c r="AU45" i="15"/>
  <c r="AS45" i="15"/>
  <c r="AR45" i="15"/>
  <c r="AN45" i="15"/>
  <c r="AM45" i="15"/>
  <c r="AL45" i="15"/>
  <c r="AG45" i="15"/>
  <c r="AI45" i="15" s="1"/>
  <c r="AE45" i="15"/>
  <c r="AD45" i="15" s="1"/>
  <c r="Z45" i="15"/>
  <c r="AF45" i="15" s="1"/>
  <c r="Y45" i="15"/>
  <c r="X45" i="15"/>
  <c r="W45" i="15" s="1"/>
  <c r="V45" i="15" s="1"/>
  <c r="S45" i="15"/>
  <c r="U45" i="15" s="1"/>
  <c r="Q45" i="15"/>
  <c r="P45" i="15"/>
  <c r="N45" i="15"/>
  <c r="L45" i="15"/>
  <c r="CP44" i="15"/>
  <c r="CO44" i="15"/>
  <c r="CN44" i="15" s="1"/>
  <c r="CK44" i="15"/>
  <c r="CQ44" i="15" s="1"/>
  <c r="CI44" i="15"/>
  <c r="CH44" i="15" s="1"/>
  <c r="CD44" i="15"/>
  <c r="CF44" i="15" s="1"/>
  <c r="CB44" i="15"/>
  <c r="CA44" i="15"/>
  <c r="BZ44" i="15"/>
  <c r="BY44" i="15"/>
  <c r="BW44" i="15"/>
  <c r="CC44" i="15" s="1"/>
  <c r="BU44" i="15"/>
  <c r="BT44" i="15" s="1"/>
  <c r="BR44" i="15"/>
  <c r="BP44" i="15"/>
  <c r="BV44" i="15" s="1"/>
  <c r="BN44" i="15"/>
  <c r="BI44" i="15"/>
  <c r="BG44" i="15"/>
  <c r="BF44" i="15"/>
  <c r="BB44" i="15"/>
  <c r="BH44" i="15" s="1"/>
  <c r="BA44" i="15"/>
  <c r="AZ44" i="15"/>
  <c r="AY44" i="15" s="1"/>
  <c r="AX44" i="15"/>
  <c r="AU44" i="15"/>
  <c r="AW44" i="15" s="1"/>
  <c r="AS44" i="15"/>
  <c r="AR44" i="15" s="1"/>
  <c r="AN44" i="15"/>
  <c r="AM44" i="15"/>
  <c r="AL44" i="15"/>
  <c r="AG44" i="15"/>
  <c r="AE44" i="15"/>
  <c r="AD44" i="15"/>
  <c r="AC44" i="15" s="1"/>
  <c r="Z44" i="15"/>
  <c r="AB44" i="15" s="1"/>
  <c r="X44" i="15"/>
  <c r="W44" i="15" s="1"/>
  <c r="V44" i="15" s="1"/>
  <c r="S44" i="15"/>
  <c r="Y44" i="15" s="1"/>
  <c r="R44" i="15"/>
  <c r="Q44" i="15"/>
  <c r="P44" i="15" s="1"/>
  <c r="L44" i="15"/>
  <c r="N44" i="15" s="1"/>
  <c r="CP43" i="15"/>
  <c r="CO43" i="15" s="1"/>
  <c r="CK43" i="15"/>
  <c r="CI43" i="15"/>
  <c r="CH43" i="15"/>
  <c r="CG43" i="15"/>
  <c r="CD43" i="15"/>
  <c r="CB43" i="15"/>
  <c r="BW43" i="15"/>
  <c r="BY43" i="15" s="1"/>
  <c r="BU43" i="15"/>
  <c r="BT43" i="15" s="1"/>
  <c r="BP43" i="15"/>
  <c r="BN43" i="15"/>
  <c r="BM43" i="15" s="1"/>
  <c r="BL43" i="15"/>
  <c r="BI43" i="15"/>
  <c r="BG43" i="15"/>
  <c r="BB43" i="15"/>
  <c r="AZ43" i="15"/>
  <c r="AY43" i="15" s="1"/>
  <c r="AX43" i="15" s="1"/>
  <c r="AU43" i="15"/>
  <c r="AS43" i="15"/>
  <c r="AN43" i="15"/>
  <c r="AL43" i="15"/>
  <c r="AK43" i="15"/>
  <c r="AJ43" i="15" s="1"/>
  <c r="AG43" i="15"/>
  <c r="AE43" i="15"/>
  <c r="AA43" i="15"/>
  <c r="Z43" i="15"/>
  <c r="AB43" i="15" s="1"/>
  <c r="X43" i="15"/>
  <c r="S43" i="15"/>
  <c r="Q43" i="15"/>
  <c r="P43" i="15" s="1"/>
  <c r="L43" i="15"/>
  <c r="N43" i="15" s="1"/>
  <c r="CO42" i="15"/>
  <c r="CN42" i="15" s="1"/>
  <c r="CK42" i="15"/>
  <c r="CJ42" i="15"/>
  <c r="CH42" i="15"/>
  <c r="CG42" i="15" s="1"/>
  <c r="CD42" i="15"/>
  <c r="CA42" i="15"/>
  <c r="BZ42" i="15"/>
  <c r="BY42" i="15"/>
  <c r="BW42" i="15"/>
  <c r="CC42" i="15" s="1"/>
  <c r="BT42" i="15"/>
  <c r="BS42" i="15"/>
  <c r="BP42" i="15"/>
  <c r="BM42" i="15"/>
  <c r="BL42" i="15" s="1"/>
  <c r="BI42" i="15"/>
  <c r="BH42" i="15"/>
  <c r="BF42" i="15"/>
  <c r="BE42" i="15"/>
  <c r="BB42" i="15"/>
  <c r="BD42" i="15" s="1"/>
  <c r="AY42" i="15"/>
  <c r="AX42" i="15"/>
  <c r="AU42" i="15"/>
  <c r="AW42" i="15" s="1"/>
  <c r="AR42" i="15"/>
  <c r="AQ42" i="15"/>
  <c r="AN42" i="15"/>
  <c r="AL42" i="15"/>
  <c r="AI42" i="15"/>
  <c r="AH42" i="15"/>
  <c r="AG42" i="15"/>
  <c r="AD42" i="15"/>
  <c r="AC42" i="15"/>
  <c r="Z42" i="15"/>
  <c r="AF42" i="15" s="1"/>
  <c r="Y42" i="15"/>
  <c r="W42" i="15"/>
  <c r="V42" i="15"/>
  <c r="U42" i="15"/>
  <c r="S42" i="15"/>
  <c r="P42" i="15"/>
  <c r="O42" i="15"/>
  <c r="L42" i="15"/>
  <c r="CO41" i="15"/>
  <c r="CN41" i="15" s="1"/>
  <c r="CM41" i="15"/>
  <c r="CK41" i="15"/>
  <c r="CQ41" i="15" s="1"/>
  <c r="CH41" i="15"/>
  <c r="CG41" i="15"/>
  <c r="CD41" i="15"/>
  <c r="CA41" i="15"/>
  <c r="BZ41" i="15"/>
  <c r="BW41" i="15"/>
  <c r="BV41" i="15"/>
  <c r="BT41" i="15"/>
  <c r="BS41" i="15" s="1"/>
  <c r="BP41" i="15"/>
  <c r="BR41" i="15" s="1"/>
  <c r="BQ41" i="15" s="1"/>
  <c r="BM41" i="15"/>
  <c r="BL41" i="15"/>
  <c r="BI41" i="15"/>
  <c r="BH41" i="15"/>
  <c r="BF41" i="15"/>
  <c r="BE41" i="15"/>
  <c r="BB41" i="15"/>
  <c r="AY41" i="15"/>
  <c r="AX41" i="15"/>
  <c r="AU41" i="15"/>
  <c r="BA41" i="15" s="1"/>
  <c r="AR41" i="15"/>
  <c r="AQ41" i="15"/>
  <c r="AP41" i="15"/>
  <c r="AN41" i="15"/>
  <c r="AK41" i="15"/>
  <c r="AJ41" i="15" s="1"/>
  <c r="AG41" i="15"/>
  <c r="AD41" i="15"/>
  <c r="AC41" i="15"/>
  <c r="AB41" i="15"/>
  <c r="Z41" i="15"/>
  <c r="W41" i="15"/>
  <c r="V41" i="15"/>
  <c r="S41" i="15"/>
  <c r="P41" i="15"/>
  <c r="O41" i="15" s="1"/>
  <c r="L41" i="15"/>
  <c r="R41" i="15" s="1"/>
  <c r="J41" i="15"/>
  <c r="CP40" i="15"/>
  <c r="CO40" i="15" s="1"/>
  <c r="CK40" i="15"/>
  <c r="CM40" i="15" s="1"/>
  <c r="CI40" i="15"/>
  <c r="CH40" i="15" s="1"/>
  <c r="CG40" i="15" s="1"/>
  <c r="CD40" i="15"/>
  <c r="CF40" i="15" s="1"/>
  <c r="CE40" i="15" s="1"/>
  <c r="CB40" i="15"/>
  <c r="CA40" i="15" s="1"/>
  <c r="BW40" i="15"/>
  <c r="BU40" i="15"/>
  <c r="BT40" i="15"/>
  <c r="BS40" i="15" s="1"/>
  <c r="BP40" i="15"/>
  <c r="BN40" i="15"/>
  <c r="BM40" i="15" s="1"/>
  <c r="BI40" i="15"/>
  <c r="BK40" i="15" s="1"/>
  <c r="BG40" i="15"/>
  <c r="BD40" i="15"/>
  <c r="BB40" i="15"/>
  <c r="AZ40" i="15"/>
  <c r="AY40" i="15"/>
  <c r="AU40" i="15"/>
  <c r="AS40" i="15"/>
  <c r="AR40" i="15" s="1"/>
  <c r="AN40" i="15"/>
  <c r="AL40" i="15"/>
  <c r="AG40" i="15"/>
  <c r="AE40" i="15"/>
  <c r="AF40" i="15" s="1"/>
  <c r="AD40" i="15"/>
  <c r="AB40" i="15"/>
  <c r="Z40" i="15"/>
  <c r="AA40" i="15" s="1"/>
  <c r="X40" i="15"/>
  <c r="S40" i="15"/>
  <c r="Q40" i="15"/>
  <c r="P40" i="15" s="1"/>
  <c r="O40" i="15" s="1"/>
  <c r="L40" i="15"/>
  <c r="CP39" i="15"/>
  <c r="CO39" i="15" s="1"/>
  <c r="CN39" i="15" s="1"/>
  <c r="CK39" i="15"/>
  <c r="CI39" i="15"/>
  <c r="CH39" i="15" s="1"/>
  <c r="CD39" i="15"/>
  <c r="CB39" i="15"/>
  <c r="CA39" i="15" s="1"/>
  <c r="BZ39" i="15" s="1"/>
  <c r="BW39" i="15"/>
  <c r="BU39" i="15"/>
  <c r="BV39" i="15" s="1"/>
  <c r="BP39" i="15"/>
  <c r="BN39" i="15"/>
  <c r="BJ39" i="15"/>
  <c r="BI39" i="15"/>
  <c r="BK39" i="15" s="1"/>
  <c r="BG39" i="15"/>
  <c r="BE39" i="15" s="1"/>
  <c r="BF39" i="15"/>
  <c r="BB39" i="15"/>
  <c r="AZ39" i="15"/>
  <c r="AU39" i="15"/>
  <c r="AS39" i="15"/>
  <c r="AT39" i="15" s="1"/>
  <c r="AP39" i="15"/>
  <c r="AN39" i="15"/>
  <c r="AL39" i="15"/>
  <c r="AK39" i="15" s="1"/>
  <c r="AJ39" i="15" s="1"/>
  <c r="AG39" i="15"/>
  <c r="AE39" i="15"/>
  <c r="AD39" i="15" s="1"/>
  <c r="AC39" i="15" s="1"/>
  <c r="Z39" i="15"/>
  <c r="X39" i="15"/>
  <c r="Y39" i="15" s="1"/>
  <c r="S39" i="15"/>
  <c r="Q39" i="15"/>
  <c r="L39" i="15"/>
  <c r="E39" i="15" s="1"/>
  <c r="CP38" i="15"/>
  <c r="CO38" i="15" s="1"/>
  <c r="CK38" i="15"/>
  <c r="CM38" i="15" s="1"/>
  <c r="CI38" i="15"/>
  <c r="CD38" i="15"/>
  <c r="CC38" i="15"/>
  <c r="CB38" i="15"/>
  <c r="CA38" i="15" s="1"/>
  <c r="BW38" i="15"/>
  <c r="BY38" i="15" s="1"/>
  <c r="BU38" i="15"/>
  <c r="BT38" i="15" s="1"/>
  <c r="BP38" i="15"/>
  <c r="BN38" i="15"/>
  <c r="BM38" i="15"/>
  <c r="BI38" i="15"/>
  <c r="BG38" i="15"/>
  <c r="BF38" i="15"/>
  <c r="BD38" i="15"/>
  <c r="BB38" i="15"/>
  <c r="AZ38" i="15"/>
  <c r="AY38" i="15"/>
  <c r="AU38" i="15"/>
  <c r="AW38" i="15" s="1"/>
  <c r="AS38" i="15"/>
  <c r="AR38" i="15" s="1"/>
  <c r="AP38" i="15"/>
  <c r="AN38" i="15"/>
  <c r="AL38" i="15"/>
  <c r="AK38" i="15"/>
  <c r="AG38" i="15"/>
  <c r="AE38" i="15"/>
  <c r="AD38" i="15" s="1"/>
  <c r="Z38" i="15"/>
  <c r="X38" i="15"/>
  <c r="W38" i="15" s="1"/>
  <c r="S38" i="15"/>
  <c r="U38" i="15" s="1"/>
  <c r="Q38" i="15"/>
  <c r="L38" i="15"/>
  <c r="N38" i="15" s="1"/>
  <c r="CP37" i="15"/>
  <c r="CM37" i="15"/>
  <c r="CK37" i="15"/>
  <c r="CI37" i="15"/>
  <c r="CH37" i="15" s="1"/>
  <c r="CD37" i="15"/>
  <c r="CB37" i="15"/>
  <c r="BW37" i="15"/>
  <c r="BU37" i="15"/>
  <c r="BT37" i="15" s="1"/>
  <c r="BR37" i="15"/>
  <c r="BQ37" i="15"/>
  <c r="BP37" i="15"/>
  <c r="BN37" i="15"/>
  <c r="BI37" i="15"/>
  <c r="BG37" i="15"/>
  <c r="BF37" i="15" s="1"/>
  <c r="BB37" i="15"/>
  <c r="AZ37" i="15"/>
  <c r="AY37" i="15" s="1"/>
  <c r="AX37" i="15" s="1"/>
  <c r="AU37" i="15"/>
  <c r="BA37" i="15" s="1"/>
  <c r="AS37" i="15"/>
  <c r="AR37" i="15" s="1"/>
  <c r="AN37" i="15"/>
  <c r="AL37" i="15"/>
  <c r="AK37" i="15" s="1"/>
  <c r="AG37" i="15"/>
  <c r="AE37" i="15"/>
  <c r="AF37" i="15" s="1"/>
  <c r="AA37" i="15"/>
  <c r="Z37" i="15"/>
  <c r="AB37" i="15" s="1"/>
  <c r="X37" i="15"/>
  <c r="W37" i="15" s="1"/>
  <c r="V37" i="15" s="1"/>
  <c r="U37" i="15"/>
  <c r="S37" i="15"/>
  <c r="Q37" i="15"/>
  <c r="P37" i="15" s="1"/>
  <c r="L37" i="15"/>
  <c r="N37" i="15" s="1"/>
  <c r="CP36" i="15"/>
  <c r="CO36" i="15" s="1"/>
  <c r="CK36" i="15"/>
  <c r="CM36" i="15" s="1"/>
  <c r="CI36" i="15"/>
  <c r="CD36" i="15"/>
  <c r="CB36" i="15"/>
  <c r="CA36" i="15"/>
  <c r="BW36" i="15"/>
  <c r="BU36" i="15"/>
  <c r="BP36" i="15"/>
  <c r="BR36" i="15" s="1"/>
  <c r="BN36" i="15"/>
  <c r="BI36" i="15"/>
  <c r="BG36" i="15"/>
  <c r="BB36" i="15"/>
  <c r="BD36" i="15" s="1"/>
  <c r="AZ36" i="15"/>
  <c r="AY36" i="15" s="1"/>
  <c r="AU36" i="15"/>
  <c r="AS36" i="15"/>
  <c r="AR36" i="15" s="1"/>
  <c r="AQ36" i="15" s="1"/>
  <c r="AP36" i="15"/>
  <c r="AN36" i="15"/>
  <c r="AT36" i="15" s="1"/>
  <c r="AL36" i="15"/>
  <c r="AK36" i="15" s="1"/>
  <c r="AG36" i="15"/>
  <c r="AE36" i="15"/>
  <c r="Z36" i="15"/>
  <c r="X36" i="15"/>
  <c r="W36" i="15"/>
  <c r="S36" i="15"/>
  <c r="Y36" i="15" s="1"/>
  <c r="Q36" i="15"/>
  <c r="L36" i="15"/>
  <c r="N36" i="15" s="1"/>
  <c r="CO35" i="15"/>
  <c r="CN35" i="15"/>
  <c r="CK35" i="15"/>
  <c r="CJ35" i="15"/>
  <c r="CH35" i="15"/>
  <c r="CG35" i="15"/>
  <c r="CF35" i="15"/>
  <c r="CD35" i="15"/>
  <c r="CA35" i="15"/>
  <c r="BZ35" i="15"/>
  <c r="BW35" i="15"/>
  <c r="BT35" i="15"/>
  <c r="BS35" i="15"/>
  <c r="BP35" i="15"/>
  <c r="BM35" i="15"/>
  <c r="BL35" i="15"/>
  <c r="BI35" i="15"/>
  <c r="BH35" i="15"/>
  <c r="BF35" i="15"/>
  <c r="BE35" i="15" s="1"/>
  <c r="BB35" i="15"/>
  <c r="BD35" i="15" s="1"/>
  <c r="AY35" i="15"/>
  <c r="AX35" i="15"/>
  <c r="AW35" i="15"/>
  <c r="AV35" i="15" s="1"/>
  <c r="AU35" i="15"/>
  <c r="BA35" i="15" s="1"/>
  <c r="AR35" i="15"/>
  <c r="AQ35" i="15"/>
  <c r="AN35" i="15"/>
  <c r="AK35" i="15"/>
  <c r="AJ35" i="15"/>
  <c r="AG35" i="15"/>
  <c r="AF35" i="15"/>
  <c r="AD35" i="15"/>
  <c r="AC35" i="15"/>
  <c r="Z35" i="15"/>
  <c r="W35" i="15"/>
  <c r="V35" i="15"/>
  <c r="U35" i="15"/>
  <c r="T35" i="15"/>
  <c r="S35" i="15"/>
  <c r="Y35" i="15" s="1"/>
  <c r="Q35" i="15"/>
  <c r="P35" i="15"/>
  <c r="I35" i="15" s="1"/>
  <c r="O35" i="15"/>
  <c r="L35" i="15"/>
  <c r="J35" i="15"/>
  <c r="CO34" i="15"/>
  <c r="CN34" i="15"/>
  <c r="CK34" i="15"/>
  <c r="CH34" i="15"/>
  <c r="CG34" i="15" s="1"/>
  <c r="CD34" i="15"/>
  <c r="CC34" i="15"/>
  <c r="CA34" i="15"/>
  <c r="BZ34" i="15"/>
  <c r="BW34" i="15"/>
  <c r="BV34" i="15"/>
  <c r="BT34" i="15"/>
  <c r="BS34" i="15" s="1"/>
  <c r="BR34" i="15"/>
  <c r="BP34" i="15"/>
  <c r="BM34" i="15"/>
  <c r="BL34" i="15"/>
  <c r="BI34" i="15"/>
  <c r="BF34" i="15"/>
  <c r="BE34" i="15" s="1"/>
  <c r="BB34" i="15"/>
  <c r="BA34" i="15"/>
  <c r="AY34" i="15"/>
  <c r="AX34" i="15" s="1"/>
  <c r="AU34" i="15"/>
  <c r="AR34" i="15"/>
  <c r="AQ34" i="15"/>
  <c r="AN34" i="15"/>
  <c r="AT34" i="15" s="1"/>
  <c r="AK34" i="15"/>
  <c r="AJ34" i="15"/>
  <c r="AG34" i="15"/>
  <c r="AM34" i="15" s="1"/>
  <c r="AD34" i="15"/>
  <c r="AC34" i="15" s="1"/>
  <c r="AA34" i="15"/>
  <c r="Z34" i="15"/>
  <c r="AB34" i="15" s="1"/>
  <c r="Y34" i="15"/>
  <c r="W34" i="15"/>
  <c r="V34" i="15"/>
  <c r="S34" i="15"/>
  <c r="Q34" i="15"/>
  <c r="P34" i="15" s="1"/>
  <c r="I34" i="15" s="1"/>
  <c r="N34" i="15"/>
  <c r="L34" i="15"/>
  <c r="CQ33" i="15"/>
  <c r="CO33" i="15"/>
  <c r="CN33" i="15" s="1"/>
  <c r="CK33" i="15"/>
  <c r="CM33" i="15" s="1"/>
  <c r="CL33" i="15" s="1"/>
  <c r="CH33" i="15"/>
  <c r="CG33" i="15"/>
  <c r="CD33" i="15"/>
  <c r="CC33" i="15"/>
  <c r="CA33" i="15"/>
  <c r="BZ33" i="15"/>
  <c r="BW33" i="15"/>
  <c r="BY33" i="15" s="1"/>
  <c r="BT33" i="15"/>
  <c r="BS33" i="15"/>
  <c r="BP33" i="15"/>
  <c r="BV33" i="15" s="1"/>
  <c r="BO33" i="15"/>
  <c r="BM33" i="15"/>
  <c r="BL33" i="15"/>
  <c r="BI33" i="15"/>
  <c r="BK33" i="15" s="1"/>
  <c r="BF33" i="15"/>
  <c r="BE33" i="15" s="1"/>
  <c r="BB33" i="15"/>
  <c r="AY33" i="15"/>
  <c r="AX33" i="15"/>
  <c r="AU33" i="15"/>
  <c r="AW33" i="15" s="1"/>
  <c r="AR33" i="15"/>
  <c r="AQ33" i="15"/>
  <c r="AN33" i="15"/>
  <c r="AK33" i="15"/>
  <c r="AJ33" i="15" s="1"/>
  <c r="AI33" i="15"/>
  <c r="AH33" i="15" s="1"/>
  <c r="AG33" i="15"/>
  <c r="AM33" i="15" s="1"/>
  <c r="AD33" i="15"/>
  <c r="AC33" i="15"/>
  <c r="Z33" i="15"/>
  <c r="W33" i="15"/>
  <c r="V33" i="15"/>
  <c r="S33" i="15"/>
  <c r="R33" i="15"/>
  <c r="Q33" i="15"/>
  <c r="P33" i="15"/>
  <c r="I33" i="15" s="1"/>
  <c r="L33" i="15"/>
  <c r="N33" i="15" s="1"/>
  <c r="J33" i="15"/>
  <c r="CO32" i="15"/>
  <c r="CN32" i="15" s="1"/>
  <c r="CK32" i="15"/>
  <c r="CJ32" i="15"/>
  <c r="CH32" i="15"/>
  <c r="CG32" i="15" s="1"/>
  <c r="CD32" i="15"/>
  <c r="CA32" i="15"/>
  <c r="BZ32" i="15" s="1"/>
  <c r="BW32" i="15"/>
  <c r="BT32" i="15"/>
  <c r="BS32" i="15"/>
  <c r="BP32" i="15"/>
  <c r="BM32" i="15"/>
  <c r="BL32" i="15" s="1"/>
  <c r="BI32" i="15"/>
  <c r="BH32" i="15"/>
  <c r="BF32" i="15"/>
  <c r="BE32" i="15"/>
  <c r="BB32" i="15"/>
  <c r="BD32" i="15" s="1"/>
  <c r="AY32" i="15"/>
  <c r="AX32" i="15"/>
  <c r="AU32" i="15"/>
  <c r="AR32" i="15"/>
  <c r="AQ32" i="15"/>
  <c r="AN32" i="15"/>
  <c r="AL32" i="15"/>
  <c r="AG32" i="15"/>
  <c r="AI32" i="15" s="1"/>
  <c r="AE32" i="15"/>
  <c r="AD32" i="15"/>
  <c r="Z32" i="15"/>
  <c r="X32" i="15"/>
  <c r="W32" i="15" s="1"/>
  <c r="V32" i="15"/>
  <c r="S32" i="15"/>
  <c r="Q32" i="15"/>
  <c r="J32" i="15" s="1"/>
  <c r="P32" i="15"/>
  <c r="O32" i="15" s="1"/>
  <c r="L32" i="15"/>
  <c r="N32" i="15" s="1"/>
  <c r="CP31" i="15"/>
  <c r="CO31" i="15" s="1"/>
  <c r="CK31" i="15"/>
  <c r="CQ31" i="15" s="1"/>
  <c r="CI31" i="15"/>
  <c r="CH31" i="15" s="1"/>
  <c r="CG31" i="15"/>
  <c r="CD31" i="15"/>
  <c r="CB31" i="15"/>
  <c r="CC31" i="15" s="1"/>
  <c r="BX31" i="15"/>
  <c r="BW31" i="15"/>
  <c r="BY31" i="15" s="1"/>
  <c r="BU31" i="15"/>
  <c r="BS31" i="15" s="1"/>
  <c r="BT31" i="15"/>
  <c r="BP31" i="15"/>
  <c r="BN31" i="15"/>
  <c r="BM31" i="15" s="1"/>
  <c r="BI31" i="15"/>
  <c r="BG31" i="15"/>
  <c r="BF31" i="15" s="1"/>
  <c r="BB31" i="15"/>
  <c r="AZ31" i="15"/>
  <c r="BA31" i="15" s="1"/>
  <c r="AW31" i="15"/>
  <c r="AU31" i="15"/>
  <c r="AS31" i="15"/>
  <c r="AR31" i="15" s="1"/>
  <c r="AN31" i="15"/>
  <c r="AL31" i="15"/>
  <c r="AG31" i="15"/>
  <c r="AE31" i="15"/>
  <c r="AD31" i="15" s="1"/>
  <c r="Z31" i="15"/>
  <c r="AB31" i="15" s="1"/>
  <c r="X31" i="15"/>
  <c r="W31" i="15" s="1"/>
  <c r="V31" i="15" s="1"/>
  <c r="S31" i="15"/>
  <c r="U31" i="15" s="1"/>
  <c r="T31" i="15" s="1"/>
  <c r="Q31" i="15"/>
  <c r="L31" i="15"/>
  <c r="CQ30" i="15"/>
  <c r="CP30" i="15"/>
  <c r="CO30" i="15"/>
  <c r="CK30" i="15"/>
  <c r="CI30" i="15"/>
  <c r="CD30" i="15"/>
  <c r="CB30" i="15"/>
  <c r="CA30" i="15" s="1"/>
  <c r="BW30" i="15"/>
  <c r="BU30" i="15"/>
  <c r="BT30" i="15" s="1"/>
  <c r="BS30" i="15" s="1"/>
  <c r="BP30" i="15"/>
  <c r="BN30" i="15"/>
  <c r="BM30" i="15" s="1"/>
  <c r="BL30" i="15"/>
  <c r="BI30" i="15"/>
  <c r="BG30" i="15"/>
  <c r="BF30" i="15" s="1"/>
  <c r="BB30" i="15"/>
  <c r="AZ30" i="15"/>
  <c r="AU30" i="15"/>
  <c r="AS30" i="15"/>
  <c r="AR30" i="15" s="1"/>
  <c r="AQ30" i="15"/>
  <c r="AN30" i="15"/>
  <c r="AT30" i="15" s="1"/>
  <c r="AL30" i="15"/>
  <c r="AI30" i="15"/>
  <c r="AH30" i="15"/>
  <c r="AG30" i="15"/>
  <c r="AE30" i="15"/>
  <c r="AD30" i="15" s="1"/>
  <c r="Z30" i="15"/>
  <c r="X30" i="15"/>
  <c r="W30" i="15" s="1"/>
  <c r="S30" i="15"/>
  <c r="Q30" i="15"/>
  <c r="P30" i="15" s="1"/>
  <c r="L30" i="15"/>
  <c r="B30" i="15" s="1"/>
  <c r="CO29" i="15"/>
  <c r="CN29" i="15"/>
  <c r="CK29" i="15"/>
  <c r="CQ29" i="15" s="1"/>
  <c r="CH29" i="15"/>
  <c r="CG29" i="15" s="1"/>
  <c r="CD29" i="15"/>
  <c r="CA29" i="15"/>
  <c r="BZ29" i="15"/>
  <c r="BY29" i="15"/>
  <c r="BW29" i="15"/>
  <c r="BT29" i="15"/>
  <c r="BS29" i="15"/>
  <c r="BP29" i="15"/>
  <c r="BM29" i="15"/>
  <c r="BL29" i="15" s="1"/>
  <c r="BK29" i="15"/>
  <c r="BI29" i="15"/>
  <c r="BF29" i="15"/>
  <c r="BE29" i="15" s="1"/>
  <c r="BB29" i="15"/>
  <c r="AY29" i="15"/>
  <c r="AX29" i="15"/>
  <c r="AU29" i="15"/>
  <c r="BA29" i="15" s="1"/>
  <c r="AR29" i="15"/>
  <c r="AQ29" i="15"/>
  <c r="AN29" i="15"/>
  <c r="AK29" i="15"/>
  <c r="AJ29" i="15"/>
  <c r="AG29" i="15"/>
  <c r="AD29" i="15"/>
  <c r="AC29" i="15" s="1"/>
  <c r="Z29" i="15"/>
  <c r="Y29" i="15"/>
  <c r="W29" i="15"/>
  <c r="I29" i="15" s="1"/>
  <c r="S29" i="15"/>
  <c r="U29" i="15" s="1"/>
  <c r="P29" i="15"/>
  <c r="O29" i="15"/>
  <c r="L29" i="15"/>
  <c r="J29" i="15"/>
  <c r="CQ28" i="15"/>
  <c r="CO28" i="15"/>
  <c r="CN28" i="15"/>
  <c r="CK28" i="15"/>
  <c r="CM28" i="15" s="1"/>
  <c r="CH28" i="15"/>
  <c r="CG28" i="15"/>
  <c r="CD28" i="15"/>
  <c r="CF28" i="15" s="1"/>
  <c r="CA28" i="15"/>
  <c r="BZ28" i="15" s="1"/>
  <c r="BW28" i="15"/>
  <c r="BT28" i="15"/>
  <c r="BS28" i="15"/>
  <c r="BP28" i="15"/>
  <c r="BV28" i="15" s="1"/>
  <c r="BM28" i="15"/>
  <c r="BL28" i="15"/>
  <c r="BI28" i="15"/>
  <c r="BK28" i="15" s="1"/>
  <c r="BF28" i="15"/>
  <c r="BE28" i="15"/>
  <c r="BB28" i="15"/>
  <c r="BA28" i="15"/>
  <c r="AY28" i="15"/>
  <c r="AX28" i="15" s="1"/>
  <c r="AW28" i="15"/>
  <c r="AU28" i="15"/>
  <c r="AR28" i="15"/>
  <c r="AQ28" i="15"/>
  <c r="AN28" i="15"/>
  <c r="AP28" i="15" s="1"/>
  <c r="AM28" i="15"/>
  <c r="AK28" i="15"/>
  <c r="AJ28" i="15"/>
  <c r="AH28" i="15"/>
  <c r="AG28" i="15"/>
  <c r="AI28" i="15" s="1"/>
  <c r="AD28" i="15"/>
  <c r="AC28" i="15" s="1"/>
  <c r="Z28" i="15"/>
  <c r="Y28" i="15"/>
  <c r="W28" i="15"/>
  <c r="U28" i="15"/>
  <c r="T28" i="15"/>
  <c r="S28" i="15"/>
  <c r="P28" i="15"/>
  <c r="O28" i="15"/>
  <c r="L28" i="15"/>
  <c r="J28" i="15"/>
  <c r="CQ27" i="15"/>
  <c r="CO27" i="15"/>
  <c r="CN27" i="15"/>
  <c r="CK27" i="15"/>
  <c r="CH27" i="15"/>
  <c r="CG27" i="15"/>
  <c r="CD27" i="15"/>
  <c r="CA27" i="15"/>
  <c r="BZ27" i="15"/>
  <c r="BW27" i="15"/>
  <c r="BV27" i="15"/>
  <c r="BT27" i="15"/>
  <c r="BS27" i="15" s="1"/>
  <c r="BP27" i="15"/>
  <c r="BO27" i="15"/>
  <c r="BM27" i="15"/>
  <c r="BL27" i="15"/>
  <c r="BK27" i="15"/>
  <c r="BI27" i="15"/>
  <c r="BF27" i="15"/>
  <c r="BE27" i="15"/>
  <c r="BB27" i="15"/>
  <c r="AY27" i="15"/>
  <c r="AX27" i="15" s="1"/>
  <c r="AU27" i="15"/>
  <c r="BA27" i="15" s="1"/>
  <c r="AT27" i="15"/>
  <c r="AR27" i="15"/>
  <c r="AQ27" i="15" s="1"/>
  <c r="AN27" i="15"/>
  <c r="AP27" i="15" s="1"/>
  <c r="AO27" i="15" s="1"/>
  <c r="AK27" i="15"/>
  <c r="AJ27" i="15"/>
  <c r="AG27" i="15"/>
  <c r="AF27" i="15"/>
  <c r="AD27" i="15"/>
  <c r="AC27" i="15" s="1"/>
  <c r="AB27" i="15"/>
  <c r="Z27" i="15"/>
  <c r="W27" i="15"/>
  <c r="I27" i="15" s="1"/>
  <c r="V27" i="15"/>
  <c r="H27" i="15" s="1"/>
  <c r="S27" i="15"/>
  <c r="P27" i="15"/>
  <c r="O27" i="15" s="1"/>
  <c r="L27" i="15"/>
  <c r="J27" i="15"/>
  <c r="CO26" i="15"/>
  <c r="CN26" i="15" s="1"/>
  <c r="CK26" i="15"/>
  <c r="CJ26" i="15"/>
  <c r="CH26" i="15"/>
  <c r="CG26" i="15"/>
  <c r="CD26" i="15"/>
  <c r="CF26" i="15" s="1"/>
  <c r="CC26" i="15"/>
  <c r="CA26" i="15"/>
  <c r="BZ26" i="15"/>
  <c r="BX26" i="15"/>
  <c r="BW26" i="15"/>
  <c r="BY26" i="15" s="1"/>
  <c r="BT26" i="15"/>
  <c r="BS26" i="15" s="1"/>
  <c r="BP26" i="15"/>
  <c r="BV26" i="15" s="1"/>
  <c r="BO26" i="15"/>
  <c r="BM26" i="15"/>
  <c r="BL26" i="15" s="1"/>
  <c r="BK26" i="15"/>
  <c r="BI26" i="15"/>
  <c r="BJ26" i="15" s="1"/>
  <c r="BF26" i="15"/>
  <c r="BE26" i="15"/>
  <c r="BB26" i="15"/>
  <c r="BH26" i="15" s="1"/>
  <c r="AY26" i="15"/>
  <c r="AX26" i="15" s="1"/>
  <c r="AW26" i="15"/>
  <c r="AU26" i="15"/>
  <c r="BA26" i="15" s="1"/>
  <c r="AR26" i="15"/>
  <c r="AQ26" i="15"/>
  <c r="AN26" i="15"/>
  <c r="AK26" i="15"/>
  <c r="AJ26" i="15" s="1"/>
  <c r="AG26" i="15"/>
  <c r="AM26" i="15" s="1"/>
  <c r="AF26" i="15"/>
  <c r="AD26" i="15"/>
  <c r="AC26" i="15" s="1"/>
  <c r="Z26" i="15"/>
  <c r="AB26" i="15" s="1"/>
  <c r="W26" i="15"/>
  <c r="V26" i="15"/>
  <c r="S26" i="15"/>
  <c r="Y26" i="15" s="1"/>
  <c r="P26" i="15"/>
  <c r="L26" i="15"/>
  <c r="J26" i="15"/>
  <c r="CO25" i="15"/>
  <c r="CN25" i="15" s="1"/>
  <c r="CM25" i="15"/>
  <c r="CK25" i="15"/>
  <c r="CQ25" i="15" s="1"/>
  <c r="CJ25" i="15"/>
  <c r="CH25" i="15"/>
  <c r="CG25" i="15" s="1"/>
  <c r="CF25" i="15"/>
  <c r="CE25" i="15" s="1"/>
  <c r="CD25" i="15"/>
  <c r="CA25" i="15"/>
  <c r="BZ25" i="15"/>
  <c r="BW25" i="15"/>
  <c r="CC25" i="15" s="1"/>
  <c r="BV25" i="15"/>
  <c r="BT25" i="15"/>
  <c r="BS25" i="15" s="1"/>
  <c r="BR25" i="15"/>
  <c r="BP25" i="15"/>
  <c r="BM25" i="15"/>
  <c r="BL25" i="15"/>
  <c r="BI25" i="15"/>
  <c r="BH25" i="15"/>
  <c r="BF25" i="15"/>
  <c r="BE25" i="15" s="1"/>
  <c r="BB25" i="15"/>
  <c r="AY25" i="15"/>
  <c r="AX25" i="15" s="1"/>
  <c r="AW25" i="15"/>
  <c r="AU25" i="15"/>
  <c r="BA25" i="15" s="1"/>
  <c r="AR25" i="15"/>
  <c r="AQ25" i="15"/>
  <c r="AP25" i="15"/>
  <c r="AO25" i="15" s="1"/>
  <c r="AN25" i="15"/>
  <c r="AT25" i="15" s="1"/>
  <c r="AK25" i="15"/>
  <c r="AJ25" i="15" s="1"/>
  <c r="AG25" i="15"/>
  <c r="AF25" i="15"/>
  <c r="AD25" i="15"/>
  <c r="AC25" i="15" s="1"/>
  <c r="AB25" i="15"/>
  <c r="AA25" i="15" s="1"/>
  <c r="Z25" i="15"/>
  <c r="W25" i="15"/>
  <c r="V25" i="15"/>
  <c r="S25" i="15"/>
  <c r="P25" i="15"/>
  <c r="O25" i="15"/>
  <c r="L25" i="15"/>
  <c r="J25" i="15"/>
  <c r="CO24" i="15"/>
  <c r="CN24" i="15"/>
  <c r="CK24" i="15"/>
  <c r="CJ24" i="15"/>
  <c r="CH24" i="15"/>
  <c r="CG24" i="15"/>
  <c r="CD24" i="15"/>
  <c r="CF24" i="15" s="1"/>
  <c r="CA24" i="15"/>
  <c r="BZ24" i="15" s="1"/>
  <c r="BW24" i="15"/>
  <c r="BT24" i="15"/>
  <c r="BS24" i="15"/>
  <c r="BP24" i="15"/>
  <c r="BM24" i="15"/>
  <c r="BL24" i="15"/>
  <c r="BI24" i="15"/>
  <c r="BK24" i="15" s="1"/>
  <c r="BH24" i="15"/>
  <c r="BF24" i="15"/>
  <c r="BE24" i="15"/>
  <c r="BB24" i="15"/>
  <c r="BD24" i="15" s="1"/>
  <c r="BA24" i="15"/>
  <c r="AY24" i="15"/>
  <c r="AX24" i="15" s="1"/>
  <c r="AW24" i="15"/>
  <c r="AV24" i="15" s="1"/>
  <c r="AU24" i="15"/>
  <c r="AR24" i="15"/>
  <c r="AQ24" i="15"/>
  <c r="AN24" i="15"/>
  <c r="AT24" i="15" s="1"/>
  <c r="AM24" i="15"/>
  <c r="AK24" i="15"/>
  <c r="AJ24" i="15"/>
  <c r="AG24" i="15"/>
  <c r="AI24" i="15" s="1"/>
  <c r="AD24" i="15"/>
  <c r="AC24" i="15"/>
  <c r="Z24" i="15"/>
  <c r="AB24" i="15" s="1"/>
  <c r="Y24" i="15"/>
  <c r="W24" i="15"/>
  <c r="V24" i="15" s="1"/>
  <c r="U24" i="15"/>
  <c r="S24" i="15"/>
  <c r="P24" i="15"/>
  <c r="O24" i="15"/>
  <c r="L24" i="15"/>
  <c r="J24" i="15"/>
  <c r="CO23" i="15"/>
  <c r="CN23" i="15"/>
  <c r="CK23" i="15"/>
  <c r="CH23" i="15"/>
  <c r="CG23" i="15"/>
  <c r="CD23" i="15"/>
  <c r="CF23" i="15" s="1"/>
  <c r="CA23" i="15"/>
  <c r="BZ23" i="15"/>
  <c r="BW23" i="15"/>
  <c r="BV23" i="15"/>
  <c r="BT23" i="15"/>
  <c r="BS23" i="15"/>
  <c r="BP23" i="15"/>
  <c r="BM23" i="15"/>
  <c r="BL23" i="15"/>
  <c r="BI23" i="15"/>
  <c r="BO23" i="15" s="1"/>
  <c r="BF23" i="15"/>
  <c r="BE23" i="15"/>
  <c r="BC23" i="15"/>
  <c r="BB23" i="15"/>
  <c r="BD23" i="15" s="1"/>
  <c r="BA23" i="15"/>
  <c r="AY23" i="15"/>
  <c r="AX23" i="15"/>
  <c r="AU23" i="15"/>
  <c r="AW23" i="15" s="1"/>
  <c r="AR23" i="15"/>
  <c r="I23" i="15" s="1"/>
  <c r="AQ23" i="15"/>
  <c r="AN23" i="15"/>
  <c r="AK23" i="15"/>
  <c r="AJ23" i="15"/>
  <c r="AG23" i="15"/>
  <c r="AD23" i="15"/>
  <c r="AC23" i="15"/>
  <c r="Z23" i="15"/>
  <c r="AF23" i="15" s="1"/>
  <c r="Y23" i="15"/>
  <c r="W23" i="15"/>
  <c r="V23" i="15"/>
  <c r="H23" i="15" s="1"/>
  <c r="S23" i="15"/>
  <c r="U23" i="15" s="1"/>
  <c r="R23" i="15"/>
  <c r="P23" i="15"/>
  <c r="O23" i="15"/>
  <c r="N23" i="15"/>
  <c r="M23" i="15"/>
  <c r="L23" i="15"/>
  <c r="J23" i="15"/>
  <c r="CO22" i="15"/>
  <c r="CN22" i="15"/>
  <c r="CM22" i="15"/>
  <c r="CL22" i="15" s="1"/>
  <c r="CK22" i="15"/>
  <c r="CQ22" i="15" s="1"/>
  <c r="CH22" i="15"/>
  <c r="CG22" i="15"/>
  <c r="CD22" i="15"/>
  <c r="CJ22" i="15" s="1"/>
  <c r="CC22" i="15"/>
  <c r="CA22" i="15"/>
  <c r="BZ22" i="15"/>
  <c r="BW22" i="15"/>
  <c r="BY22" i="15" s="1"/>
  <c r="BT22" i="15"/>
  <c r="BS22" i="15"/>
  <c r="BP22" i="15"/>
  <c r="BR22" i="15" s="1"/>
  <c r="BO22" i="15"/>
  <c r="BM22" i="15"/>
  <c r="BL22" i="15" s="1"/>
  <c r="BK22" i="15"/>
  <c r="BJ22" i="15" s="1"/>
  <c r="BI22" i="15"/>
  <c r="BF22" i="15"/>
  <c r="BE22" i="15"/>
  <c r="BB22" i="15"/>
  <c r="AY22" i="15"/>
  <c r="AX22" i="15"/>
  <c r="AU22" i="15"/>
  <c r="AW22" i="15" s="1"/>
  <c r="AR22" i="15"/>
  <c r="AQ22" i="15"/>
  <c r="AN22" i="15"/>
  <c r="AK22" i="15"/>
  <c r="I22" i="15" s="1"/>
  <c r="AJ22" i="15"/>
  <c r="AG22" i="15"/>
  <c r="AD22" i="15"/>
  <c r="AC22" i="15"/>
  <c r="AB22" i="15"/>
  <c r="AA22" i="15"/>
  <c r="Z22" i="15"/>
  <c r="AF22" i="15" s="1"/>
  <c r="W22" i="15"/>
  <c r="V22" i="15"/>
  <c r="S22" i="15"/>
  <c r="U22" i="15" s="1"/>
  <c r="R22" i="15"/>
  <c r="P22" i="15"/>
  <c r="O22" i="15"/>
  <c r="L22" i="15"/>
  <c r="N22" i="15" s="1"/>
  <c r="J22" i="15"/>
  <c r="CO21" i="15"/>
  <c r="CN21" i="15"/>
  <c r="CK21" i="15"/>
  <c r="CJ21" i="15"/>
  <c r="CH21" i="15"/>
  <c r="CG21" i="15"/>
  <c r="CD21" i="15"/>
  <c r="CA21" i="15"/>
  <c r="BZ21" i="15"/>
  <c r="BY21" i="15"/>
  <c r="BX21" i="15"/>
  <c r="BW21" i="15"/>
  <c r="CC21" i="15" s="1"/>
  <c r="BT21" i="15"/>
  <c r="BS21" i="15"/>
  <c r="BP21" i="15"/>
  <c r="BR21" i="15" s="1"/>
  <c r="BM21" i="15"/>
  <c r="BL21" i="15"/>
  <c r="BI21" i="15"/>
  <c r="BF21" i="15"/>
  <c r="I21" i="15" s="1"/>
  <c r="BB21" i="15"/>
  <c r="BH21" i="15" s="1"/>
  <c r="AY21" i="15"/>
  <c r="AX21" i="15"/>
  <c r="AW21" i="15"/>
  <c r="AV21" i="15" s="1"/>
  <c r="AU21" i="15"/>
  <c r="BA21" i="15" s="1"/>
  <c r="AR21" i="15"/>
  <c r="AQ21" i="15"/>
  <c r="AN21" i="15"/>
  <c r="AM21" i="15"/>
  <c r="AK21" i="15"/>
  <c r="AJ21" i="15"/>
  <c r="AG21" i="15"/>
  <c r="AI21" i="15" s="1"/>
  <c r="AD21" i="15"/>
  <c r="AC21" i="15"/>
  <c r="AB21" i="15"/>
  <c r="AA21" i="15"/>
  <c r="Z21" i="15"/>
  <c r="AF21" i="15" s="1"/>
  <c r="W21" i="15"/>
  <c r="V21" i="15"/>
  <c r="S21" i="15"/>
  <c r="Y21" i="15" s="1"/>
  <c r="P21" i="15"/>
  <c r="O21" i="15"/>
  <c r="L21" i="15"/>
  <c r="J21" i="15"/>
  <c r="CO20" i="15"/>
  <c r="CN20" i="15"/>
  <c r="CK20" i="15"/>
  <c r="CM20" i="15" s="1"/>
  <c r="CH20" i="15"/>
  <c r="CG20" i="15"/>
  <c r="CD20" i="15"/>
  <c r="CA20" i="15"/>
  <c r="BZ20" i="15"/>
  <c r="BW20" i="15"/>
  <c r="BT20" i="15"/>
  <c r="BS20" i="15"/>
  <c r="BP20" i="15"/>
  <c r="BV20" i="15" s="1"/>
  <c r="BM20" i="15"/>
  <c r="BL20" i="15"/>
  <c r="BI20" i="15"/>
  <c r="BH20" i="15"/>
  <c r="BF20" i="15"/>
  <c r="BE20" i="15"/>
  <c r="BB20" i="15"/>
  <c r="BD20" i="15" s="1"/>
  <c r="BA20" i="15"/>
  <c r="AY20" i="15"/>
  <c r="AX20" i="15"/>
  <c r="AW20" i="15"/>
  <c r="AV20" i="15"/>
  <c r="AU20" i="15"/>
  <c r="AR20" i="15"/>
  <c r="AQ20" i="15"/>
  <c r="AN20" i="15"/>
  <c r="AK20" i="15"/>
  <c r="AJ20" i="15"/>
  <c r="AG20" i="15"/>
  <c r="AI20" i="15" s="1"/>
  <c r="AD20" i="15"/>
  <c r="AC20" i="15"/>
  <c r="Z20" i="15"/>
  <c r="AB20" i="15" s="1"/>
  <c r="Y20" i="15"/>
  <c r="W20" i="15"/>
  <c r="V20" i="15"/>
  <c r="S20" i="15"/>
  <c r="U20" i="15" s="1"/>
  <c r="P20" i="15"/>
  <c r="I20" i="15" s="1"/>
  <c r="O20" i="15"/>
  <c r="L20" i="15"/>
  <c r="N20" i="15" s="1"/>
  <c r="J20" i="15"/>
  <c r="CO19" i="15"/>
  <c r="CN19" i="15"/>
  <c r="CK19" i="15"/>
  <c r="CJ19" i="15"/>
  <c r="CH19" i="15"/>
  <c r="CG19" i="15"/>
  <c r="CD19" i="15"/>
  <c r="CF19" i="15" s="1"/>
  <c r="CA19" i="15"/>
  <c r="BZ19" i="15"/>
  <c r="BW19" i="15"/>
  <c r="BV19" i="15"/>
  <c r="BT19" i="15"/>
  <c r="BS19" i="15" s="1"/>
  <c r="BP19" i="15"/>
  <c r="BR19" i="15" s="1"/>
  <c r="BM19" i="15"/>
  <c r="BL19" i="15"/>
  <c r="BK19" i="15"/>
  <c r="BJ19" i="15" s="1"/>
  <c r="BI19" i="15"/>
  <c r="BO19" i="15" s="1"/>
  <c r="BF19" i="15"/>
  <c r="BE19" i="15"/>
  <c r="BB19" i="15"/>
  <c r="BA19" i="15"/>
  <c r="AY19" i="15"/>
  <c r="AX19" i="15"/>
  <c r="AU19" i="15"/>
  <c r="AW19" i="15" s="1"/>
  <c r="AT19" i="15"/>
  <c r="AR19" i="15"/>
  <c r="AQ19" i="15"/>
  <c r="AN19" i="15"/>
  <c r="AP19" i="15" s="1"/>
  <c r="AO19" i="15" s="1"/>
  <c r="AK19" i="15"/>
  <c r="AJ19" i="15"/>
  <c r="AI19" i="15"/>
  <c r="AG19" i="15"/>
  <c r="AM19" i="15" s="1"/>
  <c r="AD19" i="15"/>
  <c r="AC19" i="15"/>
  <c r="Z19" i="15"/>
  <c r="AF19" i="15" s="1"/>
  <c r="Y19" i="15"/>
  <c r="W19" i="15"/>
  <c r="V19" i="15"/>
  <c r="S19" i="15"/>
  <c r="U19" i="15" s="1"/>
  <c r="P19" i="15"/>
  <c r="O19" i="15" s="1"/>
  <c r="L19" i="15"/>
  <c r="J19" i="15"/>
  <c r="I19" i="15"/>
  <c r="CO18" i="15"/>
  <c r="CN18" i="15"/>
  <c r="CK18" i="15"/>
  <c r="CH18" i="15"/>
  <c r="CG18" i="15" s="1"/>
  <c r="CD18" i="15"/>
  <c r="CJ18" i="15" s="1"/>
  <c r="CC18" i="15"/>
  <c r="CA18" i="15"/>
  <c r="BZ18" i="15"/>
  <c r="BY18" i="15"/>
  <c r="BW18" i="15"/>
  <c r="BT18" i="15"/>
  <c r="BS18" i="15"/>
  <c r="BP18" i="15"/>
  <c r="BO18" i="15"/>
  <c r="BM18" i="15"/>
  <c r="BL18" i="15" s="1"/>
  <c r="BK18" i="15"/>
  <c r="BJ18" i="15"/>
  <c r="BI18" i="15"/>
  <c r="BF18" i="15"/>
  <c r="BE18" i="15"/>
  <c r="BB18" i="15"/>
  <c r="BH18" i="15" s="1"/>
  <c r="BA18" i="15"/>
  <c r="AY18" i="15"/>
  <c r="AX18" i="15"/>
  <c r="AU18" i="15"/>
  <c r="AW18" i="15" s="1"/>
  <c r="AV18" i="15" s="1"/>
  <c r="AR18" i="15"/>
  <c r="AQ18" i="15"/>
  <c r="AN18" i="15"/>
  <c r="AT18" i="15" s="1"/>
  <c r="AM18" i="15"/>
  <c r="AK18" i="15"/>
  <c r="AJ18" i="15" s="1"/>
  <c r="AG18" i="15"/>
  <c r="AI18" i="15" s="1"/>
  <c r="AD18" i="15"/>
  <c r="AC18" i="15"/>
  <c r="Z18" i="15"/>
  <c r="W18" i="15"/>
  <c r="V18" i="15"/>
  <c r="S18" i="15"/>
  <c r="U18" i="15" s="1"/>
  <c r="P18" i="15"/>
  <c r="L18" i="15"/>
  <c r="R18" i="15" s="1"/>
  <c r="J18" i="15"/>
  <c r="CO17" i="15"/>
  <c r="CN17" i="15"/>
  <c r="CK17" i="15"/>
  <c r="CH17" i="15"/>
  <c r="CG17" i="15" s="1"/>
  <c r="CD17" i="15"/>
  <c r="CA17" i="15"/>
  <c r="BZ17" i="15"/>
  <c r="BY17" i="15"/>
  <c r="BX17" i="15" s="1"/>
  <c r="BW17" i="15"/>
  <c r="CC17" i="15" s="1"/>
  <c r="BT17" i="15"/>
  <c r="BS17" i="15"/>
  <c r="BP17" i="15"/>
  <c r="BM17" i="15"/>
  <c r="BL17" i="15"/>
  <c r="BI17" i="15"/>
  <c r="BO17" i="15" s="1"/>
  <c r="BF17" i="15"/>
  <c r="BE17" i="15"/>
  <c r="BD17" i="15"/>
  <c r="BC17" i="15" s="1"/>
  <c r="BB17" i="15"/>
  <c r="BH17" i="15" s="1"/>
  <c r="AY17" i="15"/>
  <c r="AX17" i="15" s="1"/>
  <c r="AU17" i="15"/>
  <c r="BA17" i="15" s="1"/>
  <c r="AT17" i="15"/>
  <c r="AR17" i="15"/>
  <c r="AQ17" i="15"/>
  <c r="AN17" i="15"/>
  <c r="AK17" i="15"/>
  <c r="AJ17" i="15"/>
  <c r="AG17" i="15"/>
  <c r="AF17" i="15"/>
  <c r="AD17" i="15"/>
  <c r="AC17" i="15" s="1"/>
  <c r="Z17" i="15"/>
  <c r="W17" i="15"/>
  <c r="U17" i="15"/>
  <c r="T17" i="15"/>
  <c r="S17" i="15"/>
  <c r="Y17" i="15" s="1"/>
  <c r="P17" i="15"/>
  <c r="O17" i="15"/>
  <c r="N17" i="15"/>
  <c r="L17" i="15"/>
  <c r="R17" i="15" s="1"/>
  <c r="J17" i="15"/>
  <c r="CP16" i="15"/>
  <c r="CO16" i="15" s="1"/>
  <c r="CK16" i="15"/>
  <c r="CI16" i="15"/>
  <c r="CD16" i="15"/>
  <c r="CF16" i="15" s="1"/>
  <c r="CB16" i="15"/>
  <c r="CA16" i="15" s="1"/>
  <c r="BW16" i="15"/>
  <c r="BY16" i="15" s="1"/>
  <c r="BU16" i="15"/>
  <c r="BT16" i="15"/>
  <c r="BP16" i="15"/>
  <c r="BN16" i="15"/>
  <c r="BM16" i="15" s="1"/>
  <c r="BI16" i="15"/>
  <c r="BG16" i="15"/>
  <c r="BF16" i="15"/>
  <c r="BB16" i="15"/>
  <c r="BD16" i="15" s="1"/>
  <c r="BC16" i="15" s="1"/>
  <c r="AZ16" i="15"/>
  <c r="AY16" i="15"/>
  <c r="AX16" i="15"/>
  <c r="AW16" i="15"/>
  <c r="AU16" i="15"/>
  <c r="BA16" i="15" s="1"/>
  <c r="AS16" i="15"/>
  <c r="AR16" i="15"/>
  <c r="AN16" i="15"/>
  <c r="AL16" i="15"/>
  <c r="AG16" i="15"/>
  <c r="AE16" i="15"/>
  <c r="AB16" i="15"/>
  <c r="Z16" i="15"/>
  <c r="X16" i="15"/>
  <c r="W16" i="15" s="1"/>
  <c r="T16" i="15"/>
  <c r="S16" i="15"/>
  <c r="U16" i="15" s="1"/>
  <c r="Q16" i="15"/>
  <c r="P16" i="15"/>
  <c r="L16" i="15"/>
  <c r="R16" i="15" s="1"/>
  <c r="CP15" i="15"/>
  <c r="CL15" i="15"/>
  <c r="CK15" i="15"/>
  <c r="CM15" i="15" s="1"/>
  <c r="CI15" i="15"/>
  <c r="CH15" i="15" s="1"/>
  <c r="CG15" i="15" s="1"/>
  <c r="CD15" i="15"/>
  <c r="CB15" i="15"/>
  <c r="BW15" i="15"/>
  <c r="BU15" i="15"/>
  <c r="BT15" i="15" s="1"/>
  <c r="BP15" i="15"/>
  <c r="BN15" i="15"/>
  <c r="BM15" i="15" s="1"/>
  <c r="BL15" i="15" s="1"/>
  <c r="BK15" i="15"/>
  <c r="BI15" i="15"/>
  <c r="BJ15" i="15" s="1"/>
  <c r="BG15" i="15"/>
  <c r="BF15" i="15" s="1"/>
  <c r="BD15" i="15"/>
  <c r="BC15" i="15"/>
  <c r="BB15" i="15"/>
  <c r="AZ15" i="15"/>
  <c r="AX15" i="15" s="1"/>
  <c r="AY15" i="15"/>
  <c r="AU15" i="15"/>
  <c r="AW15" i="15" s="1"/>
  <c r="AS15" i="15"/>
  <c r="AN15" i="15"/>
  <c r="AP15" i="15" s="1"/>
  <c r="AL15" i="15"/>
  <c r="AK15" i="15" s="1"/>
  <c r="AG15" i="15"/>
  <c r="AE15" i="15"/>
  <c r="AC15" i="15" s="1"/>
  <c r="AD15" i="15"/>
  <c r="Z15" i="15"/>
  <c r="X15" i="15"/>
  <c r="Y15" i="15" s="1"/>
  <c r="S15" i="15"/>
  <c r="Q15" i="15"/>
  <c r="P15" i="15"/>
  <c r="L15" i="15"/>
  <c r="N15" i="15" s="1"/>
  <c r="CP14" i="15"/>
  <c r="CO14" i="15" s="1"/>
  <c r="CK14" i="15"/>
  <c r="CM14" i="15" s="1"/>
  <c r="CI14" i="15"/>
  <c r="CJ14" i="15" s="1"/>
  <c r="CH14" i="15"/>
  <c r="CG14" i="15"/>
  <c r="CF14" i="15"/>
  <c r="CE14" i="15"/>
  <c r="CD14" i="15"/>
  <c r="CB14" i="15"/>
  <c r="BW14" i="15"/>
  <c r="BU14" i="15"/>
  <c r="BT14" i="15"/>
  <c r="BS14" i="15" s="1"/>
  <c r="BP14" i="15"/>
  <c r="BV14" i="15" s="1"/>
  <c r="BN14" i="15"/>
  <c r="BM14" i="15" s="1"/>
  <c r="BK14" i="15"/>
  <c r="BJ14" i="15" s="1"/>
  <c r="BI14" i="15"/>
  <c r="BG14" i="15"/>
  <c r="BB14" i="15"/>
  <c r="AZ14" i="15"/>
  <c r="AU14" i="15"/>
  <c r="AW14" i="15" s="1"/>
  <c r="AS14" i="15"/>
  <c r="AR14" i="15"/>
  <c r="AN14" i="15"/>
  <c r="AL14" i="15"/>
  <c r="AK14" i="15"/>
  <c r="AG14" i="15"/>
  <c r="AI14" i="15" s="1"/>
  <c r="AE14" i="15"/>
  <c r="AB14" i="15"/>
  <c r="AA14" i="15" s="1"/>
  <c r="Z14" i="15"/>
  <c r="X14" i="15"/>
  <c r="W14" i="15" s="1"/>
  <c r="S14" i="15"/>
  <c r="Q14" i="15"/>
  <c r="O14" i="15" s="1"/>
  <c r="P14" i="15"/>
  <c r="N14" i="15"/>
  <c r="L14" i="15"/>
  <c r="M14" i="15" s="1"/>
  <c r="CP13" i="15"/>
  <c r="CO13" i="15"/>
  <c r="CM13" i="15"/>
  <c r="CL13" i="15" s="1"/>
  <c r="CK13" i="15"/>
  <c r="CI13" i="15"/>
  <c r="CD13" i="15"/>
  <c r="CB13" i="15"/>
  <c r="CA13" i="15" s="1"/>
  <c r="BZ13" i="15" s="1"/>
  <c r="BW13" i="15"/>
  <c r="BY13" i="15" s="1"/>
  <c r="BU13" i="15"/>
  <c r="BP13" i="15"/>
  <c r="BN13" i="15"/>
  <c r="BM13" i="15" s="1"/>
  <c r="BI13" i="15"/>
  <c r="BG13" i="15"/>
  <c r="BF13" i="15" s="1"/>
  <c r="BB13" i="15"/>
  <c r="AZ13" i="15"/>
  <c r="AU13" i="15"/>
  <c r="AW13" i="15" s="1"/>
  <c r="AS13" i="15"/>
  <c r="AR13" i="15" s="1"/>
  <c r="AP13" i="15"/>
  <c r="AO13" i="15"/>
  <c r="AN13" i="15"/>
  <c r="AL13" i="15"/>
  <c r="AK13" i="15" s="1"/>
  <c r="AI13" i="15"/>
  <c r="AG13" i="15"/>
  <c r="AE13" i="15"/>
  <c r="AD13" i="15" s="1"/>
  <c r="Z13" i="15"/>
  <c r="X13" i="15"/>
  <c r="W13" i="15" s="1"/>
  <c r="S13" i="15"/>
  <c r="Q13" i="15"/>
  <c r="P13" i="15" s="1"/>
  <c r="O13" i="15"/>
  <c r="L13" i="15"/>
  <c r="B13" i="15" s="1"/>
  <c r="CP12" i="15"/>
  <c r="CO12" i="15" s="1"/>
  <c r="CK12" i="15"/>
  <c r="CI12" i="15"/>
  <c r="CH12" i="15" s="1"/>
  <c r="CD12" i="15"/>
  <c r="CF12" i="15" s="1"/>
  <c r="CB12" i="15"/>
  <c r="CA12" i="15"/>
  <c r="BW12" i="15"/>
  <c r="BY12" i="15" s="1"/>
  <c r="BU12" i="15"/>
  <c r="BV12" i="15" s="1"/>
  <c r="BQ12" i="15"/>
  <c r="BP12" i="15"/>
  <c r="BR12" i="15" s="1"/>
  <c r="BN12" i="15"/>
  <c r="BM12" i="15"/>
  <c r="BL12" i="15"/>
  <c r="BI12" i="15"/>
  <c r="BH12" i="15"/>
  <c r="BG12" i="15"/>
  <c r="BF12" i="15" s="1"/>
  <c r="BD12" i="15"/>
  <c r="BC12" i="15"/>
  <c r="BB12" i="15"/>
  <c r="AZ12" i="15"/>
  <c r="AY12" i="15" s="1"/>
  <c r="AU12" i="15"/>
  <c r="AW12" i="15" s="1"/>
  <c r="AS12" i="15"/>
  <c r="AR12" i="15" s="1"/>
  <c r="AQ12" i="15" s="1"/>
  <c r="AN12" i="15"/>
  <c r="AL12" i="15"/>
  <c r="AK12" i="15"/>
  <c r="AG12" i="15"/>
  <c r="AI12" i="15" s="1"/>
  <c r="AE12" i="15"/>
  <c r="AD12" i="15" s="1"/>
  <c r="AC12" i="15" s="1"/>
  <c r="Z12" i="15"/>
  <c r="X12" i="15"/>
  <c r="S12" i="15"/>
  <c r="U12" i="15" s="1"/>
  <c r="Q12" i="15"/>
  <c r="L12" i="15"/>
  <c r="CP11" i="15"/>
  <c r="CO11" i="15" s="1"/>
  <c r="CK11" i="15"/>
  <c r="CM11" i="15" s="1"/>
  <c r="CI11" i="15"/>
  <c r="CD11" i="15"/>
  <c r="CB11" i="15"/>
  <c r="CA11" i="15"/>
  <c r="BW11" i="15"/>
  <c r="BY11" i="15" s="1"/>
  <c r="BV11" i="15"/>
  <c r="BU11" i="15"/>
  <c r="BT11" i="15" s="1"/>
  <c r="BP11" i="15"/>
  <c r="BR11" i="15" s="1"/>
  <c r="BN11" i="15"/>
  <c r="BI11" i="15"/>
  <c r="BK11" i="15" s="1"/>
  <c r="BH11" i="15"/>
  <c r="BG11" i="15"/>
  <c r="BF11" i="15" s="1"/>
  <c r="BE11" i="15" s="1"/>
  <c r="BB11" i="15"/>
  <c r="BD11" i="15" s="1"/>
  <c r="AZ11" i="15"/>
  <c r="AY11" i="15" s="1"/>
  <c r="AX11" i="15" s="1"/>
  <c r="AW11" i="15"/>
  <c r="AU11" i="15"/>
  <c r="AS11" i="15"/>
  <c r="AR11" i="15" s="1"/>
  <c r="AN11" i="15"/>
  <c r="AT11" i="15" s="1"/>
  <c r="AL11" i="15"/>
  <c r="AK11" i="15" s="1"/>
  <c r="AG11" i="15"/>
  <c r="AI11" i="15" s="1"/>
  <c r="AE11" i="15"/>
  <c r="Z11" i="15"/>
  <c r="Y11" i="15"/>
  <c r="X11" i="15"/>
  <c r="W11" i="15" s="1"/>
  <c r="S11" i="15"/>
  <c r="U11" i="15" s="1"/>
  <c r="Q11" i="15"/>
  <c r="P11" i="15" s="1"/>
  <c r="L11" i="15"/>
  <c r="N11" i="15" s="1"/>
  <c r="CP10" i="15"/>
  <c r="CQ10" i="15" s="1"/>
  <c r="CK10" i="15"/>
  <c r="CM10" i="15" s="1"/>
  <c r="CI10" i="15"/>
  <c r="CH10" i="15" s="1"/>
  <c r="CD10" i="15"/>
  <c r="CF10" i="15" s="1"/>
  <c r="CB10" i="15"/>
  <c r="CA10" i="15" s="1"/>
  <c r="BW10" i="15"/>
  <c r="BU10" i="15"/>
  <c r="BT10" i="15" s="1"/>
  <c r="BR10" i="15"/>
  <c r="BQ10" i="15"/>
  <c r="BP10" i="15"/>
  <c r="BN10" i="15"/>
  <c r="BL10" i="15" s="1"/>
  <c r="BM10" i="15"/>
  <c r="BI10" i="15"/>
  <c r="BG10" i="15"/>
  <c r="BF10" i="15" s="1"/>
  <c r="BD10" i="15"/>
  <c r="BB10" i="15"/>
  <c r="BH10" i="15" s="1"/>
  <c r="AZ10" i="15"/>
  <c r="AY10" i="15" s="1"/>
  <c r="AU10" i="15"/>
  <c r="AW10" i="15" s="1"/>
  <c r="AS10" i="15"/>
  <c r="AN10" i="15"/>
  <c r="AL10" i="15"/>
  <c r="AK10" i="15" s="1"/>
  <c r="AG10" i="15"/>
  <c r="AI10" i="15" s="1"/>
  <c r="AE10" i="15"/>
  <c r="AD10" i="15" s="1"/>
  <c r="Z10" i="15"/>
  <c r="AB10" i="15" s="1"/>
  <c r="X10" i="15"/>
  <c r="W10" i="15" s="1"/>
  <c r="U10" i="15"/>
  <c r="S10" i="15"/>
  <c r="Q10" i="15"/>
  <c r="R10" i="15" s="1"/>
  <c r="P10" i="15"/>
  <c r="O10" i="15"/>
  <c r="N10" i="15"/>
  <c r="M10" i="15" s="1"/>
  <c r="L10" i="15"/>
  <c r="CP9" i="15"/>
  <c r="CO9" i="15" s="1"/>
  <c r="CK9" i="15"/>
  <c r="CM9" i="15" s="1"/>
  <c r="CI9" i="15"/>
  <c r="CJ9" i="15" s="1"/>
  <c r="CH9" i="15"/>
  <c r="CG9" i="15"/>
  <c r="CD9" i="15"/>
  <c r="CF9" i="15" s="1"/>
  <c r="CB9" i="15"/>
  <c r="CA9" i="15" s="1"/>
  <c r="BZ9" i="15" s="1"/>
  <c r="BW9" i="15"/>
  <c r="BU9" i="15"/>
  <c r="BT9" i="15"/>
  <c r="BS9" i="15"/>
  <c r="BP9" i="15"/>
  <c r="BV9" i="15" s="1"/>
  <c r="BN9" i="15"/>
  <c r="BM9" i="15" s="1"/>
  <c r="BL9" i="15" s="1"/>
  <c r="BI9" i="15"/>
  <c r="BK9" i="15" s="1"/>
  <c r="BG9" i="15"/>
  <c r="BB9" i="15"/>
  <c r="AZ9" i="15"/>
  <c r="AY9" i="15"/>
  <c r="AU9" i="15"/>
  <c r="AW9" i="15" s="1"/>
  <c r="AS9" i="15"/>
  <c r="AR9" i="15" s="1"/>
  <c r="AN9" i="15"/>
  <c r="AP9" i="15" s="1"/>
  <c r="AL9" i="15"/>
  <c r="AK9" i="15" s="1"/>
  <c r="AG9" i="15"/>
  <c r="AE9" i="15"/>
  <c r="AF9" i="15" s="1"/>
  <c r="AD9" i="15"/>
  <c r="AC9" i="15" s="1"/>
  <c r="AB9" i="15"/>
  <c r="Z9" i="15"/>
  <c r="AA9" i="15" s="1"/>
  <c r="X9" i="15"/>
  <c r="W9" i="15" s="1"/>
  <c r="S9" i="15"/>
  <c r="U9" i="15" s="1"/>
  <c r="Q9" i="15"/>
  <c r="P9" i="15" s="1"/>
  <c r="L9" i="15"/>
  <c r="R9" i="15" s="1"/>
  <c r="CP8" i="15"/>
  <c r="CO8" i="15" s="1"/>
  <c r="CK8" i="15"/>
  <c r="CI8" i="15"/>
  <c r="CH8" i="15"/>
  <c r="CG8" i="15"/>
  <c r="CD8" i="15"/>
  <c r="CJ8" i="15" s="1"/>
  <c r="CB8" i="15"/>
  <c r="CA8" i="15" s="1"/>
  <c r="BW8" i="15"/>
  <c r="BY8" i="15" s="1"/>
  <c r="BU8" i="15"/>
  <c r="BP8" i="15"/>
  <c r="BO8" i="15"/>
  <c r="BN8" i="15"/>
  <c r="BM8" i="15"/>
  <c r="BI8" i="15"/>
  <c r="BK8" i="15" s="1"/>
  <c r="BG8" i="15"/>
  <c r="BF8" i="15" s="1"/>
  <c r="BB8" i="15"/>
  <c r="BD8" i="15" s="1"/>
  <c r="BA8" i="15"/>
  <c r="AZ8" i="15"/>
  <c r="AY8" i="15" s="1"/>
  <c r="AW8" i="15"/>
  <c r="AU8" i="15"/>
  <c r="AS8" i="15"/>
  <c r="AR8" i="15" s="1"/>
  <c r="AN8" i="15"/>
  <c r="AT8" i="15" s="1"/>
  <c r="AL8" i="15"/>
  <c r="AK8" i="15" s="1"/>
  <c r="AG8" i="15"/>
  <c r="AE8" i="15"/>
  <c r="AD8" i="15"/>
  <c r="AC8" i="15"/>
  <c r="AB8" i="15"/>
  <c r="AA8" i="15" s="1"/>
  <c r="Z8" i="15"/>
  <c r="AF8" i="15" s="1"/>
  <c r="X8" i="15"/>
  <c r="W8" i="15" s="1"/>
  <c r="V8" i="15" s="1"/>
  <c r="S8" i="15"/>
  <c r="U8" i="15" s="1"/>
  <c r="Q8" i="15"/>
  <c r="L8" i="15"/>
  <c r="CP7" i="15"/>
  <c r="CO7" i="15"/>
  <c r="CN7" i="15" s="1"/>
  <c r="CK7" i="15"/>
  <c r="CM7" i="15" s="1"/>
  <c r="CI7" i="15"/>
  <c r="CD7" i="15"/>
  <c r="CB7" i="15"/>
  <c r="CC7" i="15" s="1"/>
  <c r="BW7" i="15"/>
  <c r="BY7" i="15" s="1"/>
  <c r="BU7" i="15"/>
  <c r="BT7" i="15" s="1"/>
  <c r="BP7" i="15"/>
  <c r="BR7" i="15" s="1"/>
  <c r="BN7" i="15"/>
  <c r="BK7" i="15"/>
  <c r="BI7" i="15"/>
  <c r="BG7" i="15"/>
  <c r="BF7" i="15" s="1"/>
  <c r="BE7" i="15" s="1"/>
  <c r="BB7" i="15"/>
  <c r="BD7" i="15" s="1"/>
  <c r="AZ7" i="15"/>
  <c r="AY7" i="15"/>
  <c r="AX7" i="15"/>
  <c r="AU7" i="15"/>
  <c r="AS7" i="15"/>
  <c r="AR7" i="15"/>
  <c r="AQ7" i="15" s="1"/>
  <c r="AP7" i="15"/>
  <c r="AO7" i="15" s="1"/>
  <c r="AN7" i="15"/>
  <c r="AL7" i="15"/>
  <c r="AK7" i="15" s="1"/>
  <c r="AJ7" i="15" s="1"/>
  <c r="AG7" i="15"/>
  <c r="AI7" i="15" s="1"/>
  <c r="AE7" i="15"/>
  <c r="Z7" i="15"/>
  <c r="X7" i="15"/>
  <c r="W7" i="15" s="1"/>
  <c r="S7" i="15"/>
  <c r="U7" i="15" s="1"/>
  <c r="Q7" i="15"/>
  <c r="P7" i="15" s="1"/>
  <c r="L7" i="15"/>
  <c r="N7" i="15" s="1"/>
  <c r="CP6" i="15"/>
  <c r="CQ6" i="15" s="1"/>
  <c r="CO6" i="15"/>
  <c r="CK6" i="15"/>
  <c r="CM6" i="15" s="1"/>
  <c r="CI6" i="15"/>
  <c r="CH6" i="15" s="1"/>
  <c r="CD6" i="15"/>
  <c r="CF6" i="15" s="1"/>
  <c r="CB6" i="15"/>
  <c r="CA6" i="15" s="1"/>
  <c r="BW6" i="15"/>
  <c r="BY6" i="15" s="1"/>
  <c r="BU6" i="15"/>
  <c r="BT6" i="15"/>
  <c r="BS6" i="15" s="1"/>
  <c r="BP6" i="15"/>
  <c r="BR6" i="15" s="1"/>
  <c r="BN6" i="15"/>
  <c r="BM6" i="15" s="1"/>
  <c r="BK6" i="15"/>
  <c r="BI6" i="15"/>
  <c r="BG6" i="15"/>
  <c r="BF6" i="15"/>
  <c r="BE6" i="15" s="1"/>
  <c r="BB6" i="15"/>
  <c r="AZ6" i="15"/>
  <c r="AY6" i="15" s="1"/>
  <c r="AU6" i="15"/>
  <c r="AW6" i="15" s="1"/>
  <c r="AV6" i="15" s="1"/>
  <c r="AS6" i="15"/>
  <c r="AN6" i="15"/>
  <c r="AL6" i="15"/>
  <c r="AK6" i="15" s="1"/>
  <c r="AG6" i="15"/>
  <c r="AI6" i="15" s="1"/>
  <c r="AE6" i="15"/>
  <c r="AD6" i="15" s="1"/>
  <c r="AC6" i="15"/>
  <c r="Z6" i="15"/>
  <c r="AB6" i="15" s="1"/>
  <c r="X6" i="15"/>
  <c r="W6" i="15" s="1"/>
  <c r="U6" i="15"/>
  <c r="S6" i="15"/>
  <c r="Q6" i="15"/>
  <c r="P6" i="15" s="1"/>
  <c r="L6" i="15"/>
  <c r="N6" i="15" s="1"/>
  <c r="CP5" i="15"/>
  <c r="CO5" i="15"/>
  <c r="CM5" i="15"/>
  <c r="CK5" i="15"/>
  <c r="CI5" i="15"/>
  <c r="CH5" i="15" s="1"/>
  <c r="CG5" i="15" s="1"/>
  <c r="CD5" i="15"/>
  <c r="CB5" i="15"/>
  <c r="CA5" i="15"/>
  <c r="BZ5" i="15" s="1"/>
  <c r="BW5" i="15"/>
  <c r="BY5" i="15" s="1"/>
  <c r="BU5" i="15"/>
  <c r="BT5" i="15" s="1"/>
  <c r="BR5" i="15"/>
  <c r="BQ5" i="15"/>
  <c r="BP5" i="15"/>
  <c r="BN5" i="15"/>
  <c r="BM5" i="15"/>
  <c r="BL5" i="15"/>
  <c r="BI5" i="15"/>
  <c r="BG5" i="15"/>
  <c r="BB5" i="15"/>
  <c r="AZ5" i="15"/>
  <c r="BA5" i="15" s="1"/>
  <c r="AY5" i="15"/>
  <c r="AU5" i="15"/>
  <c r="AS5" i="15"/>
  <c r="AR5" i="15" s="1"/>
  <c r="AN5" i="15"/>
  <c r="AP5" i="15" s="1"/>
  <c r="AL5" i="15"/>
  <c r="AM5" i="15" s="1"/>
  <c r="AI5" i="15"/>
  <c r="AG5" i="15"/>
  <c r="AE5" i="15"/>
  <c r="AF5" i="15" s="1"/>
  <c r="AD5" i="15"/>
  <c r="AC5" i="15"/>
  <c r="AB5" i="15"/>
  <c r="AA5" i="15" s="1"/>
  <c r="Z5" i="15"/>
  <c r="X5" i="15"/>
  <c r="W5" i="15" s="1"/>
  <c r="V5" i="15" s="1"/>
  <c r="S5" i="15"/>
  <c r="Q5" i="15"/>
  <c r="P5" i="15"/>
  <c r="O5" i="15"/>
  <c r="N5" i="15"/>
  <c r="L5" i="15"/>
  <c r="E5" i="15" s="1"/>
  <c r="CP4" i="15"/>
  <c r="CO4" i="15" s="1"/>
  <c r="CM4" i="15"/>
  <c r="CL4" i="15" s="1"/>
  <c r="CK4" i="15"/>
  <c r="CI4" i="15"/>
  <c r="CH4" i="15"/>
  <c r="CD4" i="15"/>
  <c r="CB4" i="15"/>
  <c r="BW4" i="15"/>
  <c r="BU4" i="15"/>
  <c r="BT4" i="15" s="1"/>
  <c r="BP4" i="15"/>
  <c r="BN4" i="15"/>
  <c r="BI4" i="15"/>
  <c r="BG4" i="15"/>
  <c r="BD4" i="15"/>
  <c r="BB4" i="15"/>
  <c r="AZ4" i="15"/>
  <c r="AY4" i="15" s="1"/>
  <c r="AU4" i="15"/>
  <c r="AW4" i="15" s="1"/>
  <c r="AS4" i="15"/>
  <c r="AR4" i="15"/>
  <c r="AQ4" i="15" s="1"/>
  <c r="AN4" i="15"/>
  <c r="AL4" i="15"/>
  <c r="AJ4" i="15" s="1"/>
  <c r="AK4" i="15"/>
  <c r="AI4" i="15"/>
  <c r="AH4" i="15"/>
  <c r="AG4" i="15"/>
  <c r="AE4" i="15"/>
  <c r="AD4" i="15" s="1"/>
  <c r="AC4" i="15" s="1"/>
  <c r="Z4" i="15"/>
  <c r="X4" i="15"/>
  <c r="S4" i="15"/>
  <c r="B4" i="15" s="1"/>
  <c r="Q4" i="15"/>
  <c r="P4" i="15" s="1"/>
  <c r="L4" i="15"/>
  <c r="BA49" i="15" l="1"/>
  <c r="AQ52" i="15"/>
  <c r="BZ53" i="15"/>
  <c r="AJ56" i="15"/>
  <c r="Y7" i="15"/>
  <c r="AM6" i="15"/>
  <c r="AX4" i="15"/>
  <c r="BV4" i="15"/>
  <c r="AX6" i="15"/>
  <c r="BL6" i="15"/>
  <c r="AT7" i="15"/>
  <c r="O30" i="15"/>
  <c r="AQ38" i="15"/>
  <c r="AT40" i="15"/>
  <c r="BT12" i="15"/>
  <c r="BS12" i="15" s="1"/>
  <c r="AC13" i="15"/>
  <c r="CQ13" i="15"/>
  <c r="AQ16" i="15"/>
  <c r="BE31" i="15"/>
  <c r="AC38" i="15"/>
  <c r="O44" i="15"/>
  <c r="O45" i="15"/>
  <c r="BS45" i="15"/>
  <c r="BL48" i="15"/>
  <c r="BO52" i="15"/>
  <c r="BL53" i="15"/>
  <c r="AC10" i="15"/>
  <c r="AX10" i="15"/>
  <c r="CN12" i="15"/>
  <c r="AQ13" i="15"/>
  <c r="CN14" i="15"/>
  <c r="CG44" i="15"/>
  <c r="CH49" i="15"/>
  <c r="AT53" i="15"/>
  <c r="CN13" i="15"/>
  <c r="J36" i="15"/>
  <c r="BL38" i="15"/>
  <c r="BT50" i="15"/>
  <c r="BS50" i="15" s="1"/>
  <c r="AJ38" i="15"/>
  <c r="BO38" i="15"/>
  <c r="AC30" i="15"/>
  <c r="BV31" i="15"/>
  <c r="CQ36" i="15"/>
  <c r="BH38" i="15"/>
  <c r="CN38" i="15"/>
  <c r="BH40" i="15"/>
  <c r="AT48" i="15"/>
  <c r="BH48" i="15"/>
  <c r="BE49" i="15"/>
  <c r="BZ52" i="15"/>
  <c r="BO57" i="15"/>
  <c r="CQ40" i="15"/>
  <c r="CG4" i="15"/>
  <c r="BS16" i="15"/>
  <c r="CN30" i="15"/>
  <c r="CC36" i="15"/>
  <c r="BL45" i="15"/>
  <c r="BZ49" i="15"/>
  <c r="R50" i="15"/>
  <c r="BE52" i="15"/>
  <c r="BS5" i="15"/>
  <c r="AQ8" i="15"/>
  <c r="CN8" i="15"/>
  <c r="BS10" i="15"/>
  <c r="BE13" i="15"/>
  <c r="BL14" i="15"/>
  <c r="BE15" i="15"/>
  <c r="CN16" i="15"/>
  <c r="V30" i="15"/>
  <c r="BL31" i="15"/>
  <c r="CN36" i="15"/>
  <c r="AM39" i="15"/>
  <c r="CJ39" i="15"/>
  <c r="CN43" i="15"/>
  <c r="AM51" i="15"/>
  <c r="AX51" i="15"/>
  <c r="BS53" i="15"/>
  <c r="CJ56" i="15"/>
  <c r="J11" i="15"/>
  <c r="BZ11" i="15"/>
  <c r="BL16" i="15"/>
  <c r="BH15" i="15"/>
  <c r="O16" i="15"/>
  <c r="BO16" i="15"/>
  <c r="CJ4" i="15"/>
  <c r="BZ8" i="15"/>
  <c r="AQ11" i="15"/>
  <c r="CN11" i="15"/>
  <c r="AQ5" i="15"/>
  <c r="BO5" i="15"/>
  <c r="CN6" i="15"/>
  <c r="CA7" i="15"/>
  <c r="BZ7" i="15" s="1"/>
  <c r="CO10" i="15"/>
  <c r="AX12" i="15"/>
  <c r="AX36" i="15"/>
  <c r="AT37" i="15"/>
  <c r="BE37" i="15"/>
  <c r="BS37" i="15"/>
  <c r="Y38" i="15"/>
  <c r="CG39" i="15"/>
  <c r="BO40" i="15"/>
  <c r="R43" i="15"/>
  <c r="CG49" i="15"/>
  <c r="BA50" i="15"/>
  <c r="BO51" i="15"/>
  <c r="BE54" i="15"/>
  <c r="AF56" i="15"/>
  <c r="BO56" i="15"/>
  <c r="BS57" i="15"/>
  <c r="BZ30" i="15"/>
  <c r="AM31" i="15"/>
  <c r="AQ37" i="15"/>
  <c r="W39" i="15"/>
  <c r="CO53" i="15"/>
  <c r="CN54" i="15"/>
  <c r="AQ45" i="15"/>
  <c r="AX9" i="15"/>
  <c r="BV5" i="15"/>
  <c r="BE38" i="15"/>
  <c r="AF4" i="15"/>
  <c r="CN4" i="15"/>
  <c r="BH6" i="15"/>
  <c r="BS7" i="15"/>
  <c r="V9" i="15"/>
  <c r="BE10" i="15"/>
  <c r="CG10" i="15"/>
  <c r="O11" i="15"/>
  <c r="CG12" i="15"/>
  <c r="AJ14" i="15"/>
  <c r="BO14" i="15"/>
  <c r="CC14" i="15"/>
  <c r="CN31" i="15"/>
  <c r="R37" i="15"/>
  <c r="CG37" i="15"/>
  <c r="AR39" i="15"/>
  <c r="AQ39" i="15" s="1"/>
  <c r="BL40" i="15"/>
  <c r="BZ40" i="15"/>
  <c r="J43" i="15"/>
  <c r="BS44" i="15"/>
  <c r="AX46" i="15"/>
  <c r="CG47" i="15"/>
  <c r="BO49" i="15"/>
  <c r="BO50" i="15"/>
  <c r="CQ50" i="15"/>
  <c r="BA51" i="15"/>
  <c r="CJ52" i="15"/>
  <c r="O53" i="15"/>
  <c r="BV53" i="15"/>
  <c r="CN56" i="15"/>
  <c r="BL8" i="15"/>
  <c r="AJ12" i="15"/>
  <c r="BZ36" i="15"/>
  <c r="AF38" i="15"/>
  <c r="BO43" i="15"/>
  <c r="BS11" i="15"/>
  <c r="AF12" i="15"/>
  <c r="Y13" i="15"/>
  <c r="CA14" i="15"/>
  <c r="BZ14" i="15" s="1"/>
  <c r="Y30" i="15"/>
  <c r="AC40" i="15"/>
  <c r="AM43" i="15"/>
  <c r="CQ43" i="15"/>
  <c r="CN46" i="15"/>
  <c r="AX47" i="15"/>
  <c r="BM56" i="15"/>
  <c r="BL56" i="15" s="1"/>
  <c r="AY57" i="15"/>
  <c r="AX57" i="15" s="1"/>
  <c r="BV57" i="15"/>
  <c r="CJ57" i="15"/>
  <c r="G20" i="15"/>
  <c r="G6" i="15"/>
  <c r="G10" i="15"/>
  <c r="BC7" i="15"/>
  <c r="E9" i="15"/>
  <c r="AP8" i="15"/>
  <c r="AO8" i="15" s="1"/>
  <c r="AH9" i="15"/>
  <c r="AT5" i="15"/>
  <c r="AI9" i="15"/>
  <c r="CC13" i="15"/>
  <c r="BA6" i="15"/>
  <c r="BV6" i="15"/>
  <c r="CC8" i="15"/>
  <c r="AM11" i="15"/>
  <c r="W12" i="15"/>
  <c r="V12" i="15" s="1"/>
  <c r="CQ14" i="15"/>
  <c r="BR15" i="15"/>
  <c r="BQ15" i="15"/>
  <c r="AK16" i="15"/>
  <c r="AJ16" i="15" s="1"/>
  <c r="BX18" i="15"/>
  <c r="T24" i="15"/>
  <c r="BO25" i="15"/>
  <c r="BK25" i="15"/>
  <c r="BJ25" i="15" s="1"/>
  <c r="BD34" i="15"/>
  <c r="BH34" i="15"/>
  <c r="CE35" i="15"/>
  <c r="AI36" i="15"/>
  <c r="AM36" i="15"/>
  <c r="BK36" i="15"/>
  <c r="BJ36" i="15" s="1"/>
  <c r="AB17" i="15"/>
  <c r="AA17" i="15"/>
  <c r="AT20" i="15"/>
  <c r="AP21" i="15"/>
  <c r="AT21" i="15"/>
  <c r="BY23" i="15"/>
  <c r="CC23" i="15"/>
  <c r="E25" i="15"/>
  <c r="K25" i="15" s="1"/>
  <c r="R25" i="15"/>
  <c r="BK32" i="15"/>
  <c r="BO32" i="15"/>
  <c r="AI35" i="15"/>
  <c r="AM35" i="15"/>
  <c r="AJ36" i="15"/>
  <c r="R39" i="15"/>
  <c r="M39" i="15"/>
  <c r="AO39" i="15"/>
  <c r="AI40" i="15"/>
  <c r="AH40" i="15" s="1"/>
  <c r="AT42" i="15"/>
  <c r="AP42" i="15"/>
  <c r="BX6" i="15"/>
  <c r="AP20" i="15"/>
  <c r="AO20" i="15" s="1"/>
  <c r="CF20" i="15"/>
  <c r="CJ20" i="15"/>
  <c r="CM21" i="15"/>
  <c r="CQ21" i="15"/>
  <c r="AI22" i="15"/>
  <c r="AH22" i="15" s="1"/>
  <c r="AM23" i="15"/>
  <c r="AI23" i="15"/>
  <c r="AH23" i="15" s="1"/>
  <c r="BK23" i="15"/>
  <c r="BJ23" i="15" s="1"/>
  <c r="AW27" i="15"/>
  <c r="AF28" i="15"/>
  <c r="AB28" i="15"/>
  <c r="R31" i="15"/>
  <c r="N31" i="15"/>
  <c r="M31" i="15" s="1"/>
  <c r="E31" i="15"/>
  <c r="AW32" i="15"/>
  <c r="BA32" i="15"/>
  <c r="BH33" i="15"/>
  <c r="BD33" i="15"/>
  <c r="BO34" i="15"/>
  <c r="BK34" i="15"/>
  <c r="BJ34" i="15"/>
  <c r="O37" i="15"/>
  <c r="AD37" i="15"/>
  <c r="N39" i="15"/>
  <c r="AM40" i="15"/>
  <c r="AK40" i="15"/>
  <c r="AJ40" i="15"/>
  <c r="BO41" i="15"/>
  <c r="BK41" i="15"/>
  <c r="BJ41" i="15" s="1"/>
  <c r="BX42" i="15"/>
  <c r="CF43" i="15"/>
  <c r="CE43" i="15" s="1"/>
  <c r="CJ43" i="15"/>
  <c r="BK21" i="15"/>
  <c r="BO21" i="15"/>
  <c r="BV24" i="15"/>
  <c r="BR24" i="15"/>
  <c r="BQ24" i="15"/>
  <c r="Y27" i="15"/>
  <c r="U27" i="15"/>
  <c r="T27" i="15" s="1"/>
  <c r="P31" i="15"/>
  <c r="O31" i="15"/>
  <c r="BV32" i="15"/>
  <c r="BR32" i="15"/>
  <c r="BQ32" i="15"/>
  <c r="M35" i="15"/>
  <c r="E35" i="15"/>
  <c r="K35" i="15" s="1"/>
  <c r="R35" i="15"/>
  <c r="BC38" i="15"/>
  <c r="AW43" i="15"/>
  <c r="AV43" i="15"/>
  <c r="AT28" i="15"/>
  <c r="AB29" i="15"/>
  <c r="AA29" i="15" s="1"/>
  <c r="CJ29" i="15"/>
  <c r="CF29" i="15"/>
  <c r="AH32" i="15"/>
  <c r="N35" i="15"/>
  <c r="G35" i="15" s="1"/>
  <c r="CC35" i="15"/>
  <c r="BY35" i="15"/>
  <c r="BX35" i="15" s="1"/>
  <c r="AI37" i="15"/>
  <c r="AM37" i="15"/>
  <c r="BK42" i="15"/>
  <c r="BO42" i="15"/>
  <c r="AD43" i="15"/>
  <c r="AC43" i="15"/>
  <c r="BR9" i="15"/>
  <c r="BQ9" i="15" s="1"/>
  <c r="CJ12" i="15"/>
  <c r="Y25" i="15"/>
  <c r="U25" i="15"/>
  <c r="T25" i="15" s="1"/>
  <c r="J4" i="15"/>
  <c r="AH5" i="15"/>
  <c r="M6" i="15"/>
  <c r="BQ6" i="15"/>
  <c r="N9" i="15"/>
  <c r="M9" i="15" s="1"/>
  <c r="CE9" i="15"/>
  <c r="T10" i="15"/>
  <c r="BV10" i="15"/>
  <c r="R11" i="15"/>
  <c r="AJ11" i="15"/>
  <c r="BC11" i="15"/>
  <c r="BO11" i="15"/>
  <c r="CC11" i="15"/>
  <c r="AP12" i="15"/>
  <c r="AO12" i="15" s="1"/>
  <c r="BX12" i="15"/>
  <c r="U13" i="15"/>
  <c r="T13" i="15" s="1"/>
  <c r="AH13" i="15"/>
  <c r="E14" i="15"/>
  <c r="V14" i="15"/>
  <c r="W15" i="15"/>
  <c r="R19" i="15"/>
  <c r="N19" i="15"/>
  <c r="M19" i="15" s="1"/>
  <c r="AM22" i="15"/>
  <c r="AT23" i="15"/>
  <c r="AP23" i="15"/>
  <c r="AO23" i="15" s="1"/>
  <c r="BR23" i="15"/>
  <c r="BQ23" i="15"/>
  <c r="CM24" i="15"/>
  <c r="CQ24" i="15"/>
  <c r="U26" i="15"/>
  <c r="T26" i="15" s="1"/>
  <c r="AT26" i="15"/>
  <c r="AP26" i="15"/>
  <c r="AO26" i="15" s="1"/>
  <c r="BR29" i="15"/>
  <c r="BV29" i="15"/>
  <c r="BV30" i="15"/>
  <c r="BR30" i="15"/>
  <c r="BQ30" i="15" s="1"/>
  <c r="CM30" i="15"/>
  <c r="CL30" i="15"/>
  <c r="M34" i="15"/>
  <c r="BQ34" i="15"/>
  <c r="AB35" i="15"/>
  <c r="AA35" i="15"/>
  <c r="CM35" i="15"/>
  <c r="CQ35" i="15"/>
  <c r="BC36" i="15"/>
  <c r="AM38" i="15"/>
  <c r="AI38" i="15"/>
  <c r="AH38" i="15" s="1"/>
  <c r="V39" i="15"/>
  <c r="CJ40" i="15"/>
  <c r="T42" i="15"/>
  <c r="AV42" i="15"/>
  <c r="AF43" i="15"/>
  <c r="J44" i="15"/>
  <c r="T8" i="15"/>
  <c r="CF8" i="15"/>
  <c r="CE8" i="15" s="1"/>
  <c r="AV4" i="15"/>
  <c r="E6" i="15"/>
  <c r="AH14" i="15"/>
  <c r="BY15" i="15"/>
  <c r="BX15" i="15" s="1"/>
  <c r="BK5" i="15"/>
  <c r="CF5" i="15"/>
  <c r="CE5" i="15" s="1"/>
  <c r="BA9" i="15"/>
  <c r="BA12" i="15"/>
  <c r="J13" i="15"/>
  <c r="BH22" i="15"/>
  <c r="BD22" i="15"/>
  <c r="BC22" i="15" s="1"/>
  <c r="E24" i="15"/>
  <c r="K24" i="15" s="1"/>
  <c r="N24" i="15"/>
  <c r="G24" i="15" s="1"/>
  <c r="BD27" i="15"/>
  <c r="BH27" i="15"/>
  <c r="R4" i="15"/>
  <c r="R5" i="15"/>
  <c r="CJ5" i="15"/>
  <c r="BH7" i="15"/>
  <c r="Y8" i="15"/>
  <c r="AJ8" i="15"/>
  <c r="O9" i="15"/>
  <c r="E10" i="15"/>
  <c r="AJ10" i="15"/>
  <c r="V13" i="15"/>
  <c r="BQ13" i="15"/>
  <c r="CQ19" i="15"/>
  <c r="CC20" i="15"/>
  <c r="BX20" i="15"/>
  <c r="CF21" i="15"/>
  <c r="CE21" i="15"/>
  <c r="AP22" i="15"/>
  <c r="D22" i="15" s="1"/>
  <c r="AT22" i="15"/>
  <c r="CC24" i="15"/>
  <c r="BY24" i="15"/>
  <c r="CQ26" i="15"/>
  <c r="CM26" i="15"/>
  <c r="CL26" i="15" s="1"/>
  <c r="AF29" i="15"/>
  <c r="BH30" i="15"/>
  <c r="CC32" i="15"/>
  <c r="BY32" i="15"/>
  <c r="AF33" i="15"/>
  <c r="AB33" i="15"/>
  <c r="AA33" i="15" s="1"/>
  <c r="BK35" i="15"/>
  <c r="BO35" i="15"/>
  <c r="AI39" i="15"/>
  <c r="AH39" i="15" s="1"/>
  <c r="AV39" i="15"/>
  <c r="AW39" i="15"/>
  <c r="E40" i="15"/>
  <c r="BD41" i="15"/>
  <c r="BC41" i="15"/>
  <c r="BV42" i="15"/>
  <c r="BR42" i="15"/>
  <c r="BD6" i="15"/>
  <c r="BC6" i="15" s="1"/>
  <c r="AP11" i="15"/>
  <c r="AO11" i="15" s="1"/>
  <c r="AB12" i="15"/>
  <c r="AA12" i="15" s="1"/>
  <c r="CJ10" i="15"/>
  <c r="CJ17" i="15"/>
  <c r="CF17" i="15"/>
  <c r="CE17" i="15" s="1"/>
  <c r="M5" i="15"/>
  <c r="AK5" i="15"/>
  <c r="CL5" i="15"/>
  <c r="V7" i="15"/>
  <c r="AM7" i="15"/>
  <c r="AM10" i="15"/>
  <c r="BC10" i="15"/>
  <c r="BY10" i="15"/>
  <c r="BX10" i="15" s="1"/>
  <c r="BR13" i="15"/>
  <c r="AM14" i="15"/>
  <c r="BR14" i="15"/>
  <c r="BK16" i="15"/>
  <c r="BJ16" i="15" s="1"/>
  <c r="AP17" i="15"/>
  <c r="AO17" i="15" s="1"/>
  <c r="CQ18" i="15"/>
  <c r="CM18" i="15"/>
  <c r="CL18" i="15" s="1"/>
  <c r="BY19" i="15"/>
  <c r="CC19" i="15"/>
  <c r="CM19" i="15"/>
  <c r="CL19" i="15" s="1"/>
  <c r="BK20" i="15"/>
  <c r="BJ20" i="15" s="1"/>
  <c r="BO20" i="15"/>
  <c r="BY20" i="15"/>
  <c r="CQ23" i="15"/>
  <c r="CM23" i="15"/>
  <c r="CL23" i="15" s="1"/>
  <c r="BX24" i="15"/>
  <c r="BD30" i="15"/>
  <c r="BC30" i="15" s="1"/>
  <c r="AV31" i="15"/>
  <c r="AT32" i="15"/>
  <c r="AP32" i="15"/>
  <c r="BX32" i="15"/>
  <c r="E37" i="15"/>
  <c r="AT41" i="15"/>
  <c r="AO41" i="15"/>
  <c r="CF45" i="15"/>
  <c r="CJ45" i="15"/>
  <c r="AF48" i="15"/>
  <c r="BK5" i="16"/>
  <c r="BJ5" i="16" s="1"/>
  <c r="BO5" i="16"/>
  <c r="BO8" i="16"/>
  <c r="BK8" i="16"/>
  <c r="BJ8" i="16" s="1"/>
  <c r="M9" i="16"/>
  <c r="R9" i="16"/>
  <c r="BH9" i="16"/>
  <c r="BD9" i="16"/>
  <c r="BC9" i="16" s="1"/>
  <c r="AB13" i="16"/>
  <c r="AF13" i="16"/>
  <c r="AA13" i="16"/>
  <c r="AA15" i="16"/>
  <c r="AB15" i="16"/>
  <c r="AF15" i="16"/>
  <c r="J47" i="15"/>
  <c r="CC47" i="15"/>
  <c r="AB48" i="15"/>
  <c r="AA48" i="15" s="1"/>
  <c r="BK50" i="15"/>
  <c r="BJ50" i="15" s="1"/>
  <c r="BY50" i="15"/>
  <c r="CC50" i="15"/>
  <c r="BC51" i="15"/>
  <c r="BH54" i="15"/>
  <c r="BD54" i="15"/>
  <c r="BC54" i="15" s="1"/>
  <c r="N9" i="16"/>
  <c r="AB9" i="16"/>
  <c r="AF9" i="16"/>
  <c r="CE11" i="16"/>
  <c r="CJ11" i="16"/>
  <c r="AT44" i="15"/>
  <c r="T49" i="15"/>
  <c r="Y49" i="15"/>
  <c r="M6" i="16"/>
  <c r="BQ10" i="16"/>
  <c r="BV10" i="16"/>
  <c r="BR10" i="16"/>
  <c r="CF11" i="16"/>
  <c r="BR13" i="16"/>
  <c r="BQ13" i="16" s="1"/>
  <c r="BV13" i="16"/>
  <c r="CM14" i="16"/>
  <c r="CL14" i="16" s="1"/>
  <c r="CQ14" i="16"/>
  <c r="AA16" i="15"/>
  <c r="AM30" i="15"/>
  <c r="BH36" i="15"/>
  <c r="J40" i="15"/>
  <c r="K40" i="15" s="1"/>
  <c r="AA41" i="15"/>
  <c r="AI43" i="15"/>
  <c r="AH43" i="15" s="1"/>
  <c r="CM43" i="15"/>
  <c r="CL43" i="15" s="1"/>
  <c r="AP44" i="15"/>
  <c r="AO44" i="15" s="1"/>
  <c r="AB45" i="15"/>
  <c r="BJ46" i="15"/>
  <c r="BO46" i="15"/>
  <c r="BK46" i="15"/>
  <c r="U49" i="15"/>
  <c r="E54" i="15"/>
  <c r="AB54" i="15"/>
  <c r="AF54" i="15"/>
  <c r="V56" i="15"/>
  <c r="AP56" i="15"/>
  <c r="AO56" i="15" s="1"/>
  <c r="W57" i="15"/>
  <c r="V57" i="15" s="1"/>
  <c r="CD55" i="16"/>
  <c r="CD58" i="16" s="1"/>
  <c r="N6" i="16"/>
  <c r="BX7" i="16"/>
  <c r="BK7" i="16"/>
  <c r="BJ7" i="16" s="1"/>
  <c r="BO7" i="16"/>
  <c r="CM7" i="16"/>
  <c r="CL7" i="16" s="1"/>
  <c r="CQ7" i="16"/>
  <c r="BD11" i="16"/>
  <c r="BH11" i="16"/>
  <c r="E15" i="16"/>
  <c r="BD18" i="15"/>
  <c r="BC18" i="15" s="1"/>
  <c r="U21" i="15"/>
  <c r="T21" i="15" s="1"/>
  <c r="BD21" i="15"/>
  <c r="BC21" i="15" s="1"/>
  <c r="CF22" i="15"/>
  <c r="CE22" i="15" s="1"/>
  <c r="AP24" i="15"/>
  <c r="AO24" i="15" s="1"/>
  <c r="Y31" i="15"/>
  <c r="BR31" i="15"/>
  <c r="BQ31" i="15" s="1"/>
  <c r="V36" i="15"/>
  <c r="AW37" i="15"/>
  <c r="AV37" i="15" s="1"/>
  <c r="N41" i="15"/>
  <c r="M41" i="15" s="1"/>
  <c r="BA43" i="15"/>
  <c r="BR43" i="15"/>
  <c r="BV43" i="15"/>
  <c r="BX47" i="15"/>
  <c r="AK48" i="15"/>
  <c r="AJ48" i="15" s="1"/>
  <c r="BY49" i="15"/>
  <c r="CC49" i="15"/>
  <c r="BY52" i="15"/>
  <c r="BX52" i="15" s="1"/>
  <c r="M54" i="15"/>
  <c r="AB56" i="15"/>
  <c r="AA56" i="15" s="1"/>
  <c r="R57" i="15"/>
  <c r="E57" i="15"/>
  <c r="AA57" i="15"/>
  <c r="BK57" i="15"/>
  <c r="BJ57" i="15" s="1"/>
  <c r="AG55" i="16"/>
  <c r="AG58" i="16" s="1"/>
  <c r="CM5" i="16"/>
  <c r="CL5" i="16" s="1"/>
  <c r="CQ5" i="16"/>
  <c r="AV7" i="16"/>
  <c r="CL8" i="16"/>
  <c r="CM8" i="16"/>
  <c r="CQ8" i="16"/>
  <c r="BR9" i="16"/>
  <c r="BQ9" i="16" s="1"/>
  <c r="Y10" i="16"/>
  <c r="U10" i="16"/>
  <c r="T10" i="16"/>
  <c r="AT11" i="16"/>
  <c r="AP11" i="16"/>
  <c r="B12" i="16"/>
  <c r="AF16" i="15"/>
  <c r="AH18" i="15"/>
  <c r="BQ19" i="15"/>
  <c r="T20" i="15"/>
  <c r="AF20" i="15"/>
  <c r="Y22" i="15"/>
  <c r="BV22" i="15"/>
  <c r="AF24" i="15"/>
  <c r="BR26" i="15"/>
  <c r="AA27" i="15"/>
  <c r="BR27" i="15"/>
  <c r="BQ27" i="15" s="1"/>
  <c r="CF31" i="15"/>
  <c r="CE31" i="15" s="1"/>
  <c r="BJ33" i="15"/>
  <c r="AF34" i="15"/>
  <c r="AW34" i="15"/>
  <c r="AV34" i="15" s="1"/>
  <c r="BY34" i="15"/>
  <c r="BX34" i="15" s="1"/>
  <c r="BC35" i="15"/>
  <c r="BK37" i="15"/>
  <c r="BJ37" i="15" s="1"/>
  <c r="BQ43" i="15"/>
  <c r="AK45" i="15"/>
  <c r="AJ45" i="15" s="1"/>
  <c r="AM46" i="15"/>
  <c r="AI46" i="15"/>
  <c r="AH46" i="15"/>
  <c r="V47" i="15"/>
  <c r="T52" i="15"/>
  <c r="Y52" i="15"/>
  <c r="AM53" i="15"/>
  <c r="CC54" i="15"/>
  <c r="N57" i="15"/>
  <c r="CM4" i="16"/>
  <c r="CL4" i="16" s="1"/>
  <c r="CQ4" i="16"/>
  <c r="BY5" i="16"/>
  <c r="CC5" i="16"/>
  <c r="CF6" i="16"/>
  <c r="CE6" i="16" s="1"/>
  <c r="CJ6" i="16"/>
  <c r="AW7" i="16"/>
  <c r="AA8" i="16"/>
  <c r="CC8" i="16"/>
  <c r="BY8" i="16"/>
  <c r="AM12" i="16"/>
  <c r="AP13" i="16"/>
  <c r="AO13" i="16" s="1"/>
  <c r="AT13" i="16"/>
  <c r="AP15" i="16"/>
  <c r="AT15" i="16"/>
  <c r="U15" i="15"/>
  <c r="T15" i="15" s="1"/>
  <c r="CF18" i="15"/>
  <c r="CE18" i="15" s="1"/>
  <c r="AH19" i="15"/>
  <c r="BR20" i="15"/>
  <c r="BQ20" i="15" s="1"/>
  <c r="BH23" i="15"/>
  <c r="B26" i="15"/>
  <c r="CF32" i="15"/>
  <c r="CE32" i="15" s="1"/>
  <c r="U34" i="15"/>
  <c r="T34" i="15" s="1"/>
  <c r="AO36" i="15"/>
  <c r="M38" i="15"/>
  <c r="BK38" i="15"/>
  <c r="BJ38" i="15" s="1"/>
  <c r="BR39" i="15"/>
  <c r="BQ39" i="15" s="1"/>
  <c r="CF39" i="15"/>
  <c r="AF41" i="15"/>
  <c r="CF42" i="15"/>
  <c r="CE42" i="15" s="1"/>
  <c r="BD43" i="15"/>
  <c r="BC43" i="15" s="1"/>
  <c r="U44" i="15"/>
  <c r="T44" i="15" s="1"/>
  <c r="AI44" i="15"/>
  <c r="AH44" i="15" s="1"/>
  <c r="CM44" i="15"/>
  <c r="CL44" i="15" s="1"/>
  <c r="AP47" i="15"/>
  <c r="AO47" i="15" s="1"/>
  <c r="W48" i="15"/>
  <c r="V48" i="15" s="1"/>
  <c r="BO48" i="15"/>
  <c r="BK48" i="15"/>
  <c r="BJ48" i="15" s="1"/>
  <c r="B49" i="15"/>
  <c r="CJ50" i="15"/>
  <c r="U52" i="15"/>
  <c r="BY54" i="15"/>
  <c r="BX54" i="15" s="1"/>
  <c r="N4" i="16"/>
  <c r="AT4" i="16"/>
  <c r="AP4" i="16"/>
  <c r="AO4" i="16" s="1"/>
  <c r="BC6" i="16"/>
  <c r="BQ6" i="16"/>
  <c r="N8" i="16"/>
  <c r="M8" i="16" s="1"/>
  <c r="E8" i="16"/>
  <c r="K8" i="16" s="1"/>
  <c r="AB8" i="16"/>
  <c r="AF11" i="16"/>
  <c r="AB11" i="16"/>
  <c r="AA11" i="16" s="1"/>
  <c r="BX44" i="15"/>
  <c r="N49" i="15"/>
  <c r="M49" i="15" s="1"/>
  <c r="M53" i="15"/>
  <c r="BQ53" i="15"/>
  <c r="CE8" i="16"/>
  <c r="AV11" i="16"/>
  <c r="AT16" i="16"/>
  <c r="CC19" i="16"/>
  <c r="BY19" i="16"/>
  <c r="BX19" i="16" s="1"/>
  <c r="BA23" i="16"/>
  <c r="AW23" i="16"/>
  <c r="AV23" i="16" s="1"/>
  <c r="BA27" i="16"/>
  <c r="AW27" i="16"/>
  <c r="AV27" i="16" s="1"/>
  <c r="BV27" i="16"/>
  <c r="BR27" i="16"/>
  <c r="AT29" i="16"/>
  <c r="AP29" i="16"/>
  <c r="AO30" i="16"/>
  <c r="AT30" i="16"/>
  <c r="AP30" i="16"/>
  <c r="AM34" i="16"/>
  <c r="AI34" i="16"/>
  <c r="AH34" i="16" s="1"/>
  <c r="AF35" i="16"/>
  <c r="AA35" i="16"/>
  <c r="AP35" i="16"/>
  <c r="AO35" i="16"/>
  <c r="AP36" i="16"/>
  <c r="AO36" i="16" s="1"/>
  <c r="AT36" i="16"/>
  <c r="AT37" i="16"/>
  <c r="BQ14" i="16"/>
  <c r="CL15" i="16"/>
  <c r="N22" i="16"/>
  <c r="E22" i="16"/>
  <c r="AF30" i="16"/>
  <c r="AB30" i="16"/>
  <c r="AA30" i="16" s="1"/>
  <c r="CC36" i="16"/>
  <c r="BY36" i="16"/>
  <c r="BX36" i="16" s="1"/>
  <c r="E38" i="16"/>
  <c r="N38" i="16"/>
  <c r="G38" i="16" s="1"/>
  <c r="AA38" i="16"/>
  <c r="AM40" i="16"/>
  <c r="AI40" i="16"/>
  <c r="AV12" i="16"/>
  <c r="BK12" i="16"/>
  <c r="BJ12" i="16" s="1"/>
  <c r="AW13" i="16"/>
  <c r="AV13" i="16" s="1"/>
  <c r="BD14" i="16"/>
  <c r="BR14" i="16"/>
  <c r="BQ15" i="16"/>
  <c r="CM15" i="16"/>
  <c r="G16" i="16"/>
  <c r="BH17" i="16"/>
  <c r="BD17" i="16"/>
  <c r="BC17" i="16" s="1"/>
  <c r="BH19" i="16"/>
  <c r="BD19" i="16"/>
  <c r="BC19" i="16" s="1"/>
  <c r="M22" i="16"/>
  <c r="M23" i="16"/>
  <c r="E25" i="16"/>
  <c r="BV32" i="16"/>
  <c r="BQ32" i="16"/>
  <c r="Y34" i="16"/>
  <c r="U34" i="16"/>
  <c r="T34" i="16" s="1"/>
  <c r="BD22" i="16"/>
  <c r="BC22" i="16" s="1"/>
  <c r="AM23" i="16"/>
  <c r="AI23" i="16"/>
  <c r="AH23" i="16" s="1"/>
  <c r="BK24" i="16"/>
  <c r="BJ24" i="16"/>
  <c r="R30" i="16"/>
  <c r="N30" i="16"/>
  <c r="M30" i="16" s="1"/>
  <c r="BV31" i="16"/>
  <c r="BR31" i="16"/>
  <c r="BQ31" i="16" s="1"/>
  <c r="BR32" i="16"/>
  <c r="BY34" i="16"/>
  <c r="BX34" i="16" s="1"/>
  <c r="BK35" i="16"/>
  <c r="BJ35" i="16" s="1"/>
  <c r="BO35" i="16"/>
  <c r="AF36" i="16"/>
  <c r="AB36" i="16"/>
  <c r="AA36" i="16" s="1"/>
  <c r="BQ16" i="16"/>
  <c r="AI20" i="16"/>
  <c r="BV20" i="16"/>
  <c r="BR20" i="16"/>
  <c r="BQ20" i="16" s="1"/>
  <c r="N25" i="16"/>
  <c r="M25" i="16" s="1"/>
  <c r="AT25" i="16"/>
  <c r="AP25" i="16"/>
  <c r="AI28" i="16"/>
  <c r="AH28" i="16" s="1"/>
  <c r="BH28" i="16"/>
  <c r="BD28" i="16"/>
  <c r="BC28" i="16" s="1"/>
  <c r="BV39" i="16"/>
  <c r="BR39" i="16"/>
  <c r="BQ39" i="16" s="1"/>
  <c r="CQ39" i="16"/>
  <c r="CM39" i="16"/>
  <c r="CL39" i="16" s="1"/>
  <c r="BH51" i="15"/>
  <c r="AJ52" i="15"/>
  <c r="AT52" i="15"/>
  <c r="AC53" i="15"/>
  <c r="AC56" i="15"/>
  <c r="J57" i="15"/>
  <c r="AF57" i="15"/>
  <c r="BI55" i="16"/>
  <c r="BO58" i="16" s="1"/>
  <c r="CJ13" i="16"/>
  <c r="CQ15" i="16"/>
  <c r="AA16" i="16"/>
  <c r="AO16" i="16"/>
  <c r="CF16" i="16"/>
  <c r="N18" i="16"/>
  <c r="M18" i="16" s="1"/>
  <c r="BO24" i="16"/>
  <c r="AP26" i="16"/>
  <c r="E32" i="16"/>
  <c r="AH32" i="16"/>
  <c r="AI32" i="16"/>
  <c r="G32" i="16" s="1"/>
  <c r="BO34" i="16"/>
  <c r="BK34" i="16"/>
  <c r="BJ34" i="16" s="1"/>
  <c r="CJ35" i="16"/>
  <c r="CF35" i="16"/>
  <c r="CE35" i="16" s="1"/>
  <c r="B37" i="16"/>
  <c r="BR38" i="16"/>
  <c r="BQ38" i="16"/>
  <c r="U41" i="16"/>
  <c r="T41" i="16" s="1"/>
  <c r="Y41" i="16"/>
  <c r="T45" i="15"/>
  <c r="Y48" i="15"/>
  <c r="AP49" i="15"/>
  <c r="AO49" i="15" s="1"/>
  <c r="AF52" i="15"/>
  <c r="CM53" i="15"/>
  <c r="CL53" i="15" s="1"/>
  <c r="U5" i="16"/>
  <c r="T5" i="16" s="1"/>
  <c r="AW5" i="16"/>
  <c r="AV5" i="16" s="1"/>
  <c r="U8" i="16"/>
  <c r="AI8" i="16"/>
  <c r="AH8" i="16" s="1"/>
  <c r="CL9" i="16"/>
  <c r="CE10" i="16"/>
  <c r="AB12" i="16"/>
  <c r="AA12" i="16" s="1"/>
  <c r="AP12" i="16"/>
  <c r="AO12" i="16" s="1"/>
  <c r="BD12" i="16"/>
  <c r="AV14" i="16"/>
  <c r="N17" i="16"/>
  <c r="M17" i="16" s="1"/>
  <c r="AI18" i="16"/>
  <c r="AH18" i="16" s="1"/>
  <c r="BD18" i="16"/>
  <c r="BC18" i="16" s="1"/>
  <c r="U20" i="16"/>
  <c r="G20" i="16" s="1"/>
  <c r="Y20" i="16"/>
  <c r="BD21" i="16"/>
  <c r="BC21" i="16" s="1"/>
  <c r="BH22" i="16"/>
  <c r="CQ24" i="16"/>
  <c r="CL24" i="16"/>
  <c r="R26" i="16"/>
  <c r="M26" i="16"/>
  <c r="U29" i="16"/>
  <c r="T29" i="16" s="1"/>
  <c r="AP31" i="16"/>
  <c r="AO31" i="16" s="1"/>
  <c r="AM32" i="16"/>
  <c r="BK33" i="16"/>
  <c r="BJ33" i="16" s="1"/>
  <c r="BV36" i="16"/>
  <c r="BR36" i="16"/>
  <c r="BQ36" i="16"/>
  <c r="AT39" i="16"/>
  <c r="AP39" i="16"/>
  <c r="AO39" i="16" s="1"/>
  <c r="AJ46" i="15"/>
  <c r="AV47" i="15"/>
  <c r="BQ49" i="15"/>
  <c r="O50" i="15"/>
  <c r="AA51" i="15"/>
  <c r="R53" i="15"/>
  <c r="AH53" i="15"/>
  <c r="Y56" i="15"/>
  <c r="AT56" i="15"/>
  <c r="BC7" i="16"/>
  <c r="CE7" i="16"/>
  <c r="AH9" i="16"/>
  <c r="BV16" i="16"/>
  <c r="CM21" i="16"/>
  <c r="CL21" i="16"/>
  <c r="AT22" i="16"/>
  <c r="BO22" i="16"/>
  <c r="BK22" i="16"/>
  <c r="BD29" i="16"/>
  <c r="BC29" i="16" s="1"/>
  <c r="Y31" i="16"/>
  <c r="CJ31" i="16"/>
  <c r="CE31" i="16"/>
  <c r="BD36" i="16"/>
  <c r="BC36" i="16"/>
  <c r="CC38" i="16"/>
  <c r="BY38" i="16"/>
  <c r="BX38" i="16" s="1"/>
  <c r="BY39" i="16"/>
  <c r="BX39" i="16"/>
  <c r="N40" i="16"/>
  <c r="M40" i="16"/>
  <c r="CQ44" i="16"/>
  <c r="AV46" i="16"/>
  <c r="BV47" i="16"/>
  <c r="BO48" i="16"/>
  <c r="BX42" i="16"/>
  <c r="M52" i="16"/>
  <c r="AV52" i="16"/>
  <c r="AO40" i="16"/>
  <c r="BD40" i="16"/>
  <c r="BY42" i="16"/>
  <c r="CF43" i="16"/>
  <c r="AB44" i="16"/>
  <c r="AA44" i="16" s="1"/>
  <c r="BD44" i="16"/>
  <c r="BC44" i="16" s="1"/>
  <c r="Y45" i="16"/>
  <c r="BA45" i="16"/>
  <c r="CC45" i="16"/>
  <c r="CE46" i="16"/>
  <c r="BY47" i="16"/>
  <c r="BX47" i="16" s="1"/>
  <c r="N52" i="16"/>
  <c r="AW52" i="16"/>
  <c r="BK52" i="16"/>
  <c r="BJ52" i="16" s="1"/>
  <c r="E19" i="16"/>
  <c r="K19" i="16" s="1"/>
  <c r="BJ26" i="16"/>
  <c r="AH27" i="16"/>
  <c r="CL34" i="16"/>
  <c r="AI39" i="16"/>
  <c r="AH39" i="16" s="1"/>
  <c r="AP40" i="16"/>
  <c r="BR40" i="16"/>
  <c r="BQ40" i="16" s="1"/>
  <c r="BJ41" i="16"/>
  <c r="BX41" i="16"/>
  <c r="CM41" i="16"/>
  <c r="CL41" i="16" s="1"/>
  <c r="U42" i="16"/>
  <c r="T42" i="16" s="1"/>
  <c r="AI42" i="16"/>
  <c r="AA43" i="16"/>
  <c r="BD43" i="16"/>
  <c r="BC43" i="16" s="1"/>
  <c r="BA46" i="16"/>
  <c r="AI53" i="16"/>
  <c r="AH53" i="16" s="1"/>
  <c r="AW53" i="16"/>
  <c r="AV53" i="16" s="1"/>
  <c r="AO54" i="16"/>
  <c r="BR54" i="16"/>
  <c r="CF54" i="16"/>
  <c r="CE54" i="16" s="1"/>
  <c r="CF56" i="16"/>
  <c r="BA57" i="16"/>
  <c r="M45" i="16"/>
  <c r="AO45" i="16"/>
  <c r="BA52" i="16"/>
  <c r="M54" i="16"/>
  <c r="BD54" i="16"/>
  <c r="BC54" i="16" s="1"/>
  <c r="CF57" i="16"/>
  <c r="CE57" i="16" s="1"/>
  <c r="U23" i="16"/>
  <c r="T23" i="16" s="1"/>
  <c r="B25" i="16"/>
  <c r="E27" i="16"/>
  <c r="K27" i="16" s="1"/>
  <c r="M28" i="16"/>
  <c r="BA33" i="16"/>
  <c r="AW34" i="16"/>
  <c r="AV34" i="16" s="1"/>
  <c r="AW41" i="16"/>
  <c r="AV41" i="16" s="1"/>
  <c r="N43" i="16"/>
  <c r="M43" i="16" s="1"/>
  <c r="BY43" i="16"/>
  <c r="BX43" i="16" s="1"/>
  <c r="AF44" i="16"/>
  <c r="AT44" i="16"/>
  <c r="N45" i="16"/>
  <c r="G45" i="16" s="1"/>
  <c r="AP45" i="16"/>
  <c r="BR45" i="16"/>
  <c r="BQ45" i="16" s="1"/>
  <c r="B46" i="16"/>
  <c r="AP46" i="16"/>
  <c r="AO46" i="16" s="1"/>
  <c r="BC46" i="16"/>
  <c r="N47" i="16"/>
  <c r="AP47" i="16"/>
  <c r="BQ47" i="16"/>
  <c r="AW48" i="16"/>
  <c r="AV48" i="16" s="1"/>
  <c r="BJ48" i="16"/>
  <c r="BR49" i="16"/>
  <c r="BQ49" i="16" s="1"/>
  <c r="R52" i="16"/>
  <c r="AM53" i="16"/>
  <c r="N54" i="16"/>
  <c r="AP57" i="16"/>
  <c r="AO57" i="16" s="1"/>
  <c r="BD57" i="16"/>
  <c r="BR57" i="16"/>
  <c r="BQ57" i="16" s="1"/>
  <c r="AH21" i="16"/>
  <c r="BJ21" i="16"/>
  <c r="T25" i="16"/>
  <c r="BX25" i="16"/>
  <c r="N28" i="16"/>
  <c r="B29" i="16"/>
  <c r="AA29" i="16"/>
  <c r="BX29" i="16"/>
  <c r="CJ29" i="16"/>
  <c r="AB31" i="16"/>
  <c r="BD31" i="16"/>
  <c r="Y33" i="16"/>
  <c r="T35" i="16"/>
  <c r="AT38" i="16"/>
  <c r="E42" i="16"/>
  <c r="AF46" i="16"/>
  <c r="BY46" i="16"/>
  <c r="BX46" i="16" s="1"/>
  <c r="CM46" i="16"/>
  <c r="CL46" i="16" s="1"/>
  <c r="E49" i="16"/>
  <c r="E51" i="16"/>
  <c r="BV51" i="16"/>
  <c r="E52" i="16"/>
  <c r="K52" i="16" s="1"/>
  <c r="AP52" i="16"/>
  <c r="AO52" i="16" s="1"/>
  <c r="E18" i="16"/>
  <c r="K18" i="16" s="1"/>
  <c r="CM20" i="16"/>
  <c r="CL20" i="16" s="1"/>
  <c r="BO23" i="16"/>
  <c r="BO26" i="16"/>
  <c r="AM27" i="16"/>
  <c r="AP28" i="16"/>
  <c r="AO28" i="16" s="1"/>
  <c r="AO34" i="16"/>
  <c r="CQ34" i="16"/>
  <c r="CE37" i="16"/>
  <c r="BK40" i="16"/>
  <c r="BJ40" i="16" s="1"/>
  <c r="BO41" i="16"/>
  <c r="AW43" i="16"/>
  <c r="CE44" i="16"/>
  <c r="R45" i="16"/>
  <c r="AT45" i="16"/>
  <c r="BV45" i="16"/>
  <c r="T46" i="16"/>
  <c r="AF47" i="16"/>
  <c r="T48" i="16"/>
  <c r="BA48" i="16"/>
  <c r="N49" i="16"/>
  <c r="AA50" i="16"/>
  <c r="B51" i="16"/>
  <c r="AP53" i="16"/>
  <c r="AO53" i="16" s="1"/>
  <c r="R54" i="16"/>
  <c r="AV54" i="16"/>
  <c r="CL57" i="16"/>
  <c r="H13" i="16"/>
  <c r="H6" i="16"/>
  <c r="H12" i="16"/>
  <c r="BI58" i="16"/>
  <c r="BO55" i="16"/>
  <c r="BY6" i="16"/>
  <c r="BX6" i="16" s="1"/>
  <c r="D7" i="16"/>
  <c r="AK7" i="16"/>
  <c r="J7" i="16"/>
  <c r="AJ7" i="16"/>
  <c r="H7" i="16" s="1"/>
  <c r="CC7" i="16"/>
  <c r="AF8" i="16"/>
  <c r="CJ8" i="16"/>
  <c r="O9" i="16"/>
  <c r="AV10" i="16"/>
  <c r="BH10" i="16"/>
  <c r="BA11" i="16"/>
  <c r="Y12" i="16"/>
  <c r="BO12" i="16"/>
  <c r="B14" i="16"/>
  <c r="AC14" i="16"/>
  <c r="R15" i="16"/>
  <c r="B15" i="16"/>
  <c r="B16" i="16"/>
  <c r="BA18" i="16"/>
  <c r="AW18" i="16"/>
  <c r="CQ18" i="16"/>
  <c r="CM18" i="16"/>
  <c r="CL18" i="16" s="1"/>
  <c r="B19" i="16"/>
  <c r="AP19" i="16"/>
  <c r="AO19" i="16" s="1"/>
  <c r="I20" i="16"/>
  <c r="U22" i="16"/>
  <c r="B22" i="16"/>
  <c r="AM22" i="16"/>
  <c r="AT23" i="16"/>
  <c r="AP23" i="16"/>
  <c r="AO23" i="16" s="1"/>
  <c r="BR24" i="16"/>
  <c r="BQ24" i="16" s="1"/>
  <c r="BV24" i="16"/>
  <c r="AW28" i="16"/>
  <c r="AV28" i="16" s="1"/>
  <c r="BA28" i="16"/>
  <c r="AH4" i="16"/>
  <c r="BA4" i="16"/>
  <c r="BS55" i="16"/>
  <c r="BS58" i="16" s="1"/>
  <c r="Y5" i="16"/>
  <c r="BX5" i="16"/>
  <c r="B6" i="16"/>
  <c r="E7" i="16"/>
  <c r="K7" i="16" s="1"/>
  <c r="AB7" i="16"/>
  <c r="AA7" i="16" s="1"/>
  <c r="AM7" i="16"/>
  <c r="AK9" i="16"/>
  <c r="I9" i="16" s="1"/>
  <c r="BC11" i="16"/>
  <c r="BQ12" i="16"/>
  <c r="M14" i="16"/>
  <c r="BJ14" i="16"/>
  <c r="AO15" i="16"/>
  <c r="Y16" i="16"/>
  <c r="AW16" i="16"/>
  <c r="I18" i="16"/>
  <c r="AV18" i="16"/>
  <c r="BK18" i="16"/>
  <c r="BJ18" i="16" s="1"/>
  <c r="R21" i="16"/>
  <c r="B21" i="16"/>
  <c r="E21" i="16"/>
  <c r="K21" i="16" s="1"/>
  <c r="M21" i="16"/>
  <c r="AI22" i="16"/>
  <c r="G22" i="16" s="1"/>
  <c r="G23" i="16"/>
  <c r="AB23" i="16"/>
  <c r="AA23" i="16" s="1"/>
  <c r="AF23" i="16"/>
  <c r="E23" i="16"/>
  <c r="K23" i="16" s="1"/>
  <c r="CF23" i="16"/>
  <c r="CE23" i="16" s="1"/>
  <c r="CJ23" i="16"/>
  <c r="CJ28" i="16"/>
  <c r="CF28" i="16"/>
  <c r="CE28" i="16"/>
  <c r="BO31" i="16"/>
  <c r="BK31" i="16"/>
  <c r="BJ31" i="16" s="1"/>
  <c r="N36" i="16"/>
  <c r="M36" i="16" s="1"/>
  <c r="R36" i="16"/>
  <c r="B36" i="16"/>
  <c r="E36" i="16"/>
  <c r="K36" i="16" s="1"/>
  <c r="Q55" i="16"/>
  <c r="P4" i="16"/>
  <c r="Z55" i="16"/>
  <c r="Z58" i="16" s="1"/>
  <c r="AF4" i="16"/>
  <c r="AI4" i="16"/>
  <c r="BB55" i="16"/>
  <c r="BB58" i="16" s="1"/>
  <c r="BK4" i="16"/>
  <c r="CN4" i="16"/>
  <c r="CN55" i="16" s="1"/>
  <c r="CN58" i="16" s="1"/>
  <c r="J5" i="16"/>
  <c r="AI5" i="16"/>
  <c r="AH5" i="16" s="1"/>
  <c r="E6" i="16"/>
  <c r="K6" i="16" s="1"/>
  <c r="AI6" i="16"/>
  <c r="AH6" i="16" s="1"/>
  <c r="I7" i="16"/>
  <c r="B8" i="16"/>
  <c r="G8" i="16"/>
  <c r="AA9" i="16"/>
  <c r="AM9" i="16"/>
  <c r="CE9" i="16"/>
  <c r="BJ10" i="16"/>
  <c r="B11" i="16"/>
  <c r="I13" i="16"/>
  <c r="T13" i="16"/>
  <c r="BX13" i="16"/>
  <c r="N14" i="16"/>
  <c r="AO14" i="16"/>
  <c r="N15" i="16"/>
  <c r="W15" i="16"/>
  <c r="V15" i="16" s="1"/>
  <c r="BC15" i="16"/>
  <c r="BY15" i="16"/>
  <c r="BX15" i="16" s="1"/>
  <c r="CJ15" i="16"/>
  <c r="BH16" i="16"/>
  <c r="AV17" i="16"/>
  <c r="BA17" i="16"/>
  <c r="U18" i="16"/>
  <c r="T18" i="16"/>
  <c r="AT19" i="16"/>
  <c r="CL19" i="16"/>
  <c r="CQ19" i="16"/>
  <c r="AA20" i="16"/>
  <c r="AF20" i="16"/>
  <c r="BH20" i="16"/>
  <c r="BD20" i="16"/>
  <c r="BC20" i="16" s="1"/>
  <c r="BY22" i="16"/>
  <c r="BX22" i="16"/>
  <c r="CC22" i="16"/>
  <c r="BV25" i="16"/>
  <c r="BR25" i="16"/>
  <c r="BQ25" i="16" s="1"/>
  <c r="BV35" i="16"/>
  <c r="BR35" i="16"/>
  <c r="BQ35" i="16" s="1"/>
  <c r="AT43" i="16"/>
  <c r="AP43" i="16"/>
  <c r="AO43" i="16" s="1"/>
  <c r="AJ5" i="16"/>
  <c r="BD5" i="16"/>
  <c r="BC5" i="16" s="1"/>
  <c r="AW6" i="16"/>
  <c r="AV6" i="16" s="1"/>
  <c r="CC6" i="16"/>
  <c r="B10" i="16"/>
  <c r="W10" i="16"/>
  <c r="I10" i="16" s="1"/>
  <c r="V10" i="16"/>
  <c r="AF10" i="16"/>
  <c r="I12" i="16"/>
  <c r="E14" i="16"/>
  <c r="K14" i="16" s="1"/>
  <c r="K15" i="16"/>
  <c r="AI15" i="16"/>
  <c r="AH15" i="16" s="1"/>
  <c r="BO17" i="16"/>
  <c r="BK17" i="16"/>
  <c r="BJ17" i="16" s="1"/>
  <c r="H19" i="16"/>
  <c r="BA19" i="16"/>
  <c r="AW19" i="16"/>
  <c r="AV19" i="16" s="1"/>
  <c r="H20" i="16"/>
  <c r="I25" i="16"/>
  <c r="O25" i="16"/>
  <c r="H25" i="16" s="1"/>
  <c r="J31" i="16"/>
  <c r="AK31" i="16"/>
  <c r="AJ31" i="16"/>
  <c r="AJ4" i="16"/>
  <c r="AR55" i="16"/>
  <c r="AR58" i="16" s="1"/>
  <c r="BL55" i="16"/>
  <c r="BL58" i="16" s="1"/>
  <c r="CF4" i="16"/>
  <c r="CE4" i="16" s="1"/>
  <c r="J4" i="16"/>
  <c r="S55" i="16"/>
  <c r="S58" i="16" s="1"/>
  <c r="AB4" i="16"/>
  <c r="BD4" i="16"/>
  <c r="BM55" i="16"/>
  <c r="BM58" i="16" s="1"/>
  <c r="BW55" i="16"/>
  <c r="BW58" i="16" s="1"/>
  <c r="BY4" i="16"/>
  <c r="CG55" i="16"/>
  <c r="CG58" i="16" s="1"/>
  <c r="BR5" i="16"/>
  <c r="BQ5" i="16"/>
  <c r="AB6" i="16"/>
  <c r="AA6" i="16" s="1"/>
  <c r="CM6" i="16"/>
  <c r="CL6" i="16" s="1"/>
  <c r="AF7" i="16"/>
  <c r="AP7" i="16"/>
  <c r="AO7" i="16" s="1"/>
  <c r="AW8" i="16"/>
  <c r="AV8" i="16" s="1"/>
  <c r="U9" i="16"/>
  <c r="G9" i="16" s="1"/>
  <c r="AC9" i="16"/>
  <c r="AO9" i="16"/>
  <c r="BJ9" i="16"/>
  <c r="M10" i="16"/>
  <c r="AP10" i="16"/>
  <c r="AO10" i="16" s="1"/>
  <c r="BX10" i="16"/>
  <c r="CJ10" i="16"/>
  <c r="N11" i="16"/>
  <c r="BR11" i="16"/>
  <c r="BQ11" i="16" s="1"/>
  <c r="U12" i="16"/>
  <c r="G12" i="16" s="1"/>
  <c r="CF12" i="16"/>
  <c r="CE12" i="16" s="1"/>
  <c r="B13" i="16"/>
  <c r="AH13" i="16"/>
  <c r="BC13" i="16"/>
  <c r="CL13" i="16"/>
  <c r="I14" i="16"/>
  <c r="BC14" i="16"/>
  <c r="BX14" i="16"/>
  <c r="P15" i="16"/>
  <c r="O15" i="16" s="1"/>
  <c r="H15" i="16" s="1"/>
  <c r="BA16" i="16"/>
  <c r="CE16" i="16"/>
  <c r="CM17" i="16"/>
  <c r="CL17" i="16" s="1"/>
  <c r="Y18" i="16"/>
  <c r="BV18" i="16"/>
  <c r="BR18" i="16"/>
  <c r="BQ18" i="16" s="1"/>
  <c r="BJ19" i="16"/>
  <c r="BK19" i="16"/>
  <c r="CF22" i="16"/>
  <c r="CE22" i="16" s="1"/>
  <c r="CJ22" i="16"/>
  <c r="CQ23" i="16"/>
  <c r="CL23" i="16"/>
  <c r="BR34" i="16"/>
  <c r="BQ34" i="16" s="1"/>
  <c r="BV34" i="16"/>
  <c r="B4" i="16"/>
  <c r="K4" i="16"/>
  <c r="BE55" i="16"/>
  <c r="BE58" i="16" s="1"/>
  <c r="R5" i="16"/>
  <c r="B5" i="16"/>
  <c r="H11" i="16"/>
  <c r="AD16" i="16"/>
  <c r="AC16" i="16" s="1"/>
  <c r="AA18" i="16"/>
  <c r="AF18" i="16"/>
  <c r="CE18" i="16"/>
  <c r="CF18" i="16"/>
  <c r="Y19" i="16"/>
  <c r="U19" i="16"/>
  <c r="T19" i="16"/>
  <c r="AF24" i="16"/>
  <c r="E24" i="16"/>
  <c r="K24" i="16" s="1"/>
  <c r="L55" i="16"/>
  <c r="L58" i="16" s="1"/>
  <c r="U4" i="16"/>
  <c r="AM4" i="16"/>
  <c r="BZ55" i="16"/>
  <c r="BZ58" i="16" s="1"/>
  <c r="CJ4" i="16"/>
  <c r="M5" i="16"/>
  <c r="V5" i="16"/>
  <c r="H5" i="16" s="1"/>
  <c r="AM5" i="16"/>
  <c r="U6" i="16"/>
  <c r="BA6" i="16"/>
  <c r="B7" i="16"/>
  <c r="R7" i="16"/>
  <c r="AH7" i="16"/>
  <c r="B9" i="16"/>
  <c r="BO9" i="16"/>
  <c r="E10" i="16"/>
  <c r="K10" i="16" s="1"/>
  <c r="O10" i="16"/>
  <c r="H10" i="16" s="1"/>
  <c r="AA10" i="16"/>
  <c r="AI10" i="16"/>
  <c r="AH10" i="16" s="1"/>
  <c r="BC10" i="16"/>
  <c r="I11" i="16"/>
  <c r="E13" i="16"/>
  <c r="K13" i="16" s="1"/>
  <c r="N13" i="16"/>
  <c r="BH13" i="16"/>
  <c r="AJ14" i="16"/>
  <c r="H14" i="16" s="1"/>
  <c r="CC14" i="16"/>
  <c r="AW15" i="16"/>
  <c r="AV15" i="16" s="1"/>
  <c r="CE15" i="16"/>
  <c r="T16" i="16"/>
  <c r="AF16" i="16"/>
  <c r="BC16" i="16"/>
  <c r="K17" i="16"/>
  <c r="AF17" i="16"/>
  <c r="B17" i="16"/>
  <c r="AB18" i="16"/>
  <c r="AT18" i="16"/>
  <c r="AP18" i="16"/>
  <c r="AO18" i="16" s="1"/>
  <c r="I19" i="16"/>
  <c r="BO19" i="16"/>
  <c r="AB24" i="16"/>
  <c r="AA24" i="16" s="1"/>
  <c r="P26" i="16"/>
  <c r="I26" i="16" s="1"/>
  <c r="J26" i="16"/>
  <c r="K26" i="16" s="1"/>
  <c r="AU55" i="16"/>
  <c r="AU58" i="16" s="1"/>
  <c r="AW4" i="16"/>
  <c r="BO4" i="16"/>
  <c r="BK27" i="16"/>
  <c r="BJ27" i="16" s="1"/>
  <c r="BO27" i="16"/>
  <c r="B28" i="16"/>
  <c r="U28" i="16"/>
  <c r="T28" i="16" s="1"/>
  <c r="Y28" i="16"/>
  <c r="E28" i="16"/>
  <c r="I32" i="16"/>
  <c r="O32" i="16"/>
  <c r="AQ34" i="16"/>
  <c r="AQ55" i="16" s="1"/>
  <c r="AQ58" i="16" s="1"/>
  <c r="I34" i="16"/>
  <c r="M4" i="16"/>
  <c r="V4" i="16"/>
  <c r="AE4" i="16"/>
  <c r="AX4" i="16"/>
  <c r="AX55" i="16" s="1"/>
  <c r="AX58" i="16" s="1"/>
  <c r="BH4" i="16"/>
  <c r="BQ4" i="16"/>
  <c r="CA55" i="16"/>
  <c r="CA58" i="16" s="1"/>
  <c r="CK55" i="16"/>
  <c r="E5" i="16"/>
  <c r="K5" i="16" s="1"/>
  <c r="N5" i="16"/>
  <c r="W5" i="16"/>
  <c r="I5" i="16" s="1"/>
  <c r="AP5" i="16"/>
  <c r="BV5" i="16"/>
  <c r="CE5" i="16"/>
  <c r="BK6" i="16"/>
  <c r="BJ6" i="16" s="1"/>
  <c r="M7" i="16"/>
  <c r="BQ7" i="16"/>
  <c r="I8" i="16"/>
  <c r="T8" i="16"/>
  <c r="AO8" i="16"/>
  <c r="BX8" i="16"/>
  <c r="D9" i="16"/>
  <c r="R10" i="16"/>
  <c r="CM10" i="16"/>
  <c r="CL10" i="16" s="1"/>
  <c r="AO11" i="16"/>
  <c r="BJ11" i="16"/>
  <c r="M12" i="16"/>
  <c r="BC12" i="16"/>
  <c r="BX12" i="16"/>
  <c r="AB14" i="16"/>
  <c r="AA14" i="16" s="1"/>
  <c r="AM15" i="16"/>
  <c r="BJ15" i="16"/>
  <c r="BV15" i="16"/>
  <c r="W16" i="16"/>
  <c r="I16" i="16" s="1"/>
  <c r="AH16" i="16"/>
  <c r="AM16" i="16"/>
  <c r="BX16" i="16"/>
  <c r="AA17" i="16"/>
  <c r="AP17" i="16"/>
  <c r="AO17" i="16"/>
  <c r="BR17" i="16"/>
  <c r="BQ17" i="16" s="1"/>
  <c r="CF17" i="16"/>
  <c r="CE17" i="16"/>
  <c r="CJ18" i="16"/>
  <c r="AF19" i="16"/>
  <c r="AB19" i="16"/>
  <c r="AA19" i="16" s="1"/>
  <c r="BV19" i="16"/>
  <c r="BR19" i="16"/>
  <c r="BQ19" i="16" s="1"/>
  <c r="AH20" i="16"/>
  <c r="AW20" i="16"/>
  <c r="AV20" i="16"/>
  <c r="CF20" i="16"/>
  <c r="CE20" i="16" s="1"/>
  <c r="T21" i="16"/>
  <c r="AW21" i="16"/>
  <c r="AV21" i="16" s="1"/>
  <c r="CC21" i="16"/>
  <c r="BX21" i="16"/>
  <c r="J22" i="16"/>
  <c r="K22" i="16" s="1"/>
  <c r="P22" i="16"/>
  <c r="CQ22" i="16"/>
  <c r="CL22" i="16"/>
  <c r="B24" i="16"/>
  <c r="CJ24" i="16"/>
  <c r="CF24" i="16"/>
  <c r="CE24" i="16" s="1"/>
  <c r="J30" i="16"/>
  <c r="W30" i="16"/>
  <c r="V30" i="16" s="1"/>
  <c r="H30" i="16" s="1"/>
  <c r="BR30" i="16"/>
  <c r="BQ30" i="16"/>
  <c r="B30" i="16"/>
  <c r="BV30" i="16"/>
  <c r="P37" i="16"/>
  <c r="O37" i="16"/>
  <c r="BX17" i="16"/>
  <c r="AH19" i="16"/>
  <c r="M20" i="16"/>
  <c r="E20" i="16"/>
  <c r="K20" i="16" s="1"/>
  <c r="CC20" i="16"/>
  <c r="W22" i="16"/>
  <c r="V22" i="16" s="1"/>
  <c r="AF22" i="16"/>
  <c r="B23" i="16"/>
  <c r="R23" i="16"/>
  <c r="BD23" i="16"/>
  <c r="BC23" i="16" s="1"/>
  <c r="M24" i="16"/>
  <c r="B26" i="16"/>
  <c r="AO26" i="16"/>
  <c r="BA26" i="16"/>
  <c r="B31" i="16"/>
  <c r="N31" i="16"/>
  <c r="M31" i="16" s="1"/>
  <c r="E31" i="16"/>
  <c r="M32" i="16"/>
  <c r="P33" i="16"/>
  <c r="I33" i="16" s="1"/>
  <c r="AD36" i="16"/>
  <c r="I36" i="16" s="1"/>
  <c r="AE37" i="16"/>
  <c r="CQ40" i="16"/>
  <c r="CM40" i="16"/>
  <c r="CL40" i="16" s="1"/>
  <c r="K25" i="16"/>
  <c r="BD25" i="16"/>
  <c r="BC25" i="16"/>
  <c r="P28" i="16"/>
  <c r="I28" i="16" s="1"/>
  <c r="CF32" i="16"/>
  <c r="CE32" i="16" s="1"/>
  <c r="BY33" i="16"/>
  <c r="BX33" i="16" s="1"/>
  <c r="R37" i="16"/>
  <c r="AM37" i="16"/>
  <c r="AI37" i="16"/>
  <c r="AH37" i="16" s="1"/>
  <c r="CQ37" i="16"/>
  <c r="CM37" i="16"/>
  <c r="CF38" i="16"/>
  <c r="CE38" i="16" s="1"/>
  <c r="CJ38" i="16"/>
  <c r="AO47" i="16"/>
  <c r="BD47" i="16"/>
  <c r="BH47" i="16"/>
  <c r="B47" i="16"/>
  <c r="P24" i="16"/>
  <c r="I24" i="16" s="1"/>
  <c r="O24" i="16"/>
  <c r="H24" i="16" s="1"/>
  <c r="BO25" i="16"/>
  <c r="BC26" i="16"/>
  <c r="BX26" i="16"/>
  <c r="AB27" i="16"/>
  <c r="G27" i="16" s="1"/>
  <c r="BQ27" i="16"/>
  <c r="R28" i="16"/>
  <c r="BQ28" i="16"/>
  <c r="R29" i="16"/>
  <c r="AO29" i="16"/>
  <c r="BV29" i="16"/>
  <c r="AI30" i="16"/>
  <c r="BX30" i="16"/>
  <c r="AA31" i="16"/>
  <c r="AW31" i="16"/>
  <c r="AV31" i="16" s="1"/>
  <c r="BD34" i="16"/>
  <c r="BC34" i="16" s="1"/>
  <c r="BH34" i="16"/>
  <c r="CM35" i="16"/>
  <c r="CL35" i="16" s="1"/>
  <c r="AI36" i="16"/>
  <c r="AH36" i="16" s="1"/>
  <c r="N37" i="16"/>
  <c r="AW37" i="16"/>
  <c r="AV37" i="16" s="1"/>
  <c r="BA37" i="16"/>
  <c r="CL37" i="16"/>
  <c r="O38" i="16"/>
  <c r="AD39" i="16"/>
  <c r="AC39" i="16"/>
  <c r="BR44" i="16"/>
  <c r="BQ44" i="16" s="1"/>
  <c r="BV44" i="16"/>
  <c r="R22" i="16"/>
  <c r="AW22" i="16"/>
  <c r="AV22" i="16" s="1"/>
  <c r="I23" i="16"/>
  <c r="BR23" i="16"/>
  <c r="BQ23" i="16" s="1"/>
  <c r="AW24" i="16"/>
  <c r="AV24" i="16" s="1"/>
  <c r="AB25" i="16"/>
  <c r="BH25" i="16"/>
  <c r="CM25" i="16"/>
  <c r="CL25" i="16" s="1"/>
  <c r="AI26" i="16"/>
  <c r="AH26" i="16" s="1"/>
  <c r="BQ26" i="16"/>
  <c r="CC26" i="16"/>
  <c r="CM26" i="16"/>
  <c r="CL26" i="16" s="1"/>
  <c r="T27" i="16"/>
  <c r="CF27" i="16"/>
  <c r="CE27" i="16" s="1"/>
  <c r="J28" i="16"/>
  <c r="AB28" i="16"/>
  <c r="AA28" i="16" s="1"/>
  <c r="E30" i="16"/>
  <c r="K30" i="16" s="1"/>
  <c r="CM30" i="16"/>
  <c r="CL30" i="16" s="1"/>
  <c r="J32" i="16"/>
  <c r="K32" i="16" s="1"/>
  <c r="AK32" i="16"/>
  <c r="AJ32" i="16" s="1"/>
  <c r="AW32" i="16"/>
  <c r="AV32" i="16" s="1"/>
  <c r="CL32" i="16"/>
  <c r="CQ32" i="16"/>
  <c r="BD33" i="16"/>
  <c r="BC33" i="16" s="1"/>
  <c r="N35" i="16"/>
  <c r="M35" i="16" s="1"/>
  <c r="E35" i="16"/>
  <c r="K35" i="16" s="1"/>
  <c r="AT35" i="16"/>
  <c r="CQ35" i="16"/>
  <c r="X37" i="16"/>
  <c r="J37" i="16" s="1"/>
  <c r="V36" i="16"/>
  <c r="H36" i="16" s="1"/>
  <c r="BK36" i="16"/>
  <c r="BJ36" i="16" s="1"/>
  <c r="CQ36" i="16"/>
  <c r="K38" i="16"/>
  <c r="CF42" i="16"/>
  <c r="CE42" i="16" s="1"/>
  <c r="CJ42" i="16"/>
  <c r="B42" i="16"/>
  <c r="N44" i="16"/>
  <c r="M44" i="16"/>
  <c r="R44" i="16"/>
  <c r="E44" i="16"/>
  <c r="K44" i="16" s="1"/>
  <c r="V46" i="16"/>
  <c r="H46" i="16" s="1"/>
  <c r="I46" i="16"/>
  <c r="I30" i="16"/>
  <c r="BY31" i="16"/>
  <c r="BX31" i="16" s="1"/>
  <c r="E33" i="16"/>
  <c r="K33" i="16" s="1"/>
  <c r="R33" i="16"/>
  <c r="B33" i="16"/>
  <c r="D34" i="16"/>
  <c r="M34" i="16"/>
  <c r="BH37" i="16"/>
  <c r="BD37" i="16"/>
  <c r="BC37" i="16" s="1"/>
  <c r="AB41" i="16"/>
  <c r="AA41" i="16"/>
  <c r="E41" i="16"/>
  <c r="K41" i="16" s="1"/>
  <c r="AF41" i="16"/>
  <c r="AM48" i="16"/>
  <c r="AI48" i="16"/>
  <c r="AH48" i="16" s="1"/>
  <c r="E48" i="16"/>
  <c r="R16" i="16"/>
  <c r="BR21" i="16"/>
  <c r="BQ21" i="16" s="1"/>
  <c r="U24" i="16"/>
  <c r="AP24" i="16"/>
  <c r="AO24" i="16" s="1"/>
  <c r="BJ25" i="16"/>
  <c r="CF25" i="16"/>
  <c r="T26" i="16"/>
  <c r="AB26" i="16"/>
  <c r="AA26" i="16" s="1"/>
  <c r="AV26" i="16"/>
  <c r="B27" i="16"/>
  <c r="V27" i="16"/>
  <c r="H27" i="16" s="1"/>
  <c r="AP27" i="16"/>
  <c r="AO27" i="16" s="1"/>
  <c r="M29" i="16"/>
  <c r="AI29" i="16"/>
  <c r="AH29" i="16" s="1"/>
  <c r="BQ29" i="16"/>
  <c r="CM29" i="16"/>
  <c r="CL29" i="16" s="1"/>
  <c r="Y30" i="16"/>
  <c r="AW30" i="16"/>
  <c r="AV30" i="16" s="1"/>
  <c r="AM31" i="16"/>
  <c r="N33" i="16"/>
  <c r="AI33" i="16"/>
  <c r="AH33" i="16" s="1"/>
  <c r="CF33" i="16"/>
  <c r="CE33" i="16" s="1"/>
  <c r="AB34" i="16"/>
  <c r="AF34" i="16"/>
  <c r="E34" i="16"/>
  <c r="K34" i="16" s="1"/>
  <c r="B35" i="16"/>
  <c r="BA38" i="16"/>
  <c r="AW38" i="16"/>
  <c r="AV38" i="16" s="1"/>
  <c r="U39" i="16"/>
  <c r="T39" i="16" s="1"/>
  <c r="Y39" i="16"/>
  <c r="B39" i="16"/>
  <c r="BK39" i="16"/>
  <c r="BJ39" i="16"/>
  <c r="BO39" i="16"/>
  <c r="H41" i="16"/>
  <c r="BA44" i="16"/>
  <c r="AW44" i="16"/>
  <c r="AV44" i="16" s="1"/>
  <c r="CC50" i="16"/>
  <c r="BY50" i="16"/>
  <c r="BX50" i="16" s="1"/>
  <c r="AN55" i="16"/>
  <c r="BF55" i="16"/>
  <c r="BF58" i="16" s="1"/>
  <c r="BP55" i="16"/>
  <c r="BP58" i="16" s="1"/>
  <c r="CH55" i="16"/>
  <c r="CH58" i="16" s="1"/>
  <c r="E9" i="16"/>
  <c r="K9" i="16" s="1"/>
  <c r="E16" i="16"/>
  <c r="K16" i="16" s="1"/>
  <c r="M16" i="16"/>
  <c r="U17" i="16"/>
  <c r="G17" i="16" s="1"/>
  <c r="B18" i="16"/>
  <c r="B20" i="16"/>
  <c r="I21" i="16"/>
  <c r="AA21" i="16"/>
  <c r="AM21" i="16"/>
  <c r="CE21" i="16"/>
  <c r="CQ21" i="16"/>
  <c r="BA22" i="16"/>
  <c r="BJ22" i="16"/>
  <c r="AF25" i="16"/>
  <c r="AO25" i="16"/>
  <c r="CF26" i="16"/>
  <c r="CE26" i="16" s="1"/>
  <c r="M27" i="16"/>
  <c r="W27" i="16"/>
  <c r="I27" i="16" s="1"/>
  <c r="BD27" i="16"/>
  <c r="BC27" i="16" s="1"/>
  <c r="CJ27" i="16"/>
  <c r="E29" i="16"/>
  <c r="K29" i="16" s="1"/>
  <c r="N29" i="16"/>
  <c r="AV29" i="16"/>
  <c r="BH29" i="16"/>
  <c r="T30" i="16"/>
  <c r="BK30" i="16"/>
  <c r="BJ30" i="16" s="1"/>
  <c r="CQ30" i="16"/>
  <c r="W31" i="16"/>
  <c r="I31" i="16" s="1"/>
  <c r="AH31" i="16"/>
  <c r="BC31" i="16"/>
  <c r="CC31" i="16"/>
  <c r="CM31" i="16"/>
  <c r="CL31" i="16" s="1"/>
  <c r="R32" i="16"/>
  <c r="B32" i="16"/>
  <c r="AP32" i="16"/>
  <c r="AO32" i="16" s="1"/>
  <c r="O33" i="16"/>
  <c r="H33" i="16" s="1"/>
  <c r="AA34" i="16"/>
  <c r="R35" i="16"/>
  <c r="AW35" i="16"/>
  <c r="AV35" i="16" s="1"/>
  <c r="AC36" i="16"/>
  <c r="BO36" i="16"/>
  <c r="E37" i="16"/>
  <c r="AF37" i="16"/>
  <c r="AB37" i="16"/>
  <c r="AA37" i="16" s="1"/>
  <c r="U40" i="16"/>
  <c r="Y40" i="16"/>
  <c r="E40" i="16"/>
  <c r="B40" i="16"/>
  <c r="AC42" i="16"/>
  <c r="H42" i="16" s="1"/>
  <c r="BK43" i="16"/>
  <c r="BJ43" i="16" s="1"/>
  <c r="BO43" i="16"/>
  <c r="H44" i="16"/>
  <c r="H35" i="16"/>
  <c r="R38" i="16"/>
  <c r="B38" i="16"/>
  <c r="AD38" i="16"/>
  <c r="I38" i="16" s="1"/>
  <c r="M39" i="16"/>
  <c r="AD42" i="16"/>
  <c r="I42" i="16" s="1"/>
  <c r="B43" i="16"/>
  <c r="W43" i="16"/>
  <c r="V43" i="16" s="1"/>
  <c r="BJ44" i="16"/>
  <c r="CF47" i="16"/>
  <c r="CE47" i="16" s="1"/>
  <c r="CJ47" i="16"/>
  <c r="AW50" i="16"/>
  <c r="AV50" i="16" s="1"/>
  <c r="AD52" i="16"/>
  <c r="AC52" i="16" s="1"/>
  <c r="AF52" i="16"/>
  <c r="J52" i="16"/>
  <c r="BH52" i="16"/>
  <c r="BD52" i="16"/>
  <c r="BC52" i="16"/>
  <c r="I54" i="16"/>
  <c r="BD39" i="16"/>
  <c r="BC39" i="16"/>
  <c r="R46" i="16"/>
  <c r="BV46" i="16"/>
  <c r="V50" i="16"/>
  <c r="H50" i="16" s="1"/>
  <c r="G56" i="16"/>
  <c r="BY37" i="16"/>
  <c r="BX37" i="16" s="1"/>
  <c r="AF38" i="16"/>
  <c r="B41" i="16"/>
  <c r="R41" i="16"/>
  <c r="BD41" i="16"/>
  <c r="BC41" i="16"/>
  <c r="AF42" i="16"/>
  <c r="Y43" i="16"/>
  <c r="BQ43" i="16"/>
  <c r="CL43" i="16"/>
  <c r="T44" i="16"/>
  <c r="AO44" i="16"/>
  <c r="P48" i="16"/>
  <c r="J48" i="16"/>
  <c r="AF48" i="16"/>
  <c r="AB48" i="16"/>
  <c r="AA48" i="16" s="1"/>
  <c r="CM48" i="16"/>
  <c r="CL48" i="16" s="1"/>
  <c r="CQ49" i="16"/>
  <c r="Y50" i="16"/>
  <c r="AH38" i="16"/>
  <c r="BD38" i="16"/>
  <c r="BC38" i="16" s="1"/>
  <c r="CL38" i="16"/>
  <c r="G39" i="16"/>
  <c r="AA39" i="16"/>
  <c r="P40" i="16"/>
  <c r="I40" i="16" s="1"/>
  <c r="AH40" i="16"/>
  <c r="BC40" i="16"/>
  <c r="BY40" i="16"/>
  <c r="BX40" i="16" s="1"/>
  <c r="M41" i="16"/>
  <c r="AI41" i="16"/>
  <c r="AH41" i="16" s="1"/>
  <c r="N42" i="16"/>
  <c r="AH42" i="16"/>
  <c r="BD42" i="16"/>
  <c r="BC42" i="16" s="1"/>
  <c r="CL42" i="16"/>
  <c r="P43" i="16"/>
  <c r="I43" i="16" s="1"/>
  <c r="AK43" i="16"/>
  <c r="AJ43" i="16"/>
  <c r="AV43" i="16"/>
  <c r="BR43" i="16"/>
  <c r="U44" i="16"/>
  <c r="BY44" i="16"/>
  <c r="BX44" i="16" s="1"/>
  <c r="O45" i="16"/>
  <c r="H45" i="16" s="1"/>
  <c r="AA45" i="16"/>
  <c r="AV45" i="16"/>
  <c r="CE45" i="16"/>
  <c r="E47" i="16"/>
  <c r="K47" i="16" s="1"/>
  <c r="H47" i="16"/>
  <c r="R48" i="16"/>
  <c r="AP48" i="16"/>
  <c r="AO48" i="16" s="1"/>
  <c r="BY48" i="16"/>
  <c r="BX48" i="16" s="1"/>
  <c r="M49" i="16"/>
  <c r="AA49" i="16"/>
  <c r="AF49" i="16"/>
  <c r="AW49" i="16"/>
  <c r="AV49" i="16" s="1"/>
  <c r="BK49" i="16"/>
  <c r="BJ49" i="16" s="1"/>
  <c r="CM49" i="16"/>
  <c r="CL49" i="16" s="1"/>
  <c r="BC50" i="16"/>
  <c r="BH50" i="16"/>
  <c r="BD50" i="16"/>
  <c r="BV50" i="16"/>
  <c r="BR50" i="16"/>
  <c r="BQ50" i="16" s="1"/>
  <c r="W51" i="16"/>
  <c r="Y51" i="16"/>
  <c r="V51" i="16"/>
  <c r="J51" i="16"/>
  <c r="K51" i="16" s="1"/>
  <c r="AZ59" i="16"/>
  <c r="BA58" i="16"/>
  <c r="CE43" i="16"/>
  <c r="AH44" i="16"/>
  <c r="CL44" i="16"/>
  <c r="AC48" i="16"/>
  <c r="G49" i="16"/>
  <c r="AB51" i="16"/>
  <c r="AA51" i="16" s="1"/>
  <c r="AF51" i="16"/>
  <c r="BH51" i="16"/>
  <c r="BD51" i="16"/>
  <c r="BC51" i="16" s="1"/>
  <c r="CC52" i="16"/>
  <c r="M57" i="16"/>
  <c r="BY52" i="16"/>
  <c r="BX52" i="16" s="1"/>
  <c r="CQ53" i="16"/>
  <c r="CM53" i="16"/>
  <c r="CL53" i="16" s="1"/>
  <c r="B53" i="16"/>
  <c r="CJ55" i="16"/>
  <c r="CP59" i="16"/>
  <c r="Y38" i="16"/>
  <c r="J39" i="16"/>
  <c r="CF39" i="16"/>
  <c r="D39" i="16" s="1"/>
  <c r="J40" i="16"/>
  <c r="AB40" i="16"/>
  <c r="AA40" i="16" s="1"/>
  <c r="AW40" i="16"/>
  <c r="AV40" i="16" s="1"/>
  <c r="CC40" i="16"/>
  <c r="I41" i="16"/>
  <c r="BR41" i="16"/>
  <c r="BQ41" i="16" s="1"/>
  <c r="AW42" i="16"/>
  <c r="AV42" i="16" s="1"/>
  <c r="U43" i="16"/>
  <c r="G43" i="16" s="1"/>
  <c r="AC43" i="16"/>
  <c r="E46" i="16"/>
  <c r="K46" i="16" s="1"/>
  <c r="N46" i="16"/>
  <c r="BH46" i="16"/>
  <c r="CM47" i="16"/>
  <c r="CL47" i="16" s="1"/>
  <c r="B48" i="16"/>
  <c r="AT48" i="16"/>
  <c r="D49" i="16"/>
  <c r="R49" i="16"/>
  <c r="AP49" i="16"/>
  <c r="AO49" i="16" s="1"/>
  <c r="CM50" i="16"/>
  <c r="CL50" i="16"/>
  <c r="O52" i="16"/>
  <c r="BK32" i="16"/>
  <c r="BJ32" i="16" s="1"/>
  <c r="AV33" i="16"/>
  <c r="B34" i="16"/>
  <c r="T38" i="16"/>
  <c r="BJ38" i="16"/>
  <c r="BV38" i="16"/>
  <c r="W39" i="16"/>
  <c r="I39" i="16" s="1"/>
  <c r="CF41" i="16"/>
  <c r="CE41" i="16"/>
  <c r="J42" i="16"/>
  <c r="BJ42" i="16"/>
  <c r="BV42" i="16"/>
  <c r="AF43" i="16"/>
  <c r="T45" i="16"/>
  <c r="BC45" i="16"/>
  <c r="BX45" i="16"/>
  <c r="AH47" i="16"/>
  <c r="AM50" i="16"/>
  <c r="AI50" i="16"/>
  <c r="I51" i="16"/>
  <c r="AM51" i="16"/>
  <c r="AI51" i="16"/>
  <c r="AH51" i="16" s="1"/>
  <c r="M50" i="16"/>
  <c r="E50" i="16"/>
  <c r="K50" i="16" s="1"/>
  <c r="AC50" i="16"/>
  <c r="CE50" i="16"/>
  <c r="H54" i="16"/>
  <c r="BR56" i="16"/>
  <c r="BQ56" i="16" s="1"/>
  <c r="AW57" i="16"/>
  <c r="AV57" i="16" s="1"/>
  <c r="CI58" i="16"/>
  <c r="BK53" i="16"/>
  <c r="BJ53" i="16" s="1"/>
  <c r="I56" i="16"/>
  <c r="BY51" i="16"/>
  <c r="BX51" i="16" s="1"/>
  <c r="E53" i="16"/>
  <c r="K53" i="16" s="1"/>
  <c r="I53" i="16"/>
  <c r="AA53" i="16"/>
  <c r="Y54" i="16"/>
  <c r="B54" i="16"/>
  <c r="BQ54" i="16"/>
  <c r="CB58" i="16"/>
  <c r="CC55" i="16"/>
  <c r="M56" i="16"/>
  <c r="AW56" i="16"/>
  <c r="AV56" i="16" s="1"/>
  <c r="BK57" i="16"/>
  <c r="BJ57" i="16" s="1"/>
  <c r="N51" i="16"/>
  <c r="CM51" i="16"/>
  <c r="CL51" i="16" s="1"/>
  <c r="Y52" i="16"/>
  <c r="U52" i="16"/>
  <c r="G52" i="16" s="1"/>
  <c r="T52" i="16"/>
  <c r="F52" i="16" s="1"/>
  <c r="U54" i="16"/>
  <c r="BA56" i="16"/>
  <c r="E57" i="16"/>
  <c r="K57" i="16" s="1"/>
  <c r="O57" i="16"/>
  <c r="H57" i="16" s="1"/>
  <c r="AB57" i="16"/>
  <c r="AA57" i="16" s="1"/>
  <c r="BC57" i="16"/>
  <c r="BD53" i="16"/>
  <c r="BC53" i="16" s="1"/>
  <c r="BV58" i="16"/>
  <c r="BU59" i="16"/>
  <c r="O49" i="16"/>
  <c r="O51" i="16"/>
  <c r="AV51" i="16"/>
  <c r="BR53" i="16"/>
  <c r="BQ53" i="16" s="1"/>
  <c r="BK54" i="16"/>
  <c r="BJ54" i="16" s="1"/>
  <c r="E56" i="16"/>
  <c r="K56" i="16" s="1"/>
  <c r="AC56" i="16"/>
  <c r="H56" i="16" s="1"/>
  <c r="AP56" i="16"/>
  <c r="AO56" i="16" s="1"/>
  <c r="E39" i="16"/>
  <c r="E43" i="16"/>
  <c r="K43" i="16" s="1"/>
  <c r="E45" i="16"/>
  <c r="K45" i="16" s="1"/>
  <c r="AA47" i="16"/>
  <c r="BR48" i="16"/>
  <c r="BQ48" i="16" s="1"/>
  <c r="B50" i="16"/>
  <c r="T50" i="16"/>
  <c r="AD50" i="16"/>
  <c r="I50" i="16" s="1"/>
  <c r="AW51" i="16"/>
  <c r="CE51" i="16"/>
  <c r="B52" i="16"/>
  <c r="M53" i="16"/>
  <c r="CF53" i="16"/>
  <c r="CE53" i="16" s="1"/>
  <c r="BX54" i="16"/>
  <c r="J56" i="16"/>
  <c r="AF56" i="16"/>
  <c r="BD56" i="16"/>
  <c r="BC56" i="16" s="1"/>
  <c r="Y81" i="16"/>
  <c r="X49" i="16" s="1"/>
  <c r="BR52" i="16"/>
  <c r="BQ52" i="16" s="1"/>
  <c r="AI54" i="16"/>
  <c r="AH54" i="16"/>
  <c r="CM54" i="16"/>
  <c r="CL54" i="16" s="1"/>
  <c r="U57" i="16"/>
  <c r="T57" i="16" s="1"/>
  <c r="BY57" i="16"/>
  <c r="BX57" i="16" s="1"/>
  <c r="BG58" i="16"/>
  <c r="AF81" i="16"/>
  <c r="AE49" i="16" s="1"/>
  <c r="U53" i="16"/>
  <c r="G53" i="16" s="1"/>
  <c r="AC53" i="16"/>
  <c r="H53" i="16" s="1"/>
  <c r="CE56" i="16"/>
  <c r="AM81" i="16"/>
  <c r="AL49" i="16" s="1"/>
  <c r="O6" i="15"/>
  <c r="AN55" i="15"/>
  <c r="AN58" i="15" s="1"/>
  <c r="AT4" i="15"/>
  <c r="T4" i="15"/>
  <c r="CN5" i="15"/>
  <c r="AM8" i="15"/>
  <c r="BN55" i="15"/>
  <c r="BM4" i="15"/>
  <c r="CQ5" i="15"/>
  <c r="AB7" i="15"/>
  <c r="AA7" i="15"/>
  <c r="AF7" i="15"/>
  <c r="BV7" i="15"/>
  <c r="BG55" i="15"/>
  <c r="B7" i="15"/>
  <c r="BO7" i="15"/>
  <c r="CQ7" i="15"/>
  <c r="J9" i="15"/>
  <c r="K9" i="15" s="1"/>
  <c r="BD9" i="15"/>
  <c r="BC9" i="15"/>
  <c r="BH9" i="15"/>
  <c r="BO10" i="15"/>
  <c r="CJ13" i="15"/>
  <c r="CF13" i="15"/>
  <c r="CE13" i="15" s="1"/>
  <c r="G17" i="15"/>
  <c r="I17" i="15"/>
  <c r="BR18" i="15"/>
  <c r="BQ18" i="15" s="1"/>
  <c r="BV18" i="15"/>
  <c r="BD19" i="15"/>
  <c r="BH19" i="15"/>
  <c r="BC19" i="15"/>
  <c r="BH4" i="15"/>
  <c r="AW5" i="15"/>
  <c r="AV5" i="15" s="1"/>
  <c r="BJ5" i="15"/>
  <c r="AJ6" i="15"/>
  <c r="BO6" i="15"/>
  <c r="BJ6" i="15"/>
  <c r="CG6" i="15"/>
  <c r="CF7" i="15"/>
  <c r="CE7" i="15" s="1"/>
  <c r="CJ7" i="15"/>
  <c r="Y9" i="15"/>
  <c r="T9" i="15"/>
  <c r="AQ9" i="15"/>
  <c r="BF9" i="15"/>
  <c r="BE9" i="15" s="1"/>
  <c r="H9" i="15" s="1"/>
  <c r="CL9" i="15"/>
  <c r="Y10" i="15"/>
  <c r="V10" i="15"/>
  <c r="BA10" i="15"/>
  <c r="BK10" i="15"/>
  <c r="BJ10" i="15" s="1"/>
  <c r="V11" i="15"/>
  <c r="BA11" i="15"/>
  <c r="AV11" i="15"/>
  <c r="CQ11" i="15"/>
  <c r="T12" i="15"/>
  <c r="BK12" i="15"/>
  <c r="BJ12" i="15" s="1"/>
  <c r="CH13" i="15"/>
  <c r="CG13" i="15" s="1"/>
  <c r="AY14" i="15"/>
  <c r="AX14" i="15" s="1"/>
  <c r="V15" i="15"/>
  <c r="AJ15" i="15"/>
  <c r="BA15" i="15"/>
  <c r="BS15" i="15"/>
  <c r="CH7" i="15"/>
  <c r="CG7" i="15" s="1"/>
  <c r="CQ8" i="15"/>
  <c r="AP10" i="15"/>
  <c r="D10" i="15" s="1"/>
  <c r="AO10" i="15"/>
  <c r="AT10" i="15"/>
  <c r="CF11" i="15"/>
  <c r="D11" i="15" s="1"/>
  <c r="CJ11" i="15"/>
  <c r="BT13" i="15"/>
  <c r="BS13" i="15" s="1"/>
  <c r="BD14" i="15"/>
  <c r="BC14" i="15" s="1"/>
  <c r="BH14" i="15"/>
  <c r="AT16" i="15"/>
  <c r="AP16" i="15"/>
  <c r="BR17" i="15"/>
  <c r="BQ17" i="15" s="1"/>
  <c r="BV17" i="15"/>
  <c r="AF18" i="15"/>
  <c r="AB18" i="15"/>
  <c r="AA18" i="15" s="1"/>
  <c r="B18" i="15"/>
  <c r="BA7" i="15"/>
  <c r="BV15" i="15"/>
  <c r="AO16" i="15"/>
  <c r="BZ16" i="15"/>
  <c r="H32" i="15"/>
  <c r="S55" i="15"/>
  <c r="S58" i="15" s="1"/>
  <c r="U4" i="15"/>
  <c r="Y4" i="15"/>
  <c r="AX8" i="15"/>
  <c r="BW55" i="15"/>
  <c r="BW58" i="15" s="1"/>
  <c r="BY4" i="15"/>
  <c r="CC4" i="15"/>
  <c r="AX5" i="15"/>
  <c r="AP6" i="15"/>
  <c r="D6" i="15" s="1"/>
  <c r="AT6" i="15"/>
  <c r="CJ6" i="15"/>
  <c r="BV13" i="15"/>
  <c r="AB15" i="15"/>
  <c r="G15" i="15" s="1"/>
  <c r="AF15" i="15"/>
  <c r="B15" i="15"/>
  <c r="AD11" i="15"/>
  <c r="CM12" i="15"/>
  <c r="CL12" i="15" s="1"/>
  <c r="CQ12" i="15"/>
  <c r="BO13" i="15"/>
  <c r="Z55" i="15"/>
  <c r="Z58" i="15" s="1"/>
  <c r="BO4" i="15"/>
  <c r="CD55" i="15"/>
  <c r="CD58" i="15" s="1"/>
  <c r="Y5" i="15"/>
  <c r="BD5" i="15"/>
  <c r="BC5" i="15" s="1"/>
  <c r="BH5" i="15"/>
  <c r="CC5" i="15"/>
  <c r="BX5" i="15"/>
  <c r="O7" i="15"/>
  <c r="AD7" i="15"/>
  <c r="BJ7" i="15"/>
  <c r="E8" i="15"/>
  <c r="K8" i="15" s="1"/>
  <c r="N8" i="15"/>
  <c r="M8" i="15" s="1"/>
  <c r="R8" i="15"/>
  <c r="B8" i="15"/>
  <c r="BE8" i="15"/>
  <c r="BT8" i="15"/>
  <c r="BS8" i="15" s="1"/>
  <c r="G9" i="15"/>
  <c r="AF10" i="15"/>
  <c r="AV10" i="15"/>
  <c r="CN10" i="15"/>
  <c r="BJ11" i="15"/>
  <c r="CL11" i="15"/>
  <c r="Y12" i="15"/>
  <c r="BO12" i="15"/>
  <c r="BK13" i="15"/>
  <c r="BJ13" i="15" s="1"/>
  <c r="AP14" i="15"/>
  <c r="AO14" i="15" s="1"/>
  <c r="AT14" i="15"/>
  <c r="R15" i="15"/>
  <c r="J15" i="15"/>
  <c r="O15" i="15"/>
  <c r="AV15" i="15"/>
  <c r="CO15" i="15"/>
  <c r="CN15" i="15" s="1"/>
  <c r="BR16" i="15"/>
  <c r="BQ16" i="15" s="1"/>
  <c r="BV16" i="15"/>
  <c r="I18" i="15"/>
  <c r="O18" i="15"/>
  <c r="H18" i="15" s="1"/>
  <c r="J7" i="15"/>
  <c r="AT9" i="15"/>
  <c r="AB11" i="15"/>
  <c r="G11" i="15" s="1"/>
  <c r="AF11" i="15"/>
  <c r="CH11" i="15"/>
  <c r="CG11" i="15" s="1"/>
  <c r="X55" i="15"/>
  <c r="W4" i="15"/>
  <c r="CB55" i="15"/>
  <c r="CA4" i="15"/>
  <c r="BZ4" i="15" s="1"/>
  <c r="J5" i="15"/>
  <c r="K5" i="15" s="1"/>
  <c r="AR6" i="15"/>
  <c r="I6" i="15" s="1"/>
  <c r="CL7" i="15"/>
  <c r="AI8" i="15"/>
  <c r="AH8" i="15" s="1"/>
  <c r="BR8" i="15"/>
  <c r="BQ8" i="15" s="1"/>
  <c r="BV8" i="15"/>
  <c r="N13" i="15"/>
  <c r="M13" i="15" s="1"/>
  <c r="E13" i="15"/>
  <c r="K13" i="15" s="1"/>
  <c r="BP55" i="15"/>
  <c r="BP58" i="15" s="1"/>
  <c r="BR4" i="15"/>
  <c r="BQ4" i="15"/>
  <c r="U5" i="15"/>
  <c r="G5" i="15" s="1"/>
  <c r="R6" i="15"/>
  <c r="J6" i="15"/>
  <c r="K6" i="15" s="1"/>
  <c r="AF6" i="15"/>
  <c r="P8" i="15"/>
  <c r="J8" i="15"/>
  <c r="CC9" i="15"/>
  <c r="CC10" i="15"/>
  <c r="BZ10" i="15"/>
  <c r="AH11" i="15"/>
  <c r="N12" i="15"/>
  <c r="E12" i="15"/>
  <c r="R12" i="15"/>
  <c r="B12" i="15"/>
  <c r="AF13" i="15"/>
  <c r="AM13" i="15"/>
  <c r="AJ13" i="15"/>
  <c r="AY13" i="15"/>
  <c r="CA15" i="15"/>
  <c r="BZ15" i="15" s="1"/>
  <c r="CC15" i="15"/>
  <c r="CQ15" i="15"/>
  <c r="AI16" i="15"/>
  <c r="AH16" i="15" s="1"/>
  <c r="AM16" i="15"/>
  <c r="CM16" i="15"/>
  <c r="CQ16" i="15"/>
  <c r="AI17" i="15"/>
  <c r="AH17" i="15" s="1"/>
  <c r="E17" i="15"/>
  <c r="K17" i="15" s="1"/>
  <c r="AM17" i="15"/>
  <c r="B17" i="15"/>
  <c r="Y6" i="15"/>
  <c r="V6" i="15"/>
  <c r="AP4" i="15"/>
  <c r="AO4" i="15" s="1"/>
  <c r="AJ5" i="15"/>
  <c r="AW7" i="15"/>
  <c r="CM8" i="15"/>
  <c r="CL8" i="15" s="1"/>
  <c r="BJ9" i="15"/>
  <c r="AR10" i="15"/>
  <c r="I10" i="15" s="1"/>
  <c r="AQ10" i="15"/>
  <c r="M15" i="15"/>
  <c r="AR15" i="15"/>
  <c r="AQ15" i="15" s="1"/>
  <c r="AZ55" i="15"/>
  <c r="BA4" i="15"/>
  <c r="CQ9" i="15"/>
  <c r="CN9" i="15"/>
  <c r="AM12" i="15"/>
  <c r="AH12" i="15"/>
  <c r="AT13" i="15"/>
  <c r="L55" i="15"/>
  <c r="L58" i="15" s="1"/>
  <c r="N4" i="15"/>
  <c r="E4" i="15"/>
  <c r="AB4" i="15"/>
  <c r="BF4" i="15"/>
  <c r="BE4" i="15" s="1"/>
  <c r="CF4" i="15"/>
  <c r="CE4" i="15" s="1"/>
  <c r="BF5" i="15"/>
  <c r="I5" i="15" s="1"/>
  <c r="T6" i="15"/>
  <c r="CC6" i="15"/>
  <c r="BZ6" i="15"/>
  <c r="R7" i="15"/>
  <c r="AH7" i="15"/>
  <c r="BM7" i="15"/>
  <c r="BL7" i="15" s="1"/>
  <c r="AV8" i="15"/>
  <c r="BH8" i="15"/>
  <c r="BX8" i="15"/>
  <c r="AM9" i="15"/>
  <c r="AJ9" i="15"/>
  <c r="BO9" i="15"/>
  <c r="BY9" i="15"/>
  <c r="BX9" i="15" s="1"/>
  <c r="B11" i="15"/>
  <c r="BM11" i="15"/>
  <c r="BL11" i="15" s="1"/>
  <c r="P12" i="15"/>
  <c r="I12" i="15" s="1"/>
  <c r="J12" i="15"/>
  <c r="BE12" i="15"/>
  <c r="BZ12" i="15"/>
  <c r="CC12" i="15"/>
  <c r="R13" i="15"/>
  <c r="AB13" i="15"/>
  <c r="AA13" i="15" s="1"/>
  <c r="BD13" i="15"/>
  <c r="BC13" i="15" s="1"/>
  <c r="BH13" i="15"/>
  <c r="AD14" i="15"/>
  <c r="AF14" i="15"/>
  <c r="AQ14" i="15"/>
  <c r="E15" i="15"/>
  <c r="K15" i="15" s="1"/>
  <c r="AI15" i="15"/>
  <c r="AM15" i="15"/>
  <c r="CF15" i="15"/>
  <c r="CE15" i="15" s="1"/>
  <c r="CJ15" i="15"/>
  <c r="J16" i="15"/>
  <c r="BH16" i="15"/>
  <c r="BE16" i="15"/>
  <c r="CL16" i="15"/>
  <c r="M17" i="15"/>
  <c r="V17" i="15"/>
  <c r="H19" i="15"/>
  <c r="CH16" i="15"/>
  <c r="CG16" i="15" s="1"/>
  <c r="N18" i="15"/>
  <c r="M18" i="15" s="1"/>
  <c r="E18" i="15"/>
  <c r="K18" i="15" s="1"/>
  <c r="N21" i="15"/>
  <c r="M21" i="15" s="1"/>
  <c r="B21" i="15"/>
  <c r="H24" i="15"/>
  <c r="AI27" i="15"/>
  <c r="AH27" i="15" s="1"/>
  <c r="N29" i="15"/>
  <c r="E29" i="15"/>
  <c r="K29" i="15" s="1"/>
  <c r="AF30" i="15"/>
  <c r="AY30" i="15"/>
  <c r="AX30" i="15"/>
  <c r="BO31" i="15"/>
  <c r="BK31" i="15"/>
  <c r="AB32" i="15"/>
  <c r="AA32" i="15" s="1"/>
  <c r="B32" i="15"/>
  <c r="CM32" i="15"/>
  <c r="CQ32" i="15"/>
  <c r="AB36" i="15"/>
  <c r="AF36" i="15"/>
  <c r="BD39" i="15"/>
  <c r="BC39" i="15"/>
  <c r="BO39" i="15"/>
  <c r="B42" i="15"/>
  <c r="R42" i="15"/>
  <c r="E42" i="15"/>
  <c r="Q55" i="15"/>
  <c r="AG55" i="15"/>
  <c r="AG58" i="15" s="1"/>
  <c r="BU55" i="15"/>
  <c r="CK55" i="15"/>
  <c r="CK58" i="15" s="1"/>
  <c r="BA13" i="15"/>
  <c r="BA14" i="15"/>
  <c r="CL14" i="15"/>
  <c r="AT15" i="15"/>
  <c r="AD16" i="15"/>
  <c r="AC16" i="15" s="1"/>
  <c r="AV16" i="15"/>
  <c r="BX16" i="15"/>
  <c r="CJ16" i="15"/>
  <c r="Y18" i="15"/>
  <c r="E20" i="15"/>
  <c r="K20" i="15" s="1"/>
  <c r="H20" i="15"/>
  <c r="AM20" i="15"/>
  <c r="CQ20" i="15"/>
  <c r="BE21" i="15"/>
  <c r="BQ21" i="15"/>
  <c r="CJ23" i="15"/>
  <c r="I24" i="15"/>
  <c r="BJ24" i="15"/>
  <c r="H25" i="15"/>
  <c r="BD25" i="15"/>
  <c r="BC25" i="15" s="1"/>
  <c r="BQ25" i="15"/>
  <c r="AI26" i="15"/>
  <c r="AH26" i="15"/>
  <c r="AV26" i="15"/>
  <c r="AV28" i="15"/>
  <c r="BO28" i="15"/>
  <c r="BJ28" i="15"/>
  <c r="CC28" i="15"/>
  <c r="BY28" i="15"/>
  <c r="BX28" i="15" s="1"/>
  <c r="CE29" i="15"/>
  <c r="AB30" i="15"/>
  <c r="AA30" i="15" s="1"/>
  <c r="AK30" i="15"/>
  <c r="AJ30" i="15" s="1"/>
  <c r="AK31" i="15"/>
  <c r="AJ31" i="15"/>
  <c r="AY31" i="15"/>
  <c r="AX31" i="15" s="1"/>
  <c r="BJ31" i="15"/>
  <c r="CL32" i="15"/>
  <c r="AP33" i="15"/>
  <c r="AO33" i="15" s="1"/>
  <c r="AT33" i="15"/>
  <c r="CJ33" i="15"/>
  <c r="CF33" i="15"/>
  <c r="CE33" i="15" s="1"/>
  <c r="O34" i="15"/>
  <c r="H34" i="15" s="1"/>
  <c r="AA36" i="15"/>
  <c r="BH37" i="15"/>
  <c r="BD37" i="15"/>
  <c r="BC37" i="15" s="1"/>
  <c r="AB38" i="15"/>
  <c r="G38" i="15" s="1"/>
  <c r="E38" i="15"/>
  <c r="CQ38" i="15"/>
  <c r="CL38" i="15"/>
  <c r="CJ41" i="15"/>
  <c r="CF41" i="15"/>
  <c r="CE41" i="15" s="1"/>
  <c r="BF43" i="15"/>
  <c r="BE43" i="15" s="1"/>
  <c r="BH43" i="15"/>
  <c r="H21" i="15"/>
  <c r="CC27" i="15"/>
  <c r="BY27" i="15"/>
  <c r="V28" i="15"/>
  <c r="H28" i="15" s="1"/>
  <c r="I28" i="15"/>
  <c r="AT29" i="15"/>
  <c r="BH29" i="15"/>
  <c r="BD29" i="15"/>
  <c r="BC29" i="15" s="1"/>
  <c r="CF30" i="15"/>
  <c r="CJ30" i="15"/>
  <c r="AP31" i="15"/>
  <c r="AO31" i="15" s="1"/>
  <c r="AT31" i="15"/>
  <c r="I32" i="15"/>
  <c r="AP34" i="15"/>
  <c r="AO34" i="15" s="1"/>
  <c r="AP35" i="15"/>
  <c r="B35" i="15"/>
  <c r="AD36" i="15"/>
  <c r="AC36" i="15" s="1"/>
  <c r="BS38" i="15"/>
  <c r="BV40" i="15"/>
  <c r="BR40" i="15"/>
  <c r="BQ40" i="15"/>
  <c r="N42" i="15"/>
  <c r="M42" i="15" s="1"/>
  <c r="AK42" i="15"/>
  <c r="I42" i="15" s="1"/>
  <c r="J42" i="15"/>
  <c r="AM42" i="15"/>
  <c r="Y43" i="15"/>
  <c r="B43" i="15"/>
  <c r="U43" i="15"/>
  <c r="E43" i="15"/>
  <c r="K43" i="15" s="1"/>
  <c r="T43" i="15"/>
  <c r="G44" i="15"/>
  <c r="H22" i="15"/>
  <c r="AV22" i="15"/>
  <c r="AM27" i="15"/>
  <c r="BX27" i="15"/>
  <c r="E28" i="15"/>
  <c r="K28" i="15" s="1"/>
  <c r="N28" i="15"/>
  <c r="AP29" i="15"/>
  <c r="AO29" i="15" s="1"/>
  <c r="T30" i="15"/>
  <c r="CE30" i="15"/>
  <c r="BD31" i="15"/>
  <c r="BC31" i="15" s="1"/>
  <c r="AF32" i="15"/>
  <c r="B33" i="15"/>
  <c r="U33" i="15"/>
  <c r="E33" i="15"/>
  <c r="K33" i="15" s="1"/>
  <c r="R34" i="15"/>
  <c r="P36" i="15"/>
  <c r="O36" i="15" s="1"/>
  <c r="R36" i="15"/>
  <c r="BM36" i="15"/>
  <c r="BL36" i="15" s="1"/>
  <c r="BO36" i="15"/>
  <c r="CF36" i="15"/>
  <c r="CE36" i="15" s="1"/>
  <c r="CJ36" i="15"/>
  <c r="J38" i="15"/>
  <c r="P38" i="15"/>
  <c r="AT38" i="15"/>
  <c r="AO38" i="15"/>
  <c r="AX38" i="15"/>
  <c r="CC57" i="15"/>
  <c r="BY57" i="15"/>
  <c r="BX57" i="15" s="1"/>
  <c r="V16" i="15"/>
  <c r="BR35" i="15"/>
  <c r="BQ35" i="15" s="1"/>
  <c r="R38" i="15"/>
  <c r="BH39" i="15"/>
  <c r="U41" i="15"/>
  <c r="T41" i="15"/>
  <c r="E41" i="15"/>
  <c r="K41" i="15" s="1"/>
  <c r="Y41" i="15"/>
  <c r="B41" i="15"/>
  <c r="AM41" i="15"/>
  <c r="AI41" i="15"/>
  <c r="AH41" i="15" s="1"/>
  <c r="AB46" i="15"/>
  <c r="AA46" i="15"/>
  <c r="AF46" i="15"/>
  <c r="BL13" i="15"/>
  <c r="N16" i="15"/>
  <c r="M16" i="15"/>
  <c r="E16" i="15"/>
  <c r="BV21" i="15"/>
  <c r="N27" i="15"/>
  <c r="E27" i="15"/>
  <c r="K27" i="15" s="1"/>
  <c r="M27" i="15"/>
  <c r="B29" i="15"/>
  <c r="BI55" i="15"/>
  <c r="BI58" i="15" s="1"/>
  <c r="B6" i="15"/>
  <c r="AH6" i="15"/>
  <c r="CL6" i="15"/>
  <c r="T7" i="15"/>
  <c r="BX7" i="15"/>
  <c r="BJ8" i="15"/>
  <c r="AV9" i="15"/>
  <c r="B10" i="15"/>
  <c r="J10" i="15"/>
  <c r="K10" i="15" s="1"/>
  <c r="AH10" i="15"/>
  <c r="CL10" i="15"/>
  <c r="T11" i="15"/>
  <c r="BX11" i="15"/>
  <c r="BX13" i="15"/>
  <c r="Y14" i="15"/>
  <c r="BF14" i="15"/>
  <c r="BE14" i="15"/>
  <c r="BX14" i="15"/>
  <c r="Y16" i="15"/>
  <c r="T18" i="15"/>
  <c r="AP18" i="15"/>
  <c r="AO18" i="15"/>
  <c r="AO21" i="15"/>
  <c r="AB23" i="15"/>
  <c r="B23" i="15"/>
  <c r="B24" i="15"/>
  <c r="AH24" i="15"/>
  <c r="CL24" i="15"/>
  <c r="BX25" i="15"/>
  <c r="BY25" i="15"/>
  <c r="BD26" i="15"/>
  <c r="BC26" i="15" s="1"/>
  <c r="BC27" i="15"/>
  <c r="BH28" i="15"/>
  <c r="BD28" i="15"/>
  <c r="BC28" i="15" s="1"/>
  <c r="BO29" i="15"/>
  <c r="BJ29" i="15"/>
  <c r="BX29" i="15"/>
  <c r="CC29" i="15"/>
  <c r="N30" i="15"/>
  <c r="M30" i="15" s="1"/>
  <c r="E30" i="15"/>
  <c r="R30" i="15"/>
  <c r="CJ31" i="15"/>
  <c r="AV32" i="15"/>
  <c r="J34" i="15"/>
  <c r="AT35" i="15"/>
  <c r="CH36" i="15"/>
  <c r="CG36" i="15" s="1"/>
  <c r="BY37" i="15"/>
  <c r="BX37" i="15" s="1"/>
  <c r="CC37" i="15"/>
  <c r="W40" i="15"/>
  <c r="V40" i="15" s="1"/>
  <c r="AW40" i="15"/>
  <c r="BA40" i="15"/>
  <c r="CC40" i="15"/>
  <c r="BY40" i="15"/>
  <c r="BX40" i="15" s="1"/>
  <c r="I41" i="15"/>
  <c r="G45" i="15"/>
  <c r="BV47" i="15"/>
  <c r="BR47" i="15"/>
  <c r="BQ47" i="15"/>
  <c r="J14" i="15"/>
  <c r="K14" i="15" s="1"/>
  <c r="B16" i="15"/>
  <c r="CC16" i="15"/>
  <c r="CM17" i="15"/>
  <c r="CL17" i="15" s="1"/>
  <c r="E21" i="15"/>
  <c r="K21" i="15" s="1"/>
  <c r="CJ28" i="15"/>
  <c r="CE28" i="15"/>
  <c r="R29" i="15"/>
  <c r="U30" i="15"/>
  <c r="J30" i="15"/>
  <c r="CH30" i="15"/>
  <c r="CG30" i="15" s="1"/>
  <c r="BB55" i="15"/>
  <c r="BB58" i="15" s="1"/>
  <c r="AO5" i="15"/>
  <c r="AA6" i="15"/>
  <c r="CE6" i="15"/>
  <c r="E7" i="15"/>
  <c r="M7" i="15"/>
  <c r="BQ7" i="15"/>
  <c r="BC8" i="15"/>
  <c r="AO9" i="15"/>
  <c r="AA10" i="15"/>
  <c r="C10" i="15" s="1"/>
  <c r="CE10" i="15"/>
  <c r="E11" i="15"/>
  <c r="K11" i="15" s="1"/>
  <c r="M11" i="15"/>
  <c r="BQ11" i="15"/>
  <c r="AV12" i="15"/>
  <c r="CE12" i="15"/>
  <c r="T14" i="15"/>
  <c r="F14" i="15" s="1"/>
  <c r="AV14" i="15"/>
  <c r="BY14" i="15"/>
  <c r="AO15" i="15"/>
  <c r="CE16" i="15"/>
  <c r="AW17" i="15"/>
  <c r="AV17" i="15" s="1"/>
  <c r="AB19" i="15"/>
  <c r="G19" i="15" s="1"/>
  <c r="B19" i="15"/>
  <c r="B20" i="15"/>
  <c r="AH20" i="15"/>
  <c r="CL20" i="15"/>
  <c r="G22" i="15"/>
  <c r="BA22" i="15"/>
  <c r="E23" i="15"/>
  <c r="K23" i="15" s="1"/>
  <c r="CE23" i="15"/>
  <c r="AM25" i="15"/>
  <c r="AI25" i="15"/>
  <c r="AH25" i="15" s="1"/>
  <c r="R26" i="15"/>
  <c r="N26" i="15"/>
  <c r="M26" i="15" s="1"/>
  <c r="E26" i="15"/>
  <c r="K26" i="15" s="1"/>
  <c r="R27" i="15"/>
  <c r="CJ27" i="15"/>
  <c r="B28" i="15"/>
  <c r="R28" i="15"/>
  <c r="AM29" i="15"/>
  <c r="AI29" i="15"/>
  <c r="BO30" i="15"/>
  <c r="BJ30" i="15"/>
  <c r="AC31" i="15"/>
  <c r="CM31" i="15"/>
  <c r="CL31" i="15" s="1"/>
  <c r="CQ34" i="15"/>
  <c r="CM34" i="15"/>
  <c r="CL34" i="15"/>
  <c r="BA36" i="15"/>
  <c r="BT36" i="15"/>
  <c r="BS36" i="15" s="1"/>
  <c r="BV36" i="15"/>
  <c r="G37" i="15"/>
  <c r="M37" i="15"/>
  <c r="CO37" i="15"/>
  <c r="CN37" i="15" s="1"/>
  <c r="AY39" i="15"/>
  <c r="AX39" i="15"/>
  <c r="AV40" i="15"/>
  <c r="BT49" i="15"/>
  <c r="BS49" i="15" s="1"/>
  <c r="BV49" i="15"/>
  <c r="J49" i="15"/>
  <c r="AV13" i="15"/>
  <c r="H17" i="15"/>
  <c r="R21" i="15"/>
  <c r="B22" i="15"/>
  <c r="BO24" i="15"/>
  <c r="I25" i="15"/>
  <c r="BA33" i="15"/>
  <c r="AV33" i="15"/>
  <c r="AS55" i="15"/>
  <c r="AL55" i="15"/>
  <c r="BJ4" i="15"/>
  <c r="CP55" i="15"/>
  <c r="O4" i="15"/>
  <c r="AE55" i="15"/>
  <c r="AM4" i="15"/>
  <c r="AU55" i="15"/>
  <c r="AU58" i="15" s="1"/>
  <c r="BC4" i="15"/>
  <c r="BK4" i="15"/>
  <c r="BS4" i="15"/>
  <c r="CI55" i="15"/>
  <c r="B5" i="15"/>
  <c r="B9" i="15"/>
  <c r="AT12" i="15"/>
  <c r="R14" i="15"/>
  <c r="B14" i="15"/>
  <c r="U14" i="15"/>
  <c r="BQ14" i="15"/>
  <c r="BO15" i="15"/>
  <c r="BK17" i="15"/>
  <c r="BJ17" i="15" s="1"/>
  <c r="CQ17" i="15"/>
  <c r="E19" i="15"/>
  <c r="K19" i="15" s="1"/>
  <c r="CE19" i="15"/>
  <c r="M20" i="15"/>
  <c r="T22" i="15"/>
  <c r="BX22" i="15"/>
  <c r="D24" i="15"/>
  <c r="N25" i="15"/>
  <c r="B25" i="15"/>
  <c r="I26" i="15"/>
  <c r="O26" i="15"/>
  <c r="H26" i="15" s="1"/>
  <c r="B27" i="15"/>
  <c r="CF27" i="15"/>
  <c r="CE27" i="15" s="1"/>
  <c r="V29" i="15"/>
  <c r="H29" i="15" s="1"/>
  <c r="AH29" i="15"/>
  <c r="AW30" i="15"/>
  <c r="AV30" i="15" s="1"/>
  <c r="BA30" i="15"/>
  <c r="BK30" i="15"/>
  <c r="J31" i="15"/>
  <c r="K31" i="15" s="1"/>
  <c r="AF31" i="15"/>
  <c r="BH31" i="15"/>
  <c r="CA31" i="15"/>
  <c r="I31" i="15" s="1"/>
  <c r="Y32" i="15"/>
  <c r="AK32" i="15"/>
  <c r="AJ32" i="15"/>
  <c r="AM32" i="15"/>
  <c r="Y33" i="15"/>
  <c r="BV35" i="15"/>
  <c r="B36" i="15"/>
  <c r="AW36" i="15"/>
  <c r="AV36" i="15" s="1"/>
  <c r="BF36" i="15"/>
  <c r="BE36" i="15" s="1"/>
  <c r="BM37" i="15"/>
  <c r="BL37" i="15" s="1"/>
  <c r="J37" i="15"/>
  <c r="K37" i="15" s="1"/>
  <c r="BO37" i="15"/>
  <c r="CF37" i="15"/>
  <c r="CE37" i="15" s="1"/>
  <c r="CJ37" i="15"/>
  <c r="CJ38" i="15"/>
  <c r="CF38" i="15"/>
  <c r="CE38" i="15"/>
  <c r="BA39" i="15"/>
  <c r="BM39" i="15"/>
  <c r="BL39" i="15" s="1"/>
  <c r="CQ39" i="15"/>
  <c r="CM39" i="15"/>
  <c r="CL39" i="15" s="1"/>
  <c r="AP45" i="15"/>
  <c r="AO45" i="15" s="1"/>
  <c r="AT45" i="15"/>
  <c r="CE26" i="15"/>
  <c r="BJ27" i="15"/>
  <c r="AO28" i="15"/>
  <c r="T29" i="15"/>
  <c r="B31" i="15"/>
  <c r="M32" i="15"/>
  <c r="BC32" i="15"/>
  <c r="O33" i="15"/>
  <c r="H33" i="15" s="1"/>
  <c r="BR33" i="15"/>
  <c r="BQ33" i="15"/>
  <c r="CF34" i="15"/>
  <c r="CE34" i="15" s="1"/>
  <c r="CJ34" i="15"/>
  <c r="H35" i="15"/>
  <c r="CA37" i="15"/>
  <c r="BZ37" i="15" s="1"/>
  <c r="B39" i="15"/>
  <c r="U39" i="15"/>
  <c r="BY39" i="15"/>
  <c r="BX39" i="15" s="1"/>
  <c r="CC39" i="15"/>
  <c r="Y40" i="15"/>
  <c r="U40" i="15"/>
  <c r="T40" i="15" s="1"/>
  <c r="AQ40" i="15"/>
  <c r="BF40" i="15"/>
  <c r="I40" i="15" s="1"/>
  <c r="CN40" i="15"/>
  <c r="H41" i="15"/>
  <c r="BS43" i="15"/>
  <c r="CA48" i="15"/>
  <c r="BZ48" i="15" s="1"/>
  <c r="CC30" i="15"/>
  <c r="AI31" i="15"/>
  <c r="AQ31" i="15"/>
  <c r="AP37" i="15"/>
  <c r="B37" i="15"/>
  <c r="BY41" i="15"/>
  <c r="BX41" i="15" s="1"/>
  <c r="CC41" i="15"/>
  <c r="BA42" i="15"/>
  <c r="CM42" i="15"/>
  <c r="CL42" i="15" s="1"/>
  <c r="CQ42" i="15"/>
  <c r="AK44" i="15"/>
  <c r="AJ44" i="15" s="1"/>
  <c r="T19" i="15"/>
  <c r="AV19" i="15"/>
  <c r="BX19" i="15"/>
  <c r="R20" i="15"/>
  <c r="AA20" i="15"/>
  <c r="BC20" i="15"/>
  <c r="CE20" i="15"/>
  <c r="AH21" i="15"/>
  <c r="BJ21" i="15"/>
  <c r="CL21" i="15"/>
  <c r="E22" i="15"/>
  <c r="K22" i="15" s="1"/>
  <c r="M22" i="15"/>
  <c r="AO22" i="15"/>
  <c r="BQ22" i="15"/>
  <c r="T23" i="15"/>
  <c r="AV23" i="15"/>
  <c r="BX23" i="15"/>
  <c r="R24" i="15"/>
  <c r="AA24" i="15"/>
  <c r="BC24" i="15"/>
  <c r="CE24" i="15"/>
  <c r="CL28" i="15"/>
  <c r="AV29" i="15"/>
  <c r="BQ29" i="15"/>
  <c r="CL29" i="15"/>
  <c r="BE30" i="15"/>
  <c r="R32" i="15"/>
  <c r="BX33" i="15"/>
  <c r="B34" i="15"/>
  <c r="BC34" i="15"/>
  <c r="U36" i="15"/>
  <c r="G36" i="15" s="1"/>
  <c r="AH36" i="15"/>
  <c r="BY36" i="15"/>
  <c r="BX36" i="15" s="1"/>
  <c r="CL36" i="15"/>
  <c r="AF39" i="15"/>
  <c r="AB39" i="15"/>
  <c r="AT43" i="15"/>
  <c r="AO43" i="15"/>
  <c r="AP43" i="15"/>
  <c r="BM46" i="15"/>
  <c r="J46" i="15"/>
  <c r="AV25" i="15"/>
  <c r="CL25" i="15"/>
  <c r="AA26" i="15"/>
  <c r="BQ26" i="15"/>
  <c r="AV27" i="15"/>
  <c r="CM27" i="15"/>
  <c r="CL27" i="15" s="1"/>
  <c r="AA28" i="15"/>
  <c r="BR28" i="15"/>
  <c r="BQ28" i="15" s="1"/>
  <c r="AW29" i="15"/>
  <c r="CM29" i="15"/>
  <c r="AP30" i="15"/>
  <c r="AO30" i="15" s="1"/>
  <c r="BY30" i="15"/>
  <c r="BX30" i="15" s="1"/>
  <c r="AA31" i="15"/>
  <c r="U32" i="15"/>
  <c r="AC32" i="15"/>
  <c r="AO32" i="15"/>
  <c r="BJ32" i="15"/>
  <c r="M33" i="15"/>
  <c r="BC33" i="15"/>
  <c r="E34" i="15"/>
  <c r="AI34" i="15"/>
  <c r="G34" i="15" s="1"/>
  <c r="AC37" i="15"/>
  <c r="BV37" i="15"/>
  <c r="CQ37" i="15"/>
  <c r="CL37" i="15"/>
  <c r="P39" i="15"/>
  <c r="O39" i="15" s="1"/>
  <c r="J39" i="15"/>
  <c r="K39" i="15" s="1"/>
  <c r="AA39" i="15"/>
  <c r="CE39" i="15"/>
  <c r="BC40" i="15"/>
  <c r="BQ42" i="15"/>
  <c r="AR43" i="15"/>
  <c r="AQ43" i="15" s="1"/>
  <c r="BQ44" i="15"/>
  <c r="AM52" i="15"/>
  <c r="E52" i="15"/>
  <c r="AI52" i="15"/>
  <c r="G52" i="15" s="1"/>
  <c r="T37" i="15"/>
  <c r="AJ37" i="15"/>
  <c r="V38" i="15"/>
  <c r="BR38" i="15"/>
  <c r="BQ38" i="15" s="1"/>
  <c r="BZ38" i="15"/>
  <c r="BT39" i="15"/>
  <c r="BS39" i="15" s="1"/>
  <c r="BC42" i="15"/>
  <c r="O43" i="15"/>
  <c r="CA43" i="15"/>
  <c r="BZ43" i="15" s="1"/>
  <c r="E44" i="15"/>
  <c r="K44" i="15" s="1"/>
  <c r="AQ44" i="15"/>
  <c r="BE44" i="15"/>
  <c r="R47" i="15"/>
  <c r="B47" i="15"/>
  <c r="N47" i="15"/>
  <c r="CE48" i="15"/>
  <c r="O51" i="15"/>
  <c r="AR51" i="15"/>
  <c r="AQ51" i="15" s="1"/>
  <c r="Y57" i="15"/>
  <c r="T57" i="15"/>
  <c r="U57" i="15"/>
  <c r="G57" i="15" s="1"/>
  <c r="AF44" i="15"/>
  <c r="AA44" i="15"/>
  <c r="AC45" i="15"/>
  <c r="CM45" i="15"/>
  <c r="CL45" i="15" s="1"/>
  <c r="CQ45" i="15"/>
  <c r="AT46" i="15"/>
  <c r="AO46" i="15"/>
  <c r="AP46" i="15"/>
  <c r="BR46" i="15"/>
  <c r="BQ46" i="15" s="1"/>
  <c r="BV46" i="15"/>
  <c r="BD47" i="15"/>
  <c r="BC47" i="15"/>
  <c r="BH47" i="15"/>
  <c r="CH51" i="15"/>
  <c r="CG51" i="15" s="1"/>
  <c r="AP53" i="15"/>
  <c r="AO53" i="15" s="1"/>
  <c r="BK53" i="15"/>
  <c r="BJ53" i="15" s="1"/>
  <c r="BO53" i="15"/>
  <c r="CH54" i="15"/>
  <c r="CG54" i="15" s="1"/>
  <c r="AY56" i="15"/>
  <c r="AX56" i="15" s="1"/>
  <c r="BR56" i="15"/>
  <c r="BQ56" i="15" s="1"/>
  <c r="BV56" i="15"/>
  <c r="BK44" i="15"/>
  <c r="BJ44" i="15" s="1"/>
  <c r="BO44" i="15"/>
  <c r="CJ44" i="15"/>
  <c r="CE44" i="15"/>
  <c r="R45" i="15"/>
  <c r="B45" i="15"/>
  <c r="M45" i="15"/>
  <c r="E45" i="15"/>
  <c r="K45" i="15" s="1"/>
  <c r="AQ47" i="15"/>
  <c r="E49" i="15"/>
  <c r="AB49" i="15"/>
  <c r="AA49" i="15"/>
  <c r="AF49" i="15"/>
  <c r="CM51" i="15"/>
  <c r="CL51" i="15" s="1"/>
  <c r="CQ51" i="15"/>
  <c r="CO52" i="15"/>
  <c r="CN52" i="15" s="1"/>
  <c r="BA56" i="15"/>
  <c r="AW45" i="15"/>
  <c r="AV45" i="15" s="1"/>
  <c r="BA45" i="15"/>
  <c r="BV45" i="15"/>
  <c r="BZ45" i="15"/>
  <c r="AW48" i="15"/>
  <c r="BA48" i="15"/>
  <c r="U50" i="15"/>
  <c r="Y50" i="15"/>
  <c r="AJ50" i="15"/>
  <c r="CC53" i="15"/>
  <c r="BY53" i="15"/>
  <c r="BX53" i="15" s="1"/>
  <c r="CJ53" i="15"/>
  <c r="CH53" i="15"/>
  <c r="CG53" i="15" s="1"/>
  <c r="BV38" i="15"/>
  <c r="R40" i="15"/>
  <c r="B40" i="15"/>
  <c r="AB42" i="15"/>
  <c r="AA42" i="15"/>
  <c r="BK43" i="15"/>
  <c r="BJ43" i="15" s="1"/>
  <c r="BM44" i="15"/>
  <c r="I44" i="15" s="1"/>
  <c r="BR45" i="15"/>
  <c r="BQ45" i="15" s="1"/>
  <c r="BY46" i="15"/>
  <c r="CC46" i="15"/>
  <c r="BX46" i="15"/>
  <c r="AV48" i="15"/>
  <c r="O49" i="15"/>
  <c r="R49" i="15"/>
  <c r="T50" i="15"/>
  <c r="V51" i="15"/>
  <c r="CC51" i="15"/>
  <c r="BY51" i="15"/>
  <c r="BX51" i="15" s="1"/>
  <c r="AY52" i="15"/>
  <c r="AX52" i="15" s="1"/>
  <c r="BA52" i="15"/>
  <c r="AW53" i="15"/>
  <c r="AV53" i="15" s="1"/>
  <c r="BA53" i="15"/>
  <c r="N56" i="15"/>
  <c r="R56" i="15"/>
  <c r="B56" i="15"/>
  <c r="M56" i="15"/>
  <c r="E56" i="15"/>
  <c r="AH35" i="15"/>
  <c r="F35" i="15" s="1"/>
  <c r="BJ35" i="15"/>
  <c r="CL35" i="15"/>
  <c r="E36" i="15"/>
  <c r="M36" i="15"/>
  <c r="BQ36" i="15"/>
  <c r="Y37" i="15"/>
  <c r="AH37" i="15"/>
  <c r="B38" i="15"/>
  <c r="T38" i="15"/>
  <c r="BA38" i="15"/>
  <c r="CH38" i="15"/>
  <c r="CG38" i="15" s="1"/>
  <c r="AP40" i="15"/>
  <c r="AO40" i="15"/>
  <c r="AX40" i="15"/>
  <c r="BJ40" i="15"/>
  <c r="G43" i="15"/>
  <c r="W43" i="15"/>
  <c r="V43" i="15" s="1"/>
  <c r="CC43" i="15"/>
  <c r="M44" i="15"/>
  <c r="AY45" i="15"/>
  <c r="AX45" i="15"/>
  <c r="CA46" i="15"/>
  <c r="BZ46" i="15" s="1"/>
  <c r="CO48" i="15"/>
  <c r="CN48" i="15" s="1"/>
  <c r="W50" i="15"/>
  <c r="V50" i="15" s="1"/>
  <c r="BD52" i="15"/>
  <c r="BC52" i="15" s="1"/>
  <c r="BH52" i="15"/>
  <c r="BT52" i="15"/>
  <c r="BS52" i="15"/>
  <c r="E32" i="15"/>
  <c r="K32" i="15" s="1"/>
  <c r="AV38" i="15"/>
  <c r="BX38" i="15"/>
  <c r="N40" i="15"/>
  <c r="M40" i="15" s="1"/>
  <c r="CL40" i="15"/>
  <c r="AW41" i="15"/>
  <c r="AV41" i="15"/>
  <c r="CL41" i="15"/>
  <c r="AO42" i="15"/>
  <c r="BJ42" i="15"/>
  <c r="M43" i="15"/>
  <c r="BX43" i="15"/>
  <c r="B44" i="15"/>
  <c r="BD44" i="15"/>
  <c r="D44" i="15" s="1"/>
  <c r="BC44" i="15"/>
  <c r="J45" i="15"/>
  <c r="AA45" i="15"/>
  <c r="W46" i="15"/>
  <c r="V46" i="15" s="1"/>
  <c r="CJ46" i="15"/>
  <c r="CF46" i="15"/>
  <c r="CE46" i="15" s="1"/>
  <c r="E47" i="15"/>
  <c r="K47" i="15" s="1"/>
  <c r="AK47" i="15"/>
  <c r="I47" i="15" s="1"/>
  <c r="R48" i="15"/>
  <c r="B48" i="15"/>
  <c r="E48" i="15"/>
  <c r="N48" i="15"/>
  <c r="BC48" i="15"/>
  <c r="CQ48" i="15"/>
  <c r="J50" i="15"/>
  <c r="J51" i="15"/>
  <c r="K51" i="15" s="1"/>
  <c r="AW57" i="15"/>
  <c r="AV57" i="15" s="1"/>
  <c r="BA57" i="15"/>
  <c r="CG45" i="15"/>
  <c r="U46" i="15"/>
  <c r="T46" i="15" s="1"/>
  <c r="Y46" i="15"/>
  <c r="BM47" i="15"/>
  <c r="BL47" i="15"/>
  <c r="AC48" i="15"/>
  <c r="AQ48" i="15"/>
  <c r="BV48" i="15"/>
  <c r="BQ48" i="15"/>
  <c r="AK49" i="15"/>
  <c r="CF49" i="15"/>
  <c r="CE49" i="15"/>
  <c r="AM50" i="15"/>
  <c r="AH50" i="15"/>
  <c r="AW50" i="15"/>
  <c r="AV50" i="15" s="1"/>
  <c r="Y51" i="15"/>
  <c r="T51" i="15"/>
  <c r="AI51" i="15"/>
  <c r="AH51" i="15"/>
  <c r="BR51" i="15"/>
  <c r="BQ51" i="15" s="1"/>
  <c r="BV51" i="15"/>
  <c r="AR53" i="15"/>
  <c r="AQ53" i="15" s="1"/>
  <c r="T54" i="15"/>
  <c r="AI54" i="15"/>
  <c r="AH54" i="15"/>
  <c r="B54" i="15"/>
  <c r="AM54" i="15"/>
  <c r="CO45" i="15"/>
  <c r="CN45" i="15" s="1"/>
  <c r="N46" i="15"/>
  <c r="M46" i="15" s="1"/>
  <c r="E46" i="15"/>
  <c r="K46" i="15" s="1"/>
  <c r="BE46" i="15"/>
  <c r="J48" i="15"/>
  <c r="AY48" i="15"/>
  <c r="AX48" i="15" s="1"/>
  <c r="CM49" i="15"/>
  <c r="CL49" i="15" s="1"/>
  <c r="CQ49" i="15"/>
  <c r="AB50" i="15"/>
  <c r="AA50" i="15" s="1"/>
  <c r="AF50" i="15"/>
  <c r="BH50" i="15"/>
  <c r="BD50" i="15"/>
  <c r="N51" i="15"/>
  <c r="M51" i="15" s="1"/>
  <c r="R51" i="15"/>
  <c r="B51" i="15"/>
  <c r="AT51" i="15"/>
  <c r="BK52" i="15"/>
  <c r="BJ52" i="15"/>
  <c r="V53" i="15"/>
  <c r="CM54" i="15"/>
  <c r="CL54" i="15" s="1"/>
  <c r="CQ54" i="15"/>
  <c r="AK57" i="15"/>
  <c r="AJ57" i="15" s="1"/>
  <c r="AV44" i="15"/>
  <c r="AH45" i="15"/>
  <c r="CE45" i="15"/>
  <c r="CJ47" i="15"/>
  <c r="CE47" i="15"/>
  <c r="AM48" i="15"/>
  <c r="CC48" i="15"/>
  <c r="CG48" i="15"/>
  <c r="BH49" i="15"/>
  <c r="N50" i="15"/>
  <c r="M50" i="15"/>
  <c r="E50" i="15"/>
  <c r="BC50" i="15"/>
  <c r="CL50" i="15"/>
  <c r="G53" i="15"/>
  <c r="BD53" i="15"/>
  <c r="BC53" i="15" s="1"/>
  <c r="BH53" i="15"/>
  <c r="BK56" i="15"/>
  <c r="BJ56" i="15"/>
  <c r="CQ56" i="15"/>
  <c r="CM56" i="15"/>
  <c r="CL56" i="15" s="1"/>
  <c r="D57" i="15"/>
  <c r="M57" i="15"/>
  <c r="AM57" i="15"/>
  <c r="BD57" i="15"/>
  <c r="BH57" i="15"/>
  <c r="BC57" i="15"/>
  <c r="B46" i="15"/>
  <c r="O46" i="15"/>
  <c r="AF47" i="15"/>
  <c r="AA47" i="15"/>
  <c r="BK47" i="15"/>
  <c r="BJ47" i="15" s="1"/>
  <c r="BO47" i="15"/>
  <c r="CF47" i="15"/>
  <c r="AP48" i="15"/>
  <c r="AO48" i="15" s="1"/>
  <c r="CJ48" i="15"/>
  <c r="AI49" i="15"/>
  <c r="AH49" i="15" s="1"/>
  <c r="AM49" i="15"/>
  <c r="BD49" i="15"/>
  <c r="BC49" i="15" s="1"/>
  <c r="CO49" i="15"/>
  <c r="CN49" i="15" s="1"/>
  <c r="AR50" i="15"/>
  <c r="AQ50" i="15" s="1"/>
  <c r="BF50" i="15"/>
  <c r="BE50" i="15" s="1"/>
  <c r="BZ50" i="15"/>
  <c r="AD51" i="15"/>
  <c r="BZ51" i="15"/>
  <c r="BL52" i="15"/>
  <c r="BF53" i="15"/>
  <c r="BE53" i="15" s="1"/>
  <c r="AM56" i="15"/>
  <c r="AH56" i="15"/>
  <c r="AI56" i="15"/>
  <c r="CN57" i="15"/>
  <c r="CO57" i="15"/>
  <c r="AW46" i="15"/>
  <c r="AV46" i="15" s="1"/>
  <c r="AI47" i="15"/>
  <c r="AH47" i="15" s="1"/>
  <c r="CM47" i="15"/>
  <c r="CL47" i="15" s="1"/>
  <c r="U48" i="15"/>
  <c r="T48" i="15" s="1"/>
  <c r="BY48" i="15"/>
  <c r="BX48" i="15" s="1"/>
  <c r="BK49" i="15"/>
  <c r="BJ49" i="15" s="1"/>
  <c r="AV51" i="15"/>
  <c r="BL51" i="15"/>
  <c r="R52" i="15"/>
  <c r="B52" i="15"/>
  <c r="R54" i="15"/>
  <c r="J54" i="15"/>
  <c r="K54" i="15" s="1"/>
  <c r="AR54" i="15"/>
  <c r="U56" i="15"/>
  <c r="T56" i="15" s="1"/>
  <c r="BY56" i="15"/>
  <c r="BX56" i="15" s="1"/>
  <c r="CG46" i="15"/>
  <c r="O47" i="15"/>
  <c r="BS47" i="15"/>
  <c r="AQ49" i="15"/>
  <c r="BS51" i="15"/>
  <c r="P52" i="15"/>
  <c r="J52" i="15"/>
  <c r="BV52" i="15"/>
  <c r="V54" i="15"/>
  <c r="AJ54" i="15"/>
  <c r="AR56" i="15"/>
  <c r="AQ56" i="15" s="1"/>
  <c r="BE56" i="15"/>
  <c r="AD57" i="15"/>
  <c r="AC57" i="15" s="1"/>
  <c r="AH48" i="15"/>
  <c r="BX49" i="15"/>
  <c r="CE50" i="15"/>
  <c r="CJ51" i="15"/>
  <c r="CQ52" i="15"/>
  <c r="J53" i="15"/>
  <c r="K53" i="15" s="1"/>
  <c r="AJ53" i="15"/>
  <c r="AX53" i="15"/>
  <c r="CN53" i="15"/>
  <c r="Y54" i="15"/>
  <c r="BZ54" i="15"/>
  <c r="P56" i="15"/>
  <c r="J56" i="15"/>
  <c r="BT56" i="15"/>
  <c r="BS56" i="15" s="1"/>
  <c r="BF57" i="15"/>
  <c r="BE57" i="15" s="1"/>
  <c r="BX50" i="15"/>
  <c r="CN50" i="15"/>
  <c r="BK51" i="15"/>
  <c r="BJ51" i="15" s="1"/>
  <c r="CE51" i="15"/>
  <c r="AV52" i="15"/>
  <c r="BR52" i="15"/>
  <c r="BQ52" i="15" s="1"/>
  <c r="CM52" i="15"/>
  <c r="CL52" i="15" s="1"/>
  <c r="Y53" i="15"/>
  <c r="T53" i="15"/>
  <c r="O54" i="15"/>
  <c r="AP54" i="15"/>
  <c r="AO54" i="15" s="1"/>
  <c r="AT54" i="15"/>
  <c r="BO54" i="15"/>
  <c r="BJ54" i="15"/>
  <c r="AV56" i="15"/>
  <c r="BH56" i="15"/>
  <c r="AH57" i="15"/>
  <c r="AT57" i="15"/>
  <c r="CL57" i="15"/>
  <c r="AA54" i="15"/>
  <c r="CE54" i="15"/>
  <c r="BC56" i="15"/>
  <c r="AO57" i="15"/>
  <c r="B53" i="15"/>
  <c r="B57" i="15"/>
  <c r="B72" i="14"/>
  <c r="B70" i="14"/>
  <c r="B69" i="14"/>
  <c r="CP42" i="14"/>
  <c r="CO42" i="14"/>
  <c r="CN42" i="14"/>
  <c r="CI42" i="14"/>
  <c r="CH42" i="14"/>
  <c r="CG42" i="14"/>
  <c r="CB42" i="14"/>
  <c r="CA42" i="14"/>
  <c r="BZ42" i="14"/>
  <c r="BU42" i="14"/>
  <c r="BT42" i="14"/>
  <c r="BS42" i="14"/>
  <c r="BN42" i="14"/>
  <c r="BM42" i="14"/>
  <c r="BL42" i="14"/>
  <c r="BG42" i="14"/>
  <c r="BF42" i="14"/>
  <c r="BE42" i="14"/>
  <c r="AZ42" i="14"/>
  <c r="AY42" i="14"/>
  <c r="AX42" i="14"/>
  <c r="AS42" i="14"/>
  <c r="AR42" i="14"/>
  <c r="AQ42" i="14"/>
  <c r="AL42" i="14"/>
  <c r="AK42" i="14"/>
  <c r="AJ42" i="14"/>
  <c r="AE42" i="14"/>
  <c r="AD42" i="14"/>
  <c r="AC42" i="14"/>
  <c r="X42" i="14"/>
  <c r="W42" i="14"/>
  <c r="V42" i="14"/>
  <c r="Q42" i="14"/>
  <c r="P42" i="14"/>
  <c r="O42" i="14"/>
  <c r="CP41" i="14"/>
  <c r="CO41" i="14"/>
  <c r="CN41" i="14"/>
  <c r="CI41" i="14"/>
  <c r="CH41" i="14"/>
  <c r="CG41" i="14"/>
  <c r="CB41" i="14"/>
  <c r="CA41" i="14"/>
  <c r="BZ41" i="14"/>
  <c r="BU41" i="14"/>
  <c r="BT41" i="14"/>
  <c r="BS41" i="14"/>
  <c r="BN41" i="14"/>
  <c r="BM41" i="14"/>
  <c r="BL41" i="14"/>
  <c r="BG41" i="14"/>
  <c r="BF41" i="14"/>
  <c r="BE41" i="14"/>
  <c r="AZ41" i="14"/>
  <c r="AY41" i="14"/>
  <c r="AX41" i="14"/>
  <c r="AS41" i="14"/>
  <c r="AR41" i="14"/>
  <c r="AQ41" i="14"/>
  <c r="AE41" i="14"/>
  <c r="AD41" i="14"/>
  <c r="AC41" i="14"/>
  <c r="Q41" i="14"/>
  <c r="P41" i="14"/>
  <c r="O41" i="14"/>
  <c r="CP35" i="14"/>
  <c r="CO35" i="14"/>
  <c r="CI35" i="14"/>
  <c r="CH35" i="14"/>
  <c r="CB35" i="14"/>
  <c r="CA35" i="14"/>
  <c r="BU35" i="14"/>
  <c r="BT35" i="14"/>
  <c r="BN35" i="14"/>
  <c r="BM35" i="14"/>
  <c r="BG35" i="14"/>
  <c r="BF35" i="14"/>
  <c r="AZ35" i="14"/>
  <c r="AY35" i="14"/>
  <c r="AS35" i="14"/>
  <c r="AR35" i="14"/>
  <c r="AK35" i="14"/>
  <c r="AD35" i="14"/>
  <c r="W35" i="14"/>
  <c r="Q35" i="14"/>
  <c r="P35" i="14"/>
  <c r="O35" i="14"/>
  <c r="CP34" i="14"/>
  <c r="CO34" i="14"/>
  <c r="CI34" i="14"/>
  <c r="CH34" i="14"/>
  <c r="CB34" i="14"/>
  <c r="CA34" i="14"/>
  <c r="BU34" i="14"/>
  <c r="BT34" i="14"/>
  <c r="BN34" i="14"/>
  <c r="BM34" i="14"/>
  <c r="BG34" i="14"/>
  <c r="BF34" i="14"/>
  <c r="AZ34" i="14"/>
  <c r="AY34" i="14"/>
  <c r="AS34" i="14"/>
  <c r="AR34" i="14"/>
  <c r="AK34" i="14"/>
  <c r="AD34" i="14"/>
  <c r="W34" i="14"/>
  <c r="Q34" i="14"/>
  <c r="P34" i="14"/>
  <c r="O34" i="14"/>
  <c r="CP33" i="14"/>
  <c r="CO33" i="14"/>
  <c r="CI33" i="14"/>
  <c r="CH33" i="14"/>
  <c r="CB33" i="14"/>
  <c r="CA33" i="14"/>
  <c r="BU33" i="14"/>
  <c r="BT33" i="14"/>
  <c r="BN33" i="14"/>
  <c r="BM33" i="14"/>
  <c r="BG33" i="14"/>
  <c r="BF33" i="14"/>
  <c r="AZ33" i="14"/>
  <c r="AY33" i="14"/>
  <c r="AS33" i="14"/>
  <c r="AR33" i="14"/>
  <c r="AL33" i="14"/>
  <c r="AK33" i="14"/>
  <c r="AJ33" i="14"/>
  <c r="AE33" i="14"/>
  <c r="AD33" i="14"/>
  <c r="AC33" i="14"/>
  <c r="X33" i="14"/>
  <c r="W33" i="14"/>
  <c r="V33" i="14"/>
  <c r="Q33" i="14"/>
  <c r="P33" i="14"/>
  <c r="O33" i="14"/>
  <c r="CP32" i="14"/>
  <c r="CO32" i="14"/>
  <c r="CI32" i="14"/>
  <c r="CH32" i="14"/>
  <c r="CB32" i="14"/>
  <c r="CA32" i="14"/>
  <c r="BU32" i="14"/>
  <c r="BT32" i="14"/>
  <c r="BN32" i="14"/>
  <c r="BM32" i="14"/>
  <c r="BG32" i="14"/>
  <c r="BF32" i="14"/>
  <c r="AZ32" i="14"/>
  <c r="AY32" i="14"/>
  <c r="AS32" i="14"/>
  <c r="AR32" i="14"/>
  <c r="AL32" i="14"/>
  <c r="AK32" i="14"/>
  <c r="AJ32" i="14"/>
  <c r="AE32" i="14"/>
  <c r="AD32" i="14"/>
  <c r="AC32" i="14"/>
  <c r="X32" i="14"/>
  <c r="W32" i="14"/>
  <c r="V32" i="14"/>
  <c r="Q32" i="14"/>
  <c r="P32" i="14"/>
  <c r="O32" i="14"/>
  <c r="CP29" i="14"/>
  <c r="CO29" i="14"/>
  <c r="CN29" i="14"/>
  <c r="CI29" i="14"/>
  <c r="CH29" i="14"/>
  <c r="CG29" i="14"/>
  <c r="CB29" i="14"/>
  <c r="CA29" i="14"/>
  <c r="BZ29" i="14"/>
  <c r="BU29" i="14"/>
  <c r="BT29" i="14"/>
  <c r="BS29" i="14"/>
  <c r="BN29" i="14"/>
  <c r="BM29" i="14"/>
  <c r="BL29" i="14"/>
  <c r="BG29" i="14"/>
  <c r="BF29" i="14"/>
  <c r="BE29" i="14"/>
  <c r="AZ29" i="14"/>
  <c r="AY29" i="14"/>
  <c r="AX29" i="14"/>
  <c r="AS29" i="14"/>
  <c r="AR29" i="14"/>
  <c r="AQ29" i="14"/>
  <c r="AL29" i="14"/>
  <c r="AK29" i="14"/>
  <c r="AJ29" i="14"/>
  <c r="AE29" i="14"/>
  <c r="AD29" i="14"/>
  <c r="AC29" i="14"/>
  <c r="X29" i="14"/>
  <c r="W29" i="14"/>
  <c r="V29" i="14"/>
  <c r="Q29" i="14"/>
  <c r="P29" i="14"/>
  <c r="O29" i="14"/>
  <c r="CP28" i="14"/>
  <c r="CO28" i="14"/>
  <c r="CN28" i="14"/>
  <c r="CI28" i="14"/>
  <c r="CH28" i="14"/>
  <c r="CG28" i="14"/>
  <c r="CB28" i="14"/>
  <c r="CA28" i="14"/>
  <c r="BZ28" i="14"/>
  <c r="BU28" i="14"/>
  <c r="BT28" i="14"/>
  <c r="BS28" i="14"/>
  <c r="BN28" i="14"/>
  <c r="BM28" i="14"/>
  <c r="BL28" i="14"/>
  <c r="BG28" i="14"/>
  <c r="BF28" i="14"/>
  <c r="BE28" i="14"/>
  <c r="AZ28" i="14"/>
  <c r="AY28" i="14"/>
  <c r="AX28" i="14"/>
  <c r="AS28" i="14"/>
  <c r="AR28" i="14"/>
  <c r="AQ28" i="14"/>
  <c r="AL28" i="14"/>
  <c r="AK28" i="14"/>
  <c r="AJ28" i="14"/>
  <c r="AE28" i="14"/>
  <c r="AD28" i="14"/>
  <c r="AC28" i="14"/>
  <c r="X28" i="14"/>
  <c r="W28" i="14"/>
  <c r="V28" i="14"/>
  <c r="Q28" i="14"/>
  <c r="P28" i="14"/>
  <c r="O28" i="14"/>
  <c r="CP27" i="14"/>
  <c r="CO27" i="14"/>
  <c r="CN27" i="14"/>
  <c r="CI27" i="14"/>
  <c r="CH27" i="14"/>
  <c r="CG27" i="14"/>
  <c r="CB27" i="14"/>
  <c r="CA27" i="14"/>
  <c r="BZ27" i="14"/>
  <c r="BU27" i="14"/>
  <c r="BT27" i="14"/>
  <c r="BS27" i="14"/>
  <c r="BN27" i="14"/>
  <c r="BM27" i="14"/>
  <c r="BL27" i="14"/>
  <c r="BG27" i="14"/>
  <c r="BF27" i="14"/>
  <c r="BE27" i="14"/>
  <c r="AZ27" i="14"/>
  <c r="AY27" i="14"/>
  <c r="AX27" i="14"/>
  <c r="AS27" i="14"/>
  <c r="AR27" i="14"/>
  <c r="AQ27" i="14"/>
  <c r="AL27" i="14"/>
  <c r="AK27" i="14"/>
  <c r="AJ27" i="14"/>
  <c r="AE27" i="14"/>
  <c r="AD27" i="14"/>
  <c r="AC27" i="14"/>
  <c r="X27" i="14"/>
  <c r="W27" i="14"/>
  <c r="V27" i="14"/>
  <c r="Q27" i="14"/>
  <c r="P27" i="14"/>
  <c r="O27" i="14"/>
  <c r="CP26" i="14"/>
  <c r="CO26" i="14"/>
  <c r="CN26" i="14"/>
  <c r="CI26" i="14"/>
  <c r="CH26" i="14"/>
  <c r="CG26" i="14"/>
  <c r="CB26" i="14"/>
  <c r="CA26" i="14"/>
  <c r="BZ26" i="14"/>
  <c r="BU26" i="14"/>
  <c r="BT26" i="14"/>
  <c r="BS26" i="14"/>
  <c r="BN26" i="14"/>
  <c r="BM26" i="14"/>
  <c r="BL26" i="14"/>
  <c r="BG26" i="14"/>
  <c r="BF26" i="14"/>
  <c r="BE26" i="14"/>
  <c r="AZ26" i="14"/>
  <c r="AY26" i="14"/>
  <c r="AX26" i="14"/>
  <c r="AS26" i="14"/>
  <c r="AR26" i="14"/>
  <c r="AQ26" i="14"/>
  <c r="AL26" i="14"/>
  <c r="AK26" i="14"/>
  <c r="AJ26" i="14"/>
  <c r="AE26" i="14"/>
  <c r="AD26" i="14"/>
  <c r="AC26" i="14"/>
  <c r="X26" i="14"/>
  <c r="W26" i="14"/>
  <c r="V26" i="14"/>
  <c r="Q26" i="14"/>
  <c r="P26" i="14"/>
  <c r="O26" i="14"/>
  <c r="CP25" i="14"/>
  <c r="CO25" i="14"/>
  <c r="CN25" i="14"/>
  <c r="CI25" i="14"/>
  <c r="CH25" i="14"/>
  <c r="CG25" i="14"/>
  <c r="CB25" i="14"/>
  <c r="CA25" i="14"/>
  <c r="BZ25" i="14"/>
  <c r="BU25" i="14"/>
  <c r="BT25" i="14"/>
  <c r="BS25" i="14"/>
  <c r="BN25" i="14"/>
  <c r="BM25" i="14"/>
  <c r="BL25" i="14"/>
  <c r="BG25" i="14"/>
  <c r="BF25" i="14"/>
  <c r="BE25" i="14"/>
  <c r="AZ25" i="14"/>
  <c r="AY25" i="14"/>
  <c r="AX25" i="14"/>
  <c r="AS25" i="14"/>
  <c r="AR25" i="14"/>
  <c r="AQ25" i="14"/>
  <c r="AL25" i="14"/>
  <c r="AK25" i="14"/>
  <c r="AJ25" i="14"/>
  <c r="AE25" i="14"/>
  <c r="AD25" i="14"/>
  <c r="AC25" i="14"/>
  <c r="X25" i="14"/>
  <c r="W25" i="14"/>
  <c r="V25" i="14"/>
  <c r="Q25" i="14"/>
  <c r="J25" i="14" s="1"/>
  <c r="P25" i="14"/>
  <c r="O25" i="14"/>
  <c r="CP24" i="14"/>
  <c r="CO24" i="14"/>
  <c r="CN24" i="14"/>
  <c r="CI24" i="14"/>
  <c r="CH24" i="14"/>
  <c r="CG24" i="14"/>
  <c r="CB24" i="14"/>
  <c r="CA24" i="14"/>
  <c r="BZ24" i="14"/>
  <c r="BU24" i="14"/>
  <c r="BT24" i="14"/>
  <c r="BS24" i="14"/>
  <c r="BN24" i="14"/>
  <c r="BM24" i="14"/>
  <c r="BL24" i="14"/>
  <c r="BG24" i="14"/>
  <c r="BF24" i="14"/>
  <c r="BE24" i="14"/>
  <c r="AZ24" i="14"/>
  <c r="AY24" i="14"/>
  <c r="AX24" i="14"/>
  <c r="AS24" i="14"/>
  <c r="AR24" i="14"/>
  <c r="AQ24" i="14"/>
  <c r="AL24" i="14"/>
  <c r="AK24" i="14"/>
  <c r="AJ24" i="14"/>
  <c r="AE24" i="14"/>
  <c r="AD24" i="14"/>
  <c r="AC24" i="14"/>
  <c r="X24" i="14"/>
  <c r="W24" i="14"/>
  <c r="V24" i="14"/>
  <c r="Q24" i="14"/>
  <c r="P24" i="14"/>
  <c r="O24" i="14"/>
  <c r="H24" i="14" s="1"/>
  <c r="CP23" i="14"/>
  <c r="CO23" i="14"/>
  <c r="CN23" i="14"/>
  <c r="CI23" i="14"/>
  <c r="CH23" i="14"/>
  <c r="CG23" i="14"/>
  <c r="CB23" i="14"/>
  <c r="CA23" i="14"/>
  <c r="BZ23" i="14"/>
  <c r="BU23" i="14"/>
  <c r="BT23" i="14"/>
  <c r="BS23" i="14"/>
  <c r="BN23" i="14"/>
  <c r="BM23" i="14"/>
  <c r="BL23" i="14"/>
  <c r="BG23" i="14"/>
  <c r="BF23" i="14"/>
  <c r="BE23" i="14"/>
  <c r="AZ23" i="14"/>
  <c r="AY23" i="14"/>
  <c r="AX23" i="14"/>
  <c r="AS23" i="14"/>
  <c r="AR23" i="14"/>
  <c r="AQ23" i="14"/>
  <c r="AL23" i="14"/>
  <c r="AK23" i="14"/>
  <c r="AJ23" i="14"/>
  <c r="AE23" i="14"/>
  <c r="AD23" i="14"/>
  <c r="AC23" i="14"/>
  <c r="X23" i="14"/>
  <c r="W23" i="14"/>
  <c r="V23" i="14"/>
  <c r="Q23" i="14"/>
  <c r="P23" i="14"/>
  <c r="O23" i="14"/>
  <c r="CP22" i="14"/>
  <c r="CO22" i="14"/>
  <c r="CN22" i="14"/>
  <c r="CI22" i="14"/>
  <c r="CH22" i="14"/>
  <c r="CG22" i="14"/>
  <c r="CB22" i="14"/>
  <c r="CA22" i="14"/>
  <c r="BZ22" i="14"/>
  <c r="BU22" i="14"/>
  <c r="BT22" i="14"/>
  <c r="BS22" i="14"/>
  <c r="BN22" i="14"/>
  <c r="BM22" i="14"/>
  <c r="BL22" i="14"/>
  <c r="BG22" i="14"/>
  <c r="BF22" i="14"/>
  <c r="BE22" i="14"/>
  <c r="AZ22" i="14"/>
  <c r="AY22" i="14"/>
  <c r="AX22" i="14"/>
  <c r="AS22" i="14"/>
  <c r="AR22" i="14"/>
  <c r="AQ22" i="14"/>
  <c r="AL22" i="14"/>
  <c r="AK22" i="14"/>
  <c r="AJ22" i="14"/>
  <c r="AE22" i="14"/>
  <c r="AD22" i="14"/>
  <c r="AC22" i="14"/>
  <c r="X22" i="14"/>
  <c r="W22" i="14"/>
  <c r="V22" i="14"/>
  <c r="Q22" i="14"/>
  <c r="P22" i="14"/>
  <c r="O22" i="14"/>
  <c r="CP21" i="14"/>
  <c r="CO21" i="14"/>
  <c r="CN21" i="14"/>
  <c r="CI21" i="14"/>
  <c r="CH21" i="14"/>
  <c r="CG21" i="14"/>
  <c r="CB21" i="14"/>
  <c r="CA21" i="14"/>
  <c r="BZ21" i="14"/>
  <c r="BU21" i="14"/>
  <c r="BT21" i="14"/>
  <c r="BS21" i="14"/>
  <c r="BN21" i="14"/>
  <c r="BM21" i="14"/>
  <c r="BL21" i="14"/>
  <c r="BG21" i="14"/>
  <c r="BF21" i="14"/>
  <c r="BE21" i="14"/>
  <c r="AZ21" i="14"/>
  <c r="AY21" i="14"/>
  <c r="AX21" i="14"/>
  <c r="AS21" i="14"/>
  <c r="AR21" i="14"/>
  <c r="AQ21" i="14"/>
  <c r="AL21" i="14"/>
  <c r="AK21" i="14"/>
  <c r="AJ21" i="14"/>
  <c r="AE21" i="14"/>
  <c r="AD21" i="14"/>
  <c r="AC21" i="14"/>
  <c r="X21" i="14"/>
  <c r="W21" i="14"/>
  <c r="V21" i="14"/>
  <c r="Q21" i="14"/>
  <c r="P21" i="14"/>
  <c r="O21" i="14"/>
  <c r="CP20" i="14"/>
  <c r="CO20" i="14"/>
  <c r="CN20" i="14"/>
  <c r="CI20" i="14"/>
  <c r="CH20" i="14"/>
  <c r="CG20" i="14"/>
  <c r="CB20" i="14"/>
  <c r="CA20" i="14"/>
  <c r="BZ20" i="14"/>
  <c r="BU20" i="14"/>
  <c r="BT20" i="14"/>
  <c r="BS20" i="14"/>
  <c r="BN20" i="14"/>
  <c r="BM20" i="14"/>
  <c r="BL20" i="14"/>
  <c r="BG20" i="14"/>
  <c r="BF20" i="14"/>
  <c r="BE20" i="14"/>
  <c r="AZ20" i="14"/>
  <c r="AY20" i="14"/>
  <c r="AX20" i="14"/>
  <c r="AS20" i="14"/>
  <c r="AR20" i="14"/>
  <c r="AQ20" i="14"/>
  <c r="AL20" i="14"/>
  <c r="AK20" i="14"/>
  <c r="AJ20" i="14"/>
  <c r="AE20" i="14"/>
  <c r="AD20" i="14"/>
  <c r="AC20" i="14"/>
  <c r="X20" i="14"/>
  <c r="W20" i="14"/>
  <c r="V20" i="14"/>
  <c r="Q20" i="14"/>
  <c r="P20" i="14"/>
  <c r="O20" i="14"/>
  <c r="CP19" i="14"/>
  <c r="CO19" i="14"/>
  <c r="CN19" i="14"/>
  <c r="CI19" i="14"/>
  <c r="CH19" i="14"/>
  <c r="CG19" i="14"/>
  <c r="CB19" i="14"/>
  <c r="CA19" i="14"/>
  <c r="BZ19" i="14"/>
  <c r="BU19" i="14"/>
  <c r="BT19" i="14"/>
  <c r="BS19" i="14"/>
  <c r="BN19" i="14"/>
  <c r="BM19" i="14"/>
  <c r="BL19" i="14"/>
  <c r="BG19" i="14"/>
  <c r="BF19" i="14"/>
  <c r="BE19" i="14"/>
  <c r="AZ19" i="14"/>
  <c r="AY19" i="14"/>
  <c r="AX19" i="14"/>
  <c r="AS19" i="14"/>
  <c r="AR19" i="14"/>
  <c r="AQ19" i="14"/>
  <c r="AL19" i="14"/>
  <c r="AK19" i="14"/>
  <c r="AJ19" i="14"/>
  <c r="AE19" i="14"/>
  <c r="AD19" i="14"/>
  <c r="AC19" i="14"/>
  <c r="X19" i="14"/>
  <c r="W19" i="14"/>
  <c r="V19" i="14"/>
  <c r="Q19" i="14"/>
  <c r="P19" i="14"/>
  <c r="O19" i="14"/>
  <c r="CP18" i="14"/>
  <c r="CO18" i="14"/>
  <c r="CN18" i="14"/>
  <c r="CI18" i="14"/>
  <c r="CH18" i="14"/>
  <c r="CG18" i="14"/>
  <c r="CB18" i="14"/>
  <c r="CA18" i="14"/>
  <c r="BZ18" i="14"/>
  <c r="BU18" i="14"/>
  <c r="BT18" i="14"/>
  <c r="BS18" i="14"/>
  <c r="BN18" i="14"/>
  <c r="BM18" i="14"/>
  <c r="BL18" i="14"/>
  <c r="BG18" i="14"/>
  <c r="BF18" i="14"/>
  <c r="BE18" i="14"/>
  <c r="AZ18" i="14"/>
  <c r="AY18" i="14"/>
  <c r="AX18" i="14"/>
  <c r="AS18" i="14"/>
  <c r="AR18" i="14"/>
  <c r="AQ18" i="14"/>
  <c r="AL18" i="14"/>
  <c r="AK18" i="14"/>
  <c r="AJ18" i="14"/>
  <c r="AE18" i="14"/>
  <c r="AD18" i="14"/>
  <c r="AC18" i="14"/>
  <c r="X18" i="14"/>
  <c r="W18" i="14"/>
  <c r="V18" i="14"/>
  <c r="Q18" i="14"/>
  <c r="P18" i="14"/>
  <c r="O18" i="14"/>
  <c r="I18" i="14"/>
  <c r="CP17" i="14"/>
  <c r="CO17" i="14"/>
  <c r="CN17" i="14"/>
  <c r="CI17" i="14"/>
  <c r="CH17" i="14"/>
  <c r="CG17" i="14"/>
  <c r="CB17" i="14"/>
  <c r="CA17" i="14"/>
  <c r="BZ17" i="14"/>
  <c r="BU17" i="14"/>
  <c r="BT17" i="14"/>
  <c r="BS17" i="14"/>
  <c r="BN17" i="14"/>
  <c r="BM17" i="14"/>
  <c r="BL17" i="14"/>
  <c r="BG17" i="14"/>
  <c r="BF17" i="14"/>
  <c r="BE17" i="14"/>
  <c r="AZ17" i="14"/>
  <c r="AY17" i="14"/>
  <c r="AX17" i="14"/>
  <c r="AS17" i="14"/>
  <c r="AR17" i="14"/>
  <c r="AQ17" i="14"/>
  <c r="AL17" i="14"/>
  <c r="AK17" i="14"/>
  <c r="AJ17" i="14"/>
  <c r="AE17" i="14"/>
  <c r="AD17" i="14"/>
  <c r="AC17" i="14"/>
  <c r="X17" i="14"/>
  <c r="W17" i="14"/>
  <c r="V17" i="14"/>
  <c r="Q17" i="14"/>
  <c r="P17" i="14"/>
  <c r="O17" i="14"/>
  <c r="CV2" i="14"/>
  <c r="CT2" i="14"/>
  <c r="CS3" i="14" s="1"/>
  <c r="CD1" i="14"/>
  <c r="CO58" i="13"/>
  <c r="BT58" i="13"/>
  <c r="CP57" i="13"/>
  <c r="CN57" i="13" s="1"/>
  <c r="CK57" i="13"/>
  <c r="CM57" i="13" s="1"/>
  <c r="CI57" i="13"/>
  <c r="CG57" i="13" s="1"/>
  <c r="CD57" i="13"/>
  <c r="CB57" i="13"/>
  <c r="BZ57" i="13" s="1"/>
  <c r="BW57" i="13"/>
  <c r="BU57" i="13"/>
  <c r="BS57" i="13" s="1"/>
  <c r="BP57" i="13"/>
  <c r="BN57" i="13"/>
  <c r="BO57" i="13" s="1"/>
  <c r="BI57" i="13"/>
  <c r="BK57" i="13" s="1"/>
  <c r="BJ57" i="13" s="1"/>
  <c r="BG57" i="13"/>
  <c r="BB57" i="13"/>
  <c r="AZ57" i="13"/>
  <c r="AX57" i="13" s="1"/>
  <c r="AV57" i="13"/>
  <c r="AU57" i="13"/>
  <c r="AW57" i="13" s="1"/>
  <c r="AS57" i="13"/>
  <c r="AQ57" i="13" s="1"/>
  <c r="AN57" i="13"/>
  <c r="AL57" i="13"/>
  <c r="AJ57" i="13" s="1"/>
  <c r="AI57" i="13"/>
  <c r="AH57" i="13" s="1"/>
  <c r="AG57" i="13"/>
  <c r="AE57" i="13"/>
  <c r="AC57" i="13" s="1"/>
  <c r="Z57" i="13"/>
  <c r="X57" i="13"/>
  <c r="V57" i="13" s="1"/>
  <c r="U57" i="13"/>
  <c r="S57" i="13"/>
  <c r="R57" i="13"/>
  <c r="O57" i="13"/>
  <c r="N57" i="13"/>
  <c r="L57" i="13"/>
  <c r="I57" i="13"/>
  <c r="CP56" i="13"/>
  <c r="CM56" i="13"/>
  <c r="CL56" i="13" s="1"/>
  <c r="CK56" i="13"/>
  <c r="CI56" i="13"/>
  <c r="CG56" i="13" s="1"/>
  <c r="CD56" i="13"/>
  <c r="CB56" i="13"/>
  <c r="BZ56" i="13" s="1"/>
  <c r="BW56" i="13"/>
  <c r="BU56" i="13"/>
  <c r="BS56" i="13" s="1"/>
  <c r="BP56" i="13"/>
  <c r="BN56" i="13"/>
  <c r="BO56" i="13" s="1"/>
  <c r="BK56" i="13"/>
  <c r="BJ56" i="13" s="1"/>
  <c r="BI56" i="13"/>
  <c r="BG56" i="13"/>
  <c r="BE56" i="13" s="1"/>
  <c r="BB56" i="13"/>
  <c r="AZ56" i="13"/>
  <c r="AX56" i="13" s="1"/>
  <c r="AU56" i="13"/>
  <c r="AS56" i="13"/>
  <c r="AQ56" i="13" s="1"/>
  <c r="AN56" i="13"/>
  <c r="AP56" i="13" s="1"/>
  <c r="AO56" i="13" s="1"/>
  <c r="AL56" i="13"/>
  <c r="AJ56" i="13" s="1"/>
  <c r="AI56" i="13"/>
  <c r="AH56" i="13" s="1"/>
  <c r="AG56" i="13"/>
  <c r="AE56" i="13"/>
  <c r="AC56" i="13" s="1"/>
  <c r="Z56" i="13"/>
  <c r="X56" i="13"/>
  <c r="V56" i="13" s="1"/>
  <c r="S56" i="13"/>
  <c r="O56" i="13"/>
  <c r="L56" i="13"/>
  <c r="I56" i="13"/>
  <c r="CO55" i="13"/>
  <c r="CH55" i="13"/>
  <c r="CH58" i="13" s="1"/>
  <c r="CA55" i="13"/>
  <c r="CA58" i="13" s="1"/>
  <c r="BT55" i="13"/>
  <c r="BM55" i="13"/>
  <c r="BM58" i="13" s="1"/>
  <c r="BF55" i="13"/>
  <c r="BF58" i="13" s="1"/>
  <c r="AY55" i="13"/>
  <c r="AY58" i="13" s="1"/>
  <c r="AR55" i="13"/>
  <c r="AR58" i="13" s="1"/>
  <c r="AK55" i="13"/>
  <c r="AK58" i="13" s="1"/>
  <c r="AD55" i="13"/>
  <c r="AD58" i="13" s="1"/>
  <c r="W55" i="13"/>
  <c r="W58" i="13" s="1"/>
  <c r="Q55" i="13"/>
  <c r="Q58" i="13" s="1"/>
  <c r="P55" i="13"/>
  <c r="P58" i="13" s="1"/>
  <c r="CQ54" i="13"/>
  <c r="CP54" i="13"/>
  <c r="CN54" i="13" s="1"/>
  <c r="CM54" i="13"/>
  <c r="CK54" i="13"/>
  <c r="CL54" i="13" s="1"/>
  <c r="CI54" i="13"/>
  <c r="CG54" i="13" s="1"/>
  <c r="CF54" i="13"/>
  <c r="CD54" i="13"/>
  <c r="CJ54" i="13" s="1"/>
  <c r="CB54" i="13"/>
  <c r="BZ54" i="13" s="1"/>
  <c r="BY54" i="13"/>
  <c r="BW54" i="13"/>
  <c r="CC54" i="13" s="1"/>
  <c r="BU54" i="13"/>
  <c r="BS54" i="13" s="1"/>
  <c r="BP54" i="13"/>
  <c r="BV54" i="13" s="1"/>
  <c r="BO54" i="13"/>
  <c r="BN54" i="13"/>
  <c r="BI54" i="13"/>
  <c r="BK54" i="13" s="1"/>
  <c r="BG54" i="13"/>
  <c r="BE54" i="13" s="1"/>
  <c r="BB54" i="13"/>
  <c r="AZ54" i="13"/>
  <c r="AX54" i="13" s="1"/>
  <c r="AU54" i="13"/>
  <c r="AS54" i="13"/>
  <c r="AQ54" i="13"/>
  <c r="AN54" i="13"/>
  <c r="AL54" i="13"/>
  <c r="AM54" i="13" s="1"/>
  <c r="AI54" i="13"/>
  <c r="AH54" i="13" s="1"/>
  <c r="AG54" i="13"/>
  <c r="AE54" i="13"/>
  <c r="AC54" i="13" s="1"/>
  <c r="Z54" i="13"/>
  <c r="AB54" i="13" s="1"/>
  <c r="X54" i="13"/>
  <c r="V54" i="13" s="1"/>
  <c r="U54" i="13"/>
  <c r="S54" i="13"/>
  <c r="O54" i="13"/>
  <c r="L54" i="13"/>
  <c r="R54" i="13" s="1"/>
  <c r="I54" i="13"/>
  <c r="B54" i="13"/>
  <c r="CP53" i="13"/>
  <c r="CK53" i="13"/>
  <c r="CM53" i="13" s="1"/>
  <c r="CL53" i="13" s="1"/>
  <c r="CI53" i="13"/>
  <c r="CG53" i="13" s="1"/>
  <c r="CD53" i="13"/>
  <c r="CB53" i="13"/>
  <c r="BZ53" i="13" s="1"/>
  <c r="BW53" i="13"/>
  <c r="BU53" i="13"/>
  <c r="BS53" i="13" s="1"/>
  <c r="BP53" i="13"/>
  <c r="BR53" i="13" s="1"/>
  <c r="BN53" i="13"/>
  <c r="BL53" i="13" s="1"/>
  <c r="BK53" i="13"/>
  <c r="BJ53" i="13" s="1"/>
  <c r="BI53" i="13"/>
  <c r="BO53" i="13" s="1"/>
  <c r="BG53" i="13"/>
  <c r="BB53" i="13"/>
  <c r="BD53" i="13" s="1"/>
  <c r="AZ53" i="13"/>
  <c r="AX53" i="13" s="1"/>
  <c r="AU53" i="13"/>
  <c r="AS53" i="13"/>
  <c r="AQ53" i="13" s="1"/>
  <c r="AN53" i="13"/>
  <c r="AL53" i="13"/>
  <c r="AJ53" i="13" s="1"/>
  <c r="AG53" i="13"/>
  <c r="AE53" i="13"/>
  <c r="AC53" i="13" s="1"/>
  <c r="AB53" i="13"/>
  <c r="AA53" i="13" s="1"/>
  <c r="Z53" i="13"/>
  <c r="X53" i="13"/>
  <c r="V53" i="13" s="1"/>
  <c r="S53" i="13"/>
  <c r="O53" i="13"/>
  <c r="L53" i="13"/>
  <c r="I53" i="13"/>
  <c r="CP52" i="13"/>
  <c r="CN52" i="13" s="1"/>
  <c r="CK52" i="13"/>
  <c r="CI52" i="13"/>
  <c r="CG52" i="13" s="1"/>
  <c r="CD52" i="13"/>
  <c r="CF52" i="13" s="1"/>
  <c r="CB52" i="13"/>
  <c r="BZ52" i="13" s="1"/>
  <c r="BW52" i="13"/>
  <c r="BU52" i="13"/>
  <c r="BS52" i="13" s="1"/>
  <c r="BP52" i="13"/>
  <c r="BN52" i="13"/>
  <c r="BL52" i="13" s="1"/>
  <c r="BI52" i="13"/>
  <c r="BG52" i="13"/>
  <c r="BB52" i="13"/>
  <c r="BD52" i="13" s="1"/>
  <c r="AZ52" i="13"/>
  <c r="AX52" i="13" s="1"/>
  <c r="AW52" i="13"/>
  <c r="AV52" i="13" s="1"/>
  <c r="AU52" i="13"/>
  <c r="AS52" i="13"/>
  <c r="AQ52" i="13" s="1"/>
  <c r="AN52" i="13"/>
  <c r="AL52" i="13"/>
  <c r="AJ52" i="13" s="1"/>
  <c r="AG52" i="13"/>
  <c r="AF52" i="13"/>
  <c r="AE52" i="13"/>
  <c r="Z52" i="13"/>
  <c r="AB52" i="13" s="1"/>
  <c r="X52" i="13"/>
  <c r="V52" i="13" s="1"/>
  <c r="S52" i="13"/>
  <c r="E52" i="13" s="1"/>
  <c r="R52" i="13"/>
  <c r="O52" i="13"/>
  <c r="L52" i="13"/>
  <c r="N52" i="13" s="1"/>
  <c r="I52" i="13"/>
  <c r="CP51" i="13"/>
  <c r="CN51" i="13" s="1"/>
  <c r="CK51" i="13"/>
  <c r="CJ51" i="13"/>
  <c r="CI51" i="13"/>
  <c r="CG51" i="13" s="1"/>
  <c r="CD51" i="13"/>
  <c r="CF51" i="13" s="1"/>
  <c r="CE51" i="13" s="1"/>
  <c r="CB51" i="13"/>
  <c r="BZ51" i="13" s="1"/>
  <c r="BW51" i="13"/>
  <c r="CC51" i="13" s="1"/>
  <c r="BU51" i="13"/>
  <c r="BS51" i="13" s="1"/>
  <c r="BP51" i="13"/>
  <c r="BV51" i="13" s="1"/>
  <c r="BN51" i="13"/>
  <c r="BL51" i="13" s="1"/>
  <c r="BI51" i="13"/>
  <c r="BK51" i="13" s="1"/>
  <c r="BH51" i="13"/>
  <c r="BG51" i="13"/>
  <c r="BE51" i="13" s="1"/>
  <c r="BB51" i="13"/>
  <c r="BD51" i="13" s="1"/>
  <c r="BC51" i="13" s="1"/>
  <c r="AZ51" i="13"/>
  <c r="AX51" i="13" s="1"/>
  <c r="AU51" i="13"/>
  <c r="AW51" i="13" s="1"/>
  <c r="AS51" i="13"/>
  <c r="AQ51" i="13" s="1"/>
  <c r="AN51" i="13"/>
  <c r="AT51" i="13" s="1"/>
  <c r="AL51" i="13"/>
  <c r="AJ51" i="13" s="1"/>
  <c r="AG51" i="13"/>
  <c r="AF51" i="13"/>
  <c r="AE51" i="13"/>
  <c r="AB51" i="13"/>
  <c r="AA51" i="13" s="1"/>
  <c r="Z51" i="13"/>
  <c r="X51" i="13"/>
  <c r="V51" i="13" s="1"/>
  <c r="S51" i="13"/>
  <c r="O51" i="13"/>
  <c r="L51" i="13"/>
  <c r="I51" i="13"/>
  <c r="CP50" i="13"/>
  <c r="CN50" i="13" s="1"/>
  <c r="CK50" i="13"/>
  <c r="CQ50" i="13" s="1"/>
  <c r="CI50" i="13"/>
  <c r="CG50" i="13" s="1"/>
  <c r="CD50" i="13"/>
  <c r="CB50" i="13"/>
  <c r="BZ50" i="13" s="1"/>
  <c r="BW50" i="13"/>
  <c r="BU50" i="13"/>
  <c r="BS50" i="13" s="1"/>
  <c r="BP50" i="13"/>
  <c r="BV50" i="13" s="1"/>
  <c r="BN50" i="13"/>
  <c r="BL50" i="13" s="1"/>
  <c r="BI50" i="13"/>
  <c r="BH50" i="13"/>
  <c r="BG50" i="13"/>
  <c r="BE50" i="13" s="1"/>
  <c r="BB50" i="13"/>
  <c r="AZ50" i="13"/>
  <c r="AX50" i="13" s="1"/>
  <c r="AU50" i="13"/>
  <c r="AS50" i="13"/>
  <c r="AQ50" i="13" s="1"/>
  <c r="AN50" i="13"/>
  <c r="AL50" i="13"/>
  <c r="AJ50" i="13" s="1"/>
  <c r="AG50" i="13"/>
  <c r="AM50" i="13" s="1"/>
  <c r="AE50" i="13"/>
  <c r="AC50" i="13" s="1"/>
  <c r="Z50" i="13"/>
  <c r="X50" i="13"/>
  <c r="S50" i="13"/>
  <c r="Y50" i="13" s="1"/>
  <c r="O50" i="13"/>
  <c r="L50" i="13"/>
  <c r="I50" i="13"/>
  <c r="CP49" i="13"/>
  <c r="CN49" i="13" s="1"/>
  <c r="CK49" i="13"/>
  <c r="CI49" i="13"/>
  <c r="CE49" i="13"/>
  <c r="CD49" i="13"/>
  <c r="CF49" i="13" s="1"/>
  <c r="CB49" i="13"/>
  <c r="BZ49" i="13" s="1"/>
  <c r="BW49" i="13"/>
  <c r="BY49" i="13" s="1"/>
  <c r="BX49" i="13" s="1"/>
  <c r="BU49" i="13"/>
  <c r="BS49" i="13" s="1"/>
  <c r="BP49" i="13"/>
  <c r="BN49" i="13"/>
  <c r="BL49" i="13" s="1"/>
  <c r="BI49" i="13"/>
  <c r="BG49" i="13"/>
  <c r="BE49" i="13" s="1"/>
  <c r="BB49" i="13"/>
  <c r="AZ49" i="13"/>
  <c r="AX49" i="13" s="1"/>
  <c r="AW49" i="13"/>
  <c r="AV49" i="13" s="1"/>
  <c r="AU49" i="13"/>
  <c r="AS49" i="13"/>
  <c r="AQ49" i="13" s="1"/>
  <c r="AN49" i="13"/>
  <c r="AP49" i="13" s="1"/>
  <c r="AL49" i="13"/>
  <c r="AJ49" i="13" s="1"/>
  <c r="AI49" i="13"/>
  <c r="AH49" i="13" s="1"/>
  <c r="AG49" i="13"/>
  <c r="AE49" i="13"/>
  <c r="AC49" i="13" s="1"/>
  <c r="Z49" i="13"/>
  <c r="AB49" i="13" s="1"/>
  <c r="X49" i="13"/>
  <c r="V49" i="13" s="1"/>
  <c r="S49" i="13"/>
  <c r="U49" i="13" s="1"/>
  <c r="T49" i="13" s="1"/>
  <c r="R49" i="13"/>
  <c r="O49" i="13"/>
  <c r="L49" i="13"/>
  <c r="I49" i="13"/>
  <c r="CP48" i="13"/>
  <c r="CN48" i="13" s="1"/>
  <c r="CK48" i="13"/>
  <c r="CI48" i="13"/>
  <c r="CG48" i="13" s="1"/>
  <c r="CD48" i="13"/>
  <c r="CC48" i="13"/>
  <c r="CB48" i="13"/>
  <c r="BZ48" i="13" s="1"/>
  <c r="BW48" i="13"/>
  <c r="BU48" i="13"/>
  <c r="BS48" i="13" s="1"/>
  <c r="BP48" i="13"/>
  <c r="BR48" i="13" s="1"/>
  <c r="BQ48" i="13" s="1"/>
  <c r="BN48" i="13"/>
  <c r="BL48" i="13" s="1"/>
  <c r="BI48" i="13"/>
  <c r="BG48" i="13"/>
  <c r="BE48" i="13" s="1"/>
  <c r="BD48" i="13"/>
  <c r="BB48" i="13"/>
  <c r="AZ48" i="13"/>
  <c r="AX48" i="13" s="1"/>
  <c r="AU48" i="13"/>
  <c r="AS48" i="13"/>
  <c r="AQ48" i="13" s="1"/>
  <c r="AN48" i="13"/>
  <c r="AP48" i="13" s="1"/>
  <c r="AL48" i="13"/>
  <c r="AJ48" i="13" s="1"/>
  <c r="AI48" i="13"/>
  <c r="AG48" i="13"/>
  <c r="AE48" i="13"/>
  <c r="Z48" i="13"/>
  <c r="X48" i="13"/>
  <c r="V48" i="13" s="1"/>
  <c r="T48" i="13"/>
  <c r="S48" i="13"/>
  <c r="U48" i="13" s="1"/>
  <c r="O48" i="13"/>
  <c r="L48" i="13"/>
  <c r="I48" i="13"/>
  <c r="CQ47" i="13"/>
  <c r="CP47" i="13"/>
  <c r="CN47" i="13" s="1"/>
  <c r="CM47" i="13"/>
  <c r="CK47" i="13"/>
  <c r="CI47" i="13"/>
  <c r="CG47" i="13" s="1"/>
  <c r="CD47" i="13"/>
  <c r="CB47" i="13"/>
  <c r="BZ47" i="13" s="1"/>
  <c r="BY47" i="13"/>
  <c r="BX47" i="13" s="1"/>
  <c r="BW47" i="13"/>
  <c r="CC47" i="13" s="1"/>
  <c r="BU47" i="13"/>
  <c r="BS47" i="13" s="1"/>
  <c r="BP47" i="13"/>
  <c r="BO47" i="13"/>
  <c r="BN47" i="13"/>
  <c r="BK47" i="13"/>
  <c r="BI47" i="13"/>
  <c r="BG47" i="13"/>
  <c r="BE47" i="13" s="1"/>
  <c r="BB47" i="13"/>
  <c r="AZ47" i="13"/>
  <c r="AX47" i="13" s="1"/>
  <c r="AU47" i="13"/>
  <c r="AS47" i="13"/>
  <c r="AQ47" i="13" s="1"/>
  <c r="AN47" i="13"/>
  <c r="AL47" i="13"/>
  <c r="AJ47" i="13" s="1"/>
  <c r="AG47" i="13"/>
  <c r="AE47" i="13"/>
  <c r="AC47" i="13"/>
  <c r="Z47" i="13"/>
  <c r="X47" i="13"/>
  <c r="V47" i="13" s="1"/>
  <c r="S47" i="13"/>
  <c r="Y47" i="13" s="1"/>
  <c r="O47" i="13"/>
  <c r="L47" i="13"/>
  <c r="I47" i="13"/>
  <c r="CP46" i="13"/>
  <c r="CN46" i="13" s="1"/>
  <c r="CK46" i="13"/>
  <c r="CI46" i="13"/>
  <c r="CG46" i="13" s="1"/>
  <c r="CD46" i="13"/>
  <c r="CJ46" i="13" s="1"/>
  <c r="CB46" i="13"/>
  <c r="BZ46" i="13" s="1"/>
  <c r="BY46" i="13"/>
  <c r="BW46" i="13"/>
  <c r="CC46" i="13" s="1"/>
  <c r="BU46" i="13"/>
  <c r="BS46" i="13" s="1"/>
  <c r="BP46" i="13"/>
  <c r="BV46" i="13" s="1"/>
  <c r="BN46" i="13"/>
  <c r="BL46" i="13" s="1"/>
  <c r="BI46" i="13"/>
  <c r="BG46" i="13"/>
  <c r="BE46" i="13" s="1"/>
  <c r="BB46" i="13"/>
  <c r="BH46" i="13" s="1"/>
  <c r="AZ46" i="13"/>
  <c r="AX46" i="13" s="1"/>
  <c r="AU46" i="13"/>
  <c r="BA46" i="13" s="1"/>
  <c r="AS46" i="13"/>
  <c r="AQ46" i="13" s="1"/>
  <c r="AN46" i="13"/>
  <c r="AP46" i="13" s="1"/>
  <c r="AM46" i="13"/>
  <c r="AL46" i="13"/>
  <c r="AJ46" i="13" s="1"/>
  <c r="AG46" i="13"/>
  <c r="AE46" i="13"/>
  <c r="AC46" i="13" s="1"/>
  <c r="Z46" i="13"/>
  <c r="AF46" i="13" s="1"/>
  <c r="X46" i="13"/>
  <c r="S46" i="13"/>
  <c r="O46" i="13"/>
  <c r="L46" i="13"/>
  <c r="N46" i="13" s="1"/>
  <c r="I46" i="13"/>
  <c r="CP45" i="13"/>
  <c r="CN45" i="13" s="1"/>
  <c r="CK45" i="13"/>
  <c r="CJ45" i="13"/>
  <c r="CI45" i="13"/>
  <c r="CG45" i="13" s="1"/>
  <c r="CF45" i="13"/>
  <c r="CD45" i="13"/>
  <c r="CB45" i="13"/>
  <c r="BZ45" i="13" s="1"/>
  <c r="BW45" i="13"/>
  <c r="BU45" i="13"/>
  <c r="BS45" i="13" s="1"/>
  <c r="BP45" i="13"/>
  <c r="BN45" i="13"/>
  <c r="BL45" i="13" s="1"/>
  <c r="BI45" i="13"/>
  <c r="BO45" i="13" s="1"/>
  <c r="BG45" i="13"/>
  <c r="BE45" i="13" s="1"/>
  <c r="BB45" i="13"/>
  <c r="AZ45" i="13"/>
  <c r="AX45" i="13" s="1"/>
  <c r="AU45" i="13"/>
  <c r="AW45" i="13" s="1"/>
  <c r="AS45" i="13"/>
  <c r="AQ45" i="13" s="1"/>
  <c r="AN45" i="13"/>
  <c r="AT45" i="13" s="1"/>
  <c r="AL45" i="13"/>
  <c r="AJ45" i="13" s="1"/>
  <c r="AG45" i="13"/>
  <c r="AM45" i="13" s="1"/>
  <c r="AE45" i="13"/>
  <c r="AC45" i="13" s="1"/>
  <c r="Z45" i="13"/>
  <c r="Y45" i="13"/>
  <c r="X45" i="13"/>
  <c r="S45" i="13"/>
  <c r="U45" i="13" s="1"/>
  <c r="O45" i="13"/>
  <c r="L45" i="13"/>
  <c r="R45" i="13" s="1"/>
  <c r="I45" i="13"/>
  <c r="CQ44" i="13"/>
  <c r="CP44" i="13"/>
  <c r="CN44" i="13" s="1"/>
  <c r="CK44" i="13"/>
  <c r="CM44" i="13" s="1"/>
  <c r="CI44" i="13"/>
  <c r="CG44" i="13" s="1"/>
  <c r="CE44" i="13"/>
  <c r="CD44" i="13"/>
  <c r="CF44" i="13" s="1"/>
  <c r="CB44" i="13"/>
  <c r="BZ44" i="13" s="1"/>
  <c r="BW44" i="13"/>
  <c r="CC44" i="13" s="1"/>
  <c r="BV44" i="13"/>
  <c r="BU44" i="13"/>
  <c r="BS44" i="13" s="1"/>
  <c r="BR44" i="13"/>
  <c r="BP44" i="13"/>
  <c r="BN44" i="13"/>
  <c r="BL44" i="13" s="1"/>
  <c r="BI44" i="13"/>
  <c r="BG44" i="13"/>
  <c r="BE44" i="13" s="1"/>
  <c r="BB44" i="13"/>
  <c r="BD44" i="13" s="1"/>
  <c r="AZ44" i="13"/>
  <c r="AX44" i="13" s="1"/>
  <c r="AU44" i="13"/>
  <c r="BA44" i="13" s="1"/>
  <c r="AS44" i="13"/>
  <c r="AQ44" i="13" s="1"/>
  <c r="AN44" i="13"/>
  <c r="AP44" i="13" s="1"/>
  <c r="AL44" i="13"/>
  <c r="AJ44" i="13" s="1"/>
  <c r="AG44" i="13"/>
  <c r="AE44" i="13"/>
  <c r="AC44" i="13" s="1"/>
  <c r="AA44" i="13"/>
  <c r="Z44" i="13"/>
  <c r="AB44" i="13" s="1"/>
  <c r="X44" i="13"/>
  <c r="V44" i="13"/>
  <c r="S44" i="13"/>
  <c r="R44" i="13"/>
  <c r="O44" i="13"/>
  <c r="L44" i="13"/>
  <c r="N44" i="13" s="1"/>
  <c r="I44" i="13"/>
  <c r="CP43" i="13"/>
  <c r="CN43" i="13" s="1"/>
  <c r="CM43" i="13"/>
  <c r="CL43" i="13" s="1"/>
  <c r="CK43" i="13"/>
  <c r="CI43" i="13"/>
  <c r="CG43" i="13" s="1"/>
  <c r="CD43" i="13"/>
  <c r="CB43" i="13"/>
  <c r="BW43" i="13"/>
  <c r="BY43" i="13" s="1"/>
  <c r="BU43" i="13"/>
  <c r="BS43" i="13" s="1"/>
  <c r="BP43" i="13"/>
  <c r="BO43" i="13"/>
  <c r="BN43" i="13"/>
  <c r="BL43" i="13" s="1"/>
  <c r="BI43" i="13"/>
  <c r="BK43" i="13" s="1"/>
  <c r="BG43" i="13"/>
  <c r="BE43" i="13" s="1"/>
  <c r="BD43" i="13"/>
  <c r="BB43" i="13"/>
  <c r="AZ43" i="13"/>
  <c r="AX43" i="13" s="1"/>
  <c r="AU43" i="13"/>
  <c r="AS43" i="13"/>
  <c r="AQ43" i="13" s="1"/>
  <c r="AN43" i="13"/>
  <c r="AL43" i="13"/>
  <c r="AJ43" i="13" s="1"/>
  <c r="AI43" i="13"/>
  <c r="AH43" i="13" s="1"/>
  <c r="AG43" i="13"/>
  <c r="AE43" i="13"/>
  <c r="AC43" i="13" s="1"/>
  <c r="Z43" i="13"/>
  <c r="X43" i="13"/>
  <c r="V43" i="13" s="1"/>
  <c r="S43" i="13"/>
  <c r="U43" i="13" s="1"/>
  <c r="O43" i="13"/>
  <c r="L43" i="13"/>
  <c r="R43" i="13" s="1"/>
  <c r="I43" i="13"/>
  <c r="CQ42" i="13"/>
  <c r="CN42" i="13"/>
  <c r="CM42" i="13"/>
  <c r="CL42" i="13" s="1"/>
  <c r="CK42" i="13"/>
  <c r="CG42" i="13"/>
  <c r="CD42" i="13"/>
  <c r="CJ42" i="13" s="1"/>
  <c r="BZ42" i="13"/>
  <c r="BW42" i="13"/>
  <c r="BS42" i="13"/>
  <c r="BR42" i="13"/>
  <c r="BP42" i="13"/>
  <c r="BV42" i="13" s="1"/>
  <c r="BL42" i="13"/>
  <c r="BI42" i="13"/>
  <c r="BO42" i="13" s="1"/>
  <c r="BH42" i="13"/>
  <c r="BE42" i="13"/>
  <c r="H42" i="13" s="1"/>
  <c r="BD42" i="13"/>
  <c r="BB42" i="13"/>
  <c r="AX42" i="13"/>
  <c r="AU42" i="13"/>
  <c r="BA42" i="13" s="1"/>
  <c r="AQ42" i="13"/>
  <c r="AO42" i="13"/>
  <c r="AN42" i="13"/>
  <c r="AP42" i="13" s="1"/>
  <c r="AM42" i="13"/>
  <c r="AJ42" i="13"/>
  <c r="AG42" i="13"/>
  <c r="AI42" i="13" s="1"/>
  <c r="AC42" i="13"/>
  <c r="AB42" i="13"/>
  <c r="Z42" i="13"/>
  <c r="AF42" i="13" s="1"/>
  <c r="V42" i="13"/>
  <c r="S42" i="13"/>
  <c r="O42" i="13"/>
  <c r="L42" i="13"/>
  <c r="R42" i="13" s="1"/>
  <c r="J42" i="13"/>
  <c r="I42" i="13"/>
  <c r="E42" i="13"/>
  <c r="K42" i="13" s="1"/>
  <c r="CN41" i="13"/>
  <c r="CK41" i="13"/>
  <c r="CG41" i="13"/>
  <c r="CD41" i="13"/>
  <c r="CF41" i="13" s="1"/>
  <c r="CC41" i="13"/>
  <c r="BZ41" i="13"/>
  <c r="BY41" i="13"/>
  <c r="BX41" i="13" s="1"/>
  <c r="BW41" i="13"/>
  <c r="BS41" i="13"/>
  <c r="BP41" i="13"/>
  <c r="BV41" i="13" s="1"/>
  <c r="BL41" i="13"/>
  <c r="BI41" i="13"/>
  <c r="BE41" i="13"/>
  <c r="BB41" i="13"/>
  <c r="BD41" i="13" s="1"/>
  <c r="AX41" i="13"/>
  <c r="AU41" i="13"/>
  <c r="BA41" i="13" s="1"/>
  <c r="AT41" i="13"/>
  <c r="AQ41" i="13"/>
  <c r="AP41" i="13"/>
  <c r="AN41" i="13"/>
  <c r="AJ41" i="13"/>
  <c r="AG41" i="13"/>
  <c r="AM41" i="13" s="1"/>
  <c r="AC41" i="13"/>
  <c r="Z41" i="13"/>
  <c r="AB41" i="13" s="1"/>
  <c r="Y41" i="13"/>
  <c r="V41" i="13"/>
  <c r="U41" i="13"/>
  <c r="S41" i="13"/>
  <c r="T41" i="13" s="1"/>
  <c r="O41" i="13"/>
  <c r="L41" i="13"/>
  <c r="R41" i="13" s="1"/>
  <c r="J41" i="13"/>
  <c r="I41" i="13"/>
  <c r="CP40" i="13"/>
  <c r="CN40" i="13" s="1"/>
  <c r="CK40" i="13"/>
  <c r="CI40" i="13"/>
  <c r="CG40" i="13" s="1"/>
  <c r="CD40" i="13"/>
  <c r="CF40" i="13" s="1"/>
  <c r="CB40" i="13"/>
  <c r="CC40" i="13" s="1"/>
  <c r="BY40" i="13"/>
  <c r="BW40" i="13"/>
  <c r="BU40" i="13"/>
  <c r="BP40" i="13"/>
  <c r="BN40" i="13"/>
  <c r="BL40" i="13" s="1"/>
  <c r="BK40" i="13"/>
  <c r="BJ40" i="13" s="1"/>
  <c r="BI40" i="13"/>
  <c r="BG40" i="13"/>
  <c r="BE40" i="13" s="1"/>
  <c r="BB40" i="13"/>
  <c r="BD40" i="13" s="1"/>
  <c r="AZ40" i="13"/>
  <c r="BA40" i="13" s="1"/>
  <c r="AW40" i="13"/>
  <c r="AU40" i="13"/>
  <c r="AS40" i="13"/>
  <c r="AQ40" i="13" s="1"/>
  <c r="AN40" i="13"/>
  <c r="AL40" i="13"/>
  <c r="AJ40" i="13" s="1"/>
  <c r="AG40" i="13"/>
  <c r="AE40" i="13"/>
  <c r="AC40" i="13" s="1"/>
  <c r="AA40" i="13"/>
  <c r="Z40" i="13"/>
  <c r="AB40" i="13" s="1"/>
  <c r="X40" i="13"/>
  <c r="V40" i="13" s="1"/>
  <c r="U40" i="13"/>
  <c r="S40" i="13"/>
  <c r="R40" i="13"/>
  <c r="O40" i="13"/>
  <c r="L40" i="13"/>
  <c r="N40" i="13" s="1"/>
  <c r="I40" i="13"/>
  <c r="E40" i="13"/>
  <c r="CP39" i="13"/>
  <c r="CN39" i="13" s="1"/>
  <c r="CK39" i="13"/>
  <c r="CI39" i="13"/>
  <c r="CG39" i="13" s="1"/>
  <c r="CD39" i="13"/>
  <c r="CF39" i="13" s="1"/>
  <c r="CB39" i="13"/>
  <c r="BZ39" i="13" s="1"/>
  <c r="BW39" i="13"/>
  <c r="BU39" i="13"/>
  <c r="BV39" i="13" s="1"/>
  <c r="BR39" i="13"/>
  <c r="BQ39" i="13" s="1"/>
  <c r="BP39" i="13"/>
  <c r="BN39" i="13"/>
  <c r="BL39" i="13" s="1"/>
  <c r="BI39" i="13"/>
  <c r="BG39" i="13"/>
  <c r="BB39" i="13"/>
  <c r="BD39" i="13" s="1"/>
  <c r="AZ39" i="13"/>
  <c r="AX39" i="13" s="1"/>
  <c r="AU39" i="13"/>
  <c r="AT39" i="13"/>
  <c r="AS39" i="13"/>
  <c r="AQ39" i="13" s="1"/>
  <c r="AN39" i="13"/>
  <c r="AP39" i="13" s="1"/>
  <c r="AL39" i="13"/>
  <c r="AJ39" i="13" s="1"/>
  <c r="AI39" i="13"/>
  <c r="AG39" i="13"/>
  <c r="AE39" i="13"/>
  <c r="AC39" i="13" s="1"/>
  <c r="Z39" i="13"/>
  <c r="X39" i="13"/>
  <c r="S39" i="13"/>
  <c r="O39" i="13"/>
  <c r="N39" i="13"/>
  <c r="M39" i="13" s="1"/>
  <c r="L39" i="13"/>
  <c r="I39" i="13"/>
  <c r="CP38" i="13"/>
  <c r="CN38" i="13" s="1"/>
  <c r="CK38" i="13"/>
  <c r="CM38" i="13" s="1"/>
  <c r="CI38" i="13"/>
  <c r="CG38" i="13" s="1"/>
  <c r="CF38" i="13"/>
  <c r="CD38" i="13"/>
  <c r="CB38" i="13"/>
  <c r="BZ38" i="13" s="1"/>
  <c r="BW38" i="13"/>
  <c r="BY38" i="13" s="1"/>
  <c r="BU38" i="13"/>
  <c r="BP38" i="13"/>
  <c r="BR38" i="13" s="1"/>
  <c r="BN38" i="13"/>
  <c r="BL38" i="13" s="1"/>
  <c r="BI38" i="13"/>
  <c r="BG38" i="13"/>
  <c r="BE38" i="13" s="1"/>
  <c r="BB38" i="13"/>
  <c r="AZ38" i="13"/>
  <c r="AX38" i="13" s="1"/>
  <c r="AU38" i="13"/>
  <c r="AW38" i="13" s="1"/>
  <c r="AS38" i="13"/>
  <c r="AQ38" i="13" s="1"/>
  <c r="AN38" i="13"/>
  <c r="AL38" i="13"/>
  <c r="AG38" i="13"/>
  <c r="AI38" i="13" s="1"/>
  <c r="AE38" i="13"/>
  <c r="AC38" i="13" s="1"/>
  <c r="Z38" i="13"/>
  <c r="X38" i="13"/>
  <c r="V38" i="13" s="1"/>
  <c r="S38" i="13"/>
  <c r="R38" i="13"/>
  <c r="O38" i="13"/>
  <c r="L38" i="13"/>
  <c r="N38" i="13" s="1"/>
  <c r="I38" i="13"/>
  <c r="CP37" i="13"/>
  <c r="CK37" i="13"/>
  <c r="CM37" i="13" s="1"/>
  <c r="CI37" i="13"/>
  <c r="CG37" i="13" s="1"/>
  <c r="CD37" i="13"/>
  <c r="CB37" i="13"/>
  <c r="BZ37" i="13" s="1"/>
  <c r="BW37" i="13"/>
  <c r="BY37" i="13" s="1"/>
  <c r="BU37" i="13"/>
  <c r="BS37" i="13" s="1"/>
  <c r="BP37" i="13"/>
  <c r="BN37" i="13"/>
  <c r="BL37" i="13" s="1"/>
  <c r="BI37" i="13"/>
  <c r="BG37" i="13"/>
  <c r="BE37" i="13" s="1"/>
  <c r="BD37" i="13"/>
  <c r="BB37" i="13"/>
  <c r="AZ37" i="13"/>
  <c r="AX37" i="13" s="1"/>
  <c r="AU37" i="13"/>
  <c r="AS37" i="13"/>
  <c r="AQ37" i="13" s="1"/>
  <c r="AN37" i="13"/>
  <c r="AL37" i="13"/>
  <c r="AI37" i="13"/>
  <c r="AH37" i="13" s="1"/>
  <c r="AG37" i="13"/>
  <c r="AE37" i="13"/>
  <c r="AC37" i="13" s="1"/>
  <c r="Z37" i="13"/>
  <c r="X37" i="13"/>
  <c r="S37" i="13"/>
  <c r="U37" i="13" s="1"/>
  <c r="O37" i="13"/>
  <c r="L37" i="13"/>
  <c r="I37" i="13"/>
  <c r="CP36" i="13"/>
  <c r="CN36" i="13" s="1"/>
  <c r="CK36" i="13"/>
  <c r="CI36" i="13"/>
  <c r="CF36" i="13"/>
  <c r="CD36" i="13"/>
  <c r="CB36" i="13"/>
  <c r="BZ36" i="13" s="1"/>
  <c r="BW36" i="13"/>
  <c r="BU36" i="13"/>
  <c r="BS36" i="13" s="1"/>
  <c r="BP36" i="13"/>
  <c r="BR36" i="13" s="1"/>
  <c r="BN36" i="13"/>
  <c r="BK36" i="13"/>
  <c r="BI36" i="13"/>
  <c r="BG36" i="13"/>
  <c r="BE36" i="13" s="1"/>
  <c r="BB36" i="13"/>
  <c r="AZ36" i="13"/>
  <c r="AX36" i="13" s="1"/>
  <c r="AU36" i="13"/>
  <c r="AS36" i="13"/>
  <c r="AQ36" i="13" s="1"/>
  <c r="AN36" i="13"/>
  <c r="AP36" i="13" s="1"/>
  <c r="AL36" i="13"/>
  <c r="AJ36" i="13" s="1"/>
  <c r="AI36" i="13"/>
  <c r="AG36" i="13"/>
  <c r="AE36" i="13"/>
  <c r="Z36" i="13"/>
  <c r="X36" i="13"/>
  <c r="V36" i="13"/>
  <c r="S36" i="13"/>
  <c r="R36" i="13"/>
  <c r="O36" i="13"/>
  <c r="L36" i="13"/>
  <c r="I36" i="13"/>
  <c r="CP35" i="13"/>
  <c r="CN35" i="13" s="1"/>
  <c r="CK35" i="13"/>
  <c r="CJ35" i="13"/>
  <c r="CI35" i="13"/>
  <c r="CG35" i="13" s="1"/>
  <c r="CD35" i="13"/>
  <c r="CF35" i="13" s="1"/>
  <c r="CE35" i="13" s="1"/>
  <c r="CB35" i="13"/>
  <c r="BZ35" i="13" s="1"/>
  <c r="BY35" i="13"/>
  <c r="BX35" i="13" s="1"/>
  <c r="BW35" i="13"/>
  <c r="CC35" i="13" s="1"/>
  <c r="BU35" i="13"/>
  <c r="BS35" i="13"/>
  <c r="BP35" i="13"/>
  <c r="BO35" i="13"/>
  <c r="BN35" i="13"/>
  <c r="BL35" i="13" s="1"/>
  <c r="BI35" i="13"/>
  <c r="BG35" i="13"/>
  <c r="BE35" i="13" s="1"/>
  <c r="BD35" i="13"/>
  <c r="BB35" i="13"/>
  <c r="BH35" i="13" s="1"/>
  <c r="AZ35" i="13"/>
  <c r="AX35" i="13" s="1"/>
  <c r="AU35" i="13"/>
  <c r="AS35" i="13"/>
  <c r="AQ35" i="13" s="1"/>
  <c r="AN35" i="13"/>
  <c r="AP35" i="13" s="1"/>
  <c r="AL35" i="13"/>
  <c r="AJ35" i="13" s="1"/>
  <c r="AG35" i="13"/>
  <c r="AE35" i="13"/>
  <c r="AC35" i="13" s="1"/>
  <c r="Z35" i="13"/>
  <c r="X35" i="13"/>
  <c r="V35" i="13" s="1"/>
  <c r="S35" i="13"/>
  <c r="Y35" i="13" s="1"/>
  <c r="O35" i="13"/>
  <c r="L35" i="13"/>
  <c r="I35" i="13"/>
  <c r="CQ34" i="13"/>
  <c r="CP34" i="13"/>
  <c r="CN34" i="13" s="1"/>
  <c r="CK34" i="13"/>
  <c r="CM34" i="13" s="1"/>
  <c r="CI34" i="13"/>
  <c r="CG34" i="13" s="1"/>
  <c r="CF34" i="13"/>
  <c r="CD34" i="13"/>
  <c r="CB34" i="13"/>
  <c r="BZ34" i="13" s="1"/>
  <c r="BW34" i="13"/>
  <c r="BU34" i="13"/>
  <c r="BS34" i="13" s="1"/>
  <c r="BP34" i="13"/>
  <c r="BV34" i="13" s="1"/>
  <c r="BO34" i="13"/>
  <c r="BN34" i="13"/>
  <c r="BL34" i="13" s="1"/>
  <c r="BI34" i="13"/>
  <c r="BK34" i="13" s="1"/>
  <c r="BG34" i="13"/>
  <c r="BE34" i="13" s="1"/>
  <c r="BB34" i="13"/>
  <c r="BA34" i="13"/>
  <c r="AZ34" i="13"/>
  <c r="AX34" i="13" s="1"/>
  <c r="AW34" i="13"/>
  <c r="AU34" i="13"/>
  <c r="AS34" i="13"/>
  <c r="AQ34" i="13" s="1"/>
  <c r="AN34" i="13"/>
  <c r="AM34" i="13"/>
  <c r="AL34" i="13"/>
  <c r="AJ34" i="13" s="1"/>
  <c r="AG34" i="13"/>
  <c r="AI34" i="13" s="1"/>
  <c r="AE34" i="13"/>
  <c r="AC34" i="13" s="1"/>
  <c r="Z34" i="13"/>
  <c r="X34" i="13"/>
  <c r="V34" i="13" s="1"/>
  <c r="S34" i="13"/>
  <c r="O34" i="13"/>
  <c r="N34" i="13"/>
  <c r="L34" i="13"/>
  <c r="R34" i="13" s="1"/>
  <c r="I34" i="13"/>
  <c r="CP33" i="13"/>
  <c r="CN33" i="13" s="1"/>
  <c r="CK33" i="13"/>
  <c r="CI33" i="13"/>
  <c r="CG33" i="13" s="1"/>
  <c r="CD33" i="13"/>
  <c r="CB33" i="13"/>
  <c r="BZ33" i="13" s="1"/>
  <c r="BW33" i="13"/>
  <c r="CC33" i="13" s="1"/>
  <c r="BU33" i="13"/>
  <c r="BS33" i="13" s="1"/>
  <c r="BP33" i="13"/>
  <c r="BV33" i="13" s="1"/>
  <c r="BN33" i="13"/>
  <c r="BL33" i="13" s="1"/>
  <c r="BI33" i="13"/>
  <c r="BK33" i="13" s="1"/>
  <c r="BH33" i="13"/>
  <c r="BG33" i="13"/>
  <c r="BE33" i="13" s="1"/>
  <c r="BB33" i="13"/>
  <c r="BA33" i="13"/>
  <c r="AZ33" i="13"/>
  <c r="AX33" i="13"/>
  <c r="AW33" i="13"/>
  <c r="AV33" i="13" s="1"/>
  <c r="AU33" i="13"/>
  <c r="AS33" i="13"/>
  <c r="AQ33" i="13" s="1"/>
  <c r="AN33" i="13"/>
  <c r="AT33" i="13" s="1"/>
  <c r="AJ33" i="13"/>
  <c r="AG33" i="13"/>
  <c r="AF33" i="13"/>
  <c r="AC33" i="13"/>
  <c r="AB33" i="13"/>
  <c r="Z33" i="13"/>
  <c r="AA33" i="13" s="1"/>
  <c r="V33" i="13"/>
  <c r="U33" i="13"/>
  <c r="T33" i="13" s="1"/>
  <c r="S33" i="13"/>
  <c r="Y33" i="13" s="1"/>
  <c r="O33" i="13"/>
  <c r="L33" i="13"/>
  <c r="I33" i="13"/>
  <c r="CP32" i="13"/>
  <c r="CN32" i="13" s="1"/>
  <c r="CK32" i="13"/>
  <c r="CJ32" i="13"/>
  <c r="CI32" i="13"/>
  <c r="CG32" i="13" s="1"/>
  <c r="CD32" i="13"/>
  <c r="CF32" i="13" s="1"/>
  <c r="CB32" i="13"/>
  <c r="BZ32" i="13" s="1"/>
  <c r="BW32" i="13"/>
  <c r="CC32" i="13" s="1"/>
  <c r="BU32" i="13"/>
  <c r="BS32" i="13" s="1"/>
  <c r="BP32" i="13"/>
  <c r="BN32" i="13"/>
  <c r="BL32" i="13" s="1"/>
  <c r="BI32" i="13"/>
  <c r="BG32" i="13"/>
  <c r="BE32" i="13" s="1"/>
  <c r="BB32" i="13"/>
  <c r="AZ32" i="13"/>
  <c r="AX32" i="13" s="1"/>
  <c r="AU32" i="13"/>
  <c r="AS32" i="13"/>
  <c r="AQ32" i="13" s="1"/>
  <c r="AN32" i="13"/>
  <c r="AM32" i="13"/>
  <c r="AJ32" i="13"/>
  <c r="AI32" i="13"/>
  <c r="AG32" i="13"/>
  <c r="AE32" i="13"/>
  <c r="AC32" i="13"/>
  <c r="AB32" i="13"/>
  <c r="Z32" i="13"/>
  <c r="X32" i="13"/>
  <c r="V32" i="13"/>
  <c r="S32" i="13"/>
  <c r="R32" i="13"/>
  <c r="O32" i="13"/>
  <c r="L32" i="13"/>
  <c r="N32" i="13" s="1"/>
  <c r="I32" i="13"/>
  <c r="CP31" i="13"/>
  <c r="CN31" i="13" s="1"/>
  <c r="CK31" i="13"/>
  <c r="CM31" i="13" s="1"/>
  <c r="CI31" i="13"/>
  <c r="CG31" i="13"/>
  <c r="CD31" i="13"/>
  <c r="CB31" i="13"/>
  <c r="BZ31" i="13" s="1"/>
  <c r="BW31" i="13"/>
  <c r="BY31" i="13" s="1"/>
  <c r="BU31" i="13"/>
  <c r="BS31" i="13" s="1"/>
  <c r="BP31" i="13"/>
  <c r="BN31" i="13"/>
  <c r="BL31" i="13" s="1"/>
  <c r="BI31" i="13"/>
  <c r="BG31" i="13"/>
  <c r="BD31" i="13"/>
  <c r="BC31" i="13" s="1"/>
  <c r="BB31" i="13"/>
  <c r="AZ31" i="13"/>
  <c r="AX31" i="13" s="1"/>
  <c r="AU31" i="13"/>
  <c r="AS31" i="13"/>
  <c r="AQ31" i="13" s="1"/>
  <c r="AN31" i="13"/>
  <c r="AL31" i="13"/>
  <c r="AJ31" i="13" s="1"/>
  <c r="AG31" i="13"/>
  <c r="AE31" i="13"/>
  <c r="AC31" i="13" s="1"/>
  <c r="Z31" i="13"/>
  <c r="X31" i="13"/>
  <c r="S31" i="13"/>
  <c r="U31" i="13" s="1"/>
  <c r="T31" i="13" s="1"/>
  <c r="O31" i="13"/>
  <c r="L31" i="13"/>
  <c r="E31" i="13" s="1"/>
  <c r="I31" i="13"/>
  <c r="CP30" i="13"/>
  <c r="CN30" i="13" s="1"/>
  <c r="CK30" i="13"/>
  <c r="CI30" i="13"/>
  <c r="CF30" i="13"/>
  <c r="CD30" i="13"/>
  <c r="CB30" i="13"/>
  <c r="BZ30" i="13" s="1"/>
  <c r="BW30" i="13"/>
  <c r="BU30" i="13"/>
  <c r="BS30" i="13" s="1"/>
  <c r="BP30" i="13"/>
  <c r="BN30" i="13"/>
  <c r="BL30" i="13" s="1"/>
  <c r="BI30" i="13"/>
  <c r="BK30" i="13" s="1"/>
  <c r="BG30" i="13"/>
  <c r="BE30" i="13" s="1"/>
  <c r="BB30" i="13"/>
  <c r="AZ30" i="13"/>
  <c r="AX30" i="13" s="1"/>
  <c r="AU30" i="13"/>
  <c r="AS30" i="13"/>
  <c r="AQ30" i="13" s="1"/>
  <c r="AN30" i="13"/>
  <c r="AL30" i="13"/>
  <c r="AJ30" i="13" s="1"/>
  <c r="AG30" i="13"/>
  <c r="AE30" i="13"/>
  <c r="AC30" i="13" s="1"/>
  <c r="Z30" i="13"/>
  <c r="X30" i="13"/>
  <c r="V30" i="13" s="1"/>
  <c r="U30" i="13"/>
  <c r="T30" i="13" s="1"/>
  <c r="S30" i="13"/>
  <c r="O30" i="13"/>
  <c r="L30" i="13"/>
  <c r="R30" i="13" s="1"/>
  <c r="I30" i="13"/>
  <c r="CN29" i="13"/>
  <c r="CK29" i="13"/>
  <c r="CJ29" i="13"/>
  <c r="CG29" i="13"/>
  <c r="CF29" i="13"/>
  <c r="CE29" i="13" s="1"/>
  <c r="CD29" i="13"/>
  <c r="BZ29" i="13"/>
  <c r="BW29" i="13"/>
  <c r="CC29" i="13" s="1"/>
  <c r="BV29" i="13"/>
  <c r="BS29" i="13"/>
  <c r="BQ29" i="13"/>
  <c r="BP29" i="13"/>
  <c r="BR29" i="13" s="1"/>
  <c r="BL29" i="13"/>
  <c r="BI29" i="13"/>
  <c r="BO29" i="13" s="1"/>
  <c r="BE29" i="13"/>
  <c r="BB29" i="13"/>
  <c r="AX29" i="13"/>
  <c r="AU29" i="13"/>
  <c r="AQ29" i="13"/>
  <c r="AN29" i="13"/>
  <c r="AJ29" i="13"/>
  <c r="AG29" i="13"/>
  <c r="AC29" i="13"/>
  <c r="Z29" i="13"/>
  <c r="AF29" i="13" s="1"/>
  <c r="Y29" i="13"/>
  <c r="V29" i="13"/>
  <c r="S29" i="13"/>
  <c r="U29" i="13" s="1"/>
  <c r="O29" i="13"/>
  <c r="L29" i="13"/>
  <c r="J29" i="13"/>
  <c r="I29" i="13"/>
  <c r="CN28" i="13"/>
  <c r="CK28" i="13"/>
  <c r="CG28" i="13"/>
  <c r="H28" i="13" s="1"/>
  <c r="CD28" i="13"/>
  <c r="CJ28" i="13" s="1"/>
  <c r="BZ28" i="13"/>
  <c r="BW28" i="13"/>
  <c r="CC28" i="13" s="1"/>
  <c r="BS28" i="13"/>
  <c r="BP28" i="13"/>
  <c r="BL28" i="13"/>
  <c r="BK28" i="13"/>
  <c r="BI28" i="13"/>
  <c r="BH28" i="13"/>
  <c r="BE28" i="13"/>
  <c r="BB28" i="13"/>
  <c r="AX28" i="13"/>
  <c r="AU28" i="13"/>
  <c r="AQ28" i="13"/>
  <c r="AN28" i="13"/>
  <c r="AJ28" i="13"/>
  <c r="AI28" i="13"/>
  <c r="AG28" i="13"/>
  <c r="AC28" i="13"/>
  <c r="Z28" i="13"/>
  <c r="Y28" i="13"/>
  <c r="V28" i="13"/>
  <c r="U28" i="13"/>
  <c r="S28" i="13"/>
  <c r="O28" i="13"/>
  <c r="L28" i="13"/>
  <c r="J28" i="13"/>
  <c r="I28" i="13"/>
  <c r="CN27" i="13"/>
  <c r="CK27" i="13"/>
  <c r="CG27" i="13"/>
  <c r="CD27" i="13"/>
  <c r="BZ27" i="13"/>
  <c r="BW27" i="13"/>
  <c r="BV27" i="13"/>
  <c r="BS27" i="13"/>
  <c r="BP27" i="13"/>
  <c r="BL27" i="13"/>
  <c r="BI27" i="13"/>
  <c r="BH27" i="13"/>
  <c r="BE27" i="13"/>
  <c r="BD27" i="13"/>
  <c r="BC27" i="13" s="1"/>
  <c r="BB27" i="13"/>
  <c r="AX27" i="13"/>
  <c r="AW27" i="13"/>
  <c r="AV27" i="13" s="1"/>
  <c r="AU27" i="13"/>
  <c r="BA27" i="13" s="1"/>
  <c r="AQ27" i="13"/>
  <c r="AN27" i="13"/>
  <c r="AJ27" i="13"/>
  <c r="AG27" i="13"/>
  <c r="AM27" i="13" s="1"/>
  <c r="AC27" i="13"/>
  <c r="Z27" i="13"/>
  <c r="Y27" i="13"/>
  <c r="V27" i="13"/>
  <c r="H27" i="13" s="1"/>
  <c r="S27" i="13"/>
  <c r="O27" i="13"/>
  <c r="L27" i="13"/>
  <c r="J27" i="13"/>
  <c r="I27" i="13"/>
  <c r="CN26" i="13"/>
  <c r="CM26" i="13"/>
  <c r="CL26" i="13" s="1"/>
  <c r="CK26" i="13"/>
  <c r="CQ26" i="13" s="1"/>
  <c r="CG26" i="13"/>
  <c r="CD26" i="13"/>
  <c r="CF26" i="13" s="1"/>
  <c r="BZ26" i="13"/>
  <c r="BY26" i="13"/>
  <c r="BX26" i="13" s="1"/>
  <c r="BW26" i="13"/>
  <c r="CC26" i="13" s="1"/>
  <c r="BS26" i="13"/>
  <c r="BR26" i="13"/>
  <c r="BP26" i="13"/>
  <c r="BV26" i="13" s="1"/>
  <c r="BL26" i="13"/>
  <c r="BI26" i="13"/>
  <c r="BO26" i="13" s="1"/>
  <c r="BE26" i="13"/>
  <c r="BB26" i="13"/>
  <c r="AX26" i="13"/>
  <c r="AU26" i="13"/>
  <c r="AT26" i="13"/>
  <c r="AQ26" i="13"/>
  <c r="AP26" i="13"/>
  <c r="AO26" i="13" s="1"/>
  <c r="AN26" i="13"/>
  <c r="AJ26" i="13"/>
  <c r="AG26" i="13"/>
  <c r="AM26" i="13" s="1"/>
  <c r="AC26" i="13"/>
  <c r="AA26" i="13"/>
  <c r="Z26" i="13"/>
  <c r="AB26" i="13" s="1"/>
  <c r="V26" i="13"/>
  <c r="S26" i="13"/>
  <c r="Y26" i="13" s="1"/>
  <c r="O26" i="13"/>
  <c r="L26" i="13"/>
  <c r="J26" i="13"/>
  <c r="I26" i="13"/>
  <c r="CN25" i="13"/>
  <c r="CK25" i="13"/>
  <c r="CQ25" i="13" s="1"/>
  <c r="CG25" i="13"/>
  <c r="CD25" i="13"/>
  <c r="CJ25" i="13" s="1"/>
  <c r="CC25" i="13"/>
  <c r="BZ25" i="13"/>
  <c r="BW25" i="13"/>
  <c r="BS25" i="13"/>
  <c r="BP25" i="13"/>
  <c r="BO25" i="13"/>
  <c r="BL25" i="13"/>
  <c r="BK25" i="13"/>
  <c r="BI25" i="13"/>
  <c r="BE25" i="13"/>
  <c r="BB25" i="13"/>
  <c r="AX25" i="13"/>
  <c r="AW25" i="13"/>
  <c r="AU25" i="13"/>
  <c r="BA25" i="13" s="1"/>
  <c r="AQ25" i="13"/>
  <c r="AN25" i="13"/>
  <c r="AT25" i="13" s="1"/>
  <c r="AJ25" i="13"/>
  <c r="AG25" i="13"/>
  <c r="AF25" i="13"/>
  <c r="AC25" i="13"/>
  <c r="AB25" i="13"/>
  <c r="AA25" i="13" s="1"/>
  <c r="Z25" i="13"/>
  <c r="V25" i="13"/>
  <c r="S25" i="13"/>
  <c r="U25" i="13" s="1"/>
  <c r="O25" i="13"/>
  <c r="L25" i="13"/>
  <c r="J25" i="13"/>
  <c r="I25" i="13"/>
  <c r="CN24" i="13"/>
  <c r="CK24" i="13"/>
  <c r="CQ24" i="13" s="1"/>
  <c r="CG24" i="13"/>
  <c r="CD24" i="13"/>
  <c r="CC24" i="13"/>
  <c r="BZ24" i="13"/>
  <c r="BY24" i="13"/>
  <c r="BX24" i="13" s="1"/>
  <c r="BW24" i="13"/>
  <c r="BS24" i="13"/>
  <c r="BP24" i="13"/>
  <c r="BV24" i="13" s="1"/>
  <c r="BL24" i="13"/>
  <c r="BK24" i="13"/>
  <c r="BI24" i="13"/>
  <c r="BO24" i="13" s="1"/>
  <c r="BE24" i="13"/>
  <c r="BB24" i="13"/>
  <c r="AX24" i="13"/>
  <c r="AU24" i="13"/>
  <c r="AW24" i="13" s="1"/>
  <c r="AT24" i="13"/>
  <c r="AQ24" i="13"/>
  <c r="AP24" i="13"/>
  <c r="AO24" i="13" s="1"/>
  <c r="AN24" i="13"/>
  <c r="AJ24" i="13"/>
  <c r="AG24" i="13"/>
  <c r="AM24" i="13" s="1"/>
  <c r="AC24" i="13"/>
  <c r="Z24" i="13"/>
  <c r="AF24" i="13" s="1"/>
  <c r="Y24" i="13"/>
  <c r="V24" i="13"/>
  <c r="S24" i="13"/>
  <c r="U24" i="13" s="1"/>
  <c r="O24" i="13"/>
  <c r="L24" i="13"/>
  <c r="J24" i="13"/>
  <c r="I24" i="13"/>
  <c r="CQ23" i="13"/>
  <c r="CN23" i="13"/>
  <c r="CK23" i="13"/>
  <c r="CM23" i="13" s="1"/>
  <c r="CG23" i="13"/>
  <c r="CD23" i="13"/>
  <c r="BZ23" i="13"/>
  <c r="BW23" i="13"/>
  <c r="BS23" i="13"/>
  <c r="BP23" i="13"/>
  <c r="BL23" i="13"/>
  <c r="BI23" i="13"/>
  <c r="BE23" i="13"/>
  <c r="BD23" i="13"/>
  <c r="BC23" i="13" s="1"/>
  <c r="BB23" i="13"/>
  <c r="BH23" i="13" s="1"/>
  <c r="BA23" i="13"/>
  <c r="AX23" i="13"/>
  <c r="AU23" i="13"/>
  <c r="AQ23" i="13"/>
  <c r="H23" i="13" s="1"/>
  <c r="AN23" i="13"/>
  <c r="AT23" i="13" s="1"/>
  <c r="AJ23" i="13"/>
  <c r="AG23" i="13"/>
  <c r="AC23" i="13"/>
  <c r="Z23" i="13"/>
  <c r="V23" i="13"/>
  <c r="S23" i="13"/>
  <c r="U23" i="13" s="1"/>
  <c r="R23" i="13"/>
  <c r="O23" i="13"/>
  <c r="L23" i="13"/>
  <c r="J23" i="13"/>
  <c r="I23" i="13"/>
  <c r="CQ22" i="13"/>
  <c r="CN22" i="13"/>
  <c r="CM22" i="13"/>
  <c r="CK22" i="13"/>
  <c r="CG22" i="13"/>
  <c r="CD22" i="13"/>
  <c r="BZ22" i="13"/>
  <c r="BW22" i="13"/>
  <c r="BV22" i="13"/>
  <c r="BS22" i="13"/>
  <c r="BP22" i="13"/>
  <c r="BR22" i="13" s="1"/>
  <c r="BL22" i="13"/>
  <c r="BK22" i="13"/>
  <c r="BJ22" i="13" s="1"/>
  <c r="BI22" i="13"/>
  <c r="BO22" i="13" s="1"/>
  <c r="BH22" i="13"/>
  <c r="BE22" i="13"/>
  <c r="BB22" i="13"/>
  <c r="AX22" i="13"/>
  <c r="AU22" i="13"/>
  <c r="BA22" i="13" s="1"/>
  <c r="AQ22" i="13"/>
  <c r="AN22" i="13"/>
  <c r="AT22" i="13" s="1"/>
  <c r="AM22" i="13"/>
  <c r="AJ22" i="13"/>
  <c r="AG22" i="13"/>
  <c r="AC22" i="13"/>
  <c r="Z22" i="13"/>
  <c r="Y22" i="13"/>
  <c r="V22" i="13"/>
  <c r="T22" i="13"/>
  <c r="S22" i="13"/>
  <c r="U22" i="13" s="1"/>
  <c r="O22" i="13"/>
  <c r="L22" i="13"/>
  <c r="J22" i="13"/>
  <c r="I22" i="13"/>
  <c r="CN21" i="13"/>
  <c r="CK21" i="13"/>
  <c r="CQ21" i="13" s="1"/>
  <c r="CG21" i="13"/>
  <c r="CD21" i="13"/>
  <c r="CC21" i="13"/>
  <c r="BZ21" i="13"/>
  <c r="BY21" i="13"/>
  <c r="BW21" i="13"/>
  <c r="BS21" i="13"/>
  <c r="BP21" i="13"/>
  <c r="BV21" i="13" s="1"/>
  <c r="BL21" i="13"/>
  <c r="BI21" i="13"/>
  <c r="BK21" i="13" s="1"/>
  <c r="BH21" i="13"/>
  <c r="BE21" i="13"/>
  <c r="H21" i="13" s="1"/>
  <c r="BB21" i="13"/>
  <c r="BD21" i="13" s="1"/>
  <c r="AX21" i="13"/>
  <c r="AU21" i="13"/>
  <c r="BA21" i="13" s="1"/>
  <c r="AQ21" i="13"/>
  <c r="AN21" i="13"/>
  <c r="AM21" i="13"/>
  <c r="AJ21" i="13"/>
  <c r="AG21" i="13"/>
  <c r="AI21" i="13" s="1"/>
  <c r="AC21" i="13"/>
  <c r="Z21" i="13"/>
  <c r="AF21" i="13" s="1"/>
  <c r="Y21" i="13"/>
  <c r="V21" i="13"/>
  <c r="U21" i="13"/>
  <c r="S21" i="13"/>
  <c r="O21" i="13"/>
  <c r="L21" i="13"/>
  <c r="J21" i="13"/>
  <c r="I21" i="13"/>
  <c r="CN20" i="13"/>
  <c r="CK20" i="13"/>
  <c r="CJ20" i="13"/>
  <c r="CG20" i="13"/>
  <c r="CD20" i="13"/>
  <c r="BZ20" i="13"/>
  <c r="BW20" i="13"/>
  <c r="BS20" i="13"/>
  <c r="BR20" i="13"/>
  <c r="BP20" i="13"/>
  <c r="BV20" i="13" s="1"/>
  <c r="BO20" i="13"/>
  <c r="BL20" i="13"/>
  <c r="BI20" i="13"/>
  <c r="BH20" i="13"/>
  <c r="BE20" i="13"/>
  <c r="BD20" i="13"/>
  <c r="BB20" i="13"/>
  <c r="AX20" i="13"/>
  <c r="AU20" i="13"/>
  <c r="AQ20" i="13"/>
  <c r="AN20" i="13"/>
  <c r="AT20" i="13" s="1"/>
  <c r="AJ20" i="13"/>
  <c r="AG20" i="13"/>
  <c r="AM20" i="13" s="1"/>
  <c r="AC20" i="13"/>
  <c r="Z20" i="13"/>
  <c r="AF20" i="13" s="1"/>
  <c r="V20" i="13"/>
  <c r="S20" i="13"/>
  <c r="O20" i="13"/>
  <c r="H20" i="13" s="1"/>
  <c r="L20" i="13"/>
  <c r="R20" i="13" s="1"/>
  <c r="J20" i="13"/>
  <c r="I20" i="13"/>
  <c r="CN19" i="13"/>
  <c r="CK19" i="13"/>
  <c r="CM19" i="13" s="1"/>
  <c r="CJ19" i="13"/>
  <c r="CG19" i="13"/>
  <c r="CF19" i="13"/>
  <c r="CE19" i="13"/>
  <c r="CD19" i="13"/>
  <c r="BZ19" i="13"/>
  <c r="BW19" i="13"/>
  <c r="CC19" i="13" s="1"/>
  <c r="BS19" i="13"/>
  <c r="BP19" i="13"/>
  <c r="BL19" i="13"/>
  <c r="BI19" i="13"/>
  <c r="BO19" i="13" s="1"/>
  <c r="BE19" i="13"/>
  <c r="BB19" i="13"/>
  <c r="AX19" i="13"/>
  <c r="AW19" i="13"/>
  <c r="AU19" i="13"/>
  <c r="AQ19" i="13"/>
  <c r="AN19" i="13"/>
  <c r="AJ19" i="13"/>
  <c r="AG19" i="13"/>
  <c r="AI19" i="13" s="1"/>
  <c r="AF19" i="13"/>
  <c r="AC19" i="13"/>
  <c r="AB19" i="13"/>
  <c r="AA19" i="13" s="1"/>
  <c r="Z19" i="13"/>
  <c r="V19" i="13"/>
  <c r="S19" i="13"/>
  <c r="Y19" i="13" s="1"/>
  <c r="O19" i="13"/>
  <c r="H19" i="13" s="1"/>
  <c r="L19" i="13"/>
  <c r="J19" i="13"/>
  <c r="I19" i="13"/>
  <c r="CN18" i="13"/>
  <c r="CK18" i="13"/>
  <c r="CQ18" i="13" s="1"/>
  <c r="CG18" i="13"/>
  <c r="CD18" i="13"/>
  <c r="CJ18" i="13" s="1"/>
  <c r="CC18" i="13"/>
  <c r="BZ18" i="13"/>
  <c r="BW18" i="13"/>
  <c r="BY18" i="13" s="1"/>
  <c r="BS18" i="13"/>
  <c r="BP18" i="13"/>
  <c r="BL18" i="13"/>
  <c r="BI18" i="13"/>
  <c r="BO18" i="13" s="1"/>
  <c r="BE18" i="13"/>
  <c r="BB18" i="13"/>
  <c r="AX18" i="13"/>
  <c r="AU18" i="13"/>
  <c r="AQ18" i="13"/>
  <c r="AN18" i="13"/>
  <c r="AT18" i="13" s="1"/>
  <c r="AJ18" i="13"/>
  <c r="AG18" i="13"/>
  <c r="AC18" i="13"/>
  <c r="Z18" i="13"/>
  <c r="AF18" i="13" s="1"/>
  <c r="V18" i="13"/>
  <c r="S18" i="13"/>
  <c r="E18" i="13" s="1"/>
  <c r="K18" i="13" s="1"/>
  <c r="O18" i="13"/>
  <c r="H18" i="13" s="1"/>
  <c r="L18" i="13"/>
  <c r="R18" i="13" s="1"/>
  <c r="J18" i="13"/>
  <c r="I18" i="13"/>
  <c r="CN17" i="13"/>
  <c r="CK17" i="13"/>
  <c r="CG17" i="13"/>
  <c r="CD17" i="13"/>
  <c r="CC17" i="13"/>
  <c r="BZ17" i="13"/>
  <c r="BY17" i="13"/>
  <c r="BW17" i="13"/>
  <c r="BS17" i="13"/>
  <c r="BP17" i="13"/>
  <c r="BL17" i="13"/>
  <c r="BI17" i="13"/>
  <c r="BH17" i="13"/>
  <c r="BE17" i="13"/>
  <c r="BB17" i="13"/>
  <c r="BD17" i="13" s="1"/>
  <c r="AX17" i="13"/>
  <c r="AU17" i="13"/>
  <c r="BA17" i="13" s="1"/>
  <c r="AT17" i="13"/>
  <c r="AQ17" i="13"/>
  <c r="AN17" i="13"/>
  <c r="AJ17" i="13"/>
  <c r="AG17" i="13"/>
  <c r="AM17" i="13" s="1"/>
  <c r="AC17" i="13"/>
  <c r="Z17" i="13"/>
  <c r="AF17" i="13" s="1"/>
  <c r="Y17" i="13"/>
  <c r="V17" i="13"/>
  <c r="S17" i="13"/>
  <c r="U17" i="13" s="1"/>
  <c r="O17" i="13"/>
  <c r="L17" i="13"/>
  <c r="R17" i="13" s="1"/>
  <c r="J17" i="13"/>
  <c r="I17" i="13"/>
  <c r="H17" i="13"/>
  <c r="CP16" i="13"/>
  <c r="CN16" i="13" s="1"/>
  <c r="CK16" i="13"/>
  <c r="CM16" i="13" s="1"/>
  <c r="CI16" i="13"/>
  <c r="CG16" i="13" s="1"/>
  <c r="CD16" i="13"/>
  <c r="CB16" i="13"/>
  <c r="BZ16" i="13" s="1"/>
  <c r="BW16" i="13"/>
  <c r="BU16" i="13"/>
  <c r="BP16" i="13"/>
  <c r="BR16" i="13" s="1"/>
  <c r="BQ16" i="13" s="1"/>
  <c r="BN16" i="13"/>
  <c r="BL16" i="13" s="1"/>
  <c r="BI16" i="13"/>
  <c r="BO16" i="13" s="1"/>
  <c r="BG16" i="13"/>
  <c r="BE16" i="13" s="1"/>
  <c r="BB16" i="13"/>
  <c r="BD16" i="13" s="1"/>
  <c r="AZ16" i="13"/>
  <c r="BA16" i="13" s="1"/>
  <c r="AU16" i="13"/>
  <c r="AS16" i="13"/>
  <c r="AN16" i="13"/>
  <c r="AP16" i="13" s="1"/>
  <c r="AL16" i="13"/>
  <c r="AJ16" i="13" s="1"/>
  <c r="AG16" i="13"/>
  <c r="AE16" i="13"/>
  <c r="AC16" i="13" s="1"/>
  <c r="Z16" i="13"/>
  <c r="X16" i="13"/>
  <c r="V16" i="13" s="1"/>
  <c r="S16" i="13"/>
  <c r="R16" i="13"/>
  <c r="O16" i="13"/>
  <c r="L16" i="13"/>
  <c r="I16" i="13"/>
  <c r="CP15" i="13"/>
  <c r="CN15" i="13" s="1"/>
  <c r="CK15" i="13"/>
  <c r="CI15" i="13"/>
  <c r="CG15" i="13" s="1"/>
  <c r="CD15" i="13"/>
  <c r="CB15" i="13"/>
  <c r="BZ15" i="13" s="1"/>
  <c r="BW15" i="13"/>
  <c r="BU15" i="13"/>
  <c r="BV15" i="13" s="1"/>
  <c r="BR15" i="13"/>
  <c r="BP15" i="13"/>
  <c r="BN15" i="13"/>
  <c r="BL15" i="13" s="1"/>
  <c r="BI15" i="13"/>
  <c r="BK15" i="13" s="1"/>
  <c r="BG15" i="13"/>
  <c r="BE15" i="13" s="1"/>
  <c r="BD15" i="13"/>
  <c r="BC15" i="13"/>
  <c r="BB15" i="13"/>
  <c r="AZ15" i="13"/>
  <c r="AX15" i="13" s="1"/>
  <c r="AU15" i="13"/>
  <c r="AS15" i="13"/>
  <c r="AQ15" i="13" s="1"/>
  <c r="AN15" i="13"/>
  <c r="AP15" i="13" s="1"/>
  <c r="AL15" i="13"/>
  <c r="AJ15" i="13" s="1"/>
  <c r="AG15" i="13"/>
  <c r="AE15" i="13"/>
  <c r="AC15" i="13"/>
  <c r="Z15" i="13"/>
  <c r="X15" i="13"/>
  <c r="V15" i="13" s="1"/>
  <c r="S15" i="13"/>
  <c r="R15" i="13"/>
  <c r="O15" i="13"/>
  <c r="M15" i="13"/>
  <c r="L15" i="13"/>
  <c r="N15" i="13" s="1"/>
  <c r="I15" i="13"/>
  <c r="CP14" i="13"/>
  <c r="CQ14" i="13" s="1"/>
  <c r="CK14" i="13"/>
  <c r="CM14" i="13" s="1"/>
  <c r="CL14" i="13" s="1"/>
  <c r="CI14" i="13"/>
  <c r="CG14" i="13" s="1"/>
  <c r="CD14" i="13"/>
  <c r="CB14" i="13"/>
  <c r="CC14" i="13" s="1"/>
  <c r="BW14" i="13"/>
  <c r="BY14" i="13" s="1"/>
  <c r="BU14" i="13"/>
  <c r="BV14" i="13" s="1"/>
  <c r="BP14" i="13"/>
  <c r="BN14" i="13"/>
  <c r="BO14" i="13" s="1"/>
  <c r="BK14" i="13"/>
  <c r="BJ14" i="13" s="1"/>
  <c r="BI14" i="13"/>
  <c r="BG14" i="13"/>
  <c r="BE14" i="13" s="1"/>
  <c r="BB14" i="13"/>
  <c r="AZ14" i="13"/>
  <c r="AX14" i="13" s="1"/>
  <c r="AU14" i="13"/>
  <c r="AW14" i="13" s="1"/>
  <c r="AS14" i="13"/>
  <c r="AQ14" i="13" s="1"/>
  <c r="AN14" i="13"/>
  <c r="AL14" i="13"/>
  <c r="AJ14" i="13" s="1"/>
  <c r="AG14" i="13"/>
  <c r="AI14" i="13" s="1"/>
  <c r="AE14" i="13"/>
  <c r="AC14" i="13"/>
  <c r="AB14" i="13"/>
  <c r="AA14" i="13" s="1"/>
  <c r="Z14" i="13"/>
  <c r="X14" i="13"/>
  <c r="V14" i="13" s="1"/>
  <c r="S14" i="13"/>
  <c r="O14" i="13"/>
  <c r="L14" i="13"/>
  <c r="I14" i="13"/>
  <c r="CP13" i="13"/>
  <c r="CN13" i="13" s="1"/>
  <c r="CK13" i="13"/>
  <c r="CM13" i="13" s="1"/>
  <c r="CI13" i="13"/>
  <c r="CG13" i="13" s="1"/>
  <c r="CF13" i="13"/>
  <c r="CE13" i="13" s="1"/>
  <c r="CD13" i="13"/>
  <c r="CJ13" i="13" s="1"/>
  <c r="CB13" i="13"/>
  <c r="BZ13" i="13" s="1"/>
  <c r="BW13" i="13"/>
  <c r="CC13" i="13" s="1"/>
  <c r="BU13" i="13"/>
  <c r="BS13" i="13" s="1"/>
  <c r="BP13" i="13"/>
  <c r="BR13" i="13" s="1"/>
  <c r="BO13" i="13"/>
  <c r="BN13" i="13"/>
  <c r="BL13" i="13" s="1"/>
  <c r="BK13" i="13"/>
  <c r="BI13" i="13"/>
  <c r="BG13" i="13"/>
  <c r="BE13" i="13" s="1"/>
  <c r="BB13" i="13"/>
  <c r="AZ13" i="13"/>
  <c r="AX13" i="13" s="1"/>
  <c r="AU13" i="13"/>
  <c r="BA13" i="13" s="1"/>
  <c r="AS13" i="13"/>
  <c r="AQ13" i="13" s="1"/>
  <c r="AN13" i="13"/>
  <c r="AP13" i="13" s="1"/>
  <c r="AM13" i="13"/>
  <c r="AL13" i="13"/>
  <c r="AJ13" i="13"/>
  <c r="AI13" i="13"/>
  <c r="AG13" i="13"/>
  <c r="AE13" i="13"/>
  <c r="AC13" i="13" s="1"/>
  <c r="Z13" i="13"/>
  <c r="AF13" i="13" s="1"/>
  <c r="X13" i="13"/>
  <c r="V13" i="13" s="1"/>
  <c r="S13" i="13"/>
  <c r="Y13" i="13" s="1"/>
  <c r="O13" i="13"/>
  <c r="L13" i="13"/>
  <c r="R13" i="13" s="1"/>
  <c r="I13" i="13"/>
  <c r="B13" i="13"/>
  <c r="CP12" i="13"/>
  <c r="CN12" i="13" s="1"/>
  <c r="CK12" i="13"/>
  <c r="CI12" i="13"/>
  <c r="CG12" i="13" s="1"/>
  <c r="CF12" i="13"/>
  <c r="CD12" i="13"/>
  <c r="CE12" i="13" s="1"/>
  <c r="CB12" i="13"/>
  <c r="BZ12" i="13" s="1"/>
  <c r="BW12" i="13"/>
  <c r="BU12" i="13"/>
  <c r="BS12" i="13" s="1"/>
  <c r="BP12" i="13"/>
  <c r="BN12" i="13"/>
  <c r="BL12" i="13" s="1"/>
  <c r="BI12" i="13"/>
  <c r="BG12" i="13"/>
  <c r="BE12" i="13" s="1"/>
  <c r="BB12" i="13"/>
  <c r="BD12" i="13" s="1"/>
  <c r="BC12" i="13" s="1"/>
  <c r="AZ12" i="13"/>
  <c r="AX12" i="13" s="1"/>
  <c r="AU12" i="13"/>
  <c r="AW12" i="13" s="1"/>
  <c r="AS12" i="13"/>
  <c r="AQ12" i="13" s="1"/>
  <c r="AN12" i="13"/>
  <c r="AL12" i="13"/>
  <c r="AJ12" i="13" s="1"/>
  <c r="AG12" i="13"/>
  <c r="AE12" i="13"/>
  <c r="AB12" i="13"/>
  <c r="AA12" i="13" s="1"/>
  <c r="Z12" i="13"/>
  <c r="X12" i="13"/>
  <c r="V12" i="13" s="1"/>
  <c r="S12" i="13"/>
  <c r="O12" i="13"/>
  <c r="L12" i="13"/>
  <c r="I12" i="13"/>
  <c r="CP11" i="13"/>
  <c r="CN11" i="13" s="1"/>
  <c r="CK11" i="13"/>
  <c r="CM11" i="13" s="1"/>
  <c r="CI11" i="13"/>
  <c r="CG11" i="13" s="1"/>
  <c r="CD11" i="13"/>
  <c r="CB11" i="13"/>
  <c r="BZ11" i="13" s="1"/>
  <c r="BW11" i="13"/>
  <c r="BU11" i="13"/>
  <c r="BS11" i="13" s="1"/>
  <c r="BP11" i="13"/>
  <c r="BV11" i="13" s="1"/>
  <c r="BO11" i="13"/>
  <c r="BN11" i="13"/>
  <c r="BL11" i="13" s="1"/>
  <c r="BI11" i="13"/>
  <c r="BK11" i="13" s="1"/>
  <c r="BG11" i="13"/>
  <c r="BB11" i="13"/>
  <c r="AZ11" i="13"/>
  <c r="AX11" i="13" s="1"/>
  <c r="AU11" i="13"/>
  <c r="BA11" i="13" s="1"/>
  <c r="AS11" i="13"/>
  <c r="AQ11" i="13" s="1"/>
  <c r="AN11" i="13"/>
  <c r="AT11" i="13" s="1"/>
  <c r="AL11" i="13"/>
  <c r="AJ11" i="13" s="1"/>
  <c r="AG11" i="13"/>
  <c r="AI11" i="13" s="1"/>
  <c r="AE11" i="13"/>
  <c r="AC11" i="13" s="1"/>
  <c r="Z11" i="13"/>
  <c r="AF11" i="13" s="1"/>
  <c r="Y11" i="13"/>
  <c r="X11" i="13"/>
  <c r="V11" i="13" s="1"/>
  <c r="U11" i="13"/>
  <c r="S11" i="13"/>
  <c r="O11" i="13"/>
  <c r="N11" i="13"/>
  <c r="M11" i="13" s="1"/>
  <c r="L11" i="13"/>
  <c r="R11" i="13" s="1"/>
  <c r="I11" i="13"/>
  <c r="E11" i="13"/>
  <c r="K11" i="13" s="1"/>
  <c r="CP10" i="13"/>
  <c r="CN10" i="13" s="1"/>
  <c r="CK10" i="13"/>
  <c r="CM10" i="13" s="1"/>
  <c r="CI10" i="13"/>
  <c r="CJ10" i="13" s="1"/>
  <c r="CG10" i="13"/>
  <c r="CD10" i="13"/>
  <c r="CF10" i="13" s="1"/>
  <c r="CB10" i="13"/>
  <c r="BZ10" i="13" s="1"/>
  <c r="BY10" i="13"/>
  <c r="BW10" i="13"/>
  <c r="BU10" i="13"/>
  <c r="BS10" i="13" s="1"/>
  <c r="BP10" i="13"/>
  <c r="BN10" i="13"/>
  <c r="BL10" i="13" s="1"/>
  <c r="BI10" i="13"/>
  <c r="BG10" i="13"/>
  <c r="BE10" i="13" s="1"/>
  <c r="BB10" i="13"/>
  <c r="AZ10" i="13"/>
  <c r="AU10" i="13"/>
  <c r="AS10" i="13"/>
  <c r="AQ10" i="13" s="1"/>
  <c r="AN10" i="13"/>
  <c r="AP10" i="13" s="1"/>
  <c r="AL10" i="13"/>
  <c r="AJ10" i="13" s="1"/>
  <c r="AG10" i="13"/>
  <c r="AI10" i="13" s="1"/>
  <c r="AE10" i="13"/>
  <c r="AC10" i="13" s="1"/>
  <c r="Z10" i="13"/>
  <c r="AB10" i="13" s="1"/>
  <c r="X10" i="13"/>
  <c r="Y10" i="13" s="1"/>
  <c r="U10" i="13"/>
  <c r="S10" i="13"/>
  <c r="O10" i="13"/>
  <c r="L10" i="13"/>
  <c r="N10" i="13" s="1"/>
  <c r="I10" i="13"/>
  <c r="CP9" i="13"/>
  <c r="CN9" i="13" s="1"/>
  <c r="CK9" i="13"/>
  <c r="CM9" i="13" s="1"/>
  <c r="CI9" i="13"/>
  <c r="CG9" i="13" s="1"/>
  <c r="CD9" i="13"/>
  <c r="CJ9" i="13" s="1"/>
  <c r="CB9" i="13"/>
  <c r="BZ9" i="13" s="1"/>
  <c r="BW9" i="13"/>
  <c r="BU9" i="13"/>
  <c r="BS9" i="13" s="1"/>
  <c r="BP9" i="13"/>
  <c r="BN9" i="13"/>
  <c r="BL9" i="13" s="1"/>
  <c r="BI9" i="13"/>
  <c r="BG9" i="13"/>
  <c r="BB9" i="13"/>
  <c r="BD9" i="13" s="1"/>
  <c r="AZ9" i="13"/>
  <c r="AX9" i="13" s="1"/>
  <c r="AW9" i="13"/>
  <c r="AU9" i="13"/>
  <c r="AS9" i="13"/>
  <c r="AQ9" i="13" s="1"/>
  <c r="AP9" i="13"/>
  <c r="AN9" i="13"/>
  <c r="AL9" i="13"/>
  <c r="AJ9" i="13" s="1"/>
  <c r="AG9" i="13"/>
  <c r="AE9" i="13"/>
  <c r="AC9" i="13" s="1"/>
  <c r="Z9" i="13"/>
  <c r="Y9" i="13"/>
  <c r="X9" i="13"/>
  <c r="V9" i="13" s="1"/>
  <c r="S9" i="13"/>
  <c r="U9" i="13" s="1"/>
  <c r="T9" i="13" s="1"/>
  <c r="O9" i="13"/>
  <c r="L9" i="13"/>
  <c r="I9" i="13"/>
  <c r="CP8" i="13"/>
  <c r="CN8" i="13" s="1"/>
  <c r="CK8" i="13"/>
  <c r="CQ8" i="13" s="1"/>
  <c r="CI8" i="13"/>
  <c r="CG8" i="13" s="1"/>
  <c r="CD8" i="13"/>
  <c r="CB8" i="13"/>
  <c r="BZ8" i="13" s="1"/>
  <c r="BY8" i="13"/>
  <c r="BW8" i="13"/>
  <c r="BV8" i="13"/>
  <c r="BU8" i="13"/>
  <c r="BS8" i="13" s="1"/>
  <c r="BP8" i="13"/>
  <c r="BR8" i="13" s="1"/>
  <c r="BN8" i="13"/>
  <c r="BL8" i="13" s="1"/>
  <c r="BI8" i="13"/>
  <c r="BO8" i="13" s="1"/>
  <c r="BG8" i="13"/>
  <c r="BE8" i="13" s="1"/>
  <c r="BB8" i="13"/>
  <c r="BD8" i="13" s="1"/>
  <c r="BA8" i="13"/>
  <c r="AZ8" i="13"/>
  <c r="AX8" i="13" s="1"/>
  <c r="AU8" i="13"/>
  <c r="AW8" i="13" s="1"/>
  <c r="AS8" i="13"/>
  <c r="AQ8" i="13" s="1"/>
  <c r="AN8" i="13"/>
  <c r="AT8" i="13" s="1"/>
  <c r="AL8" i="13"/>
  <c r="AJ8" i="13" s="1"/>
  <c r="AG8" i="13"/>
  <c r="AM8" i="13" s="1"/>
  <c r="AE8" i="13"/>
  <c r="AC8" i="13" s="1"/>
  <c r="Z8" i="13"/>
  <c r="AB8" i="13" s="1"/>
  <c r="Y8" i="13"/>
  <c r="X8" i="13"/>
  <c r="V8" i="13" s="1"/>
  <c r="U8" i="13"/>
  <c r="S8" i="13"/>
  <c r="O8" i="13"/>
  <c r="L8" i="13"/>
  <c r="E8" i="13" s="1"/>
  <c r="K8" i="13" s="1"/>
  <c r="I8" i="13"/>
  <c r="CP7" i="13"/>
  <c r="CN7" i="13" s="1"/>
  <c r="CM7" i="13"/>
  <c r="CK7" i="13"/>
  <c r="CI7" i="13"/>
  <c r="CG7" i="13" s="1"/>
  <c r="CD7" i="13"/>
  <c r="CF7" i="13" s="1"/>
  <c r="CB7" i="13"/>
  <c r="BZ7" i="13" s="1"/>
  <c r="BW7" i="13"/>
  <c r="BU7" i="13"/>
  <c r="BV7" i="13" s="1"/>
  <c r="BP7" i="13"/>
  <c r="BR7" i="13" s="1"/>
  <c r="BQ7" i="13" s="1"/>
  <c r="BN7" i="13"/>
  <c r="BL7" i="13" s="1"/>
  <c r="BI7" i="13"/>
  <c r="BG7" i="13"/>
  <c r="BE7" i="13" s="1"/>
  <c r="BB7" i="13"/>
  <c r="AZ7" i="13"/>
  <c r="AX7" i="13" s="1"/>
  <c r="AU7" i="13"/>
  <c r="AS7" i="13"/>
  <c r="AQ7" i="13" s="1"/>
  <c r="AN7" i="13"/>
  <c r="AP7" i="13" s="1"/>
  <c r="AO7" i="13" s="1"/>
  <c r="AL7" i="13"/>
  <c r="AJ7" i="13" s="1"/>
  <c r="AI7" i="13"/>
  <c r="AH7" i="13"/>
  <c r="AG7" i="13"/>
  <c r="AE7" i="13"/>
  <c r="AC7" i="13" s="1"/>
  <c r="AB7" i="13"/>
  <c r="Z7" i="13"/>
  <c r="X7" i="13"/>
  <c r="Y7" i="13" s="1"/>
  <c r="V7" i="13"/>
  <c r="S7" i="13"/>
  <c r="O7" i="13"/>
  <c r="L7" i="13"/>
  <c r="I7" i="13"/>
  <c r="E7" i="13"/>
  <c r="CP6" i="13"/>
  <c r="CN6" i="13" s="1"/>
  <c r="CK6" i="13"/>
  <c r="CM6" i="13" s="1"/>
  <c r="CI6" i="13"/>
  <c r="CG6" i="13" s="1"/>
  <c r="CD6" i="13"/>
  <c r="CB6" i="13"/>
  <c r="BZ6" i="13" s="1"/>
  <c r="BW6" i="13"/>
  <c r="BY6" i="13" s="1"/>
  <c r="BU6" i="13"/>
  <c r="BV6" i="13" s="1"/>
  <c r="BR6" i="13"/>
  <c r="BP6" i="13"/>
  <c r="BN6" i="13"/>
  <c r="BL6" i="13"/>
  <c r="BI6" i="13"/>
  <c r="BG6" i="13"/>
  <c r="BE6" i="13" s="1"/>
  <c r="BB6" i="13"/>
  <c r="AZ6" i="13"/>
  <c r="AX6" i="13" s="1"/>
  <c r="AU6" i="13"/>
  <c r="AW6" i="13" s="1"/>
  <c r="AS6" i="13"/>
  <c r="AT6" i="13" s="1"/>
  <c r="AN6" i="13"/>
  <c r="AP6" i="13" s="1"/>
  <c r="AL6" i="13"/>
  <c r="AJ6" i="13" s="1"/>
  <c r="AG6" i="13"/>
  <c r="AI6" i="13" s="1"/>
  <c r="AE6" i="13"/>
  <c r="AC6" i="13" s="1"/>
  <c r="AB6" i="13"/>
  <c r="Z6" i="13"/>
  <c r="X6" i="13"/>
  <c r="V6" i="13" s="1"/>
  <c r="S6" i="13"/>
  <c r="U6" i="13" s="1"/>
  <c r="O6" i="13"/>
  <c r="L6" i="13"/>
  <c r="R6" i="13" s="1"/>
  <c r="I6" i="13"/>
  <c r="CP5" i="13"/>
  <c r="CQ5" i="13" s="1"/>
  <c r="CM5" i="13"/>
  <c r="CL5" i="13" s="1"/>
  <c r="CK5" i="13"/>
  <c r="CI5" i="13"/>
  <c r="CG5" i="13" s="1"/>
  <c r="CD5" i="13"/>
  <c r="CB5" i="13"/>
  <c r="BZ5" i="13" s="1"/>
  <c r="BW5" i="13"/>
  <c r="BU5" i="13"/>
  <c r="BS5" i="13" s="1"/>
  <c r="BP5" i="13"/>
  <c r="BN5" i="13"/>
  <c r="BL5" i="13" s="1"/>
  <c r="BI5" i="13"/>
  <c r="BK5" i="13" s="1"/>
  <c r="BG5" i="13"/>
  <c r="BE5" i="13" s="1"/>
  <c r="BB5" i="13"/>
  <c r="BD5" i="13" s="1"/>
  <c r="AZ5" i="13"/>
  <c r="AX5" i="13" s="1"/>
  <c r="AU5" i="13"/>
  <c r="AS5" i="13"/>
  <c r="AQ5" i="13" s="1"/>
  <c r="AN5" i="13"/>
  <c r="AL5" i="13"/>
  <c r="AG5" i="13"/>
  <c r="AI5" i="13" s="1"/>
  <c r="AE5" i="13"/>
  <c r="AC5" i="13" s="1"/>
  <c r="Z5" i="13"/>
  <c r="X5" i="13"/>
  <c r="V5" i="13" s="1"/>
  <c r="S5" i="13"/>
  <c r="U5" i="13" s="1"/>
  <c r="R5" i="13"/>
  <c r="O5" i="13"/>
  <c r="L5" i="13"/>
  <c r="I5" i="13"/>
  <c r="CP4" i="13"/>
  <c r="CN4" i="13" s="1"/>
  <c r="CM4" i="13"/>
  <c r="CK4" i="13"/>
  <c r="CI4" i="13"/>
  <c r="CG4" i="13"/>
  <c r="CD4" i="13"/>
  <c r="CB4" i="13"/>
  <c r="BZ4" i="13" s="1"/>
  <c r="BW4" i="13"/>
  <c r="BU4" i="13"/>
  <c r="BP4" i="13"/>
  <c r="BN4" i="13"/>
  <c r="BL4" i="13" s="1"/>
  <c r="BI4" i="13"/>
  <c r="BG4" i="13"/>
  <c r="BE4" i="13" s="1"/>
  <c r="BD4" i="13"/>
  <c r="BB4" i="13"/>
  <c r="AZ4" i="13"/>
  <c r="AX4" i="13"/>
  <c r="AU4" i="13"/>
  <c r="AS4" i="13"/>
  <c r="AN4" i="13"/>
  <c r="AT4" i="13" s="1"/>
  <c r="AL4" i="13"/>
  <c r="AJ4" i="13" s="1"/>
  <c r="AG4" i="13"/>
  <c r="AI4" i="13" s="1"/>
  <c r="AE4" i="13"/>
  <c r="AC4" i="13" s="1"/>
  <c r="Z4" i="13"/>
  <c r="X4" i="13"/>
  <c r="S4" i="13"/>
  <c r="O4" i="13"/>
  <c r="L4" i="13"/>
  <c r="I4" i="13"/>
  <c r="I55" i="13" s="1"/>
  <c r="I58" i="13" s="1"/>
  <c r="CQ83" i="10"/>
  <c r="CJ83" i="10"/>
  <c r="CC83" i="10"/>
  <c r="BV83" i="10"/>
  <c r="BO83" i="10"/>
  <c r="BH83" i="10"/>
  <c r="BA83" i="10"/>
  <c r="AT83" i="10"/>
  <c r="AF79" i="10"/>
  <c r="AM78" i="10"/>
  <c r="Y78" i="10"/>
  <c r="Y77" i="10"/>
  <c r="AF76" i="10"/>
  <c r="Y76" i="10"/>
  <c r="AM75" i="10"/>
  <c r="AF75" i="10"/>
  <c r="Y75" i="10"/>
  <c r="R75" i="10"/>
  <c r="AM74" i="10"/>
  <c r="AF74" i="10"/>
  <c r="Y74" i="10"/>
  <c r="R74" i="10"/>
  <c r="AM72" i="10"/>
  <c r="R72" i="10"/>
  <c r="R71" i="10"/>
  <c r="AM70" i="10"/>
  <c r="R70" i="10"/>
  <c r="R69" i="10"/>
  <c r="AM67" i="10"/>
  <c r="Y67" i="10"/>
  <c r="R67" i="10"/>
  <c r="AM66" i="10"/>
  <c r="R66" i="10"/>
  <c r="AM64" i="10"/>
  <c r="AF64" i="10"/>
  <c r="Y64" i="10"/>
  <c r="R64" i="10"/>
  <c r="AM62" i="10"/>
  <c r="AF62" i="10"/>
  <c r="Y62" i="10"/>
  <c r="R62" i="10"/>
  <c r="AM61" i="10"/>
  <c r="AM83" i="10" s="1"/>
  <c r="R61" i="10"/>
  <c r="CP57" i="10"/>
  <c r="CO57" i="10" s="1"/>
  <c r="CK57" i="10"/>
  <c r="CQ57" i="10" s="1"/>
  <c r="CI57" i="10"/>
  <c r="CH57" i="10"/>
  <c r="CG57" i="10" s="1"/>
  <c r="CD57" i="10"/>
  <c r="CC57" i="10"/>
  <c r="CB57" i="10"/>
  <c r="CA57" i="10" s="1"/>
  <c r="BY57" i="10"/>
  <c r="BX57" i="10" s="1"/>
  <c r="BW57" i="10"/>
  <c r="BU57" i="10"/>
  <c r="BT57" i="10" s="1"/>
  <c r="BP57" i="10"/>
  <c r="BN57" i="10"/>
  <c r="BI57" i="10"/>
  <c r="BG57" i="10"/>
  <c r="BF57" i="10"/>
  <c r="BE57" i="10" s="1"/>
  <c r="BB57" i="10"/>
  <c r="AZ57" i="10"/>
  <c r="AY57" i="10" s="1"/>
  <c r="AU57" i="10"/>
  <c r="AS57" i="10"/>
  <c r="AR57" i="10" s="1"/>
  <c r="AN57" i="10"/>
  <c r="AP57" i="10" s="1"/>
  <c r="AO57" i="10" s="1"/>
  <c r="AL57" i="10"/>
  <c r="AK57" i="10"/>
  <c r="AJ57" i="10" s="1"/>
  <c r="AG57" i="10"/>
  <c r="AM57" i="10" s="1"/>
  <c r="AE57" i="10"/>
  <c r="AD57" i="10" s="1"/>
  <c r="AC57" i="10" s="1"/>
  <c r="Z57" i="10"/>
  <c r="Y57" i="10"/>
  <c r="X57" i="10"/>
  <c r="W57" i="10"/>
  <c r="V57" i="10" s="1"/>
  <c r="U57" i="10"/>
  <c r="T57" i="10" s="1"/>
  <c r="S57" i="10"/>
  <c r="Q57" i="10"/>
  <c r="P57" i="10" s="1"/>
  <c r="L57" i="10"/>
  <c r="CV56" i="10"/>
  <c r="CU56" i="10"/>
  <c r="CP56" i="10"/>
  <c r="CO56" i="10" s="1"/>
  <c r="CK56" i="10"/>
  <c r="CI56" i="10"/>
  <c r="CH56" i="10" s="1"/>
  <c r="CG56" i="10" s="1"/>
  <c r="CD56" i="10"/>
  <c r="CC56" i="10"/>
  <c r="CB56" i="10"/>
  <c r="CA56" i="10" s="1"/>
  <c r="BZ56" i="10"/>
  <c r="BY56" i="10"/>
  <c r="BX56" i="10"/>
  <c r="BW56" i="10"/>
  <c r="BU56" i="10"/>
  <c r="BT56" i="10" s="1"/>
  <c r="BR56" i="10"/>
  <c r="BP56" i="10"/>
  <c r="BN56" i="10"/>
  <c r="BI56" i="10"/>
  <c r="BH56" i="10"/>
  <c r="BG56" i="10"/>
  <c r="BF56" i="10" s="1"/>
  <c r="BE56" i="10" s="1"/>
  <c r="BB56" i="10"/>
  <c r="AZ56" i="10"/>
  <c r="AY56" i="10" s="1"/>
  <c r="AU56" i="10"/>
  <c r="AW56" i="10" s="1"/>
  <c r="AS56" i="10"/>
  <c r="AT56" i="10" s="1"/>
  <c r="AP56" i="10"/>
  <c r="AN56" i="10"/>
  <c r="AL56" i="10"/>
  <c r="AK56" i="10"/>
  <c r="AJ56" i="10" s="1"/>
  <c r="AG56" i="10"/>
  <c r="AM56" i="10" s="1"/>
  <c r="AE56" i="10"/>
  <c r="AD56" i="10" s="1"/>
  <c r="AC56" i="10" s="1"/>
  <c r="Z56" i="10"/>
  <c r="X56" i="10"/>
  <c r="S56" i="10"/>
  <c r="U56" i="10" s="1"/>
  <c r="T56" i="10" s="1"/>
  <c r="Q56" i="10"/>
  <c r="P56" i="10" s="1"/>
  <c r="L56" i="10"/>
  <c r="CT54" i="10"/>
  <c r="CP54" i="10"/>
  <c r="CO54" i="10" s="1"/>
  <c r="CK54" i="10"/>
  <c r="CQ54" i="10" s="1"/>
  <c r="CI54" i="10"/>
  <c r="CD54" i="10"/>
  <c r="CC54" i="10"/>
  <c r="CB54" i="10"/>
  <c r="CA54" i="10" s="1"/>
  <c r="BZ54" i="10" s="1"/>
  <c r="BW54" i="10"/>
  <c r="BU54" i="10"/>
  <c r="BT54" i="10" s="1"/>
  <c r="BR54" i="10"/>
  <c r="BP54" i="10"/>
  <c r="BO54" i="10"/>
  <c r="BN54" i="10"/>
  <c r="BI54" i="10"/>
  <c r="BK54" i="10" s="1"/>
  <c r="BJ54" i="10" s="1"/>
  <c r="BG54" i="10"/>
  <c r="BF54" i="10" s="1"/>
  <c r="BB54" i="10"/>
  <c r="AZ54" i="10"/>
  <c r="AY54" i="10" s="1"/>
  <c r="AX54" i="10" s="1"/>
  <c r="AU54" i="10"/>
  <c r="AS54" i="10"/>
  <c r="AR54" i="10" s="1"/>
  <c r="AN54" i="10"/>
  <c r="AL54" i="10"/>
  <c r="AK54" i="10" s="1"/>
  <c r="AG54" i="10"/>
  <c r="AE54" i="10"/>
  <c r="Z54" i="10"/>
  <c r="X54" i="10"/>
  <c r="W54" i="10"/>
  <c r="V54" i="10" s="1"/>
  <c r="S54" i="10"/>
  <c r="R54" i="10"/>
  <c r="Q54" i="10"/>
  <c r="P54" i="10" s="1"/>
  <c r="L54" i="10"/>
  <c r="N54" i="10" s="1"/>
  <c r="CT53" i="10"/>
  <c r="CP53" i="10"/>
  <c r="CK53" i="10"/>
  <c r="CI53" i="10"/>
  <c r="CJ53" i="10" s="1"/>
  <c r="CH53" i="10"/>
  <c r="CG53" i="10" s="1"/>
  <c r="CD53" i="10"/>
  <c r="CB53" i="10"/>
  <c r="CA53" i="10" s="1"/>
  <c r="BY53" i="10"/>
  <c r="BW53" i="10"/>
  <c r="BX53" i="10" s="1"/>
  <c r="BU53" i="10"/>
  <c r="BV53" i="10" s="1"/>
  <c r="BR53" i="10"/>
  <c r="BP53" i="10"/>
  <c r="BN53" i="10"/>
  <c r="BM53" i="10"/>
  <c r="BL53" i="10" s="1"/>
  <c r="BI53" i="10"/>
  <c r="BG53" i="10"/>
  <c r="BE53" i="10" s="1"/>
  <c r="BF53" i="10"/>
  <c r="BB53" i="10"/>
  <c r="AZ53" i="10"/>
  <c r="AW53" i="10"/>
  <c r="AV53" i="10" s="1"/>
  <c r="AU53" i="10"/>
  <c r="AS53" i="10"/>
  <c r="AP53" i="10"/>
  <c r="AO53" i="10"/>
  <c r="AN53" i="10"/>
  <c r="AL53" i="10"/>
  <c r="AK53" i="10" s="1"/>
  <c r="AJ53" i="10" s="1"/>
  <c r="AG53" i="10"/>
  <c r="AM53" i="10" s="1"/>
  <c r="AE53" i="10"/>
  <c r="AC53" i="10" s="1"/>
  <c r="AD53" i="10"/>
  <c r="Z53" i="10"/>
  <c r="X53" i="10"/>
  <c r="S53" i="10"/>
  <c r="U53" i="10" s="1"/>
  <c r="Q53" i="10"/>
  <c r="P53" i="10" s="1"/>
  <c r="L53" i="10"/>
  <c r="CV52" i="10"/>
  <c r="CU52" i="10"/>
  <c r="AE52" i="10" s="1"/>
  <c r="CT52" i="10"/>
  <c r="CS52" i="10"/>
  <c r="Q52" i="10" s="1"/>
  <c r="CQ52" i="10"/>
  <c r="CP52" i="10"/>
  <c r="CO52" i="10" s="1"/>
  <c r="CM52" i="10"/>
  <c r="CL52" i="10" s="1"/>
  <c r="CK52" i="10"/>
  <c r="CI52" i="10"/>
  <c r="CD52" i="10"/>
  <c r="CJ52" i="10" s="1"/>
  <c r="CB52" i="10"/>
  <c r="CA52" i="10" s="1"/>
  <c r="BZ52" i="10" s="1"/>
  <c r="BW52" i="10"/>
  <c r="BY52" i="10" s="1"/>
  <c r="BU52" i="10"/>
  <c r="BT52" i="10" s="1"/>
  <c r="BS52" i="10" s="1"/>
  <c r="BR52" i="10"/>
  <c r="BP52" i="10"/>
  <c r="BV52" i="10" s="1"/>
  <c r="BN52" i="10"/>
  <c r="BM52" i="10" s="1"/>
  <c r="BL52" i="10"/>
  <c r="BK52" i="10"/>
  <c r="BJ52" i="10" s="1"/>
  <c r="BI52" i="10"/>
  <c r="BG52" i="10"/>
  <c r="BF52" i="10" s="1"/>
  <c r="BB52" i="10"/>
  <c r="AZ52" i="10"/>
  <c r="AU52" i="10"/>
  <c r="AW52" i="10" s="1"/>
  <c r="AS52" i="10"/>
  <c r="AR52" i="10" s="1"/>
  <c r="AQ52" i="10" s="1"/>
  <c r="AN52" i="10"/>
  <c r="AP52" i="10" s="1"/>
  <c r="AL52" i="10"/>
  <c r="AM52" i="10" s="1"/>
  <c r="AK52" i="10"/>
  <c r="AJ52" i="10" s="1"/>
  <c r="AI52" i="10"/>
  <c r="AH52" i="10" s="1"/>
  <c r="AG52" i="10"/>
  <c r="Z52" i="10"/>
  <c r="AB52" i="10" s="1"/>
  <c r="AA52" i="10" s="1"/>
  <c r="X52" i="10"/>
  <c r="S52" i="10"/>
  <c r="L52" i="10"/>
  <c r="N52" i="10" s="1"/>
  <c r="CV51" i="10"/>
  <c r="CU51" i="10"/>
  <c r="AE51" i="10" s="1"/>
  <c r="CT51" i="10"/>
  <c r="X51" i="10" s="1"/>
  <c r="CS51" i="10"/>
  <c r="CP51" i="10"/>
  <c r="CO51" i="10" s="1"/>
  <c r="CK51" i="10"/>
  <c r="CI51" i="10"/>
  <c r="CD51" i="10"/>
  <c r="CB51" i="10"/>
  <c r="CA51" i="10" s="1"/>
  <c r="BW51" i="10"/>
  <c r="BY51" i="10" s="1"/>
  <c r="BX51" i="10" s="1"/>
  <c r="BU51" i="10"/>
  <c r="BV51" i="10" s="1"/>
  <c r="BR51" i="10"/>
  <c r="BP51" i="10"/>
  <c r="BN51" i="10"/>
  <c r="BM51" i="10"/>
  <c r="BL51" i="10" s="1"/>
  <c r="BI51" i="10"/>
  <c r="BO51" i="10" s="1"/>
  <c r="BG51" i="10"/>
  <c r="BE51" i="10" s="1"/>
  <c r="BF51" i="10"/>
  <c r="BB51" i="10"/>
  <c r="AZ51" i="10"/>
  <c r="AY51" i="10" s="1"/>
  <c r="AV51" i="10"/>
  <c r="AU51" i="10"/>
  <c r="AW51" i="10" s="1"/>
  <c r="AS51" i="10"/>
  <c r="AR51" i="10" s="1"/>
  <c r="AN51" i="10"/>
  <c r="AP51" i="10" s="1"/>
  <c r="AL51" i="10"/>
  <c r="AK51" i="10" s="1"/>
  <c r="AH51" i="10"/>
  <c r="AG51" i="10"/>
  <c r="AI51" i="10" s="1"/>
  <c r="AD51" i="10"/>
  <c r="AC51" i="10" s="1"/>
  <c r="AB51" i="10"/>
  <c r="Z51" i="10"/>
  <c r="Y51" i="10"/>
  <c r="S51" i="10"/>
  <c r="U51" i="10" s="1"/>
  <c r="T51" i="10" s="1"/>
  <c r="Q51" i="10"/>
  <c r="M51" i="10"/>
  <c r="L51" i="10"/>
  <c r="N51" i="10" s="1"/>
  <c r="CV50" i="10"/>
  <c r="AL50" i="10" s="1"/>
  <c r="CU50" i="10"/>
  <c r="AE50" i="10" s="1"/>
  <c r="CT50" i="10"/>
  <c r="X50" i="10" s="1"/>
  <c r="CS50" i="10"/>
  <c r="CP50" i="10"/>
  <c r="CO50" i="10" s="1"/>
  <c r="CK50" i="10"/>
  <c r="CQ50" i="10" s="1"/>
  <c r="CI50" i="10"/>
  <c r="CH50" i="10" s="1"/>
  <c r="CD50" i="10"/>
  <c r="CC50" i="10"/>
  <c r="CB50" i="10"/>
  <c r="BW50" i="10"/>
  <c r="BU50" i="10"/>
  <c r="BP50" i="10"/>
  <c r="BN50" i="10"/>
  <c r="BO50" i="10" s="1"/>
  <c r="BM50" i="10"/>
  <c r="BK50" i="10"/>
  <c r="BJ50" i="10"/>
  <c r="BI50" i="10"/>
  <c r="BG50" i="10"/>
  <c r="BF50" i="10" s="1"/>
  <c r="BE50" i="10" s="1"/>
  <c r="BD50" i="10"/>
  <c r="BC50" i="10" s="1"/>
  <c r="BB50" i="10"/>
  <c r="BH50" i="10" s="1"/>
  <c r="AZ50" i="10"/>
  <c r="AU50" i="10"/>
  <c r="AT50" i="10"/>
  <c r="AS50" i="10"/>
  <c r="AR50" i="10" s="1"/>
  <c r="AQ50" i="10" s="1"/>
  <c r="AN50" i="10"/>
  <c r="AP50" i="10" s="1"/>
  <c r="AI50" i="10"/>
  <c r="AG50" i="10"/>
  <c r="Z50" i="10"/>
  <c r="S50" i="10"/>
  <c r="Q50" i="10"/>
  <c r="L50" i="10"/>
  <c r="CV49" i="10"/>
  <c r="CP49" i="10"/>
  <c r="CQ49" i="10" s="1"/>
  <c r="CM49" i="10"/>
  <c r="CL49" i="10" s="1"/>
  <c r="CK49" i="10"/>
  <c r="CI49" i="10"/>
  <c r="CD49" i="10"/>
  <c r="CB49" i="10"/>
  <c r="CA49" i="10" s="1"/>
  <c r="BZ49" i="10"/>
  <c r="BW49" i="10"/>
  <c r="BV49" i="10"/>
  <c r="BU49" i="10"/>
  <c r="BT49" i="10" s="1"/>
  <c r="BS49" i="10" s="1"/>
  <c r="BP49" i="10"/>
  <c r="BR49" i="10" s="1"/>
  <c r="BQ49" i="10" s="1"/>
  <c r="BN49" i="10"/>
  <c r="BM49" i="10" s="1"/>
  <c r="BL49" i="10"/>
  <c r="BI49" i="10"/>
  <c r="BK49" i="10" s="1"/>
  <c r="BG49" i="10"/>
  <c r="BF49" i="10" s="1"/>
  <c r="BB49" i="10"/>
  <c r="AZ49" i="10"/>
  <c r="AU49" i="10"/>
  <c r="AS49" i="10"/>
  <c r="AR49" i="10" s="1"/>
  <c r="AP49" i="10"/>
  <c r="AN49" i="10"/>
  <c r="AL49" i="10"/>
  <c r="AK49" i="10" s="1"/>
  <c r="AH49" i="10"/>
  <c r="AG49" i="10"/>
  <c r="AI49" i="10" s="1"/>
  <c r="Z49" i="10"/>
  <c r="S49" i="10"/>
  <c r="U49" i="10" s="1"/>
  <c r="L49" i="10"/>
  <c r="CV48" i="10"/>
  <c r="CU48" i="10"/>
  <c r="CT48" i="10"/>
  <c r="X48" i="10" s="1"/>
  <c r="CS48" i="10"/>
  <c r="CP48" i="10"/>
  <c r="CO48" i="10" s="1"/>
  <c r="CN48" i="10" s="1"/>
  <c r="CL48" i="10"/>
  <c r="CK48" i="10"/>
  <c r="CM48" i="10" s="1"/>
  <c r="CI48" i="10"/>
  <c r="CH48" i="10" s="1"/>
  <c r="CG48" i="10" s="1"/>
  <c r="CD48" i="10"/>
  <c r="CF48" i="10" s="1"/>
  <c r="CB48" i="10"/>
  <c r="CA48" i="10" s="1"/>
  <c r="BY48" i="10"/>
  <c r="BX48" i="10" s="1"/>
  <c r="BW48" i="10"/>
  <c r="BU48" i="10"/>
  <c r="BP48" i="10"/>
  <c r="BN48" i="10"/>
  <c r="BL48" i="10" s="1"/>
  <c r="BM48" i="10"/>
  <c r="BI48" i="10"/>
  <c r="BK48" i="10" s="1"/>
  <c r="BJ48" i="10" s="1"/>
  <c r="BG48" i="10"/>
  <c r="BF48" i="10"/>
  <c r="BE48" i="10" s="1"/>
  <c r="BB48" i="10"/>
  <c r="AZ48" i="10"/>
  <c r="AU48" i="10"/>
  <c r="BA48" i="10" s="1"/>
  <c r="AS48" i="10"/>
  <c r="AN48" i="10"/>
  <c r="AL48" i="10"/>
  <c r="AK48" i="10" s="1"/>
  <c r="AJ48" i="10"/>
  <c r="AG48" i="10"/>
  <c r="AE48" i="10"/>
  <c r="Z48" i="10"/>
  <c r="E48" i="10" s="1"/>
  <c r="U48" i="10"/>
  <c r="T48" i="10" s="1"/>
  <c r="S48" i="10"/>
  <c r="R48" i="10"/>
  <c r="Q48" i="10"/>
  <c r="P48" i="10" s="1"/>
  <c r="L48" i="10"/>
  <c r="N48" i="10" s="1"/>
  <c r="CP47" i="10"/>
  <c r="CK47" i="10"/>
  <c r="CI47" i="10"/>
  <c r="CH47" i="10" s="1"/>
  <c r="CD47" i="10"/>
  <c r="CJ47" i="10" s="1"/>
  <c r="CB47" i="10"/>
  <c r="CA47" i="10" s="1"/>
  <c r="BW47" i="10"/>
  <c r="BU47" i="10"/>
  <c r="BT47" i="10"/>
  <c r="BS47" i="10"/>
  <c r="BR47" i="10"/>
  <c r="BQ47" i="10" s="1"/>
  <c r="BP47" i="10"/>
  <c r="BV47" i="10" s="1"/>
  <c r="BN47" i="10"/>
  <c r="BM47" i="10" s="1"/>
  <c r="BL47" i="10"/>
  <c r="BI47" i="10"/>
  <c r="BG47" i="10"/>
  <c r="BF47" i="10" s="1"/>
  <c r="BB47" i="10"/>
  <c r="BD47" i="10" s="1"/>
  <c r="AZ47" i="10"/>
  <c r="AY47" i="10" s="1"/>
  <c r="AU47" i="10"/>
  <c r="AT47" i="10"/>
  <c r="AS47" i="10"/>
  <c r="AR47" i="10" s="1"/>
  <c r="AP47" i="10"/>
  <c r="AN47" i="10"/>
  <c r="AL47" i="10"/>
  <c r="AK47" i="10" s="1"/>
  <c r="AJ47" i="10" s="1"/>
  <c r="AG47" i="10"/>
  <c r="AI47" i="10" s="1"/>
  <c r="AE47" i="10"/>
  <c r="AD47" i="10" s="1"/>
  <c r="Z47" i="10"/>
  <c r="X47" i="10"/>
  <c r="W47" i="10" s="1"/>
  <c r="V47" i="10" s="1"/>
  <c r="S47" i="10"/>
  <c r="Q47" i="10"/>
  <c r="L47" i="10"/>
  <c r="CP46" i="10"/>
  <c r="CO46" i="10" s="1"/>
  <c r="CN46" i="10" s="1"/>
  <c r="CK46" i="10"/>
  <c r="CI46" i="10"/>
  <c r="CD46" i="10"/>
  <c r="CC46" i="10"/>
  <c r="CB46" i="10"/>
  <c r="CA46" i="10" s="1"/>
  <c r="BW46" i="10"/>
  <c r="BU46" i="10"/>
  <c r="BT46" i="10"/>
  <c r="BS46" i="10" s="1"/>
  <c r="BP46" i="10"/>
  <c r="BO46" i="10"/>
  <c r="BN46" i="10"/>
  <c r="BK46" i="10"/>
  <c r="BJ46" i="10" s="1"/>
  <c r="BI46" i="10"/>
  <c r="BH46" i="10"/>
  <c r="BG46" i="10"/>
  <c r="BF46" i="10"/>
  <c r="BB46" i="10"/>
  <c r="BD46" i="10" s="1"/>
  <c r="AZ46" i="10"/>
  <c r="AU46" i="10"/>
  <c r="AS46" i="10"/>
  <c r="AR46" i="10"/>
  <c r="AQ46" i="10" s="1"/>
  <c r="AP46" i="10"/>
  <c r="AO46" i="10" s="1"/>
  <c r="AN46" i="10"/>
  <c r="AT46" i="10" s="1"/>
  <c r="AL46" i="10"/>
  <c r="AK46" i="10" s="1"/>
  <c r="AI46" i="10"/>
  <c r="AG46" i="10"/>
  <c r="AE46" i="10"/>
  <c r="Z46" i="10"/>
  <c r="Y46" i="10"/>
  <c r="X46" i="10"/>
  <c r="W46" i="10" s="1"/>
  <c r="S46" i="10"/>
  <c r="U46" i="10" s="1"/>
  <c r="Q46" i="10"/>
  <c r="P46" i="10" s="1"/>
  <c r="L46" i="10"/>
  <c r="N46" i="10" s="1"/>
  <c r="CP45" i="10"/>
  <c r="CO45" i="10" s="1"/>
  <c r="CK45" i="10"/>
  <c r="CI45" i="10"/>
  <c r="CH45" i="10"/>
  <c r="CG45" i="10" s="1"/>
  <c r="CD45" i="10"/>
  <c r="CB45" i="10"/>
  <c r="BW45" i="10"/>
  <c r="CC45" i="10" s="1"/>
  <c r="BV45" i="10"/>
  <c r="BU45" i="10"/>
  <c r="BT45" i="10"/>
  <c r="BP45" i="10"/>
  <c r="BR45" i="10" s="1"/>
  <c r="BN45" i="10"/>
  <c r="BM45" i="10" s="1"/>
  <c r="BL45" i="10" s="1"/>
  <c r="BK45" i="10"/>
  <c r="BJ45" i="10" s="1"/>
  <c r="BI45" i="10"/>
  <c r="BO45" i="10" s="1"/>
  <c r="BG45" i="10"/>
  <c r="BF45" i="10" s="1"/>
  <c r="BD45" i="10"/>
  <c r="BB45" i="10"/>
  <c r="BH45" i="10" s="1"/>
  <c r="AZ45" i="10"/>
  <c r="AU45" i="10"/>
  <c r="BA45" i="10" s="1"/>
  <c r="AS45" i="10"/>
  <c r="AN45" i="10"/>
  <c r="AL45" i="10"/>
  <c r="AK45" i="10"/>
  <c r="AG45" i="10"/>
  <c r="AE45" i="10"/>
  <c r="AD45" i="10" s="1"/>
  <c r="AB45" i="10"/>
  <c r="Z45" i="10"/>
  <c r="X45" i="10"/>
  <c r="W45" i="10" s="1"/>
  <c r="U45" i="10"/>
  <c r="S45" i="10"/>
  <c r="Q45" i="10"/>
  <c r="L45" i="10"/>
  <c r="R45" i="10" s="1"/>
  <c r="CP44" i="10"/>
  <c r="CO44" i="10" s="1"/>
  <c r="CM44" i="10"/>
  <c r="CL44" i="10" s="1"/>
  <c r="CK44" i="10"/>
  <c r="CQ44" i="10" s="1"/>
  <c r="CJ44" i="10"/>
  <c r="CI44" i="10"/>
  <c r="CD44" i="10"/>
  <c r="CB44" i="10"/>
  <c r="CA44" i="10" s="1"/>
  <c r="BZ44" i="10"/>
  <c r="BY44" i="10"/>
  <c r="BW44" i="10"/>
  <c r="CC44" i="10" s="1"/>
  <c r="BU44" i="10"/>
  <c r="BT44" i="10" s="1"/>
  <c r="BS44" i="10" s="1"/>
  <c r="BP44" i="10"/>
  <c r="BN44" i="10"/>
  <c r="BM44" i="10" s="1"/>
  <c r="BK44" i="10"/>
  <c r="BJ44" i="10" s="1"/>
  <c r="BI44" i="10"/>
  <c r="BO44" i="10" s="1"/>
  <c r="BG44" i="10"/>
  <c r="BF44" i="10" s="1"/>
  <c r="BB44" i="10"/>
  <c r="BA44" i="10"/>
  <c r="AZ44" i="10"/>
  <c r="AU44" i="10"/>
  <c r="AW44" i="10" s="1"/>
  <c r="AS44" i="10"/>
  <c r="AR44" i="10"/>
  <c r="AQ44" i="10" s="1"/>
  <c r="AN44" i="10"/>
  <c r="AT44" i="10" s="1"/>
  <c r="AM44" i="10"/>
  <c r="AL44" i="10"/>
  <c r="AK44" i="10" s="1"/>
  <c r="AI44" i="10"/>
  <c r="AG44" i="10"/>
  <c r="AE44" i="10"/>
  <c r="AD44" i="10"/>
  <c r="Z44" i="10"/>
  <c r="AF44" i="10" s="1"/>
  <c r="X44" i="10"/>
  <c r="W44" i="10" s="1"/>
  <c r="S44" i="10"/>
  <c r="B44" i="10" s="1"/>
  <c r="Q44" i="10"/>
  <c r="J44" i="10" s="1"/>
  <c r="L44" i="10"/>
  <c r="R44" i="10" s="1"/>
  <c r="CV43" i="10"/>
  <c r="CU43" i="10"/>
  <c r="CT43" i="10"/>
  <c r="CS43" i="10"/>
  <c r="CP43" i="10"/>
  <c r="CN43" i="10" s="1"/>
  <c r="CO43" i="10"/>
  <c r="CK43" i="10"/>
  <c r="CI43" i="10"/>
  <c r="CH43" i="10" s="1"/>
  <c r="CG43" i="10"/>
  <c r="CD43" i="10"/>
  <c r="CF43" i="10" s="1"/>
  <c r="CB43" i="10"/>
  <c r="CC43" i="10" s="1"/>
  <c r="BY43" i="10"/>
  <c r="BW43" i="10"/>
  <c r="BX43" i="10" s="1"/>
  <c r="BU43" i="10"/>
  <c r="BT43" i="10" s="1"/>
  <c r="BP43" i="10"/>
  <c r="BR43" i="10" s="1"/>
  <c r="BN43" i="10"/>
  <c r="BM43" i="10"/>
  <c r="BK43" i="10"/>
  <c r="BJ43" i="10" s="1"/>
  <c r="BI43" i="10"/>
  <c r="BG43" i="10"/>
  <c r="BF43" i="10"/>
  <c r="BE43" i="10"/>
  <c r="BB43" i="10"/>
  <c r="AZ43" i="10"/>
  <c r="AU43" i="10"/>
  <c r="AT43" i="10"/>
  <c r="AS43" i="10"/>
  <c r="AN43" i="10"/>
  <c r="AL43" i="10"/>
  <c r="AK43" i="10" s="1"/>
  <c r="AG43" i="10"/>
  <c r="AI43" i="10" s="1"/>
  <c r="AE43" i="10"/>
  <c r="AD43" i="10"/>
  <c r="Z43" i="10"/>
  <c r="X43" i="10"/>
  <c r="Y43" i="10" s="1"/>
  <c r="U43" i="10"/>
  <c r="T43" i="10" s="1"/>
  <c r="S43" i="10"/>
  <c r="Q43" i="10"/>
  <c r="P43" i="10"/>
  <c r="O43" i="10"/>
  <c r="L43" i="10"/>
  <c r="E43" i="10"/>
  <c r="CQ42" i="10"/>
  <c r="CO42" i="10"/>
  <c r="CN42" i="10" s="1"/>
  <c r="CK42" i="10"/>
  <c r="CM42" i="10" s="1"/>
  <c r="CL42" i="10" s="1"/>
  <c r="CH42" i="10"/>
  <c r="CG42" i="10"/>
  <c r="CD42" i="10"/>
  <c r="CJ42" i="10" s="1"/>
  <c r="CC42" i="10"/>
  <c r="CA42" i="10"/>
  <c r="BZ42" i="10" s="1"/>
  <c r="BW42" i="10"/>
  <c r="BT42" i="10"/>
  <c r="BS42" i="10"/>
  <c r="BP42" i="10"/>
  <c r="BM42" i="10"/>
  <c r="BL42" i="10"/>
  <c r="BI42" i="10"/>
  <c r="BF42" i="10"/>
  <c r="BE42" i="10"/>
  <c r="BD42" i="10"/>
  <c r="BB42" i="10"/>
  <c r="BH42" i="10" s="1"/>
  <c r="AY42" i="10"/>
  <c r="AX42" i="10" s="1"/>
  <c r="AU42" i="10"/>
  <c r="AR42" i="10"/>
  <c r="AQ42" i="10"/>
  <c r="AP42" i="10"/>
  <c r="AN42" i="10"/>
  <c r="AK42" i="10"/>
  <c r="AJ42" i="10"/>
  <c r="AG42" i="10"/>
  <c r="AI42" i="10" s="1"/>
  <c r="AH42" i="10" s="1"/>
  <c r="AD42" i="10"/>
  <c r="AC42" i="10"/>
  <c r="Z42" i="10"/>
  <c r="AF42" i="10" s="1"/>
  <c r="Y42" i="10"/>
  <c r="W42" i="10"/>
  <c r="V42" i="10" s="1"/>
  <c r="S42" i="10"/>
  <c r="P42" i="10"/>
  <c r="O42" i="10" s="1"/>
  <c r="H42" i="10" s="1"/>
  <c r="L42" i="10"/>
  <c r="B42" i="10" s="1"/>
  <c r="J42" i="10"/>
  <c r="CO41" i="10"/>
  <c r="CN41" i="10"/>
  <c r="CM41" i="10"/>
  <c r="CK41" i="10"/>
  <c r="CH41" i="10"/>
  <c r="CG41" i="10" s="1"/>
  <c r="CF41" i="10"/>
  <c r="CE41" i="10" s="1"/>
  <c r="CD41" i="10"/>
  <c r="CJ41" i="10" s="1"/>
  <c r="CA41" i="10"/>
  <c r="BZ41" i="10"/>
  <c r="BW41" i="10"/>
  <c r="CC41" i="10" s="1"/>
  <c r="BT41" i="10"/>
  <c r="BS41" i="10" s="1"/>
  <c r="BP41" i="10"/>
  <c r="BV41" i="10" s="1"/>
  <c r="BO41" i="10"/>
  <c r="BM41" i="10"/>
  <c r="BL41" i="10" s="1"/>
  <c r="BK41" i="10"/>
  <c r="BI41" i="10"/>
  <c r="BF41" i="10"/>
  <c r="BE41" i="10" s="1"/>
  <c r="BD41" i="10"/>
  <c r="BB41" i="10"/>
  <c r="AY41" i="10"/>
  <c r="AX41" i="10"/>
  <c r="AU41" i="10"/>
  <c r="BA41" i="10" s="1"/>
  <c r="AR41" i="10"/>
  <c r="AQ41" i="10" s="1"/>
  <c r="AN41" i="10"/>
  <c r="AM41" i="10"/>
  <c r="AK41" i="10"/>
  <c r="AJ41" i="10" s="1"/>
  <c r="AI41" i="10"/>
  <c r="AG41" i="10"/>
  <c r="AD41" i="10"/>
  <c r="I41" i="10" s="1"/>
  <c r="AC41" i="10"/>
  <c r="AB41" i="10"/>
  <c r="AA41" i="10" s="1"/>
  <c r="Z41" i="10"/>
  <c r="AF41" i="10" s="1"/>
  <c r="W41" i="10"/>
  <c r="V41" i="10"/>
  <c r="S41" i="10"/>
  <c r="P41" i="10"/>
  <c r="O41" i="10" s="1"/>
  <c r="L41" i="10"/>
  <c r="R41" i="10" s="1"/>
  <c r="J41" i="10"/>
  <c r="CV40" i="10"/>
  <c r="AL40" i="10" s="1"/>
  <c r="CU40" i="10"/>
  <c r="CT40" i="10"/>
  <c r="CS40" i="10"/>
  <c r="Q40" i="10" s="1"/>
  <c r="CP40" i="10"/>
  <c r="CO40" i="10"/>
  <c r="CN40" i="10"/>
  <c r="CK40" i="10"/>
  <c r="CM40" i="10" s="1"/>
  <c r="CL40" i="10" s="1"/>
  <c r="CI40" i="10"/>
  <c r="CH40" i="10" s="1"/>
  <c r="CD40" i="10"/>
  <c r="CB40" i="10"/>
  <c r="CA40" i="10"/>
  <c r="BZ40" i="10"/>
  <c r="BY40" i="10"/>
  <c r="BW40" i="10"/>
  <c r="BU40" i="10"/>
  <c r="BT40" i="10"/>
  <c r="BS40" i="10" s="1"/>
  <c r="BP40" i="10"/>
  <c r="BV40" i="10" s="1"/>
  <c r="BO40" i="10"/>
  <c r="BN40" i="10"/>
  <c r="BM40" i="10" s="1"/>
  <c r="BI40" i="10"/>
  <c r="BK40" i="10" s="1"/>
  <c r="BG40" i="10"/>
  <c r="BB40" i="10"/>
  <c r="BH40" i="10" s="1"/>
  <c r="AZ40" i="10"/>
  <c r="AU40" i="10"/>
  <c r="AW40" i="10" s="1"/>
  <c r="AS40" i="10"/>
  <c r="AP40" i="10"/>
  <c r="AN40" i="10"/>
  <c r="AG40" i="10"/>
  <c r="AI40" i="10" s="1"/>
  <c r="AH40" i="10" s="1"/>
  <c r="AE40" i="10"/>
  <c r="AD40" i="10" s="1"/>
  <c r="AB40" i="10"/>
  <c r="AA40" i="10"/>
  <c r="Z40" i="10"/>
  <c r="X40" i="10"/>
  <c r="W40" i="10"/>
  <c r="V40" i="10"/>
  <c r="S40" i="10"/>
  <c r="L40" i="10"/>
  <c r="CV39" i="10"/>
  <c r="CU39" i="10"/>
  <c r="CT39" i="10"/>
  <c r="X39" i="10" s="1"/>
  <c r="CS39" i="10"/>
  <c r="Q39" i="10" s="1"/>
  <c r="CP39" i="10"/>
  <c r="CO39" i="10"/>
  <c r="CN39" i="10" s="1"/>
  <c r="CK39" i="10"/>
  <c r="CI39" i="10"/>
  <c r="CD39" i="10"/>
  <c r="CB39" i="10"/>
  <c r="BW39" i="10"/>
  <c r="BY39" i="10" s="1"/>
  <c r="BU39" i="10"/>
  <c r="BP39" i="10"/>
  <c r="BN39" i="10"/>
  <c r="BM39" i="10" s="1"/>
  <c r="BI39" i="10"/>
  <c r="BG39" i="10"/>
  <c r="BB39" i="10"/>
  <c r="AZ39" i="10"/>
  <c r="AV39" i="10"/>
  <c r="AU39" i="10"/>
  <c r="AW39" i="10" s="1"/>
  <c r="AS39" i="10"/>
  <c r="AR39" i="10" s="1"/>
  <c r="AN39" i="10"/>
  <c r="AL39" i="10"/>
  <c r="AG39" i="10"/>
  <c r="AE39" i="10"/>
  <c r="AF39" i="10" s="1"/>
  <c r="AD39" i="10"/>
  <c r="AC39" i="10" s="1"/>
  <c r="AB39" i="10"/>
  <c r="Z39" i="10"/>
  <c r="W39" i="10"/>
  <c r="S39" i="10"/>
  <c r="U39" i="10" s="1"/>
  <c r="L39" i="10"/>
  <c r="N39" i="10" s="1"/>
  <c r="CV38" i="10"/>
  <c r="CS38" i="10"/>
  <c r="Q38" i="10" s="1"/>
  <c r="CP38" i="10"/>
  <c r="CK38" i="10"/>
  <c r="CQ38" i="10" s="1"/>
  <c r="CJ38" i="10"/>
  <c r="CI38" i="10"/>
  <c r="CH38" i="10"/>
  <c r="CG38" i="10" s="1"/>
  <c r="CF38" i="10"/>
  <c r="CD38" i="10"/>
  <c r="CB38" i="10"/>
  <c r="CA38" i="10"/>
  <c r="BZ38" i="10" s="1"/>
  <c r="BY38" i="10"/>
  <c r="BX38" i="10" s="1"/>
  <c r="BW38" i="10"/>
  <c r="BU38" i="10"/>
  <c r="BT38" i="10" s="1"/>
  <c r="BR38" i="10"/>
  <c r="BP38" i="10"/>
  <c r="BN38" i="10"/>
  <c r="BM38" i="10"/>
  <c r="BL38" i="10" s="1"/>
  <c r="BI38" i="10"/>
  <c r="BH38" i="10"/>
  <c r="BG38" i="10"/>
  <c r="BF38" i="10" s="1"/>
  <c r="BB38" i="10"/>
  <c r="BD38" i="10" s="1"/>
  <c r="AZ38" i="10"/>
  <c r="AW38" i="10"/>
  <c r="AV38" i="10" s="1"/>
  <c r="AU38" i="10"/>
  <c r="BA38" i="10" s="1"/>
  <c r="AS38" i="10"/>
  <c r="AR38" i="10"/>
  <c r="AO38" i="10"/>
  <c r="AN38" i="10"/>
  <c r="AP38" i="10" s="1"/>
  <c r="AL38" i="10"/>
  <c r="AK38" i="10" s="1"/>
  <c r="AG38" i="10"/>
  <c r="AE38" i="10"/>
  <c r="Z38" i="10"/>
  <c r="X38" i="10"/>
  <c r="W38" i="10"/>
  <c r="S38" i="10"/>
  <c r="L38" i="10"/>
  <c r="CV37" i="10"/>
  <c r="AL37" i="10" s="1"/>
  <c r="CT37" i="10"/>
  <c r="X37" i="10" s="1"/>
  <c r="W37" i="10" s="1"/>
  <c r="CP37" i="10"/>
  <c r="CK37" i="10"/>
  <c r="CI37" i="10"/>
  <c r="CH37" i="10" s="1"/>
  <c r="CE37" i="10"/>
  <c r="CD37" i="10"/>
  <c r="CF37" i="10" s="1"/>
  <c r="CB37" i="10"/>
  <c r="CA37" i="10" s="1"/>
  <c r="BZ37" i="10" s="1"/>
  <c r="BW37" i="10"/>
  <c r="BU37" i="10"/>
  <c r="BP37" i="10"/>
  <c r="BN37" i="10"/>
  <c r="BK37" i="10"/>
  <c r="BJ37" i="10" s="1"/>
  <c r="BI37" i="10"/>
  <c r="BG37" i="10"/>
  <c r="BF37" i="10" s="1"/>
  <c r="BD37" i="10"/>
  <c r="BC37" i="10" s="1"/>
  <c r="BB37" i="10"/>
  <c r="AZ37" i="10"/>
  <c r="AY37" i="10" s="1"/>
  <c r="AU37" i="10"/>
  <c r="AS37" i="10"/>
  <c r="AN37" i="10"/>
  <c r="AG37" i="10"/>
  <c r="AI37" i="10" s="1"/>
  <c r="Z37" i="10"/>
  <c r="V37" i="10"/>
  <c r="S37" i="10"/>
  <c r="R37" i="10"/>
  <c r="L37" i="10"/>
  <c r="CV36" i="10"/>
  <c r="AL36" i="10" s="1"/>
  <c r="CU36" i="10"/>
  <c r="AE36" i="10" s="1"/>
  <c r="CT36" i="10"/>
  <c r="X36" i="10" s="1"/>
  <c r="CS36" i="10"/>
  <c r="CS37" i="10" s="1"/>
  <c r="Q37" i="10" s="1"/>
  <c r="CP36" i="10"/>
  <c r="CO36" i="10" s="1"/>
  <c r="CK36" i="10"/>
  <c r="CI36" i="10"/>
  <c r="CG36" i="10" s="1"/>
  <c r="CH36" i="10"/>
  <c r="CD36" i="10"/>
  <c r="CB36" i="10"/>
  <c r="BY36" i="10"/>
  <c r="BX36" i="10" s="1"/>
  <c r="BW36" i="10"/>
  <c r="BU36" i="10"/>
  <c r="BT36" i="10" s="1"/>
  <c r="BP36" i="10"/>
  <c r="BN36" i="10"/>
  <c r="BI36" i="10"/>
  <c r="BH36" i="10"/>
  <c r="BG36" i="10"/>
  <c r="BF36" i="10"/>
  <c r="BE36" i="10" s="1"/>
  <c r="BD36" i="10"/>
  <c r="BB36" i="10"/>
  <c r="AZ36" i="10"/>
  <c r="BA36" i="10" s="1"/>
  <c r="AW36" i="10"/>
  <c r="AV36" i="10" s="1"/>
  <c r="AU36" i="10"/>
  <c r="AS36" i="10"/>
  <c r="AR36" i="10" s="1"/>
  <c r="AQ36" i="10"/>
  <c r="AN36" i="10"/>
  <c r="AP36" i="10" s="1"/>
  <c r="AK36" i="10"/>
  <c r="AG36" i="10"/>
  <c r="Z36" i="10"/>
  <c r="AB36" i="10" s="1"/>
  <c r="S36" i="10"/>
  <c r="Q36" i="10"/>
  <c r="P36" i="10"/>
  <c r="L36" i="10"/>
  <c r="N36" i="10" s="1"/>
  <c r="J36" i="10"/>
  <c r="CO35" i="10"/>
  <c r="CN35" i="10" s="1"/>
  <c r="CK35" i="10"/>
  <c r="CH35" i="10"/>
  <c r="CG35" i="10" s="1"/>
  <c r="CD35" i="10"/>
  <c r="CA35" i="10"/>
  <c r="BZ35" i="10"/>
  <c r="BW35" i="10"/>
  <c r="BT35" i="10"/>
  <c r="BS35" i="10"/>
  <c r="BR35" i="10"/>
  <c r="BP35" i="10"/>
  <c r="BM35" i="10"/>
  <c r="BL35" i="10" s="1"/>
  <c r="BI35" i="10"/>
  <c r="BK35" i="10" s="1"/>
  <c r="BF35" i="10"/>
  <c r="BE35" i="10" s="1"/>
  <c r="BB35" i="10"/>
  <c r="BH35" i="10" s="1"/>
  <c r="BA35" i="10"/>
  <c r="AY35" i="10"/>
  <c r="AX35" i="10"/>
  <c r="AU35" i="10"/>
  <c r="AR35" i="10"/>
  <c r="AQ35" i="10"/>
  <c r="AN35" i="10"/>
  <c r="AT35" i="10" s="1"/>
  <c r="AK35" i="10"/>
  <c r="AJ35" i="10" s="1"/>
  <c r="AG35" i="10"/>
  <c r="AD35" i="10"/>
  <c r="AC35" i="10" s="1"/>
  <c r="Z35" i="10"/>
  <c r="W35" i="10"/>
  <c r="V35" i="10"/>
  <c r="S35" i="10"/>
  <c r="P35" i="10"/>
  <c r="O35" i="10"/>
  <c r="N35" i="10"/>
  <c r="L35" i="10"/>
  <c r="J35" i="10"/>
  <c r="CO34" i="10"/>
  <c r="CN34" i="10"/>
  <c r="CK34" i="10"/>
  <c r="CQ34" i="10" s="1"/>
  <c r="CH34" i="10"/>
  <c r="CG34" i="10" s="1"/>
  <c r="CD34" i="10"/>
  <c r="CA34" i="10"/>
  <c r="BZ34" i="10"/>
  <c r="BW34" i="10"/>
  <c r="BV34" i="10"/>
  <c r="BT34" i="10"/>
  <c r="BS34" i="10"/>
  <c r="BR34" i="10"/>
  <c r="BP34" i="10"/>
  <c r="BM34" i="10"/>
  <c r="BL34" i="10"/>
  <c r="BI34" i="10"/>
  <c r="BF34" i="10"/>
  <c r="BE34" i="10" s="1"/>
  <c r="BB34" i="10"/>
  <c r="BA34" i="10"/>
  <c r="AY34" i="10"/>
  <c r="AX34" i="10"/>
  <c r="AU34" i="10"/>
  <c r="AR34" i="10"/>
  <c r="AQ34" i="10"/>
  <c r="AN34" i="10"/>
  <c r="AP34" i="10" s="1"/>
  <c r="AK34" i="10"/>
  <c r="AJ34" i="10"/>
  <c r="AG34" i="10"/>
  <c r="AM34" i="10" s="1"/>
  <c r="AD34" i="10"/>
  <c r="AC34" i="10" s="1"/>
  <c r="Z34" i="10"/>
  <c r="Y34" i="10"/>
  <c r="W34" i="10"/>
  <c r="V34" i="10"/>
  <c r="U34" i="10"/>
  <c r="S34" i="10"/>
  <c r="P34" i="10"/>
  <c r="I34" i="10" s="1"/>
  <c r="O34" i="10"/>
  <c r="L34" i="10"/>
  <c r="R34" i="10" s="1"/>
  <c r="J34" i="10"/>
  <c r="CO33" i="10"/>
  <c r="CN33" i="10" s="1"/>
  <c r="CK33" i="10"/>
  <c r="CQ33" i="10" s="1"/>
  <c r="CH33" i="10"/>
  <c r="CG33" i="10"/>
  <c r="CD33" i="10"/>
  <c r="CJ33" i="10" s="1"/>
  <c r="CC33" i="10"/>
  <c r="CA33" i="10"/>
  <c r="BZ33" i="10" s="1"/>
  <c r="BW33" i="10"/>
  <c r="BY33" i="10" s="1"/>
  <c r="BT33" i="10"/>
  <c r="BS33" i="10" s="1"/>
  <c r="BP33" i="10"/>
  <c r="BM33" i="10"/>
  <c r="BL33" i="10"/>
  <c r="BJ33" i="10"/>
  <c r="BI33" i="10"/>
  <c r="BK33" i="10" s="1"/>
  <c r="BF33" i="10"/>
  <c r="BE33" i="10"/>
  <c r="BD33" i="10"/>
  <c r="BB33" i="10"/>
  <c r="BH33" i="10" s="1"/>
  <c r="AY33" i="10"/>
  <c r="AX33" i="10" s="1"/>
  <c r="AU33" i="10"/>
  <c r="AT33" i="10"/>
  <c r="AR33" i="10"/>
  <c r="AQ33" i="10"/>
  <c r="AN33" i="10"/>
  <c r="AM33" i="10"/>
  <c r="AK33" i="10"/>
  <c r="AJ33" i="10" s="1"/>
  <c r="AI33" i="10"/>
  <c r="AG33" i="10"/>
  <c r="AD33" i="10"/>
  <c r="AC33" i="10"/>
  <c r="Z33" i="10"/>
  <c r="W33" i="10"/>
  <c r="V33" i="10" s="1"/>
  <c r="S33" i="10"/>
  <c r="Y33" i="10" s="1"/>
  <c r="Q33" i="10"/>
  <c r="R33" i="10" s="1"/>
  <c r="L33" i="10"/>
  <c r="N33" i="10" s="1"/>
  <c r="J33" i="10"/>
  <c r="CO32" i="10"/>
  <c r="CN32" i="10"/>
  <c r="CK32" i="10"/>
  <c r="CJ32" i="10"/>
  <c r="CH32" i="10"/>
  <c r="CG32" i="10"/>
  <c r="CF32" i="10"/>
  <c r="CE32" i="10" s="1"/>
  <c r="CD32" i="10"/>
  <c r="CA32" i="10"/>
  <c r="BZ32" i="10" s="1"/>
  <c r="BW32" i="10"/>
  <c r="BT32" i="10"/>
  <c r="BS32" i="10"/>
  <c r="BR32" i="10"/>
  <c r="BP32" i="10"/>
  <c r="BV32" i="10" s="1"/>
  <c r="BM32" i="10"/>
  <c r="BL32" i="10" s="1"/>
  <c r="BI32" i="10"/>
  <c r="BF32" i="10"/>
  <c r="BE32" i="10"/>
  <c r="BB32" i="10"/>
  <c r="BA32" i="10"/>
  <c r="AY32" i="10"/>
  <c r="AX32" i="10" s="1"/>
  <c r="AU32" i="10"/>
  <c r="AW32" i="10" s="1"/>
  <c r="AR32" i="10"/>
  <c r="AQ32" i="10"/>
  <c r="AN32" i="10"/>
  <c r="AT32" i="10" s="1"/>
  <c r="AL32" i="10"/>
  <c r="AK32" i="10"/>
  <c r="AG32" i="10"/>
  <c r="AF32" i="10"/>
  <c r="AE32" i="10"/>
  <c r="AD32" i="10"/>
  <c r="AC32" i="10"/>
  <c r="AA32" i="10"/>
  <c r="Z32" i="10"/>
  <c r="AB32" i="10" s="1"/>
  <c r="X32" i="10"/>
  <c r="S32" i="10"/>
  <c r="Y32" i="10" s="1"/>
  <c r="Q32" i="10"/>
  <c r="P32" i="10"/>
  <c r="O32" i="10" s="1"/>
  <c r="N32" i="10"/>
  <c r="L32" i="10"/>
  <c r="R32" i="10" s="1"/>
  <c r="CV31" i="10"/>
  <c r="AL31" i="10" s="1"/>
  <c r="AK31" i="10" s="1"/>
  <c r="CT31" i="10"/>
  <c r="CS31" i="10"/>
  <c r="Q31" i="10" s="1"/>
  <c r="CP31" i="10"/>
  <c r="CK31" i="10"/>
  <c r="CI31" i="10"/>
  <c r="CH31" i="10" s="1"/>
  <c r="CF31" i="10"/>
  <c r="CD31" i="10"/>
  <c r="CB31" i="10"/>
  <c r="BW31" i="10"/>
  <c r="BU31" i="10"/>
  <c r="BT31" i="10" s="1"/>
  <c r="BP31" i="10"/>
  <c r="BN31" i="10"/>
  <c r="BK31" i="10"/>
  <c r="BI31" i="10"/>
  <c r="BG31" i="10"/>
  <c r="BF31" i="10" s="1"/>
  <c r="BB31" i="10"/>
  <c r="AZ31" i="10"/>
  <c r="AY31" i="10"/>
  <c r="AX31" i="10"/>
  <c r="AW31" i="10"/>
  <c r="AU31" i="10"/>
  <c r="AS31" i="10"/>
  <c r="AR31" i="10" s="1"/>
  <c r="AN31" i="10"/>
  <c r="AG31" i="10"/>
  <c r="AE31" i="10"/>
  <c r="AF31" i="10" s="1"/>
  <c r="AD31" i="10"/>
  <c r="Z31" i="10"/>
  <c r="AB31" i="10" s="1"/>
  <c r="AA31" i="10" s="1"/>
  <c r="X31" i="10"/>
  <c r="W31" i="10" s="1"/>
  <c r="S31" i="10"/>
  <c r="L31" i="10"/>
  <c r="N31" i="10" s="1"/>
  <c r="CP30" i="10"/>
  <c r="CO30" i="10" s="1"/>
  <c r="CK30" i="10"/>
  <c r="CI30" i="10"/>
  <c r="CH30" i="10"/>
  <c r="CG30" i="10"/>
  <c r="CD30" i="10"/>
  <c r="CB30" i="10"/>
  <c r="BW30" i="10"/>
  <c r="BY30" i="10" s="1"/>
  <c r="BX30" i="10" s="1"/>
  <c r="BV30" i="10"/>
  <c r="BU30" i="10"/>
  <c r="BT30" i="10" s="1"/>
  <c r="BP30" i="10"/>
  <c r="BN30" i="10"/>
  <c r="BI30" i="10"/>
  <c r="BK30" i="10" s="1"/>
  <c r="BH30" i="10"/>
  <c r="BG30" i="10"/>
  <c r="BF30" i="10" s="1"/>
  <c r="BE30" i="10" s="1"/>
  <c r="BB30" i="10"/>
  <c r="AZ30" i="10"/>
  <c r="AW30" i="10"/>
  <c r="AV30" i="10" s="1"/>
  <c r="AU30" i="10"/>
  <c r="AS30" i="10"/>
  <c r="AN30" i="10"/>
  <c r="AL30" i="10"/>
  <c r="AK30" i="10" s="1"/>
  <c r="AG30" i="10"/>
  <c r="AF30" i="10"/>
  <c r="AE30" i="10"/>
  <c r="AC30" i="10" s="1"/>
  <c r="AD30" i="10"/>
  <c r="AB30" i="10"/>
  <c r="Z30" i="10"/>
  <c r="X30" i="10"/>
  <c r="S30" i="10"/>
  <c r="R30" i="10"/>
  <c r="Q30" i="10"/>
  <c r="L30" i="10"/>
  <c r="CO29" i="10"/>
  <c r="CN29" i="10" s="1"/>
  <c r="CK29" i="10"/>
  <c r="CJ29" i="10"/>
  <c r="CH29" i="10"/>
  <c r="CG29" i="10" s="1"/>
  <c r="CF29" i="10"/>
  <c r="CD29" i="10"/>
  <c r="CA29" i="10"/>
  <c r="BZ29" i="10"/>
  <c r="BW29" i="10"/>
  <c r="BT29" i="10"/>
  <c r="BS29" i="10"/>
  <c r="BP29" i="10"/>
  <c r="BV29" i="10" s="1"/>
  <c r="BM29" i="10"/>
  <c r="BL29" i="10" s="1"/>
  <c r="BI29" i="10"/>
  <c r="BO29" i="10" s="1"/>
  <c r="BF29" i="10"/>
  <c r="BE29" i="10" s="1"/>
  <c r="BB29" i="10"/>
  <c r="AY29" i="10"/>
  <c r="AX29" i="10"/>
  <c r="AU29" i="10"/>
  <c r="AR29" i="10"/>
  <c r="AQ29" i="10"/>
  <c r="AN29" i="10"/>
  <c r="AM29" i="10"/>
  <c r="AK29" i="10"/>
  <c r="AJ29" i="10" s="1"/>
  <c r="AG29" i="10"/>
  <c r="AD29" i="10"/>
  <c r="AC29" i="10"/>
  <c r="Z29" i="10"/>
  <c r="AF29" i="10" s="1"/>
  <c r="W29" i="10"/>
  <c r="V29" i="10"/>
  <c r="U29" i="10"/>
  <c r="S29" i="10"/>
  <c r="Y29" i="10" s="1"/>
  <c r="P29" i="10"/>
  <c r="O29" i="10"/>
  <c r="L29" i="10"/>
  <c r="J29" i="10"/>
  <c r="CO28" i="10"/>
  <c r="CN28" i="10"/>
  <c r="CK28" i="10"/>
  <c r="CQ28" i="10" s="1"/>
  <c r="CH28" i="10"/>
  <c r="CG28" i="10" s="1"/>
  <c r="CD28" i="10"/>
  <c r="CJ28" i="10" s="1"/>
  <c r="CC28" i="10"/>
  <c r="CA28" i="10"/>
  <c r="BZ28" i="10" s="1"/>
  <c r="BY28" i="10"/>
  <c r="BW28" i="10"/>
  <c r="BT28" i="10"/>
  <c r="BS28" i="10"/>
  <c r="BR28" i="10"/>
  <c r="BQ28" i="10" s="1"/>
  <c r="BP28" i="10"/>
  <c r="BV28" i="10" s="1"/>
  <c r="BM28" i="10"/>
  <c r="BL28" i="10"/>
  <c r="BI28" i="10"/>
  <c r="BF28" i="10"/>
  <c r="BE28" i="10" s="1"/>
  <c r="BB28" i="10"/>
  <c r="BH28" i="10" s="1"/>
  <c r="BA28" i="10"/>
  <c r="AY28" i="10"/>
  <c r="AX28" i="10"/>
  <c r="AW28" i="10"/>
  <c r="AU28" i="10"/>
  <c r="AR28" i="10"/>
  <c r="AQ28" i="10" s="1"/>
  <c r="AN28" i="10"/>
  <c r="AP28" i="10" s="1"/>
  <c r="AK28" i="10"/>
  <c r="AJ28" i="10"/>
  <c r="AI28" i="10"/>
  <c r="AH28" i="10" s="1"/>
  <c r="AG28" i="10"/>
  <c r="AM28" i="10" s="1"/>
  <c r="AD28" i="10"/>
  <c r="AC28" i="10" s="1"/>
  <c r="Z28" i="10"/>
  <c r="W28" i="10"/>
  <c r="V28" i="10" s="1"/>
  <c r="U28" i="10"/>
  <c r="S28" i="10"/>
  <c r="Y28" i="10" s="1"/>
  <c r="P28" i="10"/>
  <c r="O28" i="10"/>
  <c r="N28" i="10"/>
  <c r="L28" i="10"/>
  <c r="J28" i="10"/>
  <c r="CO27" i="10"/>
  <c r="CN27" i="10" s="1"/>
  <c r="CK27" i="10"/>
  <c r="CQ27" i="10" s="1"/>
  <c r="CH27" i="10"/>
  <c r="CG27" i="10"/>
  <c r="CF27" i="10"/>
  <c r="CE27" i="10" s="1"/>
  <c r="CD27" i="10"/>
  <c r="CJ27" i="10" s="1"/>
  <c r="CA27" i="10"/>
  <c r="BZ27" i="10" s="1"/>
  <c r="BW27" i="10"/>
  <c r="BT27" i="10"/>
  <c r="BS27" i="10" s="1"/>
  <c r="BP27" i="10"/>
  <c r="BM27" i="10"/>
  <c r="BL27" i="10" s="1"/>
  <c r="BI27" i="10"/>
  <c r="BO27" i="10" s="1"/>
  <c r="BF27" i="10"/>
  <c r="BE27" i="10"/>
  <c r="BB27" i="10"/>
  <c r="BA27" i="10"/>
  <c r="AY27" i="10"/>
  <c r="AX27" i="10" s="1"/>
  <c r="AV27" i="10"/>
  <c r="AU27" i="10"/>
  <c r="AW27" i="10" s="1"/>
  <c r="AR27" i="10"/>
  <c r="AQ27" i="10"/>
  <c r="AN27" i="10"/>
  <c r="AT27" i="10" s="1"/>
  <c r="AM27" i="10"/>
  <c r="AK27" i="10"/>
  <c r="AJ27" i="10" s="1"/>
  <c r="H27" i="10" s="1"/>
  <c r="AG27" i="10"/>
  <c r="AD27" i="10"/>
  <c r="AC27" i="10"/>
  <c r="Z27" i="10"/>
  <c r="W27" i="10"/>
  <c r="V27" i="10" s="1"/>
  <c r="S27" i="10"/>
  <c r="P27" i="10"/>
  <c r="O27" i="10" s="1"/>
  <c r="L27" i="10"/>
  <c r="J27" i="10"/>
  <c r="CQ26" i="10"/>
  <c r="CO26" i="10"/>
  <c r="CN26" i="10" s="1"/>
  <c r="CM26" i="10"/>
  <c r="CK26" i="10"/>
  <c r="CH26" i="10"/>
  <c r="CG26" i="10"/>
  <c r="CD26" i="10"/>
  <c r="CA26" i="10"/>
  <c r="BZ26" i="10"/>
  <c r="BY26" i="10"/>
  <c r="BW26" i="10"/>
  <c r="CC26" i="10" s="1"/>
  <c r="BT26" i="10"/>
  <c r="BS26" i="10" s="1"/>
  <c r="BP26" i="10"/>
  <c r="BM26" i="10"/>
  <c r="BL26" i="10" s="1"/>
  <c r="BI26" i="10"/>
  <c r="BH26" i="10"/>
  <c r="BF26" i="10"/>
  <c r="BE26" i="10"/>
  <c r="BB26" i="10"/>
  <c r="BD26" i="10" s="1"/>
  <c r="BC26" i="10" s="1"/>
  <c r="AY26" i="10"/>
  <c r="AX26" i="10"/>
  <c r="AW26" i="10"/>
  <c r="AV26" i="10" s="1"/>
  <c r="AU26" i="10"/>
  <c r="BA26" i="10" s="1"/>
  <c r="AT26" i="10"/>
  <c r="AR26" i="10"/>
  <c r="AQ26" i="10" s="1"/>
  <c r="AN26" i="10"/>
  <c r="AP26" i="10" s="1"/>
  <c r="AK26" i="10"/>
  <c r="AJ26" i="10" s="1"/>
  <c r="AG26" i="10"/>
  <c r="AD26" i="10"/>
  <c r="AC26" i="10"/>
  <c r="Z26" i="10"/>
  <c r="W26" i="10"/>
  <c r="V26" i="10"/>
  <c r="U26" i="10"/>
  <c r="S26" i="10"/>
  <c r="Y26" i="10" s="1"/>
  <c r="P26" i="10"/>
  <c r="L26" i="10"/>
  <c r="J26" i="10"/>
  <c r="CO25" i="10"/>
  <c r="CN25" i="10" s="1"/>
  <c r="CK25" i="10"/>
  <c r="CM25" i="10" s="1"/>
  <c r="CJ25" i="10"/>
  <c r="CH25" i="10"/>
  <c r="CG25" i="10" s="1"/>
  <c r="CF25" i="10"/>
  <c r="CD25" i="10"/>
  <c r="CA25" i="10"/>
  <c r="BZ25" i="10"/>
  <c r="BW25" i="10"/>
  <c r="BT25" i="10"/>
  <c r="BS25" i="10"/>
  <c r="BP25" i="10"/>
  <c r="BM25" i="10"/>
  <c r="BL25" i="10" s="1"/>
  <c r="BI25" i="10"/>
  <c r="BF25" i="10"/>
  <c r="BE25" i="10" s="1"/>
  <c r="BB25" i="10"/>
  <c r="BA25" i="10"/>
  <c r="AY25" i="10"/>
  <c r="AX25" i="10"/>
  <c r="AW25" i="10"/>
  <c r="AV25" i="10" s="1"/>
  <c r="AU25" i="10"/>
  <c r="AR25" i="10"/>
  <c r="AQ25" i="10"/>
  <c r="AN25" i="10"/>
  <c r="AT25" i="10" s="1"/>
  <c r="AK25" i="10"/>
  <c r="AJ25" i="10" s="1"/>
  <c r="AG25" i="10"/>
  <c r="AF25" i="10"/>
  <c r="AD25" i="10"/>
  <c r="AC25" i="10" s="1"/>
  <c r="AB25" i="10"/>
  <c r="Z25" i="10"/>
  <c r="AA25" i="10" s="1"/>
  <c r="W25" i="10"/>
  <c r="V25" i="10"/>
  <c r="S25" i="10"/>
  <c r="E25" i="10" s="1"/>
  <c r="P25" i="10"/>
  <c r="O25" i="10"/>
  <c r="L25" i="10"/>
  <c r="R25" i="10" s="1"/>
  <c r="J25" i="10"/>
  <c r="CO24" i="10"/>
  <c r="CN24" i="10"/>
  <c r="CK24" i="10"/>
  <c r="CQ24" i="10" s="1"/>
  <c r="CJ24" i="10"/>
  <c r="CH24" i="10"/>
  <c r="CG24" i="10" s="1"/>
  <c r="CD24" i="10"/>
  <c r="CF24" i="10" s="1"/>
  <c r="CA24" i="10"/>
  <c r="BZ24" i="10" s="1"/>
  <c r="BW24" i="10"/>
  <c r="BT24" i="10"/>
  <c r="BS24" i="10"/>
  <c r="BP24" i="10"/>
  <c r="BV24" i="10" s="1"/>
  <c r="BM24" i="10"/>
  <c r="BL24" i="10"/>
  <c r="BI24" i="10"/>
  <c r="BO24" i="10" s="1"/>
  <c r="BH24" i="10"/>
  <c r="BF24" i="10"/>
  <c r="BE24" i="10" s="1"/>
  <c r="BC24" i="10"/>
  <c r="BB24" i="10"/>
  <c r="BD24" i="10" s="1"/>
  <c r="AY24" i="10"/>
  <c r="AX24" i="10"/>
  <c r="AU24" i="10"/>
  <c r="AT24" i="10"/>
  <c r="AR24" i="10"/>
  <c r="AQ24" i="10" s="1"/>
  <c r="AN24" i="10"/>
  <c r="AK24" i="10"/>
  <c r="AJ24" i="10"/>
  <c r="AG24" i="10"/>
  <c r="AF24" i="10"/>
  <c r="AD24" i="10"/>
  <c r="AC24" i="10" s="1"/>
  <c r="Z24" i="10"/>
  <c r="AB24" i="10" s="1"/>
  <c r="W24" i="10"/>
  <c r="I24" i="10" s="1"/>
  <c r="S24" i="10"/>
  <c r="P24" i="10"/>
  <c r="O24" i="10"/>
  <c r="L24" i="10"/>
  <c r="R24" i="10" s="1"/>
  <c r="J24" i="10"/>
  <c r="CO23" i="10"/>
  <c r="CN23" i="10" s="1"/>
  <c r="CK23" i="10"/>
  <c r="CH23" i="10"/>
  <c r="CG23" i="10" s="1"/>
  <c r="CD23" i="10"/>
  <c r="CJ23" i="10" s="1"/>
  <c r="CA23" i="10"/>
  <c r="BZ23" i="10" s="1"/>
  <c r="BW23" i="10"/>
  <c r="CC23" i="10" s="1"/>
  <c r="BT23" i="10"/>
  <c r="BS23" i="10" s="1"/>
  <c r="BP23" i="10"/>
  <c r="BV23" i="10" s="1"/>
  <c r="BM23" i="10"/>
  <c r="BL23" i="10"/>
  <c r="BK23" i="10"/>
  <c r="BJ23" i="10" s="1"/>
  <c r="BI23" i="10"/>
  <c r="BO23" i="10" s="1"/>
  <c r="BF23" i="10"/>
  <c r="BE23" i="10"/>
  <c r="BD23" i="10"/>
  <c r="BC23" i="10" s="1"/>
  <c r="BB23" i="10"/>
  <c r="BH23" i="10" s="1"/>
  <c r="AY23" i="10"/>
  <c r="AX23" i="10" s="1"/>
  <c r="AU23" i="10"/>
  <c r="AW23" i="10" s="1"/>
  <c r="AR23" i="10"/>
  <c r="AQ23" i="10"/>
  <c r="AP23" i="10"/>
  <c r="AN23" i="10"/>
  <c r="AT23" i="10" s="1"/>
  <c r="AK23" i="10"/>
  <c r="AJ23" i="10"/>
  <c r="AI23" i="10"/>
  <c r="AH23" i="10" s="1"/>
  <c r="AG23" i="10"/>
  <c r="AM23" i="10" s="1"/>
  <c r="AD23" i="10"/>
  <c r="AC23" i="10" s="1"/>
  <c r="Z23" i="10"/>
  <c r="AF23" i="10" s="1"/>
  <c r="W23" i="10"/>
  <c r="U23" i="10"/>
  <c r="T23" i="10" s="1"/>
  <c r="S23" i="10"/>
  <c r="Y23" i="10" s="1"/>
  <c r="P23" i="10"/>
  <c r="O23" i="10"/>
  <c r="N23" i="10"/>
  <c r="L23" i="10"/>
  <c r="J23" i="10"/>
  <c r="CQ22" i="10"/>
  <c r="CO22" i="10"/>
  <c r="CN22" i="10" s="1"/>
  <c r="CK22" i="10"/>
  <c r="CH22" i="10"/>
  <c r="CG22" i="10"/>
  <c r="CD22" i="10"/>
  <c r="CA22" i="10"/>
  <c r="BZ22" i="10"/>
  <c r="BY22" i="10"/>
  <c r="BX22" i="10" s="1"/>
  <c r="BW22" i="10"/>
  <c r="CC22" i="10" s="1"/>
  <c r="BT22" i="10"/>
  <c r="BS22" i="10" s="1"/>
  <c r="BP22" i="10"/>
  <c r="BR22" i="10" s="1"/>
  <c r="BO22" i="10"/>
  <c r="BM22" i="10"/>
  <c r="BL22" i="10" s="1"/>
  <c r="BK22" i="10"/>
  <c r="BI22" i="10"/>
  <c r="BF22" i="10"/>
  <c r="BE22" i="10"/>
  <c r="BB22" i="10"/>
  <c r="AY22" i="10"/>
  <c r="AX22" i="10" s="1"/>
  <c r="AU22" i="10"/>
  <c r="BA22" i="10" s="1"/>
  <c r="AR22" i="10"/>
  <c r="AQ22" i="10" s="1"/>
  <c r="AP22" i="10"/>
  <c r="AO22" i="10" s="1"/>
  <c r="AN22" i="10"/>
  <c r="AT22" i="10" s="1"/>
  <c r="AK22" i="10"/>
  <c r="AJ22" i="10"/>
  <c r="AI22" i="10"/>
  <c r="AG22" i="10"/>
  <c r="AD22" i="10"/>
  <c r="AC22" i="10" s="1"/>
  <c r="Z22" i="10"/>
  <c r="W22" i="10"/>
  <c r="V22" i="10" s="1"/>
  <c r="U22" i="10"/>
  <c r="T22" i="10" s="1"/>
  <c r="S22" i="10"/>
  <c r="Y22" i="10" s="1"/>
  <c r="P22" i="10"/>
  <c r="O22" i="10" s="1"/>
  <c r="L22" i="10"/>
  <c r="J22" i="10"/>
  <c r="CO21" i="10"/>
  <c r="CN21" i="10" s="1"/>
  <c r="CK21" i="10"/>
  <c r="CM21" i="10" s="1"/>
  <c r="CJ21" i="10"/>
  <c r="CH21" i="10"/>
  <c r="CG21" i="10" s="1"/>
  <c r="CF21" i="10"/>
  <c r="CD21" i="10"/>
  <c r="CA21" i="10"/>
  <c r="BZ21" i="10"/>
  <c r="BY21" i="10"/>
  <c r="BW21" i="10"/>
  <c r="BT21" i="10"/>
  <c r="BS21" i="10" s="1"/>
  <c r="BP21" i="10"/>
  <c r="BV21" i="10" s="1"/>
  <c r="BM21" i="10"/>
  <c r="BL21" i="10" s="1"/>
  <c r="BI21" i="10"/>
  <c r="BF21" i="10"/>
  <c r="BE21" i="10"/>
  <c r="BD21" i="10"/>
  <c r="BB21" i="10"/>
  <c r="BA21" i="10"/>
  <c r="AY21" i="10"/>
  <c r="AX21" i="10" s="1"/>
  <c r="AU21" i="10"/>
  <c r="AW21" i="10" s="1"/>
  <c r="AR21" i="10"/>
  <c r="AQ21" i="10" s="1"/>
  <c r="AN21" i="10"/>
  <c r="AK21" i="10"/>
  <c r="AJ21" i="10" s="1"/>
  <c r="AG21" i="10"/>
  <c r="B21" i="10" s="1"/>
  <c r="AF21" i="10"/>
  <c r="AD21" i="10"/>
  <c r="AC21" i="10" s="1"/>
  <c r="Z21" i="10"/>
  <c r="W21" i="10"/>
  <c r="V21" i="10" s="1"/>
  <c r="H21" i="10" s="1"/>
  <c r="S21" i="10"/>
  <c r="P21" i="10"/>
  <c r="O21" i="10"/>
  <c r="L21" i="10"/>
  <c r="J21" i="10"/>
  <c r="CO20" i="10"/>
  <c r="CN20" i="10" s="1"/>
  <c r="CK20" i="10"/>
  <c r="CQ20" i="10" s="1"/>
  <c r="CJ20" i="10"/>
  <c r="CH20" i="10"/>
  <c r="CG20" i="10" s="1"/>
  <c r="CF20" i="10"/>
  <c r="CE20" i="10" s="1"/>
  <c r="CD20" i="10"/>
  <c r="CA20" i="10"/>
  <c r="BZ20" i="10"/>
  <c r="BW20" i="10"/>
  <c r="BV20" i="10"/>
  <c r="BT20" i="10"/>
  <c r="BS20" i="10" s="1"/>
  <c r="BP20" i="10"/>
  <c r="BR20" i="10" s="1"/>
  <c r="BM20" i="10"/>
  <c r="BL20" i="10"/>
  <c r="BK20" i="10"/>
  <c r="BJ20" i="10" s="1"/>
  <c r="BI20" i="10"/>
  <c r="BO20" i="10" s="1"/>
  <c r="BF20" i="10"/>
  <c r="BE20" i="10" s="1"/>
  <c r="BB20" i="10"/>
  <c r="BA20" i="10"/>
  <c r="AY20" i="10"/>
  <c r="AX20" i="10" s="1"/>
  <c r="AU20" i="10"/>
  <c r="AR20" i="10"/>
  <c r="AQ20" i="10" s="1"/>
  <c r="AP20" i="10"/>
  <c r="AN20" i="10"/>
  <c r="AK20" i="10"/>
  <c r="AJ20" i="10"/>
  <c r="AG20" i="10"/>
  <c r="AD20" i="10"/>
  <c r="AC20" i="10" s="1"/>
  <c r="AB20" i="10"/>
  <c r="Z20" i="10"/>
  <c r="W20" i="10"/>
  <c r="V20" i="10"/>
  <c r="S20" i="10"/>
  <c r="U20" i="10" s="1"/>
  <c r="P20" i="10"/>
  <c r="O20" i="10"/>
  <c r="L20" i="10"/>
  <c r="J20" i="10"/>
  <c r="CO19" i="10"/>
  <c r="CN19" i="10" s="1"/>
  <c r="CK19" i="10"/>
  <c r="CJ19" i="10"/>
  <c r="CH19" i="10"/>
  <c r="CG19" i="10" s="1"/>
  <c r="CF19" i="10"/>
  <c r="CD19" i="10"/>
  <c r="CA19" i="10"/>
  <c r="BZ19" i="10"/>
  <c r="BW19" i="10"/>
  <c r="BT19" i="10"/>
  <c r="BS19" i="10"/>
  <c r="BP19" i="10"/>
  <c r="BV19" i="10" s="1"/>
  <c r="BM19" i="10"/>
  <c r="BL19" i="10" s="1"/>
  <c r="BI19" i="10"/>
  <c r="BO19" i="10" s="1"/>
  <c r="BF19" i="10"/>
  <c r="BE19" i="10"/>
  <c r="BD19" i="10"/>
  <c r="BB19" i="10"/>
  <c r="BH19" i="10" s="1"/>
  <c r="AY19" i="10"/>
  <c r="AX19" i="10" s="1"/>
  <c r="AU19" i="10"/>
  <c r="AR19" i="10"/>
  <c r="AQ19" i="10"/>
  <c r="AP19" i="10"/>
  <c r="AO19" i="10" s="1"/>
  <c r="AN19" i="10"/>
  <c r="AT19" i="10" s="1"/>
  <c r="AK19" i="10"/>
  <c r="AJ19" i="10" s="1"/>
  <c r="AG19" i="10"/>
  <c r="AM19" i="10" s="1"/>
  <c r="AD19" i="10"/>
  <c r="AC19" i="10"/>
  <c r="AB19" i="10"/>
  <c r="Z19" i="10"/>
  <c r="AF19" i="10" s="1"/>
  <c r="W19" i="10"/>
  <c r="V19" i="10" s="1"/>
  <c r="S19" i="10"/>
  <c r="P19" i="10"/>
  <c r="O19" i="10"/>
  <c r="N19" i="10"/>
  <c r="M19" i="10" s="1"/>
  <c r="L19" i="10"/>
  <c r="J19" i="10"/>
  <c r="CO18" i="10"/>
  <c r="CN18" i="10"/>
  <c r="CM18" i="10"/>
  <c r="CL18" i="10" s="1"/>
  <c r="CK18" i="10"/>
  <c r="CQ18" i="10" s="1"/>
  <c r="CJ18" i="10"/>
  <c r="CH18" i="10"/>
  <c r="CG18" i="10" s="1"/>
  <c r="CD18" i="10"/>
  <c r="CA18" i="10"/>
  <c r="BZ18" i="10" s="1"/>
  <c r="BW18" i="10"/>
  <c r="BT18" i="10"/>
  <c r="BS18" i="10"/>
  <c r="BR18" i="10"/>
  <c r="BQ18" i="10" s="1"/>
  <c r="BP18" i="10"/>
  <c r="BV18" i="10" s="1"/>
  <c r="BM18" i="10"/>
  <c r="BL18" i="10"/>
  <c r="BI18" i="10"/>
  <c r="BO18" i="10" s="1"/>
  <c r="BH18" i="10"/>
  <c r="BF18" i="10"/>
  <c r="BE18" i="10" s="1"/>
  <c r="BB18" i="10"/>
  <c r="AY18" i="10"/>
  <c r="AX18" i="10" s="1"/>
  <c r="AW18" i="10"/>
  <c r="AU18" i="10"/>
  <c r="AR18" i="10"/>
  <c r="AQ18" i="10"/>
  <c r="AP18" i="10"/>
  <c r="AO18" i="10" s="1"/>
  <c r="AN18" i="10"/>
  <c r="AT18" i="10" s="1"/>
  <c r="AK18" i="10"/>
  <c r="AJ18" i="10"/>
  <c r="AI18" i="10"/>
  <c r="AG18" i="10"/>
  <c r="AM18" i="10" s="1"/>
  <c r="AD18" i="10"/>
  <c r="AC18" i="10" s="1"/>
  <c r="Z18" i="10"/>
  <c r="AF18" i="10" s="1"/>
  <c r="Y18" i="10"/>
  <c r="W18" i="10"/>
  <c r="V18" i="10"/>
  <c r="S18" i="10"/>
  <c r="P18" i="10"/>
  <c r="O18" i="10"/>
  <c r="L18" i="10"/>
  <c r="N18" i="10" s="1"/>
  <c r="M18" i="10" s="1"/>
  <c r="J18" i="10"/>
  <c r="CO17" i="10"/>
  <c r="CN17" i="10" s="1"/>
  <c r="CK17" i="10"/>
  <c r="CQ17" i="10" s="1"/>
  <c r="CH17" i="10"/>
  <c r="CG17" i="10"/>
  <c r="CF17" i="10"/>
  <c r="CE17" i="10" s="1"/>
  <c r="CD17" i="10"/>
  <c r="CJ17" i="10" s="1"/>
  <c r="CA17" i="10"/>
  <c r="BZ17" i="10" s="1"/>
  <c r="BW17" i="10"/>
  <c r="CC17" i="10" s="1"/>
  <c r="BT17" i="10"/>
  <c r="BS17" i="10"/>
  <c r="BR17" i="10"/>
  <c r="BP17" i="10"/>
  <c r="BV17" i="10" s="1"/>
  <c r="BM17" i="10"/>
  <c r="BL17" i="10"/>
  <c r="BK17" i="10"/>
  <c r="BI17" i="10"/>
  <c r="BF17" i="10"/>
  <c r="BE17" i="10"/>
  <c r="BB17" i="10"/>
  <c r="BH17" i="10" s="1"/>
  <c r="AY17" i="10"/>
  <c r="AX17" i="10" s="1"/>
  <c r="AU17" i="10"/>
  <c r="BA17" i="10" s="1"/>
  <c r="AR17" i="10"/>
  <c r="AQ17" i="10" s="1"/>
  <c r="AP17" i="10"/>
  <c r="AN17" i="10"/>
  <c r="AK17" i="10"/>
  <c r="AJ17" i="10"/>
  <c r="AG17" i="10"/>
  <c r="AD17" i="10"/>
  <c r="AC17" i="10"/>
  <c r="AB17" i="10"/>
  <c r="Z17" i="10"/>
  <c r="AF17" i="10" s="1"/>
  <c r="W17" i="10"/>
  <c r="V17" i="10" s="1"/>
  <c r="S17" i="10"/>
  <c r="Y17" i="10" s="1"/>
  <c r="P17" i="10"/>
  <c r="I17" i="10" s="1"/>
  <c r="O17" i="10"/>
  <c r="L17" i="10"/>
  <c r="J17" i="10"/>
  <c r="CV16" i="10"/>
  <c r="AL16" i="10" s="1"/>
  <c r="CT16" i="10"/>
  <c r="X16" i="10" s="1"/>
  <c r="CS16" i="10"/>
  <c r="Q16" i="10" s="1"/>
  <c r="CP16" i="10"/>
  <c r="CO16" i="10" s="1"/>
  <c r="CK16" i="10"/>
  <c r="CI16" i="10"/>
  <c r="CH16" i="10" s="1"/>
  <c r="CD16" i="10"/>
  <c r="CF16" i="10" s="1"/>
  <c r="CE16" i="10" s="1"/>
  <c r="CB16" i="10"/>
  <c r="BW16" i="10"/>
  <c r="BU16" i="10"/>
  <c r="BT16" i="10" s="1"/>
  <c r="BP16" i="10"/>
  <c r="BN16" i="10"/>
  <c r="BO16" i="10" s="1"/>
  <c r="BK16" i="10"/>
  <c r="BI16" i="10"/>
  <c r="BG16" i="10"/>
  <c r="BH16" i="10" s="1"/>
  <c r="BD16" i="10"/>
  <c r="BC16" i="10" s="1"/>
  <c r="BB16" i="10"/>
  <c r="AZ16" i="10"/>
  <c r="AY16" i="10" s="1"/>
  <c r="AX16" i="10" s="1"/>
  <c r="AW16" i="10"/>
  <c r="AV16" i="10" s="1"/>
  <c r="AU16" i="10"/>
  <c r="AS16" i="10"/>
  <c r="AR16" i="10"/>
  <c r="AQ16" i="10"/>
  <c r="AP16" i="10"/>
  <c r="AN16" i="10"/>
  <c r="AT16" i="10" s="1"/>
  <c r="AG16" i="10"/>
  <c r="AI16" i="10" s="1"/>
  <c r="AH16" i="10" s="1"/>
  <c r="AE16" i="10"/>
  <c r="AD16" i="10" s="1"/>
  <c r="AA16" i="10"/>
  <c r="Z16" i="10"/>
  <c r="AB16" i="10" s="1"/>
  <c r="S16" i="10"/>
  <c r="L16" i="10"/>
  <c r="N16" i="10" s="1"/>
  <c r="CV15" i="10"/>
  <c r="AL15" i="10" s="1"/>
  <c r="CU15" i="10"/>
  <c r="AE15" i="10" s="1"/>
  <c r="AD15" i="10" s="1"/>
  <c r="CT15" i="10"/>
  <c r="X15" i="10" s="1"/>
  <c r="CS15" i="10"/>
  <c r="CP15" i="10"/>
  <c r="CO15" i="10" s="1"/>
  <c r="CN15" i="10" s="1"/>
  <c r="CM15" i="10"/>
  <c r="CL15" i="10"/>
  <c r="CK15" i="10"/>
  <c r="CQ15" i="10" s="1"/>
  <c r="CI15" i="10"/>
  <c r="CH15" i="10" s="1"/>
  <c r="CD15" i="10"/>
  <c r="CB15" i="10"/>
  <c r="CA15" i="10" s="1"/>
  <c r="BY15" i="10"/>
  <c r="BW15" i="10"/>
  <c r="BU15" i="10"/>
  <c r="BT15" i="10" s="1"/>
  <c r="BP15" i="10"/>
  <c r="BR15" i="10" s="1"/>
  <c r="BN15" i="10"/>
  <c r="BI15" i="10"/>
  <c r="BG15" i="10"/>
  <c r="BF15" i="10" s="1"/>
  <c r="BB15" i="10"/>
  <c r="BD15" i="10" s="1"/>
  <c r="BA15" i="10"/>
  <c r="AZ15" i="10"/>
  <c r="AY15" i="10" s="1"/>
  <c r="AU15" i="10"/>
  <c r="AS15" i="10"/>
  <c r="AT15" i="10" s="1"/>
  <c r="AP15" i="10"/>
  <c r="AO15" i="10" s="1"/>
  <c r="AN15" i="10"/>
  <c r="AG15" i="10"/>
  <c r="Z15" i="10"/>
  <c r="AB15" i="10" s="1"/>
  <c r="AA15" i="10" s="1"/>
  <c r="U15" i="10"/>
  <c r="T15" i="10" s="1"/>
  <c r="S15" i="10"/>
  <c r="R15" i="10"/>
  <c r="Q15" i="10"/>
  <c r="P15" i="10" s="1"/>
  <c r="L15" i="10"/>
  <c r="N15" i="10" s="1"/>
  <c r="CV14" i="10"/>
  <c r="CU14" i="10"/>
  <c r="CT14" i="10"/>
  <c r="CS14" i="10"/>
  <c r="Q14" i="10" s="1"/>
  <c r="CP14" i="10"/>
  <c r="CO14" i="10" s="1"/>
  <c r="CN14" i="10" s="1"/>
  <c r="CM14" i="10"/>
  <c r="CK14" i="10"/>
  <c r="CI14" i="10"/>
  <c r="CH14" i="10" s="1"/>
  <c r="CG14" i="10" s="1"/>
  <c r="CF14" i="10"/>
  <c r="CE14" i="10" s="1"/>
  <c r="CD14" i="10"/>
  <c r="CB14" i="10"/>
  <c r="CA14" i="10" s="1"/>
  <c r="BZ14" i="10" s="1"/>
  <c r="BY14" i="10"/>
  <c r="BX14" i="10" s="1"/>
  <c r="BW14" i="10"/>
  <c r="BU14" i="10"/>
  <c r="BS14" i="10" s="1"/>
  <c r="BT14" i="10"/>
  <c r="BP14" i="10"/>
  <c r="BN14" i="10"/>
  <c r="BM14" i="10" s="1"/>
  <c r="BK14" i="10"/>
  <c r="BJ14" i="10" s="1"/>
  <c r="BI14" i="10"/>
  <c r="BG14" i="10"/>
  <c r="BF14" i="10" s="1"/>
  <c r="BB14" i="10"/>
  <c r="BD14" i="10" s="1"/>
  <c r="AZ14" i="10"/>
  <c r="AU14" i="10"/>
  <c r="AS14" i="10"/>
  <c r="AR14" i="10" s="1"/>
  <c r="AN14" i="10"/>
  <c r="AP14" i="10" s="1"/>
  <c r="AL14" i="10"/>
  <c r="AK14" i="10"/>
  <c r="AJ14" i="10"/>
  <c r="AI14" i="10"/>
  <c r="AG14" i="10"/>
  <c r="AE14" i="10"/>
  <c r="AF14" i="10" s="1"/>
  <c r="AB14" i="10"/>
  <c r="AA14" i="10" s="1"/>
  <c r="Z14" i="10"/>
  <c r="X14" i="10"/>
  <c r="W14" i="10"/>
  <c r="V14" i="10"/>
  <c r="U14" i="10"/>
  <c r="T14" i="10" s="1"/>
  <c r="S14" i="10"/>
  <c r="Y14" i="10" s="1"/>
  <c r="N14" i="10"/>
  <c r="M14" i="10" s="1"/>
  <c r="L14" i="10"/>
  <c r="CP13" i="10"/>
  <c r="CO13" i="10"/>
  <c r="CN13" i="10"/>
  <c r="CK13" i="10"/>
  <c r="CQ13" i="10" s="1"/>
  <c r="CI13" i="10"/>
  <c r="CG13" i="10" s="1"/>
  <c r="CH13" i="10"/>
  <c r="CD13" i="10"/>
  <c r="CJ13" i="10" s="1"/>
  <c r="CB13" i="10"/>
  <c r="CA13" i="10" s="1"/>
  <c r="BY13" i="10"/>
  <c r="BW13" i="10"/>
  <c r="CC13" i="10" s="1"/>
  <c r="BU13" i="10"/>
  <c r="BP13" i="10"/>
  <c r="BR13" i="10" s="1"/>
  <c r="BN13" i="10"/>
  <c r="BM13" i="10" s="1"/>
  <c r="BI13" i="10"/>
  <c r="BH13" i="10"/>
  <c r="BG13" i="10"/>
  <c r="BF13" i="10" s="1"/>
  <c r="BB13" i="10"/>
  <c r="BD13" i="10" s="1"/>
  <c r="AZ13" i="10"/>
  <c r="AY13" i="10"/>
  <c r="AW13" i="10"/>
  <c r="AU13" i="10"/>
  <c r="BA13" i="10" s="1"/>
  <c r="AT13" i="10"/>
  <c r="AS13" i="10"/>
  <c r="AR13" i="10" s="1"/>
  <c r="AN13" i="10"/>
  <c r="AP13" i="10" s="1"/>
  <c r="AO13" i="10" s="1"/>
  <c r="AL13" i="10"/>
  <c r="AK13" i="10" s="1"/>
  <c r="AI13" i="10"/>
  <c r="AG13" i="10"/>
  <c r="AM13" i="10" s="1"/>
  <c r="AE13" i="10"/>
  <c r="AD13" i="10" s="1"/>
  <c r="AC13" i="10" s="1"/>
  <c r="Z13" i="10"/>
  <c r="AF13" i="10" s="1"/>
  <c r="X13" i="10"/>
  <c r="W13" i="10" s="1"/>
  <c r="S13" i="10"/>
  <c r="U13" i="10" s="1"/>
  <c r="Q13" i="10"/>
  <c r="L13" i="10"/>
  <c r="N13" i="10" s="1"/>
  <c r="CV12" i="10"/>
  <c r="CU12" i="10"/>
  <c r="CS12" i="10"/>
  <c r="Q12" i="10" s="1"/>
  <c r="CP12" i="10"/>
  <c r="CO12" i="10" s="1"/>
  <c r="CK12" i="10"/>
  <c r="CM12" i="10" s="1"/>
  <c r="CL12" i="10" s="1"/>
  <c r="CI12" i="10"/>
  <c r="CH12" i="10"/>
  <c r="CG12" i="10" s="1"/>
  <c r="CF12" i="10"/>
  <c r="CE12" i="10" s="1"/>
  <c r="CD12" i="10"/>
  <c r="CB12" i="10"/>
  <c r="CA12" i="10"/>
  <c r="BZ12" i="10" s="1"/>
  <c r="BW12" i="10"/>
  <c r="CC12" i="10" s="1"/>
  <c r="BU12" i="10"/>
  <c r="BT12" i="10" s="1"/>
  <c r="BP12" i="10"/>
  <c r="BR12" i="10" s="1"/>
  <c r="BQ12" i="10" s="1"/>
  <c r="BN12" i="10"/>
  <c r="BI12" i="10"/>
  <c r="BK12" i="10" s="1"/>
  <c r="BG12" i="10"/>
  <c r="BF12" i="10" s="1"/>
  <c r="BB12" i="10"/>
  <c r="AZ12" i="10"/>
  <c r="AU12" i="10"/>
  <c r="AW12" i="10" s="1"/>
  <c r="AT12" i="10"/>
  <c r="AS12" i="10"/>
  <c r="AR12" i="10" s="1"/>
  <c r="AQ12" i="10" s="1"/>
  <c r="AN12" i="10"/>
  <c r="AP12" i="10" s="1"/>
  <c r="AL12" i="10"/>
  <c r="AM12" i="10" s="1"/>
  <c r="AI12" i="10"/>
  <c r="AH12" i="10" s="1"/>
  <c r="AG12" i="10"/>
  <c r="AE12" i="10"/>
  <c r="AD12" i="10"/>
  <c r="AC12" i="10" s="1"/>
  <c r="Z12" i="10"/>
  <c r="AF12" i="10" s="1"/>
  <c r="X12" i="10"/>
  <c r="W12" i="10" s="1"/>
  <c r="S12" i="10"/>
  <c r="Y12" i="10" s="1"/>
  <c r="L12" i="10"/>
  <c r="R12" i="10" s="1"/>
  <c r="CP11" i="10"/>
  <c r="CN11" i="10" s="1"/>
  <c r="CO11" i="10"/>
  <c r="CM11" i="10"/>
  <c r="CL11" i="10" s="1"/>
  <c r="CK11" i="10"/>
  <c r="CQ11" i="10" s="1"/>
  <c r="CI11" i="10"/>
  <c r="CH11" i="10"/>
  <c r="CG11" i="10" s="1"/>
  <c r="CF11" i="10"/>
  <c r="CE11" i="10"/>
  <c r="CD11" i="10"/>
  <c r="CJ11" i="10" s="1"/>
  <c r="CB11" i="10"/>
  <c r="BW11" i="10"/>
  <c r="BY11" i="10" s="1"/>
  <c r="BU11" i="10"/>
  <c r="BT11" i="10" s="1"/>
  <c r="BP11" i="10"/>
  <c r="BV11" i="10" s="1"/>
  <c r="BO11" i="10"/>
  <c r="BN11" i="10"/>
  <c r="BM11" i="10" s="1"/>
  <c r="BL11" i="10" s="1"/>
  <c r="BI11" i="10"/>
  <c r="BK11" i="10" s="1"/>
  <c r="BG11" i="10"/>
  <c r="BD11" i="10"/>
  <c r="BB11" i="10"/>
  <c r="BH11" i="10" s="1"/>
  <c r="BA11" i="10"/>
  <c r="AZ11" i="10"/>
  <c r="AY11" i="10" s="1"/>
  <c r="AW11" i="10"/>
  <c r="AV11" i="10" s="1"/>
  <c r="AU11" i="10"/>
  <c r="AS11" i="10"/>
  <c r="AR11" i="10"/>
  <c r="AQ11" i="10"/>
  <c r="AN11" i="10"/>
  <c r="AT11" i="10" s="1"/>
  <c r="AL11" i="10"/>
  <c r="AK11" i="10" s="1"/>
  <c r="AG11" i="10"/>
  <c r="AM11" i="10" s="1"/>
  <c r="AE11" i="10"/>
  <c r="AC11" i="10" s="1"/>
  <c r="AD11" i="10"/>
  <c r="Z11" i="10"/>
  <c r="AB11" i="10" s="1"/>
  <c r="X11" i="10"/>
  <c r="U11" i="10"/>
  <c r="T11" i="10" s="1"/>
  <c r="S11" i="10"/>
  <c r="Y11" i="10" s="1"/>
  <c r="Q11" i="10"/>
  <c r="P11" i="10"/>
  <c r="L11" i="10"/>
  <c r="N11" i="10" s="1"/>
  <c r="CV10" i="10"/>
  <c r="AL10" i="10" s="1"/>
  <c r="CT10" i="10"/>
  <c r="CP10" i="10"/>
  <c r="CO10" i="10"/>
  <c r="CN10" i="10" s="1"/>
  <c r="CK10" i="10"/>
  <c r="CQ10" i="10" s="1"/>
  <c r="CI10" i="10"/>
  <c r="CH10" i="10" s="1"/>
  <c r="CD10" i="10"/>
  <c r="CJ10" i="10" s="1"/>
  <c r="CB10" i="10"/>
  <c r="CC10" i="10" s="1"/>
  <c r="BY10" i="10"/>
  <c r="BX10" i="10" s="1"/>
  <c r="BW10" i="10"/>
  <c r="BU10" i="10"/>
  <c r="BT10" i="10" s="1"/>
  <c r="BP10" i="10"/>
  <c r="BR10" i="10" s="1"/>
  <c r="BN10" i="10"/>
  <c r="BM10" i="10" s="1"/>
  <c r="BL10" i="10" s="1"/>
  <c r="BI10" i="10"/>
  <c r="BG10" i="10"/>
  <c r="BD10" i="10"/>
  <c r="BB10" i="10"/>
  <c r="AZ10" i="10"/>
  <c r="AU10" i="10"/>
  <c r="AW10" i="10" s="1"/>
  <c r="AV10" i="10" s="1"/>
  <c r="AS10" i="10"/>
  <c r="AR10" i="10" s="1"/>
  <c r="AP10" i="10"/>
  <c r="AO10" i="10" s="1"/>
  <c r="AN10" i="10"/>
  <c r="AK10" i="10"/>
  <c r="AJ10" i="10" s="1"/>
  <c r="AG10" i="10"/>
  <c r="AM10" i="10" s="1"/>
  <c r="AE10" i="10"/>
  <c r="AD10" i="10" s="1"/>
  <c r="Z10" i="10"/>
  <c r="AB10" i="10" s="1"/>
  <c r="X10" i="10"/>
  <c r="S10" i="10"/>
  <c r="Q10" i="10"/>
  <c r="P10" i="10" s="1"/>
  <c r="M10" i="10"/>
  <c r="L10" i="10"/>
  <c r="N10" i="10" s="1"/>
  <c r="CU9" i="10"/>
  <c r="AE9" i="10" s="1"/>
  <c r="AD9" i="10" s="1"/>
  <c r="CT9" i="10"/>
  <c r="CP9" i="10"/>
  <c r="CO9" i="10"/>
  <c r="CN9" i="10" s="1"/>
  <c r="CM9" i="10"/>
  <c r="CK9" i="10"/>
  <c r="CQ9" i="10" s="1"/>
  <c r="CI9" i="10"/>
  <c r="CH9" i="10" s="1"/>
  <c r="CD9" i="10"/>
  <c r="CF9" i="10" s="1"/>
  <c r="CB9" i="10"/>
  <c r="BW9" i="10"/>
  <c r="BU9" i="10"/>
  <c r="BT9" i="10"/>
  <c r="BP9" i="10"/>
  <c r="BR9" i="10" s="1"/>
  <c r="BN9" i="10"/>
  <c r="BM9" i="10" s="1"/>
  <c r="BI9" i="10"/>
  <c r="BO9" i="10" s="1"/>
  <c r="BH9" i="10"/>
  <c r="BG9" i="10"/>
  <c r="BF9" i="10" s="1"/>
  <c r="BD9" i="10"/>
  <c r="BB9" i="10"/>
  <c r="AZ9" i="10"/>
  <c r="AY9" i="10" s="1"/>
  <c r="AU9" i="10"/>
  <c r="AW9" i="10" s="1"/>
  <c r="AV9" i="10" s="1"/>
  <c r="AS9" i="10"/>
  <c r="AR9" i="10" s="1"/>
  <c r="AQ9" i="10" s="1"/>
  <c r="AN9" i="10"/>
  <c r="AL9" i="10"/>
  <c r="AK9" i="10" s="1"/>
  <c r="AG9" i="10"/>
  <c r="AC9" i="10"/>
  <c r="Z9" i="10"/>
  <c r="X9" i="10"/>
  <c r="U9" i="10"/>
  <c r="S9" i="10"/>
  <c r="Q9" i="10"/>
  <c r="P9" i="10" s="1"/>
  <c r="L9" i="10"/>
  <c r="N9" i="10" s="1"/>
  <c r="CP8" i="10"/>
  <c r="CM8" i="10"/>
  <c r="CK8" i="10"/>
  <c r="CI8" i="10"/>
  <c r="CH8" i="10" s="1"/>
  <c r="CF8" i="10"/>
  <c r="CD8" i="10"/>
  <c r="CJ8" i="10" s="1"/>
  <c r="CB8" i="10"/>
  <c r="CA8" i="10" s="1"/>
  <c r="BW8" i="10"/>
  <c r="BV8" i="10"/>
  <c r="BU8" i="10"/>
  <c r="BR8" i="10"/>
  <c r="BP8" i="10"/>
  <c r="BN8" i="10"/>
  <c r="BI8" i="10"/>
  <c r="BO8" i="10" s="1"/>
  <c r="BG8" i="10"/>
  <c r="BF8" i="10" s="1"/>
  <c r="BD8" i="10"/>
  <c r="BC8" i="10" s="1"/>
  <c r="BB8" i="10"/>
  <c r="AZ8" i="10"/>
  <c r="AY8" i="10" s="1"/>
  <c r="AX8" i="10" s="1"/>
  <c r="AU8" i="10"/>
  <c r="BA8" i="10" s="1"/>
  <c r="AS8" i="10"/>
  <c r="AR8" i="10" s="1"/>
  <c r="AQ8" i="10" s="1"/>
  <c r="AP8" i="10"/>
  <c r="AO8" i="10"/>
  <c r="AN8" i="10"/>
  <c r="AT8" i="10" s="1"/>
  <c r="AL8" i="10"/>
  <c r="AK8" i="10" s="1"/>
  <c r="AG8" i="10"/>
  <c r="AI8" i="10" s="1"/>
  <c r="AF8" i="10"/>
  <c r="AE8" i="10"/>
  <c r="AD8" i="10" s="1"/>
  <c r="Z8" i="10"/>
  <c r="X8" i="10"/>
  <c r="W8" i="10" s="1"/>
  <c r="S8" i="10"/>
  <c r="U8" i="10" s="1"/>
  <c r="Q8" i="10"/>
  <c r="P8" i="10" s="1"/>
  <c r="N8" i="10"/>
  <c r="L8" i="10"/>
  <c r="CV7" i="10"/>
  <c r="CP7" i="10"/>
  <c r="CO7" i="10" s="1"/>
  <c r="CK7" i="10"/>
  <c r="CJ7" i="10"/>
  <c r="CI7" i="10"/>
  <c r="CH7" i="10" s="1"/>
  <c r="CD7" i="10"/>
  <c r="CF7" i="10" s="1"/>
  <c r="CC7" i="10"/>
  <c r="CB7" i="10"/>
  <c r="CA7" i="10" s="1"/>
  <c r="BW7" i="10"/>
  <c r="BU7" i="10"/>
  <c r="BT7" i="10"/>
  <c r="BR7" i="10"/>
  <c r="BQ7" i="10" s="1"/>
  <c r="BP7" i="10"/>
  <c r="BN7" i="10"/>
  <c r="BM7" i="10" s="1"/>
  <c r="BI7" i="10"/>
  <c r="BO7" i="10" s="1"/>
  <c r="BG7" i="10"/>
  <c r="BF7" i="10" s="1"/>
  <c r="BD7" i="10"/>
  <c r="BC7" i="10" s="1"/>
  <c r="BB7" i="10"/>
  <c r="AZ7" i="10"/>
  <c r="AY7" i="10"/>
  <c r="AX7" i="10" s="1"/>
  <c r="AU7" i="10"/>
  <c r="BA7" i="10" s="1"/>
  <c r="AS7" i="10"/>
  <c r="AP7" i="10"/>
  <c r="AO7" i="10" s="1"/>
  <c r="AN7" i="10"/>
  <c r="AL7" i="10"/>
  <c r="AI7" i="10"/>
  <c r="AG7" i="10"/>
  <c r="AE7" i="10"/>
  <c r="AC7" i="10" s="1"/>
  <c r="AD7" i="10"/>
  <c r="Z7" i="10"/>
  <c r="X7" i="10"/>
  <c r="W7" i="10" s="1"/>
  <c r="S7" i="10"/>
  <c r="Q7" i="10"/>
  <c r="N7" i="10"/>
  <c r="M7" i="10" s="1"/>
  <c r="L7" i="10"/>
  <c r="CV6" i="10"/>
  <c r="AL6" i="10" s="1"/>
  <c r="AK6" i="10" s="1"/>
  <c r="CQ6" i="10"/>
  <c r="CP6" i="10"/>
  <c r="CO6" i="10" s="1"/>
  <c r="CN6" i="10" s="1"/>
  <c r="CK6" i="10"/>
  <c r="CM6" i="10" s="1"/>
  <c r="CJ6" i="10"/>
  <c r="CI6" i="10"/>
  <c r="CH6" i="10" s="1"/>
  <c r="CD6" i="10"/>
  <c r="CB6" i="10"/>
  <c r="CC6" i="10" s="1"/>
  <c r="BW6" i="10"/>
  <c r="BY6" i="10" s="1"/>
  <c r="BX6" i="10" s="1"/>
  <c r="BU6" i="10"/>
  <c r="BT6" i="10" s="1"/>
  <c r="BR6" i="10"/>
  <c r="BQ6" i="10" s="1"/>
  <c r="BP6" i="10"/>
  <c r="BN6" i="10"/>
  <c r="BM6" i="10"/>
  <c r="BK6" i="10"/>
  <c r="BJ6" i="10" s="1"/>
  <c r="BI6" i="10"/>
  <c r="BO6" i="10" s="1"/>
  <c r="BG6" i="10"/>
  <c r="BF6" i="10" s="1"/>
  <c r="BB6" i="10"/>
  <c r="BD6" i="10" s="1"/>
  <c r="AZ6" i="10"/>
  <c r="AW6" i="10"/>
  <c r="AU6" i="10"/>
  <c r="AV6" i="10" s="1"/>
  <c r="AT6" i="10"/>
  <c r="AS6" i="10"/>
  <c r="AN6" i="10"/>
  <c r="AP6" i="10" s="1"/>
  <c r="AG6" i="10"/>
  <c r="AE6" i="10"/>
  <c r="AD6" i="10" s="1"/>
  <c r="Z6" i="10"/>
  <c r="AB6" i="10" s="1"/>
  <c r="X6" i="10"/>
  <c r="U6" i="10"/>
  <c r="T6" i="10" s="1"/>
  <c r="S6" i="10"/>
  <c r="Q6" i="10"/>
  <c r="P6" i="10" s="1"/>
  <c r="N6" i="10"/>
  <c r="M6" i="10" s="1"/>
  <c r="L6" i="10"/>
  <c r="CV5" i="10"/>
  <c r="AL5" i="10" s="1"/>
  <c r="CU5" i="10"/>
  <c r="AE5" i="10" s="1"/>
  <c r="CT5" i="10"/>
  <c r="X5" i="10" s="1"/>
  <c r="CS5" i="10"/>
  <c r="CP5" i="10"/>
  <c r="CO5" i="10" s="1"/>
  <c r="CK5" i="10"/>
  <c r="CI5" i="10"/>
  <c r="CF5" i="10"/>
  <c r="CE5" i="10" s="1"/>
  <c r="CD5" i="10"/>
  <c r="CB5" i="10"/>
  <c r="CC5" i="10" s="1"/>
  <c r="BW5" i="10"/>
  <c r="BY5" i="10" s="1"/>
  <c r="BU5" i="10"/>
  <c r="BT5" i="10" s="1"/>
  <c r="BS5" i="10" s="1"/>
  <c r="BP5" i="10"/>
  <c r="BR5" i="10" s="1"/>
  <c r="BN5" i="10"/>
  <c r="BM5" i="10" s="1"/>
  <c r="BI5" i="10"/>
  <c r="BK5" i="10" s="1"/>
  <c r="BJ5" i="10" s="1"/>
  <c r="BH5" i="10"/>
  <c r="BG5" i="10"/>
  <c r="BF5" i="10" s="1"/>
  <c r="BB5" i="10"/>
  <c r="BD5" i="10" s="1"/>
  <c r="AZ5" i="10"/>
  <c r="AY5" i="10" s="1"/>
  <c r="AU5" i="10"/>
  <c r="AW5" i="10" s="1"/>
  <c r="AV5" i="10" s="1"/>
  <c r="AS5" i="10"/>
  <c r="AR5" i="10" s="1"/>
  <c r="AQ5" i="10" s="1"/>
  <c r="AN5" i="10"/>
  <c r="AI5" i="10"/>
  <c r="AH5" i="10" s="1"/>
  <c r="AG5" i="10"/>
  <c r="Z5" i="10"/>
  <c r="AF5" i="10" s="1"/>
  <c r="S5" i="10"/>
  <c r="Q5" i="10"/>
  <c r="L5" i="10"/>
  <c r="R5" i="10" s="1"/>
  <c r="CV4" i="10"/>
  <c r="CT4" i="10"/>
  <c r="X4" i="10" s="1"/>
  <c r="CS4" i="10"/>
  <c r="Q4" i="10" s="1"/>
  <c r="CP4" i="10"/>
  <c r="CK4" i="10"/>
  <c r="CI4" i="10"/>
  <c r="CH4" i="10"/>
  <c r="CD4" i="10"/>
  <c r="CJ4" i="10" s="1"/>
  <c r="CC4" i="10"/>
  <c r="CB4" i="10"/>
  <c r="BY4" i="10"/>
  <c r="BW4" i="10"/>
  <c r="BU4" i="10"/>
  <c r="BT4" i="10" s="1"/>
  <c r="BP4" i="10"/>
  <c r="BR4" i="10" s="1"/>
  <c r="BQ4" i="10" s="1"/>
  <c r="BN4" i="10"/>
  <c r="BM4" i="10" s="1"/>
  <c r="BL4" i="10" s="1"/>
  <c r="BI4" i="10"/>
  <c r="BG4" i="10"/>
  <c r="BB4" i="10"/>
  <c r="BH4" i="10" s="1"/>
  <c r="AZ4" i="10"/>
  <c r="AY4" i="10" s="1"/>
  <c r="AU4" i="10"/>
  <c r="AW4" i="10" s="1"/>
  <c r="AT4" i="10"/>
  <c r="AS4" i="10"/>
  <c r="AR4" i="10" s="1"/>
  <c r="AN4" i="10"/>
  <c r="AP4" i="10" s="1"/>
  <c r="AL4" i="10"/>
  <c r="AK4" i="10" s="1"/>
  <c r="AI4" i="10"/>
  <c r="AG4" i="10"/>
  <c r="Z4" i="10"/>
  <c r="AB4" i="10" s="1"/>
  <c r="U4" i="10"/>
  <c r="T4" i="10" s="1"/>
  <c r="S4" i="10"/>
  <c r="L4" i="10"/>
  <c r="CQ80" i="9"/>
  <c r="CJ80" i="9"/>
  <c r="CC80" i="9"/>
  <c r="BV80" i="9"/>
  <c r="BO80" i="9"/>
  <c r="BH80" i="9"/>
  <c r="BA80" i="9"/>
  <c r="AT80" i="9"/>
  <c r="AM73" i="9"/>
  <c r="AM71" i="9"/>
  <c r="AF71" i="9"/>
  <c r="Y71" i="9"/>
  <c r="AM70" i="9"/>
  <c r="AF70" i="9"/>
  <c r="Y70" i="9"/>
  <c r="R70" i="9"/>
  <c r="R69" i="9"/>
  <c r="AM68" i="9"/>
  <c r="AF68" i="9"/>
  <c r="Y68" i="9"/>
  <c r="R68" i="9"/>
  <c r="AM67" i="9"/>
  <c r="AF67" i="9"/>
  <c r="R67" i="9"/>
  <c r="R66" i="9"/>
  <c r="AM65" i="9"/>
  <c r="Y65" i="9"/>
  <c r="R65" i="9"/>
  <c r="AM64" i="9"/>
  <c r="AF64" i="9"/>
  <c r="Y64" i="9"/>
  <c r="R64" i="9"/>
  <c r="AM63" i="9"/>
  <c r="AF63" i="9"/>
  <c r="Y63" i="9"/>
  <c r="R63" i="9"/>
  <c r="AM62" i="9"/>
  <c r="AF62" i="9"/>
  <c r="Y62" i="9"/>
  <c r="R62" i="9"/>
  <c r="R80" i="9" s="1"/>
  <c r="AM61" i="9"/>
  <c r="AM80" i="9" s="1"/>
  <c r="AL49" i="9" s="1"/>
  <c r="AF61" i="9"/>
  <c r="AF80" i="9" s="1"/>
  <c r="Y61" i="9"/>
  <c r="Y80" i="9" s="1"/>
  <c r="R61" i="9"/>
  <c r="CI58" i="9"/>
  <c r="CI59" i="9" s="1"/>
  <c r="CB58" i="9"/>
  <c r="CB59" i="9" s="1"/>
  <c r="BU58" i="9"/>
  <c r="CO57" i="9"/>
  <c r="CN57" i="9"/>
  <c r="CK57" i="9"/>
  <c r="CQ57" i="9" s="1"/>
  <c r="CH57" i="9"/>
  <c r="CG57" i="9"/>
  <c r="CD57" i="9"/>
  <c r="CA57" i="9"/>
  <c r="BZ57" i="9" s="1"/>
  <c r="BW57" i="9"/>
  <c r="BV57" i="9"/>
  <c r="BT57" i="9"/>
  <c r="BS57" i="9" s="1"/>
  <c r="BP57" i="9"/>
  <c r="BM57" i="9"/>
  <c r="BL57" i="9"/>
  <c r="BI57" i="9"/>
  <c r="BF57" i="9"/>
  <c r="BE57" i="9"/>
  <c r="BB57" i="9"/>
  <c r="AY57" i="9"/>
  <c r="AX57" i="9" s="1"/>
  <c r="AU57" i="9"/>
  <c r="AR57" i="9"/>
  <c r="AQ57" i="9" s="1"/>
  <c r="AN57" i="9"/>
  <c r="AM57" i="9"/>
  <c r="AK57" i="9"/>
  <c r="AJ57" i="9" s="1"/>
  <c r="AI57" i="9"/>
  <c r="AH57" i="9" s="1"/>
  <c r="AG57" i="9"/>
  <c r="AE57" i="9"/>
  <c r="AD57" i="9"/>
  <c r="I57" i="9" s="1"/>
  <c r="AC57" i="9"/>
  <c r="Z57" i="9"/>
  <c r="AF57" i="9" s="1"/>
  <c r="W57" i="9"/>
  <c r="V57" i="9"/>
  <c r="S57" i="9"/>
  <c r="P57" i="9"/>
  <c r="O57" i="9" s="1"/>
  <c r="H57" i="9" s="1"/>
  <c r="L57" i="9"/>
  <c r="R57" i="9" s="1"/>
  <c r="J57" i="9"/>
  <c r="CQ56" i="9"/>
  <c r="CO56" i="9"/>
  <c r="CN56" i="9" s="1"/>
  <c r="CK56" i="9"/>
  <c r="CH56" i="9"/>
  <c r="CG56" i="9"/>
  <c r="CD56" i="9"/>
  <c r="CJ56" i="9" s="1"/>
  <c r="CA56" i="9"/>
  <c r="BZ56" i="9" s="1"/>
  <c r="BY56" i="9"/>
  <c r="BX56" i="9" s="1"/>
  <c r="BW56" i="9"/>
  <c r="CC56" i="9" s="1"/>
  <c r="BT56" i="9"/>
  <c r="BS56" i="9"/>
  <c r="BP56" i="9"/>
  <c r="BV56" i="9" s="1"/>
  <c r="BM56" i="9"/>
  <c r="BL56" i="9" s="1"/>
  <c r="BI56" i="9"/>
  <c r="BF56" i="9"/>
  <c r="BE56" i="9"/>
  <c r="BB56" i="9"/>
  <c r="AY56" i="9"/>
  <c r="AX56" i="9"/>
  <c r="AW56" i="9"/>
  <c r="AV56" i="9" s="1"/>
  <c r="AU56" i="9"/>
  <c r="BA56" i="9" s="1"/>
  <c r="AR56" i="9"/>
  <c r="AQ56" i="9"/>
  <c r="AP56" i="9"/>
  <c r="AN56" i="9"/>
  <c r="AT56" i="9" s="1"/>
  <c r="AL56" i="9"/>
  <c r="AK56" i="9" s="1"/>
  <c r="AG56" i="9"/>
  <c r="AF56" i="9"/>
  <c r="AE56" i="9"/>
  <c r="Z56" i="9"/>
  <c r="W56" i="9"/>
  <c r="V56" i="9"/>
  <c r="U56" i="9"/>
  <c r="T56" i="9" s="1"/>
  <c r="S56" i="9"/>
  <c r="Y56" i="9" s="1"/>
  <c r="P56" i="9"/>
  <c r="N56" i="9"/>
  <c r="L56" i="9"/>
  <c r="M56" i="9" s="1"/>
  <c r="CP55" i="9"/>
  <c r="CI55" i="9"/>
  <c r="CB55" i="9"/>
  <c r="BU55" i="9"/>
  <c r="BN55" i="9"/>
  <c r="BN58" i="9" s="1"/>
  <c r="BG55" i="9"/>
  <c r="BG58" i="9" s="1"/>
  <c r="AZ55" i="9"/>
  <c r="AZ58" i="9" s="1"/>
  <c r="AS55" i="9"/>
  <c r="CO54" i="9"/>
  <c r="CN54" i="9" s="1"/>
  <c r="CK54" i="9"/>
  <c r="CQ54" i="9" s="1"/>
  <c r="CJ54" i="9"/>
  <c r="CH54" i="9"/>
  <c r="CG54" i="9" s="1"/>
  <c r="CD54" i="9"/>
  <c r="CA54" i="9"/>
  <c r="BZ54" i="9"/>
  <c r="BW54" i="9"/>
  <c r="BT54" i="9"/>
  <c r="BS54" i="9" s="1"/>
  <c r="BR54" i="9"/>
  <c r="BQ54" i="9" s="1"/>
  <c r="BP54" i="9"/>
  <c r="BV54" i="9" s="1"/>
  <c r="BM54" i="9"/>
  <c r="BL54" i="9" s="1"/>
  <c r="BI54" i="9"/>
  <c r="BF54" i="9"/>
  <c r="BE54" i="9" s="1"/>
  <c r="BB54" i="9"/>
  <c r="AY54" i="9"/>
  <c r="AX54" i="9"/>
  <c r="AU54" i="9"/>
  <c r="AR54" i="9"/>
  <c r="AQ54" i="9"/>
  <c r="AP54" i="9"/>
  <c r="AO54" i="9" s="1"/>
  <c r="AN54" i="9"/>
  <c r="AT54" i="9" s="1"/>
  <c r="AK54" i="9"/>
  <c r="AJ54" i="9" s="1"/>
  <c r="AG54" i="9"/>
  <c r="AD54" i="9"/>
  <c r="AC54" i="9" s="1"/>
  <c r="Z54" i="9"/>
  <c r="Y54" i="9"/>
  <c r="W54" i="9"/>
  <c r="V54" i="9"/>
  <c r="S54" i="9"/>
  <c r="P54" i="9"/>
  <c r="O54" i="9" s="1"/>
  <c r="H54" i="9" s="1"/>
  <c r="N54" i="9"/>
  <c r="M54" i="9" s="1"/>
  <c r="L54" i="9"/>
  <c r="J54" i="9"/>
  <c r="CT53" i="9"/>
  <c r="CO53" i="9"/>
  <c r="CN53" i="9"/>
  <c r="CK53" i="9"/>
  <c r="CQ53" i="9" s="1"/>
  <c r="CH53" i="9"/>
  <c r="CG53" i="9"/>
  <c r="CD53" i="9"/>
  <c r="CA53" i="9"/>
  <c r="BZ53" i="9"/>
  <c r="BW53" i="9"/>
  <c r="BT53" i="9"/>
  <c r="BS53" i="9" s="1"/>
  <c r="BP53" i="9"/>
  <c r="BR53" i="9" s="1"/>
  <c r="BQ53" i="9" s="1"/>
  <c r="BO53" i="9"/>
  <c r="BM53" i="9"/>
  <c r="BL53" i="9" s="1"/>
  <c r="BI53" i="9"/>
  <c r="BK53" i="9" s="1"/>
  <c r="BJ53" i="9" s="1"/>
  <c r="BF53" i="9"/>
  <c r="BE53" i="9"/>
  <c r="BB53" i="9"/>
  <c r="BH53" i="9" s="1"/>
  <c r="AY53" i="9"/>
  <c r="AX53" i="9"/>
  <c r="AU53" i="9"/>
  <c r="AR53" i="9"/>
  <c r="AQ53" i="9" s="1"/>
  <c r="AN53" i="9"/>
  <c r="AM53" i="9"/>
  <c r="AK53" i="9"/>
  <c r="AJ53" i="9" s="1"/>
  <c r="AI53" i="9"/>
  <c r="AH53" i="9" s="1"/>
  <c r="AG53" i="9"/>
  <c r="AE53" i="9"/>
  <c r="AD53" i="9"/>
  <c r="AC53" i="9"/>
  <c r="Z53" i="9"/>
  <c r="AF53" i="9" s="1"/>
  <c r="W53" i="9"/>
  <c r="V53" i="9"/>
  <c r="S53" i="9"/>
  <c r="P53" i="9"/>
  <c r="O53" i="9" s="1"/>
  <c r="L53" i="9"/>
  <c r="R53" i="9" s="1"/>
  <c r="J53" i="9"/>
  <c r="CT52" i="9"/>
  <c r="CS52" i="9"/>
  <c r="CO52" i="9"/>
  <c r="CN52" i="9" s="1"/>
  <c r="CK52" i="9"/>
  <c r="CH52" i="9"/>
  <c r="CG52" i="9" s="1"/>
  <c r="CD52" i="9"/>
  <c r="CJ52" i="9" s="1"/>
  <c r="CC52" i="9"/>
  <c r="CA52" i="9"/>
  <c r="BZ52" i="9" s="1"/>
  <c r="BY52" i="9"/>
  <c r="BW52" i="9"/>
  <c r="BT52" i="9"/>
  <c r="BS52" i="9" s="1"/>
  <c r="BP52" i="9"/>
  <c r="BV52" i="9" s="1"/>
  <c r="BM52" i="9"/>
  <c r="BL52" i="9"/>
  <c r="BI52" i="9"/>
  <c r="BO52" i="9" s="1"/>
  <c r="BH52" i="9"/>
  <c r="BF52" i="9"/>
  <c r="BE52" i="9" s="1"/>
  <c r="BB52" i="9"/>
  <c r="AY52" i="9"/>
  <c r="AX52" i="9"/>
  <c r="AU52" i="9"/>
  <c r="BA52" i="9" s="1"/>
  <c r="AR52" i="9"/>
  <c r="AQ52" i="9" s="1"/>
  <c r="AN52" i="9"/>
  <c r="AK52" i="9"/>
  <c r="AJ52" i="9"/>
  <c r="AI52" i="9"/>
  <c r="AH52" i="9" s="1"/>
  <c r="AG52" i="9"/>
  <c r="AM52" i="9" s="1"/>
  <c r="AD52" i="9"/>
  <c r="AC52" i="9" s="1"/>
  <c r="Z52" i="9"/>
  <c r="X52" i="9"/>
  <c r="W52" i="9"/>
  <c r="S52" i="9"/>
  <c r="U52" i="9" s="1"/>
  <c r="Q52" i="9"/>
  <c r="P52" i="9"/>
  <c r="N52" i="9"/>
  <c r="L52" i="9"/>
  <c r="CU51" i="9"/>
  <c r="CS51" i="9"/>
  <c r="CO51" i="9"/>
  <c r="CN51" i="9" s="1"/>
  <c r="CK51" i="9"/>
  <c r="CQ51" i="9" s="1"/>
  <c r="CJ51" i="9"/>
  <c r="CH51" i="9"/>
  <c r="CG51" i="9"/>
  <c r="CF51" i="9"/>
  <c r="CE51" i="9" s="1"/>
  <c r="CD51" i="9"/>
  <c r="CA51" i="9"/>
  <c r="BZ51" i="9" s="1"/>
  <c r="BW51" i="9"/>
  <c r="BT51" i="9"/>
  <c r="BS51" i="9"/>
  <c r="BR51" i="9"/>
  <c r="BQ51" i="9" s="1"/>
  <c r="BP51" i="9"/>
  <c r="BV51" i="9" s="1"/>
  <c r="BM51" i="9"/>
  <c r="BL51" i="9" s="1"/>
  <c r="BI51" i="9"/>
  <c r="BF51" i="9"/>
  <c r="BE51" i="9" s="1"/>
  <c r="BB51" i="9"/>
  <c r="BH51" i="9" s="1"/>
  <c r="AY51" i="9"/>
  <c r="AX51" i="9" s="1"/>
  <c r="AU51" i="9"/>
  <c r="BA51" i="9" s="1"/>
  <c r="AR51" i="9"/>
  <c r="AQ51" i="9"/>
  <c r="AN51" i="9"/>
  <c r="AT51" i="9" s="1"/>
  <c r="AL51" i="9"/>
  <c r="AG51" i="9"/>
  <c r="AF51" i="9"/>
  <c r="AE51" i="9"/>
  <c r="AD51" i="9"/>
  <c r="Z51" i="9"/>
  <c r="X51" i="9"/>
  <c r="W51" i="9"/>
  <c r="V51" i="9"/>
  <c r="S51" i="9"/>
  <c r="U51" i="9" s="1"/>
  <c r="Q51" i="9"/>
  <c r="R51" i="9" s="1"/>
  <c r="N51" i="9"/>
  <c r="L51" i="9"/>
  <c r="J51" i="9"/>
  <c r="CU50" i="9"/>
  <c r="CT50" i="9"/>
  <c r="CO50" i="9"/>
  <c r="CN50" i="9" s="1"/>
  <c r="CK50" i="9"/>
  <c r="CQ50" i="9" s="1"/>
  <c r="CJ50" i="9"/>
  <c r="CH50" i="9"/>
  <c r="CG50" i="9"/>
  <c r="CD50" i="9"/>
  <c r="CF50" i="9" s="1"/>
  <c r="CE50" i="9" s="1"/>
  <c r="CA50" i="9"/>
  <c r="BZ50" i="9" s="1"/>
  <c r="BW50" i="9"/>
  <c r="CC50" i="9" s="1"/>
  <c r="BT50" i="9"/>
  <c r="BS50" i="9"/>
  <c r="BR50" i="9"/>
  <c r="BQ50" i="9" s="1"/>
  <c r="BP50" i="9"/>
  <c r="BV50" i="9" s="1"/>
  <c r="BM50" i="9"/>
  <c r="BL50" i="9" s="1"/>
  <c r="BI50" i="9"/>
  <c r="BH50" i="9"/>
  <c r="BF50" i="9"/>
  <c r="BE50" i="9"/>
  <c r="BD50" i="9"/>
  <c r="BC50" i="9" s="1"/>
  <c r="BB50" i="9"/>
  <c r="AY50" i="9"/>
  <c r="AX50" i="9" s="1"/>
  <c r="AU50" i="9"/>
  <c r="AR50" i="9"/>
  <c r="AQ50" i="9"/>
  <c r="AN50" i="9"/>
  <c r="AT50" i="9" s="1"/>
  <c r="AM50" i="9"/>
  <c r="AL50" i="9"/>
  <c r="AG50" i="9"/>
  <c r="AI50" i="9" s="1"/>
  <c r="AH50" i="9" s="1"/>
  <c r="AE50" i="9"/>
  <c r="AD50" i="9" s="1"/>
  <c r="Z50" i="9"/>
  <c r="X50" i="9"/>
  <c r="U50" i="9"/>
  <c r="S50" i="9"/>
  <c r="Q50" i="9"/>
  <c r="P50" i="9"/>
  <c r="O50" i="9"/>
  <c r="N50" i="9"/>
  <c r="L50" i="9"/>
  <c r="J50" i="9"/>
  <c r="DD49" i="9"/>
  <c r="DC49" i="9"/>
  <c r="DB49" i="9"/>
  <c r="DA49" i="9"/>
  <c r="CZ49" i="9"/>
  <c r="CY49" i="9"/>
  <c r="CX49" i="9"/>
  <c r="CW49" i="9"/>
  <c r="CV49" i="9"/>
  <c r="CU49" i="9"/>
  <c r="CT49" i="9"/>
  <c r="CS49" i="9"/>
  <c r="CO49" i="9"/>
  <c r="CN49" i="9"/>
  <c r="CK49" i="9"/>
  <c r="CJ49" i="9"/>
  <c r="CH49" i="9"/>
  <c r="CG49" i="9" s="1"/>
  <c r="CD49" i="9"/>
  <c r="CF49" i="9" s="1"/>
  <c r="CA49" i="9"/>
  <c r="BZ49" i="9" s="1"/>
  <c r="BW49" i="9"/>
  <c r="BT49" i="9"/>
  <c r="BS49" i="9" s="1"/>
  <c r="BR49" i="9"/>
  <c r="BQ49" i="9" s="1"/>
  <c r="BP49" i="9"/>
  <c r="BV49" i="9" s="1"/>
  <c r="BO49" i="9"/>
  <c r="BM49" i="9"/>
  <c r="BL49" i="9"/>
  <c r="BI49" i="9"/>
  <c r="BF49" i="9"/>
  <c r="BE49" i="9" s="1"/>
  <c r="BC49" i="9"/>
  <c r="BB49" i="9"/>
  <c r="BD49" i="9" s="1"/>
  <c r="AY49" i="9"/>
  <c r="AX49" i="9"/>
  <c r="AU49" i="9"/>
  <c r="AR49" i="9"/>
  <c r="AQ49" i="9"/>
  <c r="AN49" i="9"/>
  <c r="AK49" i="9"/>
  <c r="AJ49" i="9" s="1"/>
  <c r="AG49" i="9"/>
  <c r="AI49" i="9" s="1"/>
  <c r="AH49" i="9" s="1"/>
  <c r="AE49" i="9"/>
  <c r="Z49" i="9"/>
  <c r="X49" i="9"/>
  <c r="W49" i="9"/>
  <c r="V49" i="9"/>
  <c r="S49" i="9"/>
  <c r="Q49" i="9"/>
  <c r="P49" i="9"/>
  <c r="O49" i="9"/>
  <c r="N49" i="9"/>
  <c r="M49" i="9" s="1"/>
  <c r="L49" i="9"/>
  <c r="R49" i="9" s="1"/>
  <c r="CS48" i="9"/>
  <c r="CQ48" i="9"/>
  <c r="CO48" i="9"/>
  <c r="CN48" i="9"/>
  <c r="CM48" i="9"/>
  <c r="CL48" i="9" s="1"/>
  <c r="CK48" i="9"/>
  <c r="CH48" i="9"/>
  <c r="CG48" i="9"/>
  <c r="CD48" i="9"/>
  <c r="CA48" i="9"/>
  <c r="BZ48" i="9"/>
  <c r="BW48" i="9"/>
  <c r="BV48" i="9"/>
  <c r="BT48" i="9"/>
  <c r="BS48" i="9" s="1"/>
  <c r="BP48" i="9"/>
  <c r="BR48" i="9" s="1"/>
  <c r="BQ48" i="9" s="1"/>
  <c r="BM48" i="9"/>
  <c r="BL48" i="9" s="1"/>
  <c r="BK48" i="9"/>
  <c r="BJ48" i="9" s="1"/>
  <c r="BI48" i="9"/>
  <c r="BO48" i="9" s="1"/>
  <c r="BF48" i="9"/>
  <c r="BE48" i="9"/>
  <c r="BB48" i="9"/>
  <c r="AY48" i="9"/>
  <c r="AX48" i="9"/>
  <c r="AU48" i="9"/>
  <c r="AT48" i="9"/>
  <c r="AR48" i="9"/>
  <c r="AQ48" i="9" s="1"/>
  <c r="AN48" i="9"/>
  <c r="AP48" i="9" s="1"/>
  <c r="AL48" i="9"/>
  <c r="AI48" i="9"/>
  <c r="AG48" i="9"/>
  <c r="AE48" i="9"/>
  <c r="AD48" i="9"/>
  <c r="AC48" i="9"/>
  <c r="AB48" i="9"/>
  <c r="AA48" i="9" s="1"/>
  <c r="Z48" i="9"/>
  <c r="X48" i="9"/>
  <c r="W48" i="9"/>
  <c r="V48" i="9"/>
  <c r="S48" i="9"/>
  <c r="Q48" i="9"/>
  <c r="P48" i="9"/>
  <c r="O48" i="9"/>
  <c r="L48" i="9"/>
  <c r="CO47" i="9"/>
  <c r="CN47" i="9"/>
  <c r="CK47" i="9"/>
  <c r="CH47" i="9"/>
  <c r="CG47" i="9"/>
  <c r="CD47" i="9"/>
  <c r="CA47" i="9"/>
  <c r="BZ47" i="9" s="1"/>
  <c r="BW47" i="9"/>
  <c r="BY47" i="9" s="1"/>
  <c r="BV47" i="9"/>
  <c r="BT47" i="9"/>
  <c r="BS47" i="9"/>
  <c r="BR47" i="9"/>
  <c r="BQ47" i="9" s="1"/>
  <c r="BP47" i="9"/>
  <c r="BM47" i="9"/>
  <c r="BL47" i="9"/>
  <c r="BI47" i="9"/>
  <c r="BF47" i="9"/>
  <c r="BE47" i="9"/>
  <c r="BB47" i="9"/>
  <c r="BA47" i="9"/>
  <c r="AY47" i="9"/>
  <c r="AX47" i="9" s="1"/>
  <c r="AU47" i="9"/>
  <c r="AW47" i="9" s="1"/>
  <c r="AV47" i="9" s="1"/>
  <c r="AR47" i="9"/>
  <c r="AQ47" i="9" s="1"/>
  <c r="H47" i="9" s="1"/>
  <c r="AN47" i="9"/>
  <c r="AT47" i="9" s="1"/>
  <c r="AK47" i="9"/>
  <c r="AJ47" i="9"/>
  <c r="AG47" i="9"/>
  <c r="AM47" i="9" s="1"/>
  <c r="AD47" i="9"/>
  <c r="AC47" i="9"/>
  <c r="Z47" i="9"/>
  <c r="W47" i="9"/>
  <c r="V47" i="9" s="1"/>
  <c r="S47" i="9"/>
  <c r="U47" i="9" s="1"/>
  <c r="T47" i="9" s="1"/>
  <c r="R47" i="9"/>
  <c r="P47" i="9"/>
  <c r="O47" i="9" s="1"/>
  <c r="N47" i="9"/>
  <c r="L47" i="9"/>
  <c r="J47" i="9"/>
  <c r="CQ46" i="9"/>
  <c r="CO46" i="9"/>
  <c r="CN46" i="9"/>
  <c r="CM46" i="9"/>
  <c r="CL46" i="9" s="1"/>
  <c r="CK46" i="9"/>
  <c r="CH46" i="9"/>
  <c r="CG46" i="9"/>
  <c r="H46" i="9" s="1"/>
  <c r="CD46" i="9"/>
  <c r="CA46" i="9"/>
  <c r="BZ46" i="9"/>
  <c r="BW46" i="9"/>
  <c r="BV46" i="9"/>
  <c r="BT46" i="9"/>
  <c r="BS46" i="9" s="1"/>
  <c r="BP46" i="9"/>
  <c r="BR46" i="9" s="1"/>
  <c r="BM46" i="9"/>
  <c r="BL46" i="9"/>
  <c r="BI46" i="9"/>
  <c r="BO46" i="9" s="1"/>
  <c r="BF46" i="9"/>
  <c r="BE46" i="9"/>
  <c r="BB46" i="9"/>
  <c r="BH46" i="9" s="1"/>
  <c r="AY46" i="9"/>
  <c r="AX46" i="9"/>
  <c r="AU46" i="9"/>
  <c r="AT46" i="9"/>
  <c r="AR46" i="9"/>
  <c r="AQ46" i="9" s="1"/>
  <c r="AN46" i="9"/>
  <c r="AP46" i="9" s="1"/>
  <c r="AK46" i="9"/>
  <c r="AJ46" i="9"/>
  <c r="AI46" i="9"/>
  <c r="AH46" i="9" s="1"/>
  <c r="AG46" i="9"/>
  <c r="AM46" i="9" s="1"/>
  <c r="AD46" i="9"/>
  <c r="AC46" i="9"/>
  <c r="Z46" i="9"/>
  <c r="W46" i="9"/>
  <c r="V46" i="9"/>
  <c r="S46" i="9"/>
  <c r="R46" i="9"/>
  <c r="P46" i="9"/>
  <c r="O46" i="9" s="1"/>
  <c r="L46" i="9"/>
  <c r="N46" i="9" s="1"/>
  <c r="J46" i="9"/>
  <c r="I46" i="9"/>
  <c r="CO45" i="9"/>
  <c r="CN45" i="9" s="1"/>
  <c r="CK45" i="9"/>
  <c r="CM45" i="9" s="1"/>
  <c r="CJ45" i="9"/>
  <c r="CH45" i="9"/>
  <c r="CG45" i="9" s="1"/>
  <c r="CF45" i="9"/>
  <c r="CE45" i="9" s="1"/>
  <c r="CD45" i="9"/>
  <c r="CA45" i="9"/>
  <c r="BZ45" i="9"/>
  <c r="BW45" i="9"/>
  <c r="CC45" i="9" s="1"/>
  <c r="BT45" i="9"/>
  <c r="BS45" i="9"/>
  <c r="BP45" i="9"/>
  <c r="BO45" i="9"/>
  <c r="BM45" i="9"/>
  <c r="BL45" i="9" s="1"/>
  <c r="BI45" i="9"/>
  <c r="BK45" i="9" s="1"/>
  <c r="BF45" i="9"/>
  <c r="BE45" i="9" s="1"/>
  <c r="BB45" i="9"/>
  <c r="BH45" i="9" s="1"/>
  <c r="AY45" i="9"/>
  <c r="AX45" i="9"/>
  <c r="AW45" i="9"/>
  <c r="AV45" i="9" s="1"/>
  <c r="AU45" i="9"/>
  <c r="BA45" i="9" s="1"/>
  <c r="AR45" i="9"/>
  <c r="AQ45" i="9"/>
  <c r="AN45" i="9"/>
  <c r="AM45" i="9"/>
  <c r="AK45" i="9"/>
  <c r="AJ45" i="9" s="1"/>
  <c r="AG45" i="9"/>
  <c r="AI45" i="9" s="1"/>
  <c r="AD45" i="9"/>
  <c r="Z45" i="9"/>
  <c r="W45" i="9"/>
  <c r="V45" i="9"/>
  <c r="U45" i="9"/>
  <c r="T45" i="9" s="1"/>
  <c r="S45" i="9"/>
  <c r="Y45" i="9" s="1"/>
  <c r="P45" i="9"/>
  <c r="O45" i="9"/>
  <c r="L45" i="9"/>
  <c r="E45" i="9" s="1"/>
  <c r="K45" i="9" s="1"/>
  <c r="J45" i="9"/>
  <c r="CO44" i="9"/>
  <c r="CN44" i="9"/>
  <c r="CK44" i="9"/>
  <c r="CH44" i="9"/>
  <c r="CG44" i="9" s="1"/>
  <c r="CD44" i="9"/>
  <c r="CC44" i="9"/>
  <c r="CA44" i="9"/>
  <c r="BZ44" i="9"/>
  <c r="BY44" i="9"/>
  <c r="BX44" i="9" s="1"/>
  <c r="BW44" i="9"/>
  <c r="BT44" i="9"/>
  <c r="BS44" i="9"/>
  <c r="BP44" i="9"/>
  <c r="BV44" i="9" s="1"/>
  <c r="BM44" i="9"/>
  <c r="BL44" i="9"/>
  <c r="BI44" i="9"/>
  <c r="BH44" i="9"/>
  <c r="BF44" i="9"/>
  <c r="BE44" i="9" s="1"/>
  <c r="BB44" i="9"/>
  <c r="BD44" i="9" s="1"/>
  <c r="AY44" i="9"/>
  <c r="AX44" i="9"/>
  <c r="AW44" i="9"/>
  <c r="AV44" i="9" s="1"/>
  <c r="AU44" i="9"/>
  <c r="BA44" i="9" s="1"/>
  <c r="AR44" i="9"/>
  <c r="AQ44" i="9"/>
  <c r="AN44" i="9"/>
  <c r="AK44" i="9"/>
  <c r="AJ44" i="9"/>
  <c r="AG44" i="9"/>
  <c r="AF44" i="9"/>
  <c r="AD44" i="9"/>
  <c r="AC44" i="9" s="1"/>
  <c r="Z44" i="9"/>
  <c r="AB44" i="9" s="1"/>
  <c r="W44" i="9"/>
  <c r="V44" i="9"/>
  <c r="U44" i="9"/>
  <c r="T44" i="9" s="1"/>
  <c r="S44" i="9"/>
  <c r="Y44" i="9" s="1"/>
  <c r="P44" i="9"/>
  <c r="O44" i="9"/>
  <c r="L44" i="9"/>
  <c r="J44" i="9"/>
  <c r="CU43" i="9"/>
  <c r="CT43" i="9"/>
  <c r="CS43" i="9"/>
  <c r="CQ43" i="9"/>
  <c r="CO43" i="9"/>
  <c r="CN43" i="9" s="1"/>
  <c r="CM43" i="9"/>
  <c r="CK43" i="9"/>
  <c r="CH43" i="9"/>
  <c r="CG43" i="9"/>
  <c r="CD43" i="9"/>
  <c r="CA43" i="9"/>
  <c r="BZ43" i="9"/>
  <c r="BW43" i="9"/>
  <c r="BV43" i="9"/>
  <c r="BT43" i="9"/>
  <c r="BS43" i="9" s="1"/>
  <c r="BP43" i="9"/>
  <c r="BM43" i="9"/>
  <c r="BL43" i="9"/>
  <c r="BK43" i="9"/>
  <c r="BI43" i="9"/>
  <c r="BF43" i="9"/>
  <c r="BE43" i="9"/>
  <c r="BB43" i="9"/>
  <c r="BH43" i="9" s="1"/>
  <c r="AY43" i="9"/>
  <c r="AX43" i="9"/>
  <c r="AU43" i="9"/>
  <c r="BA43" i="9" s="1"/>
  <c r="AT43" i="9"/>
  <c r="AR43" i="9"/>
  <c r="AQ43" i="9" s="1"/>
  <c r="AN43" i="9"/>
  <c r="AL43" i="9"/>
  <c r="AK43" i="9"/>
  <c r="AJ43" i="9"/>
  <c r="AG43" i="9"/>
  <c r="AI43" i="9" s="1"/>
  <c r="AF43" i="9"/>
  <c r="AE43" i="9"/>
  <c r="AD43" i="9"/>
  <c r="AC43" i="9"/>
  <c r="Z43" i="9"/>
  <c r="X43" i="9"/>
  <c r="W43" i="9"/>
  <c r="U43" i="9"/>
  <c r="T43" i="9"/>
  <c r="S43" i="9"/>
  <c r="Q43" i="9"/>
  <c r="J43" i="9" s="1"/>
  <c r="P43" i="9"/>
  <c r="O43" i="9"/>
  <c r="L43" i="9"/>
  <c r="N43" i="9" s="1"/>
  <c r="E43" i="9"/>
  <c r="K43" i="9" s="1"/>
  <c r="CO42" i="9"/>
  <c r="CN42" i="9" s="1"/>
  <c r="CK42" i="9"/>
  <c r="CQ42" i="9" s="1"/>
  <c r="CH42" i="9"/>
  <c r="CG42" i="9"/>
  <c r="CD42" i="9"/>
  <c r="CA42" i="9"/>
  <c r="BZ42" i="9" s="1"/>
  <c r="BW42" i="9"/>
  <c r="BT42" i="9"/>
  <c r="BS42" i="9"/>
  <c r="BP42" i="9"/>
  <c r="BM42" i="9"/>
  <c r="BL42" i="9"/>
  <c r="BI42" i="9"/>
  <c r="BF42" i="9"/>
  <c r="BE42" i="9"/>
  <c r="BB42" i="9"/>
  <c r="BH42" i="9" s="1"/>
  <c r="AY42" i="9"/>
  <c r="AX42" i="9" s="1"/>
  <c r="AU42" i="9"/>
  <c r="AT42" i="9"/>
  <c r="AR42" i="9"/>
  <c r="AQ42" i="9" s="1"/>
  <c r="AP42" i="9"/>
  <c r="AN42" i="9"/>
  <c r="AL42" i="9"/>
  <c r="AK42" i="9"/>
  <c r="I42" i="9" s="1"/>
  <c r="AJ42" i="9"/>
  <c r="AG42" i="9"/>
  <c r="AI42" i="9" s="1"/>
  <c r="AH42" i="9" s="1"/>
  <c r="AE42" i="9"/>
  <c r="AD42" i="9"/>
  <c r="AC42" i="9"/>
  <c r="Z42" i="9"/>
  <c r="AF42" i="9" s="1"/>
  <c r="X42" i="9"/>
  <c r="W42" i="9"/>
  <c r="V42" i="9"/>
  <c r="S42" i="9"/>
  <c r="E42" i="9" s="1"/>
  <c r="K42" i="9" s="1"/>
  <c r="P42" i="9"/>
  <c r="O42" i="9"/>
  <c r="H42" i="9" s="1"/>
  <c r="L42" i="9"/>
  <c r="J42" i="9"/>
  <c r="CO41" i="9"/>
  <c r="CN41" i="9"/>
  <c r="CK41" i="9"/>
  <c r="CQ41" i="9" s="1"/>
  <c r="CH41" i="9"/>
  <c r="CG41" i="9"/>
  <c r="CD41" i="9"/>
  <c r="CC41" i="9"/>
  <c r="CA41" i="9"/>
  <c r="BZ41" i="9" s="1"/>
  <c r="BY41" i="9"/>
  <c r="BX41" i="9" s="1"/>
  <c r="BW41" i="9"/>
  <c r="BT41" i="9"/>
  <c r="BS41" i="9"/>
  <c r="BP41" i="9"/>
  <c r="BV41" i="9" s="1"/>
  <c r="BM41" i="9"/>
  <c r="BL41" i="9"/>
  <c r="BI41" i="9"/>
  <c r="BH41" i="9"/>
  <c r="BF41" i="9"/>
  <c r="BE41" i="9" s="1"/>
  <c r="BB41" i="9"/>
  <c r="AY41" i="9"/>
  <c r="AX41" i="9"/>
  <c r="AW41" i="9"/>
  <c r="AV41" i="9"/>
  <c r="AU41" i="9"/>
  <c r="BA41" i="9" s="1"/>
  <c r="AR41" i="9"/>
  <c r="AQ41" i="9" s="1"/>
  <c r="AN41" i="9"/>
  <c r="AL41" i="9"/>
  <c r="J41" i="9" s="1"/>
  <c r="AG41" i="9"/>
  <c r="AD41" i="9"/>
  <c r="AC41" i="9" s="1"/>
  <c r="Z41" i="9"/>
  <c r="AB41" i="9" s="1"/>
  <c r="X41" i="9"/>
  <c r="W41" i="9"/>
  <c r="V41" i="9"/>
  <c r="S41" i="9"/>
  <c r="B41" i="9" s="1"/>
  <c r="R41" i="9"/>
  <c r="P41" i="9"/>
  <c r="O41" i="9" s="1"/>
  <c r="N41" i="9"/>
  <c r="L41" i="9"/>
  <c r="M41" i="9" s="1"/>
  <c r="CU40" i="9"/>
  <c r="CT40" i="9"/>
  <c r="CQ40" i="9"/>
  <c r="CO40" i="9"/>
  <c r="CN40" i="9" s="1"/>
  <c r="CK40" i="9"/>
  <c r="CM40" i="9" s="1"/>
  <c r="CH40" i="9"/>
  <c r="CG40" i="9"/>
  <c r="CF40" i="9"/>
  <c r="CE40" i="9" s="1"/>
  <c r="CD40" i="9"/>
  <c r="CJ40" i="9" s="1"/>
  <c r="CA40" i="9"/>
  <c r="BZ40" i="9"/>
  <c r="BW40" i="9"/>
  <c r="CC40" i="9" s="1"/>
  <c r="BT40" i="9"/>
  <c r="BS40" i="9"/>
  <c r="BP40" i="9"/>
  <c r="BM40" i="9"/>
  <c r="BL40" i="9" s="1"/>
  <c r="BI40" i="9"/>
  <c r="BK40" i="9" s="1"/>
  <c r="BH40" i="9"/>
  <c r="BF40" i="9"/>
  <c r="BE40" i="9" s="1"/>
  <c r="BB40" i="9"/>
  <c r="BD40" i="9" s="1"/>
  <c r="BC40" i="9" s="1"/>
  <c r="AY40" i="9"/>
  <c r="AX40" i="9"/>
  <c r="AW40" i="9"/>
  <c r="AV40" i="9" s="1"/>
  <c r="AU40" i="9"/>
  <c r="BA40" i="9" s="1"/>
  <c r="AR40" i="9"/>
  <c r="AQ40" i="9"/>
  <c r="AN40" i="9"/>
  <c r="AT40" i="9" s="1"/>
  <c r="AL40" i="9"/>
  <c r="J40" i="9" s="1"/>
  <c r="AK40" i="9"/>
  <c r="AI40" i="9"/>
  <c r="AG40" i="9"/>
  <c r="AE40" i="9"/>
  <c r="AD40" i="9" s="1"/>
  <c r="Z40" i="9"/>
  <c r="AB40" i="9" s="1"/>
  <c r="X40" i="9"/>
  <c r="W40" i="9"/>
  <c r="V40" i="9"/>
  <c r="U40" i="9"/>
  <c r="S40" i="9"/>
  <c r="Q40" i="9"/>
  <c r="P40" i="9" s="1"/>
  <c r="L40" i="9"/>
  <c r="CT39" i="9"/>
  <c r="CS39" i="9"/>
  <c r="CO39" i="9"/>
  <c r="CN39" i="9"/>
  <c r="CK39" i="9"/>
  <c r="CJ39" i="9"/>
  <c r="CH39" i="9"/>
  <c r="CG39" i="9" s="1"/>
  <c r="CF39" i="9"/>
  <c r="CE39" i="9"/>
  <c r="CD39" i="9"/>
  <c r="CA39" i="9"/>
  <c r="BZ39" i="9" s="1"/>
  <c r="BW39" i="9"/>
  <c r="BT39" i="9"/>
  <c r="BS39" i="9"/>
  <c r="BR39" i="9"/>
  <c r="BQ39" i="9" s="1"/>
  <c r="BP39" i="9"/>
  <c r="BV39" i="9" s="1"/>
  <c r="BM39" i="9"/>
  <c r="BL39" i="9"/>
  <c r="BI39" i="9"/>
  <c r="BF39" i="9"/>
  <c r="BE39" i="9" s="1"/>
  <c r="BD39" i="9"/>
  <c r="BC39" i="9" s="1"/>
  <c r="BB39" i="9"/>
  <c r="BH39" i="9" s="1"/>
  <c r="AY39" i="9"/>
  <c r="AX39" i="9"/>
  <c r="AU39" i="9"/>
  <c r="AR39" i="9"/>
  <c r="AQ39" i="9"/>
  <c r="AP39" i="9"/>
  <c r="AN39" i="9"/>
  <c r="AT39" i="9" s="1"/>
  <c r="AL39" i="9"/>
  <c r="AG39" i="9"/>
  <c r="AD39" i="9"/>
  <c r="AC39" i="9" s="1"/>
  <c r="Z39" i="9"/>
  <c r="AF39" i="9" s="1"/>
  <c r="W39" i="9"/>
  <c r="V39" i="9"/>
  <c r="S39" i="9"/>
  <c r="Y39" i="9" s="1"/>
  <c r="P39" i="9"/>
  <c r="L39" i="9"/>
  <c r="J39" i="9"/>
  <c r="CT38" i="9"/>
  <c r="CS38" i="9"/>
  <c r="CO38" i="9"/>
  <c r="CN38" i="9"/>
  <c r="CK38" i="9"/>
  <c r="CH38" i="9"/>
  <c r="CG38" i="9" s="1"/>
  <c r="CD38" i="9"/>
  <c r="CJ38" i="9" s="1"/>
  <c r="CA38" i="9"/>
  <c r="BZ38" i="9" s="1"/>
  <c r="BW38" i="9"/>
  <c r="CC38" i="9" s="1"/>
  <c r="BT38" i="9"/>
  <c r="BS38" i="9"/>
  <c r="BP38" i="9"/>
  <c r="BM38" i="9"/>
  <c r="BL38" i="9"/>
  <c r="BK38" i="9"/>
  <c r="BI38" i="9"/>
  <c r="BF38" i="9"/>
  <c r="BE38" i="9"/>
  <c r="BB38" i="9"/>
  <c r="BH38" i="9" s="1"/>
  <c r="AY38" i="9"/>
  <c r="AX38" i="9" s="1"/>
  <c r="AU38" i="9"/>
  <c r="AT38" i="9"/>
  <c r="AR38" i="9"/>
  <c r="AQ38" i="9" s="1"/>
  <c r="AP38" i="9"/>
  <c r="AN38" i="9"/>
  <c r="AL38" i="9"/>
  <c r="AK38" i="9"/>
  <c r="AJ38" i="9"/>
  <c r="AI38" i="9"/>
  <c r="AG38" i="9"/>
  <c r="AH38" i="9" s="1"/>
  <c r="AE38" i="9"/>
  <c r="AD38" i="9"/>
  <c r="AC38" i="9"/>
  <c r="Z38" i="9"/>
  <c r="AF38" i="9" s="1"/>
  <c r="X38" i="9"/>
  <c r="W38" i="9" s="1"/>
  <c r="S38" i="9"/>
  <c r="Q38" i="9"/>
  <c r="P38" i="9"/>
  <c r="L38" i="9"/>
  <c r="R38" i="9" s="1"/>
  <c r="J38" i="9"/>
  <c r="CS37" i="9"/>
  <c r="CO37" i="9"/>
  <c r="CN37" i="9"/>
  <c r="CM37" i="9"/>
  <c r="CL37" i="9" s="1"/>
  <c r="CK37" i="9"/>
  <c r="CQ37" i="9" s="1"/>
  <c r="CH37" i="9"/>
  <c r="CG37" i="9" s="1"/>
  <c r="CD37" i="9"/>
  <c r="CF37" i="9" s="1"/>
  <c r="CC37" i="9"/>
  <c r="CA37" i="9"/>
  <c r="BZ37" i="9"/>
  <c r="BY37" i="9"/>
  <c r="BX37" i="9" s="1"/>
  <c r="BW37" i="9"/>
  <c r="BT37" i="9"/>
  <c r="BS37" i="9"/>
  <c r="BP37" i="9"/>
  <c r="BO37" i="9"/>
  <c r="BM37" i="9"/>
  <c r="BL37" i="9" s="1"/>
  <c r="BK37" i="9"/>
  <c r="BJ37" i="9"/>
  <c r="BI37" i="9"/>
  <c r="BF37" i="9"/>
  <c r="BE37" i="9"/>
  <c r="BB37" i="9"/>
  <c r="AY37" i="9"/>
  <c r="AX37" i="9"/>
  <c r="AW37" i="9"/>
  <c r="AU37" i="9"/>
  <c r="BA37" i="9" s="1"/>
  <c r="AR37" i="9"/>
  <c r="AQ37" i="9"/>
  <c r="AN37" i="9"/>
  <c r="AT37" i="9" s="1"/>
  <c r="AL37" i="9"/>
  <c r="AK37" i="9" s="1"/>
  <c r="AG37" i="9"/>
  <c r="AI37" i="9" s="1"/>
  <c r="AE37" i="9"/>
  <c r="Z37" i="9"/>
  <c r="AF37" i="9" s="1"/>
  <c r="S37" i="9"/>
  <c r="U37" i="9" s="1"/>
  <c r="Q37" i="9"/>
  <c r="L37" i="9"/>
  <c r="CU36" i="9"/>
  <c r="CU37" i="9" s="1"/>
  <c r="CT36" i="9"/>
  <c r="CT37" i="9" s="1"/>
  <c r="CS36" i="9"/>
  <c r="CO36" i="9"/>
  <c r="CN36" i="9"/>
  <c r="CK36" i="9"/>
  <c r="CJ36" i="9"/>
  <c r="CH36" i="9"/>
  <c r="CG36" i="9" s="1"/>
  <c r="CD36" i="9"/>
  <c r="CF36" i="9" s="1"/>
  <c r="CA36" i="9"/>
  <c r="BZ36" i="9"/>
  <c r="BW36" i="9"/>
  <c r="CC36" i="9" s="1"/>
  <c r="BT36" i="9"/>
  <c r="BS36" i="9"/>
  <c r="BR36" i="9"/>
  <c r="BP36" i="9"/>
  <c r="BV36" i="9" s="1"/>
  <c r="BM36" i="9"/>
  <c r="BL36" i="9"/>
  <c r="BI36" i="9"/>
  <c r="BF36" i="9"/>
  <c r="BE36" i="9" s="1"/>
  <c r="BB36" i="9"/>
  <c r="BD36" i="9" s="1"/>
  <c r="AY36" i="9"/>
  <c r="AX36" i="9"/>
  <c r="AU36" i="9"/>
  <c r="AR36" i="9"/>
  <c r="AQ36" i="9"/>
  <c r="AN36" i="9"/>
  <c r="AT36" i="9" s="1"/>
  <c r="AL36" i="9"/>
  <c r="AK36" i="9"/>
  <c r="AJ36" i="9"/>
  <c r="AG36" i="9"/>
  <c r="AE36" i="9"/>
  <c r="AD36" i="9" s="1"/>
  <c r="Z36" i="9"/>
  <c r="AB36" i="9" s="1"/>
  <c r="Y36" i="9"/>
  <c r="X36" i="9"/>
  <c r="W36" i="9" s="1"/>
  <c r="S36" i="9"/>
  <c r="Q36" i="9"/>
  <c r="P36" i="9"/>
  <c r="O36" i="9"/>
  <c r="L36" i="9"/>
  <c r="N36" i="9" s="1"/>
  <c r="B36" i="9"/>
  <c r="CQ35" i="9"/>
  <c r="CO35" i="9"/>
  <c r="CN35" i="9" s="1"/>
  <c r="CK35" i="9"/>
  <c r="CM35" i="9" s="1"/>
  <c r="CH35" i="9"/>
  <c r="CG35" i="9"/>
  <c r="CD35" i="9"/>
  <c r="CJ35" i="9" s="1"/>
  <c r="CA35" i="9"/>
  <c r="BZ35" i="9"/>
  <c r="BW35" i="9"/>
  <c r="BT35" i="9"/>
  <c r="BS35" i="9"/>
  <c r="BP35" i="9"/>
  <c r="BO35" i="9"/>
  <c r="BM35" i="9"/>
  <c r="BL35" i="9"/>
  <c r="BI35" i="9"/>
  <c r="BK35" i="9" s="1"/>
  <c r="BF35" i="9"/>
  <c r="BE35" i="9" s="1"/>
  <c r="BB35" i="9"/>
  <c r="BH35" i="9" s="1"/>
  <c r="AY35" i="9"/>
  <c r="AX35" i="9"/>
  <c r="AW35" i="9"/>
  <c r="AV35" i="9" s="1"/>
  <c r="AU35" i="9"/>
  <c r="BA35" i="9" s="1"/>
  <c r="AR35" i="9"/>
  <c r="AQ35" i="9"/>
  <c r="AN35" i="9"/>
  <c r="AM35" i="9"/>
  <c r="AK35" i="9"/>
  <c r="AJ35" i="9" s="1"/>
  <c r="AG35" i="9"/>
  <c r="AD35" i="9"/>
  <c r="AC35" i="9"/>
  <c r="Z35" i="9"/>
  <c r="AF35" i="9" s="1"/>
  <c r="W35" i="9"/>
  <c r="V35" i="9" s="1"/>
  <c r="S35" i="9"/>
  <c r="P35" i="9"/>
  <c r="O35" i="9"/>
  <c r="L35" i="9"/>
  <c r="J35" i="9"/>
  <c r="I35" i="9"/>
  <c r="CO34" i="9"/>
  <c r="CN34" i="9"/>
  <c r="CK34" i="9"/>
  <c r="CH34" i="9"/>
  <c r="CG34" i="9"/>
  <c r="CD34" i="9"/>
  <c r="CC34" i="9"/>
  <c r="CA34" i="9"/>
  <c r="BZ34" i="9" s="1"/>
  <c r="BW34" i="9"/>
  <c r="BY34" i="9" s="1"/>
  <c r="BX34" i="9" s="1"/>
  <c r="BT34" i="9"/>
  <c r="BS34" i="9"/>
  <c r="BR34" i="9"/>
  <c r="BQ34" i="9" s="1"/>
  <c r="BP34" i="9"/>
  <c r="BV34" i="9" s="1"/>
  <c r="BM34" i="9"/>
  <c r="BL34" i="9"/>
  <c r="BI34" i="9"/>
  <c r="BF34" i="9"/>
  <c r="BE34" i="9" s="1"/>
  <c r="BB34" i="9"/>
  <c r="BH34" i="9" s="1"/>
  <c r="BA34" i="9"/>
  <c r="AY34" i="9"/>
  <c r="AX34" i="9"/>
  <c r="AU34" i="9"/>
  <c r="AW34" i="9" s="1"/>
  <c r="AV34" i="9" s="1"/>
  <c r="AR34" i="9"/>
  <c r="AQ34" i="9" s="1"/>
  <c r="AN34" i="9"/>
  <c r="AM34" i="9"/>
  <c r="AK34" i="9"/>
  <c r="AJ34" i="9"/>
  <c r="AI34" i="9"/>
  <c r="AG34" i="9"/>
  <c r="AD34" i="9"/>
  <c r="AC34" i="9"/>
  <c r="Z34" i="9"/>
  <c r="Y34" i="9"/>
  <c r="W34" i="9"/>
  <c r="V34" i="9" s="1"/>
  <c r="U34" i="9"/>
  <c r="T34" i="9" s="1"/>
  <c r="S34" i="9"/>
  <c r="P34" i="9"/>
  <c r="L34" i="9"/>
  <c r="N34" i="9" s="1"/>
  <c r="M34" i="9" s="1"/>
  <c r="J34" i="9"/>
  <c r="E34" i="9"/>
  <c r="K34" i="9" s="1"/>
  <c r="CO33" i="9"/>
  <c r="CN33" i="9"/>
  <c r="CK33" i="9"/>
  <c r="CQ33" i="9" s="1"/>
  <c r="CH33" i="9"/>
  <c r="CG33" i="9"/>
  <c r="CD33" i="9"/>
  <c r="CJ33" i="9" s="1"/>
  <c r="CC33" i="9"/>
  <c r="CA33" i="9"/>
  <c r="BZ33" i="9" s="1"/>
  <c r="BW33" i="9"/>
  <c r="BT33" i="9"/>
  <c r="BS33" i="9"/>
  <c r="BR33" i="9"/>
  <c r="BP33" i="9"/>
  <c r="BV33" i="9" s="1"/>
  <c r="BM33" i="9"/>
  <c r="BL33" i="9" s="1"/>
  <c r="BI33" i="9"/>
  <c r="BO33" i="9" s="1"/>
  <c r="BF33" i="9"/>
  <c r="BE33" i="9"/>
  <c r="BD33" i="9"/>
  <c r="BC33" i="9" s="1"/>
  <c r="BB33" i="9"/>
  <c r="BH33" i="9" s="1"/>
  <c r="AY33" i="9"/>
  <c r="AX33" i="9"/>
  <c r="AU33" i="9"/>
  <c r="AR33" i="9"/>
  <c r="AQ33" i="9" s="1"/>
  <c r="AP33" i="9"/>
  <c r="AN33" i="9"/>
  <c r="AT33" i="9" s="1"/>
  <c r="AK33" i="9"/>
  <c r="AJ33" i="9" s="1"/>
  <c r="H33" i="9" s="1"/>
  <c r="AI33" i="9"/>
  <c r="AH33" i="9" s="1"/>
  <c r="AG33" i="9"/>
  <c r="AM33" i="9" s="1"/>
  <c r="AD33" i="9"/>
  <c r="AC33" i="9"/>
  <c r="AB33" i="9"/>
  <c r="Z33" i="9"/>
  <c r="AA33" i="9" s="1"/>
  <c r="Y33" i="9"/>
  <c r="W33" i="9"/>
  <c r="V33" i="9" s="1"/>
  <c r="S33" i="9"/>
  <c r="Q33" i="9"/>
  <c r="P33" i="9"/>
  <c r="O33" i="9"/>
  <c r="L33" i="9"/>
  <c r="N33" i="9" s="1"/>
  <c r="CQ32" i="9"/>
  <c r="CO32" i="9"/>
  <c r="CN32" i="9"/>
  <c r="CM32" i="9"/>
  <c r="CK32" i="9"/>
  <c r="CJ32" i="9"/>
  <c r="CH32" i="9"/>
  <c r="CG32" i="9" s="1"/>
  <c r="CD32" i="9"/>
  <c r="CF32" i="9" s="1"/>
  <c r="CA32" i="9"/>
  <c r="BZ32" i="9"/>
  <c r="BW32" i="9"/>
  <c r="CC32" i="9" s="1"/>
  <c r="BT32" i="9"/>
  <c r="BS32" i="9" s="1"/>
  <c r="BP32" i="9"/>
  <c r="BO32" i="9"/>
  <c r="BM32" i="9"/>
  <c r="BL32" i="9"/>
  <c r="BK32" i="9"/>
  <c r="BI32" i="9"/>
  <c r="BF32" i="9"/>
  <c r="BE32" i="9"/>
  <c r="BB32" i="9"/>
  <c r="BH32" i="9" s="1"/>
  <c r="AY32" i="9"/>
  <c r="AX32" i="9"/>
  <c r="AU32" i="9"/>
  <c r="AR32" i="9"/>
  <c r="AQ32" i="9" s="1"/>
  <c r="AO32" i="9"/>
  <c r="AN32" i="9"/>
  <c r="AP32" i="9" s="1"/>
  <c r="AL32" i="9"/>
  <c r="AK32" i="9"/>
  <c r="AJ32" i="9"/>
  <c r="AG32" i="9"/>
  <c r="AE32" i="9"/>
  <c r="Z32" i="9"/>
  <c r="X32" i="9"/>
  <c r="W32" i="9"/>
  <c r="S32" i="9"/>
  <c r="U32" i="9" s="1"/>
  <c r="T32" i="9" s="1"/>
  <c r="Q32" i="9"/>
  <c r="P32" i="9"/>
  <c r="O32" i="9"/>
  <c r="M32" i="9"/>
  <c r="L32" i="9"/>
  <c r="N32" i="9" s="1"/>
  <c r="CU31" i="9"/>
  <c r="CQ31" i="9"/>
  <c r="CO31" i="9"/>
  <c r="CN31" i="9"/>
  <c r="CK31" i="9"/>
  <c r="CM31" i="9" s="1"/>
  <c r="CL31" i="9" s="1"/>
  <c r="CH31" i="9"/>
  <c r="CG31" i="9"/>
  <c r="CD31" i="9"/>
  <c r="CC31" i="9"/>
  <c r="CA31" i="9"/>
  <c r="BZ31" i="9"/>
  <c r="BW31" i="9"/>
  <c r="BY31" i="9" s="1"/>
  <c r="BT31" i="9"/>
  <c r="BS31" i="9"/>
  <c r="BP31" i="9"/>
  <c r="BM31" i="9"/>
  <c r="BL31" i="9"/>
  <c r="BI31" i="9"/>
  <c r="BH31" i="9"/>
  <c r="BF31" i="9"/>
  <c r="BE31" i="9" s="1"/>
  <c r="BB31" i="9"/>
  <c r="AY31" i="9"/>
  <c r="AX31" i="9"/>
  <c r="AU31" i="9"/>
  <c r="AR31" i="9"/>
  <c r="AQ31" i="9" s="1"/>
  <c r="AN31" i="9"/>
  <c r="AK31" i="9"/>
  <c r="AJ31" i="9"/>
  <c r="AG31" i="9"/>
  <c r="AF31" i="9"/>
  <c r="AD31" i="9"/>
  <c r="AC31" i="9" s="1"/>
  <c r="Z31" i="9"/>
  <c r="AB31" i="9" s="1"/>
  <c r="W31" i="9"/>
  <c r="V31" i="9"/>
  <c r="U31" i="9"/>
  <c r="T31" i="9" s="1"/>
  <c r="S31" i="9"/>
  <c r="P31" i="9"/>
  <c r="O31" i="9"/>
  <c r="L31" i="9"/>
  <c r="J31" i="9"/>
  <c r="CU30" i="9"/>
  <c r="CT30" i="9"/>
  <c r="CS30" i="9"/>
  <c r="CQ30" i="9"/>
  <c r="CO30" i="9"/>
  <c r="CN30" i="9" s="1"/>
  <c r="CM30" i="9"/>
  <c r="CK30" i="9"/>
  <c r="CH30" i="9"/>
  <c r="CG30" i="9"/>
  <c r="CF30" i="9"/>
  <c r="CE30" i="9" s="1"/>
  <c r="CD30" i="9"/>
  <c r="CJ30" i="9" s="1"/>
  <c r="CA30" i="9"/>
  <c r="BZ30" i="9"/>
  <c r="BW30" i="9"/>
  <c r="CC30" i="9" s="1"/>
  <c r="BT30" i="9"/>
  <c r="BS30" i="9" s="1"/>
  <c r="BP30" i="9"/>
  <c r="BV30" i="9" s="1"/>
  <c r="BO30" i="9"/>
  <c r="BM30" i="9"/>
  <c r="BL30" i="9" s="1"/>
  <c r="BK30" i="9"/>
  <c r="BI30" i="9"/>
  <c r="BF30" i="9"/>
  <c r="BE30" i="9" s="1"/>
  <c r="BB30" i="9"/>
  <c r="BH30" i="9" s="1"/>
  <c r="AY30" i="9"/>
  <c r="AX30" i="9"/>
  <c r="AU30" i="9"/>
  <c r="BA30" i="9" s="1"/>
  <c r="AR30" i="9"/>
  <c r="AQ30" i="9" s="1"/>
  <c r="AN30" i="9"/>
  <c r="AT30" i="9" s="1"/>
  <c r="AM30" i="9"/>
  <c r="AK30" i="9"/>
  <c r="AJ30" i="9"/>
  <c r="AG30" i="9"/>
  <c r="AD30" i="9"/>
  <c r="AC30" i="9" s="1"/>
  <c r="AB30" i="9"/>
  <c r="Z30" i="9"/>
  <c r="AF30" i="9" s="1"/>
  <c r="W30" i="9"/>
  <c r="V30" i="9"/>
  <c r="U30" i="9"/>
  <c r="T30" i="9" s="1"/>
  <c r="S30" i="9"/>
  <c r="Y30" i="9" s="1"/>
  <c r="P30" i="9"/>
  <c r="O30" i="9" s="1"/>
  <c r="L30" i="9"/>
  <c r="J30" i="9"/>
  <c r="CO29" i="9"/>
  <c r="CN29" i="9" s="1"/>
  <c r="CK29" i="9"/>
  <c r="CH29" i="9"/>
  <c r="CG29" i="9" s="1"/>
  <c r="CD29" i="9"/>
  <c r="CC29" i="9"/>
  <c r="CA29" i="9"/>
  <c r="BZ29" i="9"/>
  <c r="BW29" i="9"/>
  <c r="BY29" i="9" s="1"/>
  <c r="BT29" i="9"/>
  <c r="BS29" i="9"/>
  <c r="BP29" i="9"/>
  <c r="BV29" i="9" s="1"/>
  <c r="BO29" i="9"/>
  <c r="BM29" i="9"/>
  <c r="BL29" i="9" s="1"/>
  <c r="BI29" i="9"/>
  <c r="BF29" i="9"/>
  <c r="BE29" i="9"/>
  <c r="BD29" i="9"/>
  <c r="BB29" i="9"/>
  <c r="BA29" i="9"/>
  <c r="AY29" i="9"/>
  <c r="AX29" i="9" s="1"/>
  <c r="AW29" i="9"/>
  <c r="AV29" i="9" s="1"/>
  <c r="AU29" i="9"/>
  <c r="AR29" i="9"/>
  <c r="AQ29" i="9"/>
  <c r="AN29" i="9"/>
  <c r="AT29" i="9" s="1"/>
  <c r="AK29" i="9"/>
  <c r="AJ29" i="9" s="1"/>
  <c r="AG29" i="9"/>
  <c r="AD29" i="9"/>
  <c r="AC29" i="9" s="1"/>
  <c r="Z29" i="9"/>
  <c r="Y29" i="9"/>
  <c r="W29" i="9"/>
  <c r="V29" i="9"/>
  <c r="S29" i="9"/>
  <c r="U29" i="9" s="1"/>
  <c r="P29" i="9"/>
  <c r="O29" i="9"/>
  <c r="L29" i="9"/>
  <c r="E29" i="9" s="1"/>
  <c r="K29" i="9"/>
  <c r="J29" i="9"/>
  <c r="CO28" i="9"/>
  <c r="CN28" i="9"/>
  <c r="CK28" i="9"/>
  <c r="CJ28" i="9"/>
  <c r="CH28" i="9"/>
  <c r="CG28" i="9" s="1"/>
  <c r="CD28" i="9"/>
  <c r="CA28" i="9"/>
  <c r="BZ28" i="9"/>
  <c r="BW28" i="9"/>
  <c r="BV28" i="9"/>
  <c r="BT28" i="9"/>
  <c r="BS28" i="9" s="1"/>
  <c r="BP28" i="9"/>
  <c r="BR28" i="9" s="1"/>
  <c r="BM28" i="9"/>
  <c r="BL28" i="9"/>
  <c r="BK28" i="9"/>
  <c r="BJ28" i="9" s="1"/>
  <c r="BI28" i="9"/>
  <c r="BO28" i="9" s="1"/>
  <c r="BF28" i="9"/>
  <c r="BE28" i="9" s="1"/>
  <c r="BB28" i="9"/>
  <c r="AY28" i="9"/>
  <c r="AX28" i="9"/>
  <c r="AW28" i="9"/>
  <c r="AU28" i="9"/>
  <c r="AT28" i="9"/>
  <c r="AR28" i="9"/>
  <c r="AQ28" i="9"/>
  <c r="AN28" i="9"/>
  <c r="AP28" i="9" s="1"/>
  <c r="AO28" i="9" s="1"/>
  <c r="AK28" i="9"/>
  <c r="AJ28" i="9"/>
  <c r="AG28" i="9"/>
  <c r="AM28" i="9" s="1"/>
  <c r="AF28" i="9"/>
  <c r="AD28" i="9"/>
  <c r="AC28" i="9" s="1"/>
  <c r="Z28" i="9"/>
  <c r="W28" i="9"/>
  <c r="V28" i="9" s="1"/>
  <c r="S28" i="9"/>
  <c r="R28" i="9"/>
  <c r="P28" i="9"/>
  <c r="I28" i="9" s="1"/>
  <c r="O28" i="9"/>
  <c r="N28" i="9"/>
  <c r="L28" i="9"/>
  <c r="J28" i="9"/>
  <c r="CO27" i="9"/>
  <c r="CN27" i="9" s="1"/>
  <c r="CM27" i="9"/>
  <c r="CK27" i="9"/>
  <c r="CQ27" i="9" s="1"/>
  <c r="CH27" i="9"/>
  <c r="CG27" i="9"/>
  <c r="CF27" i="9"/>
  <c r="CE27" i="9" s="1"/>
  <c r="CD27" i="9"/>
  <c r="CJ27" i="9" s="1"/>
  <c r="CA27" i="9"/>
  <c r="BZ27" i="9" s="1"/>
  <c r="BW27" i="9"/>
  <c r="BV27" i="9"/>
  <c r="BT27" i="9"/>
  <c r="BS27" i="9" s="1"/>
  <c r="BR27" i="9"/>
  <c r="BP27" i="9"/>
  <c r="BM27" i="9"/>
  <c r="BL27" i="9"/>
  <c r="BI27" i="9"/>
  <c r="BO27" i="9" s="1"/>
  <c r="BF27" i="9"/>
  <c r="BE27" i="9"/>
  <c r="BB27" i="9"/>
  <c r="BH27" i="9" s="1"/>
  <c r="AY27" i="9"/>
  <c r="AX27" i="9" s="1"/>
  <c r="AU27" i="9"/>
  <c r="BA27" i="9" s="1"/>
  <c r="AT27" i="9"/>
  <c r="AR27" i="9"/>
  <c r="AQ27" i="9"/>
  <c r="AP27" i="9"/>
  <c r="AN27" i="9"/>
  <c r="AK27" i="9"/>
  <c r="AJ27" i="9" s="1"/>
  <c r="AG27" i="9"/>
  <c r="AM27" i="9" s="1"/>
  <c r="AD27" i="9"/>
  <c r="AC27" i="9"/>
  <c r="Z27" i="9"/>
  <c r="AF27" i="9" s="1"/>
  <c r="W27" i="9"/>
  <c r="V27" i="9" s="1"/>
  <c r="S27" i="9"/>
  <c r="B27" i="9" s="1"/>
  <c r="Q27" i="9"/>
  <c r="P27" i="9" s="1"/>
  <c r="I27" i="9" s="1"/>
  <c r="L27" i="9"/>
  <c r="N27" i="9" s="1"/>
  <c r="CO26" i="9"/>
  <c r="CN26" i="9" s="1"/>
  <c r="CK26" i="9"/>
  <c r="CM26" i="9" s="1"/>
  <c r="CH26" i="9"/>
  <c r="CG26" i="9"/>
  <c r="CD26" i="9"/>
  <c r="CJ26" i="9" s="1"/>
  <c r="CA26" i="9"/>
  <c r="BZ26" i="9"/>
  <c r="BY26" i="9"/>
  <c r="BX26" i="9" s="1"/>
  <c r="BW26" i="9"/>
  <c r="CC26" i="9" s="1"/>
  <c r="BT26" i="9"/>
  <c r="BS26" i="9"/>
  <c r="BP26" i="9"/>
  <c r="BO26" i="9"/>
  <c r="BM26" i="9"/>
  <c r="BL26" i="9" s="1"/>
  <c r="BI26" i="9"/>
  <c r="BK26" i="9" s="1"/>
  <c r="BF26" i="9"/>
  <c r="BE26" i="9"/>
  <c r="BD26" i="9"/>
  <c r="BC26" i="9" s="1"/>
  <c r="BB26" i="9"/>
  <c r="BH26" i="9" s="1"/>
  <c r="AY26" i="9"/>
  <c r="AX26" i="9"/>
  <c r="AU26" i="9"/>
  <c r="BA26" i="9" s="1"/>
  <c r="AR26" i="9"/>
  <c r="AQ26" i="9"/>
  <c r="AN26" i="9"/>
  <c r="AM26" i="9"/>
  <c r="AK26" i="9"/>
  <c r="AJ26" i="9" s="1"/>
  <c r="AG26" i="9"/>
  <c r="AI26" i="9" s="1"/>
  <c r="AE26" i="9"/>
  <c r="AD26" i="9"/>
  <c r="AB26" i="9"/>
  <c r="Z26" i="9"/>
  <c r="X26" i="9"/>
  <c r="U26" i="9"/>
  <c r="T26" i="9" s="1"/>
  <c r="S26" i="9"/>
  <c r="Q26" i="9"/>
  <c r="P26" i="9"/>
  <c r="O26" i="9" s="1"/>
  <c r="L26" i="9"/>
  <c r="R26" i="9" s="1"/>
  <c r="CQ25" i="9"/>
  <c r="CO25" i="9"/>
  <c r="CN25" i="9"/>
  <c r="CM25" i="9"/>
  <c r="CK25" i="9"/>
  <c r="CH25" i="9"/>
  <c r="CG25" i="9"/>
  <c r="CD25" i="9"/>
  <c r="CJ25" i="9" s="1"/>
  <c r="CA25" i="9"/>
  <c r="BZ25" i="9" s="1"/>
  <c r="BW25" i="9"/>
  <c r="BY25" i="9" s="1"/>
  <c r="BT25" i="9"/>
  <c r="BS25" i="9" s="1"/>
  <c r="BR25" i="9"/>
  <c r="BP25" i="9"/>
  <c r="BO25" i="9"/>
  <c r="BM25" i="9"/>
  <c r="BL25" i="9"/>
  <c r="BK25" i="9"/>
  <c r="BJ25" i="9" s="1"/>
  <c r="BI25" i="9"/>
  <c r="BF25" i="9"/>
  <c r="BE25" i="9"/>
  <c r="BB25" i="9"/>
  <c r="BA25" i="9"/>
  <c r="AY25" i="9"/>
  <c r="AX25" i="9" s="1"/>
  <c r="AU25" i="9"/>
  <c r="AW25" i="9" s="1"/>
  <c r="AR25" i="9"/>
  <c r="AQ25" i="9" s="1"/>
  <c r="AP25" i="9"/>
  <c r="AN25" i="9"/>
  <c r="AM25" i="9"/>
  <c r="AK25" i="9"/>
  <c r="AJ25" i="9"/>
  <c r="AI25" i="9"/>
  <c r="AH25" i="9" s="1"/>
  <c r="AG25" i="9"/>
  <c r="AD25" i="9"/>
  <c r="AC25" i="9"/>
  <c r="Z25" i="9"/>
  <c r="AF25" i="9" s="1"/>
  <c r="W25" i="9"/>
  <c r="V25" i="9" s="1"/>
  <c r="S25" i="9"/>
  <c r="U25" i="9" s="1"/>
  <c r="Q25" i="9"/>
  <c r="P25" i="9" s="1"/>
  <c r="I25" i="9" s="1"/>
  <c r="L25" i="9"/>
  <c r="R25" i="9" s="1"/>
  <c r="J25" i="9"/>
  <c r="CO24" i="9"/>
  <c r="CN24" i="9" s="1"/>
  <c r="CK24" i="9"/>
  <c r="CJ24" i="9"/>
  <c r="CH24" i="9"/>
  <c r="CG24" i="9" s="1"/>
  <c r="CF24" i="9"/>
  <c r="CE24" i="9" s="1"/>
  <c r="CD24" i="9"/>
  <c r="CA24" i="9"/>
  <c r="BZ24" i="9"/>
  <c r="BW24" i="9"/>
  <c r="CC24" i="9" s="1"/>
  <c r="BT24" i="9"/>
  <c r="BS24" i="9"/>
  <c r="BP24" i="9"/>
  <c r="BM24" i="9"/>
  <c r="BL24" i="9" s="1"/>
  <c r="BI24" i="9"/>
  <c r="BO24" i="9" s="1"/>
  <c r="BF24" i="9"/>
  <c r="BE24" i="9" s="1"/>
  <c r="BD24" i="9"/>
  <c r="BC24" i="9" s="1"/>
  <c r="BB24" i="9"/>
  <c r="BH24" i="9" s="1"/>
  <c r="AY24" i="9"/>
  <c r="AX24" i="9" s="1"/>
  <c r="AU24" i="9"/>
  <c r="BA24" i="9" s="1"/>
  <c r="AR24" i="9"/>
  <c r="AQ24" i="9"/>
  <c r="AN24" i="9"/>
  <c r="AT24" i="9" s="1"/>
  <c r="AK24" i="9"/>
  <c r="AJ24" i="9" s="1"/>
  <c r="AG24" i="9"/>
  <c r="AM24" i="9" s="1"/>
  <c r="AD24" i="9"/>
  <c r="AC24" i="9"/>
  <c r="AB24" i="9"/>
  <c r="AA24" i="9" s="1"/>
  <c r="Z24" i="9"/>
  <c r="AF24" i="9" s="1"/>
  <c r="W24" i="9"/>
  <c r="I24" i="9" s="1"/>
  <c r="S24" i="9"/>
  <c r="Y24" i="9" s="1"/>
  <c r="P24" i="9"/>
  <c r="O24" i="9"/>
  <c r="N24" i="9"/>
  <c r="L24" i="9"/>
  <c r="J24" i="9"/>
  <c r="CO23" i="9"/>
  <c r="CN23" i="9"/>
  <c r="CK23" i="9"/>
  <c r="CH23" i="9"/>
  <c r="CG23" i="9" s="1"/>
  <c r="CD23" i="9"/>
  <c r="CC23" i="9"/>
  <c r="CA23" i="9"/>
  <c r="BZ23" i="9" s="1"/>
  <c r="BY23" i="9"/>
  <c r="BX23" i="9" s="1"/>
  <c r="BW23" i="9"/>
  <c r="BT23" i="9"/>
  <c r="BS23" i="9"/>
  <c r="BP23" i="9"/>
  <c r="BV23" i="9" s="1"/>
  <c r="BM23" i="9"/>
  <c r="BL23" i="9"/>
  <c r="BI23" i="9"/>
  <c r="BO23" i="9" s="1"/>
  <c r="BF23" i="9"/>
  <c r="BE23" i="9" s="1"/>
  <c r="BB23" i="9"/>
  <c r="BH23" i="9" s="1"/>
  <c r="BA23" i="9"/>
  <c r="AY23" i="9"/>
  <c r="AX23" i="9"/>
  <c r="AW23" i="9"/>
  <c r="AV23" i="9" s="1"/>
  <c r="AU23" i="9"/>
  <c r="AR23" i="9"/>
  <c r="AQ23" i="9" s="1"/>
  <c r="AN23" i="9"/>
  <c r="AT23" i="9" s="1"/>
  <c r="AK23" i="9"/>
  <c r="AJ23" i="9"/>
  <c r="AG23" i="9"/>
  <c r="AM23" i="9" s="1"/>
  <c r="AD23" i="9"/>
  <c r="AC23" i="9" s="1"/>
  <c r="Z23" i="9"/>
  <c r="W23" i="9"/>
  <c r="V23" i="9" s="1"/>
  <c r="H23" i="9" s="1"/>
  <c r="S23" i="9"/>
  <c r="P23" i="9"/>
  <c r="O23" i="9" s="1"/>
  <c r="L23" i="9"/>
  <c r="J23" i="9"/>
  <c r="CO22" i="9"/>
  <c r="CN22" i="9" s="1"/>
  <c r="CK22" i="9"/>
  <c r="CQ22" i="9" s="1"/>
  <c r="CH22" i="9"/>
  <c r="CG22" i="9"/>
  <c r="CD22" i="9"/>
  <c r="CC22" i="9"/>
  <c r="CA22" i="9"/>
  <c r="BZ22" i="9" s="1"/>
  <c r="BW22" i="9"/>
  <c r="BT22" i="9"/>
  <c r="BS22" i="9"/>
  <c r="BR22" i="9"/>
  <c r="BQ22" i="9" s="1"/>
  <c r="BP22" i="9"/>
  <c r="BV22" i="9" s="1"/>
  <c r="BM22" i="9"/>
  <c r="BL22" i="9" s="1"/>
  <c r="BK22" i="9"/>
  <c r="BJ22" i="9" s="1"/>
  <c r="BI22" i="9"/>
  <c r="BO22" i="9" s="1"/>
  <c r="BF22" i="9"/>
  <c r="BE22" i="9"/>
  <c r="BB22" i="9"/>
  <c r="BH22" i="9" s="1"/>
  <c r="BA22" i="9"/>
  <c r="AY22" i="9"/>
  <c r="AX22" i="9" s="1"/>
  <c r="AU22" i="9"/>
  <c r="AR22" i="9"/>
  <c r="AQ22" i="9"/>
  <c r="AP22" i="9"/>
  <c r="AO22" i="9" s="1"/>
  <c r="AN22" i="9"/>
  <c r="AT22" i="9" s="1"/>
  <c r="AK22" i="9"/>
  <c r="AJ22" i="9" s="1"/>
  <c r="AG22" i="9"/>
  <c r="AE22" i="9"/>
  <c r="AD22" i="9"/>
  <c r="AC22" i="9"/>
  <c r="Z22" i="9"/>
  <c r="Y22" i="9"/>
  <c r="W22" i="9"/>
  <c r="V22" i="9" s="1"/>
  <c r="S22" i="9"/>
  <c r="U22" i="9" s="1"/>
  <c r="Q22" i="9"/>
  <c r="P22" i="9" s="1"/>
  <c r="O22" i="9" s="1"/>
  <c r="L22" i="9"/>
  <c r="J22" i="9"/>
  <c r="CO21" i="9"/>
  <c r="CN21" i="9"/>
  <c r="CK21" i="9"/>
  <c r="CQ21" i="9" s="1"/>
  <c r="CH21" i="9"/>
  <c r="CG21" i="9"/>
  <c r="CD21" i="9"/>
  <c r="CA21" i="9"/>
  <c r="BZ21" i="9" s="1"/>
  <c r="BW21" i="9"/>
  <c r="CC21" i="9" s="1"/>
  <c r="BV21" i="9"/>
  <c r="BT21" i="9"/>
  <c r="BS21" i="9"/>
  <c r="BR21" i="9"/>
  <c r="BQ21" i="9" s="1"/>
  <c r="BP21" i="9"/>
  <c r="BM21" i="9"/>
  <c r="BL21" i="9"/>
  <c r="BI21" i="9"/>
  <c r="BH21" i="9"/>
  <c r="BF21" i="9"/>
  <c r="BE21" i="9" s="1"/>
  <c r="BB21" i="9"/>
  <c r="BD21" i="9" s="1"/>
  <c r="BC21" i="9" s="1"/>
  <c r="AY21" i="9"/>
  <c r="AX21" i="9"/>
  <c r="AU21" i="9"/>
  <c r="BA21" i="9" s="1"/>
  <c r="AR21" i="9"/>
  <c r="AQ21" i="9"/>
  <c r="AN21" i="9"/>
  <c r="AT21" i="9" s="1"/>
  <c r="AK21" i="9"/>
  <c r="AJ21" i="9" s="1"/>
  <c r="AG21" i="9"/>
  <c r="AM21" i="9" s="1"/>
  <c r="AF21" i="9"/>
  <c r="AD21" i="9"/>
  <c r="AC21" i="9" s="1"/>
  <c r="AB21" i="9"/>
  <c r="AA21" i="9" s="1"/>
  <c r="Z21" i="9"/>
  <c r="W21" i="9"/>
  <c r="V21" i="9" s="1"/>
  <c r="S21" i="9"/>
  <c r="Q21" i="9"/>
  <c r="P21" i="9"/>
  <c r="O21" i="9"/>
  <c r="L21" i="9"/>
  <c r="R21" i="9" s="1"/>
  <c r="J21" i="9"/>
  <c r="CO20" i="9"/>
  <c r="CN20" i="9"/>
  <c r="CK20" i="9"/>
  <c r="CH20" i="9"/>
  <c r="CG20" i="9" s="1"/>
  <c r="CD20" i="9"/>
  <c r="CC20" i="9"/>
  <c r="CA20" i="9"/>
  <c r="BZ20" i="9" s="1"/>
  <c r="BW20" i="9"/>
  <c r="BY20" i="9" s="1"/>
  <c r="BT20" i="9"/>
  <c r="BS20" i="9"/>
  <c r="BR20" i="9"/>
  <c r="BQ20" i="9" s="1"/>
  <c r="BP20" i="9"/>
  <c r="BV20" i="9" s="1"/>
  <c r="BM20" i="9"/>
  <c r="BL20" i="9"/>
  <c r="BI20" i="9"/>
  <c r="BF20" i="9"/>
  <c r="BE20" i="9" s="1"/>
  <c r="BB20" i="9"/>
  <c r="BH20" i="9" s="1"/>
  <c r="AY20" i="9"/>
  <c r="AX20" i="9"/>
  <c r="AU20" i="9"/>
  <c r="AR20" i="9"/>
  <c r="AQ20" i="9" s="1"/>
  <c r="AN20" i="9"/>
  <c r="AK20" i="9"/>
  <c r="AJ20" i="9" s="1"/>
  <c r="AG20" i="9"/>
  <c r="AM20" i="9" s="1"/>
  <c r="AD20" i="9"/>
  <c r="AC20" i="9" s="1"/>
  <c r="AB20" i="9"/>
  <c r="AA20" i="9" s="1"/>
  <c r="Z20" i="9"/>
  <c r="AF20" i="9" s="1"/>
  <c r="W20" i="9"/>
  <c r="V20" i="9" s="1"/>
  <c r="S20" i="9"/>
  <c r="P20" i="9"/>
  <c r="O20" i="9"/>
  <c r="H20" i="9" s="1"/>
  <c r="L20" i="9"/>
  <c r="R20" i="9" s="1"/>
  <c r="J20" i="9"/>
  <c r="CO19" i="9"/>
  <c r="CN19" i="9"/>
  <c r="CK19" i="9"/>
  <c r="CH19" i="9"/>
  <c r="CG19" i="9" s="1"/>
  <c r="CD19" i="9"/>
  <c r="CC19" i="9"/>
  <c r="CA19" i="9"/>
  <c r="BZ19" i="9" s="1"/>
  <c r="BW19" i="9"/>
  <c r="BY19" i="9" s="1"/>
  <c r="BX19" i="9" s="1"/>
  <c r="BT19" i="9"/>
  <c r="BS19" i="9" s="1"/>
  <c r="BP19" i="9"/>
  <c r="BM19" i="9"/>
  <c r="BL19" i="9" s="1"/>
  <c r="BI19" i="9"/>
  <c r="BF19" i="9"/>
  <c r="BE19" i="9" s="1"/>
  <c r="BD19" i="9"/>
  <c r="BC19" i="9" s="1"/>
  <c r="BB19" i="9"/>
  <c r="BH19" i="9" s="1"/>
  <c r="AY19" i="9"/>
  <c r="AX19" i="9" s="1"/>
  <c r="AU19" i="9"/>
  <c r="AR19" i="9"/>
  <c r="AQ19" i="9" s="1"/>
  <c r="AN19" i="9"/>
  <c r="AK19" i="9"/>
  <c r="AJ19" i="9"/>
  <c r="AG19" i="9"/>
  <c r="AD19" i="9"/>
  <c r="AC19" i="9"/>
  <c r="AB19" i="9"/>
  <c r="Z19" i="9"/>
  <c r="AF19" i="9" s="1"/>
  <c r="W19" i="9"/>
  <c r="V19" i="9" s="1"/>
  <c r="S19" i="9"/>
  <c r="P19" i="9"/>
  <c r="I19" i="9" s="1"/>
  <c r="N19" i="9"/>
  <c r="L19" i="9"/>
  <c r="R19" i="9" s="1"/>
  <c r="J19" i="9"/>
  <c r="CO18" i="9"/>
  <c r="CN18" i="9" s="1"/>
  <c r="CK18" i="9"/>
  <c r="CH18" i="9"/>
  <c r="CG18" i="9" s="1"/>
  <c r="CD18" i="9"/>
  <c r="CA18" i="9"/>
  <c r="BZ18" i="9" s="1"/>
  <c r="BY18" i="9"/>
  <c r="BX18" i="9" s="1"/>
  <c r="BW18" i="9"/>
  <c r="CC18" i="9" s="1"/>
  <c r="BT18" i="9"/>
  <c r="BS18" i="9" s="1"/>
  <c r="BP18" i="9"/>
  <c r="BV18" i="9" s="1"/>
  <c r="BM18" i="9"/>
  <c r="BL18" i="9" s="1"/>
  <c r="BI18" i="9"/>
  <c r="BF18" i="9"/>
  <c r="BE18" i="9"/>
  <c r="BD18" i="9"/>
  <c r="BC18" i="9" s="1"/>
  <c r="BB18" i="9"/>
  <c r="BH18" i="9" s="1"/>
  <c r="AY18" i="9"/>
  <c r="AX18" i="9"/>
  <c r="AW18" i="9"/>
  <c r="AV18" i="9" s="1"/>
  <c r="AU18" i="9"/>
  <c r="BA18" i="9" s="1"/>
  <c r="AR18" i="9"/>
  <c r="AQ18" i="9" s="1"/>
  <c r="AN18" i="9"/>
  <c r="AM18" i="9"/>
  <c r="AK18" i="9"/>
  <c r="AJ18" i="9" s="1"/>
  <c r="H18" i="9" s="1"/>
  <c r="AI18" i="9"/>
  <c r="AG18" i="9"/>
  <c r="AD18" i="9"/>
  <c r="AC18" i="9"/>
  <c r="Z18" i="9"/>
  <c r="AF18" i="9" s="1"/>
  <c r="W18" i="9"/>
  <c r="V18" i="9" s="1"/>
  <c r="S18" i="9"/>
  <c r="E18" i="9" s="1"/>
  <c r="K18" i="9" s="1"/>
  <c r="R18" i="9"/>
  <c r="P18" i="9"/>
  <c r="O18" i="9" s="1"/>
  <c r="L18" i="9"/>
  <c r="N18" i="9" s="1"/>
  <c r="J18" i="9"/>
  <c r="I18" i="9"/>
  <c r="CO17" i="9"/>
  <c r="CN17" i="9" s="1"/>
  <c r="CK17" i="9"/>
  <c r="CQ17" i="9" s="1"/>
  <c r="CH17" i="9"/>
  <c r="CG17" i="9" s="1"/>
  <c r="CD17" i="9"/>
  <c r="CA17" i="9"/>
  <c r="BZ17" i="9" s="1"/>
  <c r="BW17" i="9"/>
  <c r="BT17" i="9"/>
  <c r="BS17" i="9"/>
  <c r="BR17" i="9"/>
  <c r="BQ17" i="9" s="1"/>
  <c r="BP17" i="9"/>
  <c r="BV17" i="9" s="1"/>
  <c r="BM17" i="9"/>
  <c r="BL17" i="9" s="1"/>
  <c r="BI17" i="9"/>
  <c r="BF17" i="9"/>
  <c r="I17" i="9" s="1"/>
  <c r="BE17" i="9"/>
  <c r="BB17" i="9"/>
  <c r="BH17" i="9" s="1"/>
  <c r="AY17" i="9"/>
  <c r="AX17" i="9"/>
  <c r="AU17" i="9"/>
  <c r="BA17" i="9" s="1"/>
  <c r="AR17" i="9"/>
  <c r="AQ17" i="9" s="1"/>
  <c r="AN17" i="9"/>
  <c r="AM17" i="9"/>
  <c r="AK17" i="9"/>
  <c r="AJ17" i="9" s="1"/>
  <c r="AI17" i="9"/>
  <c r="AH17" i="9" s="1"/>
  <c r="AG17" i="9"/>
  <c r="AD17" i="9"/>
  <c r="AC17" i="9"/>
  <c r="Z17" i="9"/>
  <c r="AB17" i="9" s="1"/>
  <c r="W17" i="9"/>
  <c r="V17" i="9" s="1"/>
  <c r="S17" i="9"/>
  <c r="Y17" i="9" s="1"/>
  <c r="Q17" i="9"/>
  <c r="J17" i="9" s="1"/>
  <c r="P17" i="9"/>
  <c r="O17" i="9"/>
  <c r="H17" i="9" s="1"/>
  <c r="L17" i="9"/>
  <c r="N17" i="9" s="1"/>
  <c r="M17" i="9" s="1"/>
  <c r="CU16" i="9"/>
  <c r="CT16" i="9"/>
  <c r="CS16" i="9"/>
  <c r="CO16" i="9"/>
  <c r="CN16" i="9" s="1"/>
  <c r="CM16" i="9"/>
  <c r="CK16" i="9"/>
  <c r="CQ16" i="9" s="1"/>
  <c r="CH16" i="9"/>
  <c r="CG16" i="9"/>
  <c r="CF16" i="9"/>
  <c r="CE16" i="9"/>
  <c r="CD16" i="9"/>
  <c r="CJ16" i="9" s="1"/>
  <c r="CA16" i="9"/>
  <c r="BZ16" i="9" s="1"/>
  <c r="BW16" i="9"/>
  <c r="BT16" i="9"/>
  <c r="BS16" i="9" s="1"/>
  <c r="BP16" i="9"/>
  <c r="BV16" i="9" s="1"/>
  <c r="BM16" i="9"/>
  <c r="BL16" i="9" s="1"/>
  <c r="BK16" i="9"/>
  <c r="BI16" i="9"/>
  <c r="BF16" i="9"/>
  <c r="BE16" i="9" s="1"/>
  <c r="BB16" i="9"/>
  <c r="AY16" i="9"/>
  <c r="AX16" i="9" s="1"/>
  <c r="AU16" i="9"/>
  <c r="AW16" i="9" s="1"/>
  <c r="AT16" i="9"/>
  <c r="AR16" i="9"/>
  <c r="AQ16" i="9"/>
  <c r="AP16" i="9"/>
  <c r="AO16" i="9" s="1"/>
  <c r="AN16" i="9"/>
  <c r="AL16" i="9"/>
  <c r="AK16" i="9"/>
  <c r="AJ16" i="9" s="1"/>
  <c r="AI16" i="9"/>
  <c r="AH16" i="9" s="1"/>
  <c r="AG16" i="9"/>
  <c r="AM16" i="9" s="1"/>
  <c r="AE16" i="9"/>
  <c r="AD16" i="9"/>
  <c r="AC16" i="9"/>
  <c r="Z16" i="9"/>
  <c r="X16" i="9"/>
  <c r="W16" i="9" s="1"/>
  <c r="V16" i="9" s="1"/>
  <c r="S16" i="9"/>
  <c r="Y16" i="9" s="1"/>
  <c r="R16" i="9"/>
  <c r="Q16" i="9"/>
  <c r="P16" i="9" s="1"/>
  <c r="I16" i="9" s="1"/>
  <c r="L16" i="9"/>
  <c r="N16" i="9" s="1"/>
  <c r="J16" i="9"/>
  <c r="CU15" i="9"/>
  <c r="CT15" i="9"/>
  <c r="CS15" i="9"/>
  <c r="CO15" i="9"/>
  <c r="CN15" i="9" s="1"/>
  <c r="CK15" i="9"/>
  <c r="CQ15" i="9" s="1"/>
  <c r="CH15" i="9"/>
  <c r="CG15" i="9"/>
  <c r="CD15" i="9"/>
  <c r="CJ15" i="9" s="1"/>
  <c r="CA15" i="9"/>
  <c r="BZ15" i="9" s="1"/>
  <c r="BW15" i="9"/>
  <c r="BT15" i="9"/>
  <c r="BS15" i="9" s="1"/>
  <c r="BP15" i="9"/>
  <c r="BM15" i="9"/>
  <c r="BL15" i="9"/>
  <c r="BK15" i="9"/>
  <c r="BJ15" i="9" s="1"/>
  <c r="BI15" i="9"/>
  <c r="BO15" i="9" s="1"/>
  <c r="BF15" i="9"/>
  <c r="BE15" i="9"/>
  <c r="BB15" i="9"/>
  <c r="BH15" i="9" s="1"/>
  <c r="BA15" i="9"/>
  <c r="AY15" i="9"/>
  <c r="AX15" i="9" s="1"/>
  <c r="AU15" i="9"/>
  <c r="AT15" i="9"/>
  <c r="AR15" i="9"/>
  <c r="AQ15" i="9"/>
  <c r="AN15" i="9"/>
  <c r="AP15" i="9" s="1"/>
  <c r="AO15" i="9" s="1"/>
  <c r="AL15" i="9"/>
  <c r="AK15" i="9" s="1"/>
  <c r="AI15" i="9"/>
  <c r="AH15" i="9" s="1"/>
  <c r="AG15" i="9"/>
  <c r="AE15" i="9"/>
  <c r="AD15" i="9"/>
  <c r="AC15" i="9"/>
  <c r="Z15" i="9"/>
  <c r="AF15" i="9" s="1"/>
  <c r="X15" i="9"/>
  <c r="W15" i="9"/>
  <c r="V15" i="9"/>
  <c r="S15" i="9"/>
  <c r="Q15" i="9"/>
  <c r="P15" i="9" s="1"/>
  <c r="L15" i="9"/>
  <c r="N15" i="9" s="1"/>
  <c r="CU14" i="9"/>
  <c r="CT14" i="9"/>
  <c r="CS14" i="9"/>
  <c r="CQ14" i="9"/>
  <c r="CO14" i="9"/>
  <c r="CN14" i="9"/>
  <c r="CK14" i="9"/>
  <c r="CM14" i="9" s="1"/>
  <c r="CL14" i="9" s="1"/>
  <c r="CH14" i="9"/>
  <c r="CG14" i="9"/>
  <c r="CD14" i="9"/>
  <c r="CJ14" i="9" s="1"/>
  <c r="CA14" i="9"/>
  <c r="BZ14" i="9" s="1"/>
  <c r="BW14" i="9"/>
  <c r="BT14" i="9"/>
  <c r="BS14" i="9" s="1"/>
  <c r="BP14" i="9"/>
  <c r="BR14" i="9" s="1"/>
  <c r="BO14" i="9"/>
  <c r="BM14" i="9"/>
  <c r="BL14" i="9"/>
  <c r="BK14" i="9"/>
  <c r="BJ14" i="9" s="1"/>
  <c r="BI14" i="9"/>
  <c r="BF14" i="9"/>
  <c r="BE14" i="9"/>
  <c r="BB14" i="9"/>
  <c r="BH14" i="9" s="1"/>
  <c r="AY14" i="9"/>
  <c r="AX14" i="9" s="1"/>
  <c r="AU14" i="9"/>
  <c r="AT14" i="9"/>
  <c r="AR14" i="9"/>
  <c r="AQ14" i="9" s="1"/>
  <c r="AN14" i="9"/>
  <c r="AP14" i="9" s="1"/>
  <c r="AL14" i="9"/>
  <c r="AK14" i="9"/>
  <c r="AJ14" i="9" s="1"/>
  <c r="AG14" i="9"/>
  <c r="AI14" i="9" s="1"/>
  <c r="AH14" i="9" s="1"/>
  <c r="AE14" i="9"/>
  <c r="AF14" i="9" s="1"/>
  <c r="AD14" i="9"/>
  <c r="AC14" i="9"/>
  <c r="AB14" i="9"/>
  <c r="AA14" i="9" s="1"/>
  <c r="Z14" i="9"/>
  <c r="X14" i="9"/>
  <c r="J14" i="9" s="1"/>
  <c r="W14" i="9"/>
  <c r="V14" i="9" s="1"/>
  <c r="S14" i="9"/>
  <c r="Y14" i="9" s="1"/>
  <c r="Q14" i="9"/>
  <c r="P14" i="9"/>
  <c r="I14" i="9" s="1"/>
  <c r="O14" i="9"/>
  <c r="L14" i="9"/>
  <c r="N14" i="9" s="1"/>
  <c r="E14" i="9"/>
  <c r="K14" i="9" s="1"/>
  <c r="CO13" i="9"/>
  <c r="CN13" i="9"/>
  <c r="CM13" i="9"/>
  <c r="CK13" i="9"/>
  <c r="CQ13" i="9" s="1"/>
  <c r="CH13" i="9"/>
  <c r="CG13" i="9" s="1"/>
  <c r="CD13" i="9"/>
  <c r="CA13" i="9"/>
  <c r="BZ13" i="9" s="1"/>
  <c r="BW13" i="9"/>
  <c r="BV13" i="9"/>
  <c r="BT13" i="9"/>
  <c r="BS13" i="9"/>
  <c r="BP13" i="9"/>
  <c r="BR13" i="9" s="1"/>
  <c r="BQ13" i="9" s="1"/>
  <c r="BM13" i="9"/>
  <c r="BL13" i="9"/>
  <c r="BI13" i="9"/>
  <c r="BO13" i="9" s="1"/>
  <c r="BF13" i="9"/>
  <c r="BE13" i="9" s="1"/>
  <c r="BB13" i="9"/>
  <c r="AY13" i="9"/>
  <c r="AX13" i="9" s="1"/>
  <c r="AU13" i="9"/>
  <c r="AW13" i="9" s="1"/>
  <c r="AT13" i="9"/>
  <c r="AR13" i="9"/>
  <c r="AQ13" i="9"/>
  <c r="AP13" i="9"/>
  <c r="AO13" i="9" s="1"/>
  <c r="AN13" i="9"/>
  <c r="AK13" i="9"/>
  <c r="AJ13" i="9"/>
  <c r="AG13" i="9"/>
  <c r="AD13" i="9"/>
  <c r="AC13" i="9" s="1"/>
  <c r="Z13" i="9"/>
  <c r="Y13" i="9"/>
  <c r="W13" i="9"/>
  <c r="V13" i="9" s="1"/>
  <c r="S13" i="9"/>
  <c r="U13" i="9" s="1"/>
  <c r="P13" i="9"/>
  <c r="O13" i="9" s="1"/>
  <c r="H13" i="9" s="1"/>
  <c r="L13" i="9"/>
  <c r="R13" i="9" s="1"/>
  <c r="J13" i="9"/>
  <c r="I13" i="9"/>
  <c r="CU12" i="9"/>
  <c r="CT12" i="9"/>
  <c r="CS12" i="9"/>
  <c r="CO12" i="9"/>
  <c r="CN12" i="9" s="1"/>
  <c r="CK12" i="9"/>
  <c r="CJ12" i="9"/>
  <c r="CH12" i="9"/>
  <c r="CG12" i="9"/>
  <c r="CD12" i="9"/>
  <c r="CF12" i="9" s="1"/>
  <c r="CE12" i="9" s="1"/>
  <c r="CC12" i="9"/>
  <c r="CA12" i="9"/>
  <c r="BZ12" i="9"/>
  <c r="BY12" i="9"/>
  <c r="BX12" i="9"/>
  <c r="BW12" i="9"/>
  <c r="BT12" i="9"/>
  <c r="BS12" i="9"/>
  <c r="BP12" i="9"/>
  <c r="BM12" i="9"/>
  <c r="BL12" i="9" s="1"/>
  <c r="BJ12" i="9"/>
  <c r="BI12" i="9"/>
  <c r="BK12" i="9" s="1"/>
  <c r="BF12" i="9"/>
  <c r="BE12" i="9" s="1"/>
  <c r="BB12" i="9"/>
  <c r="BH12" i="9" s="1"/>
  <c r="BA12" i="9"/>
  <c r="AY12" i="9"/>
  <c r="AX12" i="9" s="1"/>
  <c r="AW12" i="9"/>
  <c r="AV12" i="9" s="1"/>
  <c r="AU12" i="9"/>
  <c r="AR12" i="9"/>
  <c r="AQ12" i="9"/>
  <c r="AN12" i="9"/>
  <c r="AT12" i="9" s="1"/>
  <c r="AL12" i="9"/>
  <c r="AK12" i="9" s="1"/>
  <c r="AG12" i="9"/>
  <c r="AE12" i="9"/>
  <c r="AA12" i="9"/>
  <c r="Z12" i="9"/>
  <c r="AB12" i="9" s="1"/>
  <c r="W12" i="9"/>
  <c r="V12" i="9"/>
  <c r="S12" i="9"/>
  <c r="Y12" i="9" s="1"/>
  <c r="R12" i="9"/>
  <c r="Q12" i="9"/>
  <c r="J12" i="9" s="1"/>
  <c r="N12" i="9"/>
  <c r="L12" i="9"/>
  <c r="CS11" i="9"/>
  <c r="CO11" i="9"/>
  <c r="CN11" i="9"/>
  <c r="CM11" i="9"/>
  <c r="CL11" i="9" s="1"/>
  <c r="CK11" i="9"/>
  <c r="CQ11" i="9" s="1"/>
  <c r="CH11" i="9"/>
  <c r="CG11" i="9"/>
  <c r="CD11" i="9"/>
  <c r="CF11" i="9" s="1"/>
  <c r="CA11" i="9"/>
  <c r="BZ11" i="9"/>
  <c r="BW11" i="9"/>
  <c r="CC11" i="9" s="1"/>
  <c r="BT11" i="9"/>
  <c r="BS11" i="9" s="1"/>
  <c r="BQ11" i="9"/>
  <c r="BP11" i="9"/>
  <c r="BR11" i="9" s="1"/>
  <c r="BM11" i="9"/>
  <c r="BL11" i="9" s="1"/>
  <c r="BK11" i="9"/>
  <c r="BJ11" i="9" s="1"/>
  <c r="BI11" i="9"/>
  <c r="BO11" i="9" s="1"/>
  <c r="BH11" i="9"/>
  <c r="BF11" i="9"/>
  <c r="BE11" i="9" s="1"/>
  <c r="BD11" i="9"/>
  <c r="BC11" i="9" s="1"/>
  <c r="BB11" i="9"/>
  <c r="AY11" i="9"/>
  <c r="AX11" i="9"/>
  <c r="AU11" i="9"/>
  <c r="BA11" i="9" s="1"/>
  <c r="AR11" i="9"/>
  <c r="AQ11" i="9" s="1"/>
  <c r="AN11" i="9"/>
  <c r="AP11" i="9" s="1"/>
  <c r="AL11" i="9"/>
  <c r="J11" i="9" s="1"/>
  <c r="AK11" i="9"/>
  <c r="AJ11" i="9"/>
  <c r="AG11" i="9"/>
  <c r="AF11" i="9"/>
  <c r="AD11" i="9"/>
  <c r="AC11" i="9"/>
  <c r="AB11" i="9"/>
  <c r="AA11" i="9" s="1"/>
  <c r="Z11" i="9"/>
  <c r="W11" i="9"/>
  <c r="I11" i="9" s="1"/>
  <c r="S11" i="9"/>
  <c r="P11" i="9"/>
  <c r="O11" i="9" s="1"/>
  <c r="N11" i="9"/>
  <c r="M11" i="9" s="1"/>
  <c r="L11" i="9"/>
  <c r="R11" i="9" s="1"/>
  <c r="CU10" i="9"/>
  <c r="CT10" i="9"/>
  <c r="CS10" i="9"/>
  <c r="CO10" i="9"/>
  <c r="CN10" i="9"/>
  <c r="CM10" i="9"/>
  <c r="CL10" i="9" s="1"/>
  <c r="CK10" i="9"/>
  <c r="CQ10" i="9" s="1"/>
  <c r="CH10" i="9"/>
  <c r="CG10" i="9"/>
  <c r="CD10" i="9"/>
  <c r="CJ10" i="9" s="1"/>
  <c r="CC10" i="9"/>
  <c r="CA10" i="9"/>
  <c r="BZ10" i="9" s="1"/>
  <c r="BW10" i="9"/>
  <c r="BY10" i="9" s="1"/>
  <c r="BT10" i="9"/>
  <c r="BS10" i="9"/>
  <c r="BP10" i="9"/>
  <c r="BM10" i="9"/>
  <c r="BL10" i="9" s="1"/>
  <c r="BI10" i="9"/>
  <c r="BK10" i="9" s="1"/>
  <c r="BF10" i="9"/>
  <c r="BE10" i="9"/>
  <c r="BB10" i="9"/>
  <c r="BH10" i="9" s="1"/>
  <c r="AY10" i="9"/>
  <c r="AX10" i="9" s="1"/>
  <c r="AU10" i="9"/>
  <c r="AW10" i="9" s="1"/>
  <c r="AT10" i="9"/>
  <c r="AR10" i="9"/>
  <c r="AQ10" i="9" s="1"/>
  <c r="AP10" i="9"/>
  <c r="AO10" i="9" s="1"/>
  <c r="AN10" i="9"/>
  <c r="AL10" i="9"/>
  <c r="J10" i="9" s="1"/>
  <c r="AK10" i="9"/>
  <c r="AJ10" i="9" s="1"/>
  <c r="AG10" i="9"/>
  <c r="AI10" i="9" s="1"/>
  <c r="AH10" i="9" s="1"/>
  <c r="AD10" i="9"/>
  <c r="AC10" i="9"/>
  <c r="Z10" i="9"/>
  <c r="AF10" i="9" s="1"/>
  <c r="Y10" i="9"/>
  <c r="W10" i="9"/>
  <c r="V10" i="9" s="1"/>
  <c r="S10" i="9"/>
  <c r="U10" i="9" s="1"/>
  <c r="P10" i="9"/>
  <c r="I10" i="9" s="1"/>
  <c r="O10" i="9"/>
  <c r="L10" i="9"/>
  <c r="R10" i="9" s="1"/>
  <c r="CS9" i="9"/>
  <c r="CO9" i="9"/>
  <c r="CN9" i="9" s="1"/>
  <c r="CK9" i="9"/>
  <c r="CM9" i="9" s="1"/>
  <c r="CH9" i="9"/>
  <c r="CG9" i="9" s="1"/>
  <c r="CD9" i="9"/>
  <c r="CJ9" i="9" s="1"/>
  <c r="CA9" i="9"/>
  <c r="BZ9" i="9"/>
  <c r="BW9" i="9"/>
  <c r="CC9" i="9" s="1"/>
  <c r="BT9" i="9"/>
  <c r="BS9" i="9"/>
  <c r="BP9" i="9"/>
  <c r="BV9" i="9" s="1"/>
  <c r="BO9" i="9"/>
  <c r="BM9" i="9"/>
  <c r="BL9" i="9" s="1"/>
  <c r="BJ9" i="9"/>
  <c r="BI9" i="9"/>
  <c r="BK9" i="9" s="1"/>
  <c r="BF9" i="9"/>
  <c r="BE9" i="9"/>
  <c r="BB9" i="9"/>
  <c r="BH9" i="9" s="1"/>
  <c r="BA9" i="9"/>
  <c r="AY9" i="9"/>
  <c r="AX9" i="9" s="1"/>
  <c r="AU9" i="9"/>
  <c r="AW9" i="9" s="1"/>
  <c r="AR9" i="9"/>
  <c r="AQ9" i="9"/>
  <c r="AN9" i="9"/>
  <c r="AT9" i="9" s="1"/>
  <c r="AK9" i="9"/>
  <c r="AJ9" i="9" s="1"/>
  <c r="AG9" i="9"/>
  <c r="AI9" i="9" s="1"/>
  <c r="AE9" i="9"/>
  <c r="AF9" i="9" s="1"/>
  <c r="Z9" i="9"/>
  <c r="X9" i="9"/>
  <c r="W9" i="9"/>
  <c r="V9" i="9"/>
  <c r="S9" i="9"/>
  <c r="U9" i="9" s="1"/>
  <c r="T9" i="9" s="1"/>
  <c r="P9" i="9"/>
  <c r="O9" i="9"/>
  <c r="L9" i="9"/>
  <c r="CU8" i="9"/>
  <c r="CT8" i="9"/>
  <c r="CT4" i="9" s="1"/>
  <c r="CS8" i="9"/>
  <c r="CQ8" i="9"/>
  <c r="CO8" i="9"/>
  <c r="CN8" i="9" s="1"/>
  <c r="CK8" i="9"/>
  <c r="CH8" i="9"/>
  <c r="CG8" i="9"/>
  <c r="CD8" i="9"/>
  <c r="CA8" i="9"/>
  <c r="BZ8" i="9"/>
  <c r="BW8" i="9"/>
  <c r="CC8" i="9" s="1"/>
  <c r="BV8" i="9"/>
  <c r="BT8" i="9"/>
  <c r="BS8" i="9" s="1"/>
  <c r="BP8" i="9"/>
  <c r="BM8" i="9"/>
  <c r="BL8" i="9"/>
  <c r="BI8" i="9"/>
  <c r="BH8" i="9"/>
  <c r="BF8" i="9"/>
  <c r="BE8" i="9" s="1"/>
  <c r="BB8" i="9"/>
  <c r="BD8" i="9" s="1"/>
  <c r="AY8" i="9"/>
  <c r="AX8" i="9" s="1"/>
  <c r="AW8" i="9"/>
  <c r="AV8" i="9" s="1"/>
  <c r="AU8" i="9"/>
  <c r="BA8" i="9" s="1"/>
  <c r="AR8" i="9"/>
  <c r="AQ8" i="9" s="1"/>
  <c r="AN8" i="9"/>
  <c r="AT8" i="9" s="1"/>
  <c r="AK8" i="9"/>
  <c r="AJ8" i="9" s="1"/>
  <c r="AG8" i="9"/>
  <c r="AM8" i="9" s="1"/>
  <c r="AF8" i="9"/>
  <c r="AD8" i="9"/>
  <c r="AC8" i="9"/>
  <c r="AB8" i="9"/>
  <c r="AA8" i="9" s="1"/>
  <c r="Z8" i="9"/>
  <c r="W8" i="9"/>
  <c r="V8" i="9"/>
  <c r="S8" i="9"/>
  <c r="Y8" i="9" s="1"/>
  <c r="R8" i="9"/>
  <c r="P8" i="9"/>
  <c r="O8" i="9" s="1"/>
  <c r="N8" i="9"/>
  <c r="L8" i="9"/>
  <c r="J8" i="9"/>
  <c r="I8" i="9"/>
  <c r="CO7" i="9"/>
  <c r="CN7" i="9" s="1"/>
  <c r="CK7" i="9"/>
  <c r="CJ7" i="9"/>
  <c r="CH7" i="9"/>
  <c r="CG7" i="9"/>
  <c r="CD7" i="9"/>
  <c r="CA7" i="9"/>
  <c r="BZ7" i="9" s="1"/>
  <c r="BW7" i="9"/>
  <c r="BT7" i="9"/>
  <c r="BS7" i="9"/>
  <c r="BP7" i="9"/>
  <c r="BV7" i="9" s="1"/>
  <c r="BO7" i="9"/>
  <c r="BM7" i="9"/>
  <c r="BL7" i="9" s="1"/>
  <c r="BI7" i="9"/>
  <c r="BK7" i="9" s="1"/>
  <c r="BF7" i="9"/>
  <c r="BE7" i="9" s="1"/>
  <c r="BD7" i="9"/>
  <c r="BB7" i="9"/>
  <c r="BH7" i="9" s="1"/>
  <c r="AY7" i="9"/>
  <c r="AX7" i="9"/>
  <c r="AU7" i="9"/>
  <c r="BA7" i="9" s="1"/>
  <c r="AR7" i="9"/>
  <c r="AQ7" i="9" s="1"/>
  <c r="AN7" i="9"/>
  <c r="AT7" i="9" s="1"/>
  <c r="AK7" i="9"/>
  <c r="AJ7" i="9" s="1"/>
  <c r="AG7" i="9"/>
  <c r="AM7" i="9" s="1"/>
  <c r="AD7" i="9"/>
  <c r="AC7" i="9"/>
  <c r="Z7" i="9"/>
  <c r="W7" i="9"/>
  <c r="V7" i="9" s="1"/>
  <c r="S7" i="9"/>
  <c r="P7" i="9"/>
  <c r="O7" i="9"/>
  <c r="H7" i="9" s="1"/>
  <c r="N7" i="9"/>
  <c r="L7" i="9"/>
  <c r="R7" i="9" s="1"/>
  <c r="J7" i="9"/>
  <c r="CO6" i="9"/>
  <c r="CN6" i="9"/>
  <c r="CK6" i="9"/>
  <c r="CQ6" i="9" s="1"/>
  <c r="CJ6" i="9"/>
  <c r="CH6" i="9"/>
  <c r="CG6" i="9" s="1"/>
  <c r="CD6" i="9"/>
  <c r="CF6" i="9" s="1"/>
  <c r="CA6" i="9"/>
  <c r="BZ6" i="9" s="1"/>
  <c r="BW6" i="9"/>
  <c r="BT6" i="9"/>
  <c r="BS6" i="9"/>
  <c r="BP6" i="9"/>
  <c r="BV6" i="9" s="1"/>
  <c r="BM6" i="9"/>
  <c r="BL6" i="9" s="1"/>
  <c r="BI6" i="9"/>
  <c r="BO6" i="9" s="1"/>
  <c r="BF6" i="9"/>
  <c r="BE6" i="9" s="1"/>
  <c r="BD6" i="9"/>
  <c r="BC6" i="9" s="1"/>
  <c r="BB6" i="9"/>
  <c r="BH6" i="9" s="1"/>
  <c r="AY6" i="9"/>
  <c r="AX6" i="9"/>
  <c r="AU6" i="9"/>
  <c r="AR6" i="9"/>
  <c r="AQ6" i="9" s="1"/>
  <c r="AN6" i="9"/>
  <c r="AP6" i="9" s="1"/>
  <c r="AK6" i="9"/>
  <c r="AJ6" i="9"/>
  <c r="AG6" i="9"/>
  <c r="AM6" i="9" s="1"/>
  <c r="AD6" i="9"/>
  <c r="AC6" i="9" s="1"/>
  <c r="Z6" i="9"/>
  <c r="AF6" i="9" s="1"/>
  <c r="W6" i="9"/>
  <c r="V6" i="9" s="1"/>
  <c r="S6" i="9"/>
  <c r="Y6" i="9" s="1"/>
  <c r="P6" i="9"/>
  <c r="I6" i="9" s="1"/>
  <c r="O6" i="9"/>
  <c r="N6" i="9"/>
  <c r="L6" i="9"/>
  <c r="R6" i="9" s="1"/>
  <c r="J6" i="9"/>
  <c r="CU5" i="9"/>
  <c r="CS5" i="9"/>
  <c r="CS4" i="9" s="1"/>
  <c r="CO5" i="9"/>
  <c r="CN5" i="9"/>
  <c r="CM5" i="9"/>
  <c r="CK5" i="9"/>
  <c r="CH5" i="9"/>
  <c r="CG5" i="9"/>
  <c r="CD5" i="9"/>
  <c r="CF5" i="9" s="1"/>
  <c r="CA5" i="9"/>
  <c r="BZ5" i="9" s="1"/>
  <c r="BW5" i="9"/>
  <c r="CC5" i="9" s="1"/>
  <c r="BT5" i="9"/>
  <c r="BS5" i="9" s="1"/>
  <c r="BR5" i="9"/>
  <c r="BQ5" i="9" s="1"/>
  <c r="BP5" i="9"/>
  <c r="BV5" i="9" s="1"/>
  <c r="BM5" i="9"/>
  <c r="BL5" i="9"/>
  <c r="BI5" i="9"/>
  <c r="BO5" i="9" s="1"/>
  <c r="BH5" i="9"/>
  <c r="BF5" i="9"/>
  <c r="BE5" i="9" s="1"/>
  <c r="BD5" i="9"/>
  <c r="BB5" i="9"/>
  <c r="AY5" i="9"/>
  <c r="AX5" i="9"/>
  <c r="AU5" i="9"/>
  <c r="BA5" i="9" s="1"/>
  <c r="AR5" i="9"/>
  <c r="AQ5" i="9" s="1"/>
  <c r="AN5" i="9"/>
  <c r="AP5" i="9" s="1"/>
  <c r="AM5" i="9"/>
  <c r="AL5" i="9"/>
  <c r="AL4" i="9" s="1"/>
  <c r="AG5" i="9"/>
  <c r="AI5" i="9" s="1"/>
  <c r="AE5" i="9"/>
  <c r="AE4" i="9" s="1"/>
  <c r="AD5" i="9"/>
  <c r="AC5" i="9" s="1"/>
  <c r="Z5" i="9"/>
  <c r="AB5" i="9" s="1"/>
  <c r="X5" i="9"/>
  <c r="Y5" i="9" s="1"/>
  <c r="W5" i="9"/>
  <c r="V5" i="9"/>
  <c r="U5" i="9"/>
  <c r="T5" i="9" s="1"/>
  <c r="S5" i="9"/>
  <c r="Q5" i="9"/>
  <c r="P5" i="9"/>
  <c r="O5" i="9"/>
  <c r="L5" i="9"/>
  <c r="N5" i="9" s="1"/>
  <c r="CU4" i="9"/>
  <c r="CO4" i="9"/>
  <c r="CN4" i="9"/>
  <c r="CK4" i="9"/>
  <c r="CH4" i="9"/>
  <c r="CD4" i="9"/>
  <c r="CC4" i="9"/>
  <c r="CA4" i="9"/>
  <c r="CA55" i="9" s="1"/>
  <c r="CA58" i="9" s="1"/>
  <c r="BY4" i="9"/>
  <c r="BW4" i="9"/>
  <c r="BT4" i="9"/>
  <c r="BT55" i="9" s="1"/>
  <c r="BT58" i="9" s="1"/>
  <c r="BS4" i="9"/>
  <c r="BP4" i="9"/>
  <c r="BR4" i="9" s="1"/>
  <c r="BQ4" i="9" s="1"/>
  <c r="BM4" i="9"/>
  <c r="BL4" i="9"/>
  <c r="BI4" i="9"/>
  <c r="BF4" i="9"/>
  <c r="BB4" i="9"/>
  <c r="AY4" i="9"/>
  <c r="AY55" i="9" s="1"/>
  <c r="AY58" i="9" s="1"/>
  <c r="AW4" i="9"/>
  <c r="AU4" i="9"/>
  <c r="BA4" i="9" s="1"/>
  <c r="AR4" i="9"/>
  <c r="AR55" i="9" s="1"/>
  <c r="AR58" i="9" s="1"/>
  <c r="AP4" i="9"/>
  <c r="AO4" i="9" s="1"/>
  <c r="AN4" i="9"/>
  <c r="AG4" i="9"/>
  <c r="Z4" i="9"/>
  <c r="Z55" i="9" s="1"/>
  <c r="Z58" i="9" s="1"/>
  <c r="X4" i="9"/>
  <c r="S4" i="9"/>
  <c r="R4" i="9"/>
  <c r="Q4" i="9"/>
  <c r="Q55" i="9" s="1"/>
  <c r="L4" i="9"/>
  <c r="AM76" i="8"/>
  <c r="Y74" i="8"/>
  <c r="AF71" i="8"/>
  <c r="Y71" i="8"/>
  <c r="R71" i="8"/>
  <c r="AM70" i="8"/>
  <c r="Y70" i="8"/>
  <c r="R70" i="8"/>
  <c r="R69" i="8"/>
  <c r="AM68" i="8"/>
  <c r="AF68" i="8"/>
  <c r="Y68" i="8"/>
  <c r="R68" i="8"/>
  <c r="R67" i="8"/>
  <c r="R66" i="8"/>
  <c r="R65" i="8"/>
  <c r="AM64" i="8"/>
  <c r="AF64" i="8"/>
  <c r="Y64" i="8"/>
  <c r="R64" i="8"/>
  <c r="AM63" i="8"/>
  <c r="AF63" i="8"/>
  <c r="Y63" i="8"/>
  <c r="R63" i="8"/>
  <c r="AM62" i="8"/>
  <c r="AF62" i="8"/>
  <c r="Y62" i="8"/>
  <c r="R62" i="8"/>
  <c r="AM61" i="8"/>
  <c r="AF61" i="8"/>
  <c r="AF79" i="8" s="1"/>
  <c r="Y61" i="8"/>
  <c r="Y79" i="8" s="1"/>
  <c r="R61" i="8"/>
  <c r="BG59" i="8"/>
  <c r="CI58" i="8"/>
  <c r="BN58" i="8"/>
  <c r="BN59" i="8" s="1"/>
  <c r="BG58" i="8"/>
  <c r="CO57" i="8"/>
  <c r="CN57" i="8"/>
  <c r="CK57" i="8"/>
  <c r="CJ57" i="8"/>
  <c r="CH57" i="8"/>
  <c r="CG57" i="8" s="1"/>
  <c r="CD57" i="8"/>
  <c r="CF57" i="8" s="1"/>
  <c r="CE57" i="8" s="1"/>
  <c r="CC57" i="8"/>
  <c r="CA57" i="8"/>
  <c r="BZ57" i="8" s="1"/>
  <c r="BW57" i="8"/>
  <c r="BY57" i="8" s="1"/>
  <c r="BX57" i="8" s="1"/>
  <c r="BT57" i="8"/>
  <c r="BS57" i="8"/>
  <c r="BP57" i="8"/>
  <c r="BV57" i="8" s="1"/>
  <c r="BM57" i="8"/>
  <c r="BL57" i="8"/>
  <c r="BI57" i="8"/>
  <c r="BF57" i="8"/>
  <c r="BE57" i="8" s="1"/>
  <c r="BB57" i="8"/>
  <c r="BD57" i="8" s="1"/>
  <c r="BA57" i="8"/>
  <c r="AY57" i="8"/>
  <c r="AX57" i="8"/>
  <c r="AW57" i="8"/>
  <c r="AV57" i="8" s="1"/>
  <c r="AU57" i="8"/>
  <c r="AR57" i="8"/>
  <c r="AQ57" i="8"/>
  <c r="AN57" i="8"/>
  <c r="AP57" i="8" s="1"/>
  <c r="AK57" i="8"/>
  <c r="AJ57" i="8"/>
  <c r="AG57" i="8"/>
  <c r="AE57" i="8"/>
  <c r="Z57" i="8"/>
  <c r="W57" i="8"/>
  <c r="V57" i="8" s="1"/>
  <c r="S57" i="8"/>
  <c r="P57" i="8"/>
  <c r="O57" i="8"/>
  <c r="L57" i="8"/>
  <c r="R57" i="8" s="1"/>
  <c r="J57" i="8"/>
  <c r="CO56" i="8"/>
  <c r="CN56" i="8"/>
  <c r="CK56" i="8"/>
  <c r="CM56" i="8" s="1"/>
  <c r="CH56" i="8"/>
  <c r="CG56" i="8" s="1"/>
  <c r="CD56" i="8"/>
  <c r="CC56" i="8"/>
  <c r="CA56" i="8"/>
  <c r="BZ56" i="8" s="1"/>
  <c r="BY56" i="8"/>
  <c r="BW56" i="8"/>
  <c r="BT56" i="8"/>
  <c r="BS56" i="8" s="1"/>
  <c r="BP56" i="8"/>
  <c r="BV56" i="8" s="1"/>
  <c r="BO56" i="8"/>
  <c r="BM56" i="8"/>
  <c r="BL56" i="8"/>
  <c r="BI56" i="8"/>
  <c r="BK56" i="8" s="1"/>
  <c r="BF56" i="8"/>
  <c r="BE56" i="8" s="1"/>
  <c r="BB56" i="8"/>
  <c r="BA56" i="8"/>
  <c r="AY56" i="8"/>
  <c r="AX56" i="8" s="1"/>
  <c r="AU56" i="8"/>
  <c r="AR56" i="8"/>
  <c r="AQ56" i="8"/>
  <c r="AN56" i="8"/>
  <c r="AT56" i="8" s="1"/>
  <c r="AL56" i="8"/>
  <c r="AM56" i="8" s="1"/>
  <c r="AK56" i="8"/>
  <c r="AJ56" i="8" s="1"/>
  <c r="AG56" i="8"/>
  <c r="AI56" i="8" s="1"/>
  <c r="AH56" i="8" s="1"/>
  <c r="AE56" i="8"/>
  <c r="AD56" i="8" s="1"/>
  <c r="AC56" i="8"/>
  <c r="Z56" i="8"/>
  <c r="AF56" i="8" s="1"/>
  <c r="W56" i="8"/>
  <c r="S56" i="8"/>
  <c r="P56" i="8"/>
  <c r="O56" i="8" s="1"/>
  <c r="L56" i="8"/>
  <c r="R56" i="8" s="1"/>
  <c r="J56" i="8"/>
  <c r="B56" i="8"/>
  <c r="CP55" i="8"/>
  <c r="CP58" i="8" s="1"/>
  <c r="CI55" i="8"/>
  <c r="CB55" i="8"/>
  <c r="BU55" i="8"/>
  <c r="BN55" i="8"/>
  <c r="BG55" i="8"/>
  <c r="AZ55" i="8"/>
  <c r="AS55" i="8"/>
  <c r="AS58" i="8" s="1"/>
  <c r="CQ54" i="8"/>
  <c r="CO54" i="8"/>
  <c r="CN54" i="8" s="1"/>
  <c r="CK54" i="8"/>
  <c r="CH54" i="8"/>
  <c r="CG54" i="8"/>
  <c r="CD54" i="8"/>
  <c r="CJ54" i="8" s="1"/>
  <c r="CA54" i="8"/>
  <c r="BZ54" i="8" s="1"/>
  <c r="BW54" i="8"/>
  <c r="BT54" i="8"/>
  <c r="BS54" i="8" s="1"/>
  <c r="BP54" i="8"/>
  <c r="BO54" i="8"/>
  <c r="BM54" i="8"/>
  <c r="BL54" i="8" s="1"/>
  <c r="BI54" i="8"/>
  <c r="BF54" i="8"/>
  <c r="BE54" i="8"/>
  <c r="BB54" i="8"/>
  <c r="BH54" i="8" s="1"/>
  <c r="AY54" i="8"/>
  <c r="AX54" i="8" s="1"/>
  <c r="AU54" i="8"/>
  <c r="AT54" i="8"/>
  <c r="AR54" i="8"/>
  <c r="AQ54" i="8" s="1"/>
  <c r="AP54" i="8"/>
  <c r="AN54" i="8"/>
  <c r="AK54" i="8"/>
  <c r="AJ54" i="8" s="1"/>
  <c r="AG54" i="8"/>
  <c r="AM54" i="8" s="1"/>
  <c r="AD54" i="8"/>
  <c r="AC54" i="8"/>
  <c r="Z54" i="8"/>
  <c r="AF54" i="8" s="1"/>
  <c r="W54" i="8"/>
  <c r="V54" i="8" s="1"/>
  <c r="S54" i="8"/>
  <c r="Q54" i="8"/>
  <c r="P54" i="8" s="1"/>
  <c r="O54" i="8"/>
  <c r="L54" i="8"/>
  <c r="J54" i="8"/>
  <c r="CO53" i="8"/>
  <c r="CN53" i="8"/>
  <c r="CK53" i="8"/>
  <c r="CH53" i="8"/>
  <c r="CG53" i="8" s="1"/>
  <c r="CD53" i="8"/>
  <c r="CF53" i="8" s="1"/>
  <c r="CE53" i="8" s="1"/>
  <c r="CC53" i="8"/>
  <c r="CA53" i="8"/>
  <c r="BZ53" i="8"/>
  <c r="BW53" i="8"/>
  <c r="BY53" i="8" s="1"/>
  <c r="BX53" i="8" s="1"/>
  <c r="BT53" i="8"/>
  <c r="BS53" i="8"/>
  <c r="BP53" i="8"/>
  <c r="BM53" i="8"/>
  <c r="BL53" i="8"/>
  <c r="BI53" i="8"/>
  <c r="BF53" i="8"/>
  <c r="BE53" i="8" s="1"/>
  <c r="BB53" i="8"/>
  <c r="BD53" i="8" s="1"/>
  <c r="BC53" i="8" s="1"/>
  <c r="BA53" i="8"/>
  <c r="AY53" i="8"/>
  <c r="AX53" i="8"/>
  <c r="AU53" i="8"/>
  <c r="AW53" i="8" s="1"/>
  <c r="AV53" i="8" s="1"/>
  <c r="AR53" i="8"/>
  <c r="AQ53" i="8"/>
  <c r="AN53" i="8"/>
  <c r="AT53" i="8" s="1"/>
  <c r="AK53" i="8"/>
  <c r="AJ53" i="8"/>
  <c r="AG53" i="8"/>
  <c r="AD53" i="8"/>
  <c r="AC53" i="8" s="1"/>
  <c r="Z53" i="8"/>
  <c r="AB53" i="8" s="1"/>
  <c r="Y53" i="8"/>
  <c r="W53" i="8"/>
  <c r="V53" i="8" s="1"/>
  <c r="U53" i="8"/>
  <c r="T53" i="8" s="1"/>
  <c r="S53" i="8"/>
  <c r="P53" i="8"/>
  <c r="O53" i="8"/>
  <c r="L53" i="8"/>
  <c r="R53" i="8" s="1"/>
  <c r="J53" i="8"/>
  <c r="CO52" i="8"/>
  <c r="CN52" i="8" s="1"/>
  <c r="CK52" i="8"/>
  <c r="CM52" i="8" s="1"/>
  <c r="CH52" i="8"/>
  <c r="CG52" i="8"/>
  <c r="CD52" i="8"/>
  <c r="CC52" i="8"/>
  <c r="CA52" i="8"/>
  <c r="BZ52" i="8" s="1"/>
  <c r="BW52" i="8"/>
  <c r="BY52" i="8" s="1"/>
  <c r="BX52" i="8" s="1"/>
  <c r="BT52" i="8"/>
  <c r="BS52" i="8" s="1"/>
  <c r="BP52" i="8"/>
  <c r="BV52" i="8" s="1"/>
  <c r="BM52" i="8"/>
  <c r="BL52" i="8"/>
  <c r="BI52" i="8"/>
  <c r="BF52" i="8"/>
  <c r="BE52" i="8"/>
  <c r="BB52" i="8"/>
  <c r="AY52" i="8"/>
  <c r="AX52" i="8" s="1"/>
  <c r="AU52" i="8"/>
  <c r="AW52" i="8" s="1"/>
  <c r="AV52" i="8" s="1"/>
  <c r="AT52" i="8"/>
  <c r="AR52" i="8"/>
  <c r="AQ52" i="8" s="1"/>
  <c r="AN52" i="8"/>
  <c r="AP52" i="8" s="1"/>
  <c r="AO52" i="8" s="1"/>
  <c r="AK52" i="8"/>
  <c r="AJ52" i="8"/>
  <c r="AG52" i="8"/>
  <c r="AI52" i="8" s="1"/>
  <c r="AE52" i="8"/>
  <c r="AD52" i="8"/>
  <c r="AC52" i="8" s="1"/>
  <c r="Z52" i="8"/>
  <c r="W52" i="8"/>
  <c r="V52" i="8" s="1"/>
  <c r="S52" i="8"/>
  <c r="R52" i="8"/>
  <c r="Q52" i="8"/>
  <c r="P52" i="8"/>
  <c r="L52" i="8"/>
  <c r="N52" i="8" s="1"/>
  <c r="J52" i="8"/>
  <c r="I52" i="8"/>
  <c r="CQ51" i="8"/>
  <c r="CO51" i="8"/>
  <c r="CN51" i="8" s="1"/>
  <c r="CL51" i="8"/>
  <c r="CK51" i="8"/>
  <c r="CM51" i="8" s="1"/>
  <c r="CH51" i="8"/>
  <c r="CG51" i="8" s="1"/>
  <c r="CD51" i="8"/>
  <c r="CJ51" i="8" s="1"/>
  <c r="CA51" i="8"/>
  <c r="BZ51" i="8"/>
  <c r="BY51" i="8"/>
  <c r="BX51" i="8" s="1"/>
  <c r="BW51" i="8"/>
  <c r="CC51" i="8" s="1"/>
  <c r="BT51" i="8"/>
  <c r="BS51" i="8"/>
  <c r="BP51" i="8"/>
  <c r="BM51" i="8"/>
  <c r="BL51" i="8" s="1"/>
  <c r="BI51" i="8"/>
  <c r="BK51" i="8" s="1"/>
  <c r="BH51" i="8"/>
  <c r="BF51" i="8"/>
  <c r="BE51" i="8"/>
  <c r="BB51" i="8"/>
  <c r="BD51" i="8" s="1"/>
  <c r="AY51" i="8"/>
  <c r="AX51" i="8"/>
  <c r="AU51" i="8"/>
  <c r="BA51" i="8" s="1"/>
  <c r="AT51" i="8"/>
  <c r="AR51" i="8"/>
  <c r="AQ51" i="8"/>
  <c r="AN51" i="8"/>
  <c r="AK51" i="8"/>
  <c r="AJ51" i="8"/>
  <c r="AH51" i="8"/>
  <c r="AG51" i="8"/>
  <c r="AI51" i="8" s="1"/>
  <c r="AE51" i="8"/>
  <c r="AD51" i="8"/>
  <c r="AC51" i="8" s="1"/>
  <c r="Z51" i="8"/>
  <c r="Y51" i="8"/>
  <c r="X51" i="8"/>
  <c r="W51" i="8"/>
  <c r="V51" i="8"/>
  <c r="U51" i="8"/>
  <c r="T51" i="8" s="1"/>
  <c r="S51" i="8"/>
  <c r="Q51" i="8"/>
  <c r="P51" i="8" s="1"/>
  <c r="I51" i="8" s="1"/>
  <c r="L51" i="8"/>
  <c r="J51" i="8"/>
  <c r="CO50" i="8"/>
  <c r="CN50" i="8" s="1"/>
  <c r="CK50" i="8"/>
  <c r="CM50" i="8" s="1"/>
  <c r="CH50" i="8"/>
  <c r="CG50" i="8" s="1"/>
  <c r="CD50" i="8"/>
  <c r="CJ50" i="8" s="1"/>
  <c r="CA50" i="8"/>
  <c r="BZ50" i="8" s="1"/>
  <c r="BW50" i="8"/>
  <c r="BT50" i="8"/>
  <c r="BS50" i="8" s="1"/>
  <c r="BP50" i="8"/>
  <c r="BV50" i="8" s="1"/>
  <c r="BM50" i="8"/>
  <c r="BL50" i="8" s="1"/>
  <c r="BI50" i="8"/>
  <c r="BO50" i="8" s="1"/>
  <c r="BF50" i="8"/>
  <c r="BE50" i="8"/>
  <c r="BB50" i="8"/>
  <c r="BA50" i="8"/>
  <c r="AY50" i="8"/>
  <c r="AX50" i="8" s="1"/>
  <c r="AU50" i="8"/>
  <c r="AR50" i="8"/>
  <c r="AQ50" i="8" s="1"/>
  <c r="AN50" i="8"/>
  <c r="AP50" i="8" s="1"/>
  <c r="AK50" i="8"/>
  <c r="AJ50" i="8"/>
  <c r="AG50" i="8"/>
  <c r="AE50" i="8"/>
  <c r="AD50" i="8"/>
  <c r="Z50" i="8"/>
  <c r="Y50" i="8"/>
  <c r="X50" i="8"/>
  <c r="W50" i="8"/>
  <c r="V50" i="8"/>
  <c r="U50" i="8"/>
  <c r="S50" i="8"/>
  <c r="Q50" i="8"/>
  <c r="L50" i="8"/>
  <c r="N50" i="8" s="1"/>
  <c r="M50" i="8" s="1"/>
  <c r="E50" i="8"/>
  <c r="CO49" i="8"/>
  <c r="CN49" i="8"/>
  <c r="CK49" i="8"/>
  <c r="CQ49" i="8" s="1"/>
  <c r="CH49" i="8"/>
  <c r="CG49" i="8"/>
  <c r="CD49" i="8"/>
  <c r="CA49" i="8"/>
  <c r="BZ49" i="8" s="1"/>
  <c r="BW49" i="8"/>
  <c r="CC49" i="8" s="1"/>
  <c r="BT49" i="8"/>
  <c r="BS49" i="8" s="1"/>
  <c r="BP49" i="8"/>
  <c r="BV49" i="8" s="1"/>
  <c r="BM49" i="8"/>
  <c r="BL49" i="8"/>
  <c r="BI49" i="8"/>
  <c r="BO49" i="8" s="1"/>
  <c r="BH49" i="8"/>
  <c r="BF49" i="8"/>
  <c r="BE49" i="8" s="1"/>
  <c r="BB49" i="8"/>
  <c r="BD49" i="8" s="1"/>
  <c r="AY49" i="8"/>
  <c r="AX49" i="8"/>
  <c r="AU49" i="8"/>
  <c r="BA49" i="8" s="1"/>
  <c r="AR49" i="8"/>
  <c r="AQ49" i="8"/>
  <c r="AN49" i="8"/>
  <c r="AT49" i="8" s="1"/>
  <c r="AG49" i="8"/>
  <c r="AE49" i="8"/>
  <c r="Z49" i="8"/>
  <c r="AB49" i="8" s="1"/>
  <c r="Y49" i="8"/>
  <c r="X49" i="8"/>
  <c r="W49" i="8"/>
  <c r="U49" i="8"/>
  <c r="T49" i="8" s="1"/>
  <c r="S49" i="8"/>
  <c r="L49" i="8"/>
  <c r="CO48" i="8"/>
  <c r="CN48" i="8"/>
  <c r="CK48" i="8"/>
  <c r="CJ48" i="8"/>
  <c r="CH48" i="8"/>
  <c r="CG48" i="8" s="1"/>
  <c r="CF48" i="8"/>
  <c r="CD48" i="8"/>
  <c r="CE48" i="8" s="1"/>
  <c r="CA48" i="8"/>
  <c r="BZ48" i="8" s="1"/>
  <c r="BY48" i="8"/>
  <c r="BX48" i="8" s="1"/>
  <c r="BW48" i="8"/>
  <c r="CC48" i="8" s="1"/>
  <c r="BT48" i="8"/>
  <c r="BS48" i="8"/>
  <c r="BP48" i="8"/>
  <c r="BV48" i="8" s="1"/>
  <c r="BM48" i="8"/>
  <c r="BL48" i="8"/>
  <c r="BI48" i="8"/>
  <c r="BH48" i="8"/>
  <c r="BF48" i="8"/>
  <c r="BE48" i="8" s="1"/>
  <c r="BD48" i="8"/>
  <c r="BC48" i="8" s="1"/>
  <c r="BB48" i="8"/>
  <c r="AY48" i="8"/>
  <c r="AX48" i="8" s="1"/>
  <c r="AU48" i="8"/>
  <c r="BA48" i="8" s="1"/>
  <c r="AR48" i="8"/>
  <c r="AQ48" i="8"/>
  <c r="AP48" i="8"/>
  <c r="AO48" i="8" s="1"/>
  <c r="AN48" i="8"/>
  <c r="AT48" i="8" s="1"/>
  <c r="AK48" i="8"/>
  <c r="AJ48" i="8" s="1"/>
  <c r="AG48" i="8"/>
  <c r="AI48" i="8" s="1"/>
  <c r="AE48" i="8"/>
  <c r="Z48" i="8"/>
  <c r="AB48" i="8" s="1"/>
  <c r="X48" i="8"/>
  <c r="W48" i="8"/>
  <c r="V48" i="8" s="1"/>
  <c r="U48" i="8"/>
  <c r="T48" i="8" s="1"/>
  <c r="S48" i="8"/>
  <c r="Y48" i="8" s="1"/>
  <c r="Q48" i="8"/>
  <c r="P48" i="8"/>
  <c r="O48" i="8"/>
  <c r="N48" i="8"/>
  <c r="M48" i="8" s="1"/>
  <c r="L48" i="8"/>
  <c r="CO47" i="8"/>
  <c r="CN47" i="8"/>
  <c r="CK47" i="8"/>
  <c r="CQ47" i="8" s="1"/>
  <c r="CH47" i="8"/>
  <c r="CG47" i="8"/>
  <c r="CD47" i="8"/>
  <c r="CC47" i="8"/>
  <c r="CA47" i="8"/>
  <c r="BZ47" i="8" s="1"/>
  <c r="BW47" i="8"/>
  <c r="BY47" i="8" s="1"/>
  <c r="BT47" i="8"/>
  <c r="BS47" i="8" s="1"/>
  <c r="BR47" i="8"/>
  <c r="BQ47" i="8" s="1"/>
  <c r="BP47" i="8"/>
  <c r="BV47" i="8" s="1"/>
  <c r="BM47" i="8"/>
  <c r="BL47" i="8"/>
  <c r="BI47" i="8"/>
  <c r="BO47" i="8" s="1"/>
  <c r="BF47" i="8"/>
  <c r="BE47" i="8"/>
  <c r="BB47" i="8"/>
  <c r="BA47" i="8"/>
  <c r="AY47" i="8"/>
  <c r="AU47" i="8"/>
  <c r="AW47" i="8" s="1"/>
  <c r="AR47" i="8"/>
  <c r="AQ47" i="8"/>
  <c r="AN47" i="8"/>
  <c r="AT47" i="8" s="1"/>
  <c r="AK47" i="8"/>
  <c r="AJ47" i="8"/>
  <c r="AI47" i="8"/>
  <c r="AH47" i="8" s="1"/>
  <c r="AG47" i="8"/>
  <c r="AM47" i="8" s="1"/>
  <c r="AD47" i="8"/>
  <c r="AC47" i="8"/>
  <c r="Z47" i="8"/>
  <c r="W47" i="8"/>
  <c r="V47" i="8" s="1"/>
  <c r="S47" i="8"/>
  <c r="U47" i="8" s="1"/>
  <c r="R47" i="8"/>
  <c r="P47" i="8"/>
  <c r="O47" i="8"/>
  <c r="L47" i="8"/>
  <c r="N47" i="8" s="1"/>
  <c r="J47" i="8"/>
  <c r="CQ46" i="8"/>
  <c r="CO46" i="8"/>
  <c r="CN46" i="8" s="1"/>
  <c r="CK46" i="8"/>
  <c r="CM46" i="8" s="1"/>
  <c r="CL46" i="8" s="1"/>
  <c r="CH46" i="8"/>
  <c r="CG46" i="8"/>
  <c r="CD46" i="8"/>
  <c r="CJ46" i="8" s="1"/>
  <c r="CA46" i="8"/>
  <c r="BZ46" i="8"/>
  <c r="BW46" i="8"/>
  <c r="BT46" i="8"/>
  <c r="BS46" i="8" s="1"/>
  <c r="BP46" i="8"/>
  <c r="BV46" i="8" s="1"/>
  <c r="BM46" i="8"/>
  <c r="BL46" i="8"/>
  <c r="BK46" i="8"/>
  <c r="BJ46" i="8" s="1"/>
  <c r="BI46" i="8"/>
  <c r="BO46" i="8" s="1"/>
  <c r="BF46" i="8"/>
  <c r="BE46" i="8" s="1"/>
  <c r="BB46" i="8"/>
  <c r="AY46" i="8"/>
  <c r="AX46" i="8"/>
  <c r="AU46" i="8"/>
  <c r="BA46" i="8" s="1"/>
  <c r="AR46" i="8"/>
  <c r="AQ46" i="8"/>
  <c r="AN46" i="8"/>
  <c r="AK46" i="8"/>
  <c r="AJ46" i="8" s="1"/>
  <c r="AG46" i="8"/>
  <c r="AM46" i="8" s="1"/>
  <c r="AD46" i="8"/>
  <c r="AC46" i="8"/>
  <c r="AB46" i="8"/>
  <c r="AA46" i="8" s="1"/>
  <c r="Z46" i="8"/>
  <c r="AF46" i="8" s="1"/>
  <c r="W46" i="8"/>
  <c r="V46" i="8"/>
  <c r="S46" i="8"/>
  <c r="U46" i="8" s="1"/>
  <c r="T46" i="8" s="1"/>
  <c r="R46" i="8"/>
  <c r="P46" i="8"/>
  <c r="O46" i="8" s="1"/>
  <c r="L46" i="8"/>
  <c r="J46" i="8"/>
  <c r="I46" i="8"/>
  <c r="CO45" i="8"/>
  <c r="CN45" i="8" s="1"/>
  <c r="CK45" i="8"/>
  <c r="CJ45" i="8"/>
  <c r="CH45" i="8"/>
  <c r="CG45" i="8" s="1"/>
  <c r="CD45" i="8"/>
  <c r="CF45" i="8" s="1"/>
  <c r="CE45" i="8" s="1"/>
  <c r="CA45" i="8"/>
  <c r="BZ45" i="8"/>
  <c r="BW45" i="8"/>
  <c r="CC45" i="8" s="1"/>
  <c r="BT45" i="8"/>
  <c r="BS45" i="8"/>
  <c r="BR45" i="8"/>
  <c r="BQ45" i="8" s="1"/>
  <c r="BP45" i="8"/>
  <c r="BV45" i="8" s="1"/>
  <c r="BM45" i="8"/>
  <c r="BL45" i="8"/>
  <c r="BI45" i="8"/>
  <c r="BH45" i="8"/>
  <c r="BF45" i="8"/>
  <c r="BE45" i="8" s="1"/>
  <c r="BB45" i="8"/>
  <c r="BD45" i="8" s="1"/>
  <c r="BC45" i="8" s="1"/>
  <c r="AY45" i="8"/>
  <c r="AX45" i="8"/>
  <c r="AU45" i="8"/>
  <c r="BA45" i="8" s="1"/>
  <c r="AR45" i="8"/>
  <c r="AQ45" i="8"/>
  <c r="AN45" i="8"/>
  <c r="AK45" i="8"/>
  <c r="AJ45" i="8" s="1"/>
  <c r="AG45" i="8"/>
  <c r="AM45" i="8" s="1"/>
  <c r="AF45" i="8"/>
  <c r="AD45" i="8"/>
  <c r="AC45" i="8"/>
  <c r="AB45" i="8"/>
  <c r="AA45" i="8" s="1"/>
  <c r="Z45" i="8"/>
  <c r="W45" i="8"/>
  <c r="V45" i="8" s="1"/>
  <c r="S45" i="8"/>
  <c r="P45" i="8"/>
  <c r="O45" i="8"/>
  <c r="N45" i="8"/>
  <c r="L45" i="8"/>
  <c r="E45" i="8" s="1"/>
  <c r="K45" i="8" s="1"/>
  <c r="J45" i="8"/>
  <c r="I45" i="8"/>
  <c r="CO44" i="8"/>
  <c r="CN44" i="8"/>
  <c r="CK44" i="8"/>
  <c r="CQ44" i="8" s="1"/>
  <c r="CH44" i="8"/>
  <c r="CG44" i="8"/>
  <c r="CD44" i="8"/>
  <c r="CA44" i="8"/>
  <c r="BZ44" i="8"/>
  <c r="BW44" i="8"/>
  <c r="CC44" i="8" s="1"/>
  <c r="BT44" i="8"/>
  <c r="BS44" i="8"/>
  <c r="BR44" i="8"/>
  <c r="BQ44" i="8" s="1"/>
  <c r="BP44" i="8"/>
  <c r="BV44" i="8" s="1"/>
  <c r="BM44" i="8"/>
  <c r="BL44" i="8"/>
  <c r="BI44" i="8"/>
  <c r="BH44" i="8"/>
  <c r="BF44" i="8"/>
  <c r="BE44" i="8" s="1"/>
  <c r="BB44" i="8"/>
  <c r="AY44" i="8"/>
  <c r="AX44" i="8"/>
  <c r="AW44" i="8"/>
  <c r="AV44" i="8" s="1"/>
  <c r="AU44" i="8"/>
  <c r="BA44" i="8" s="1"/>
  <c r="AR44" i="8"/>
  <c r="AQ44" i="8" s="1"/>
  <c r="AN44" i="8"/>
  <c r="AK44" i="8"/>
  <c r="AJ44" i="8"/>
  <c r="AG44" i="8"/>
  <c r="AM44" i="8" s="1"/>
  <c r="AD44" i="8"/>
  <c r="AC44" i="8"/>
  <c r="Z44" i="8"/>
  <c r="W44" i="8"/>
  <c r="V44" i="8" s="1"/>
  <c r="S44" i="8"/>
  <c r="Y44" i="8" s="1"/>
  <c r="P44" i="8"/>
  <c r="I44" i="8" s="1"/>
  <c r="O44" i="8"/>
  <c r="H44" i="8" s="1"/>
  <c r="N44" i="8"/>
  <c r="L44" i="8"/>
  <c r="J44" i="8"/>
  <c r="CO43" i="8"/>
  <c r="CN43" i="8"/>
  <c r="CK43" i="8"/>
  <c r="CQ43" i="8" s="1"/>
  <c r="CJ43" i="8"/>
  <c r="CH43" i="8"/>
  <c r="CG43" i="8"/>
  <c r="CD43" i="8"/>
  <c r="CA43" i="8"/>
  <c r="BZ43" i="8"/>
  <c r="BW43" i="8"/>
  <c r="CC43" i="8" s="1"/>
  <c r="BV43" i="8"/>
  <c r="BT43" i="8"/>
  <c r="BS43" i="8"/>
  <c r="BR43" i="8"/>
  <c r="BQ43" i="8" s="1"/>
  <c r="BP43" i="8"/>
  <c r="BM43" i="8"/>
  <c r="BL43" i="8" s="1"/>
  <c r="BI43" i="8"/>
  <c r="BO43" i="8" s="1"/>
  <c r="BH43" i="8"/>
  <c r="BF43" i="8"/>
  <c r="BE43" i="8" s="1"/>
  <c r="BD43" i="8"/>
  <c r="BC43" i="8" s="1"/>
  <c r="BB43" i="8"/>
  <c r="AY43" i="8"/>
  <c r="AX43" i="8"/>
  <c r="AU43" i="8"/>
  <c r="AT43" i="8"/>
  <c r="AR43" i="8"/>
  <c r="AQ43" i="8"/>
  <c r="AP43" i="8"/>
  <c r="AO43" i="8" s="1"/>
  <c r="AN43" i="8"/>
  <c r="AL43" i="8"/>
  <c r="AK43" i="8"/>
  <c r="AJ43" i="8" s="1"/>
  <c r="AG43" i="8"/>
  <c r="AM43" i="8" s="1"/>
  <c r="AE43" i="8"/>
  <c r="AD43" i="8"/>
  <c r="AC43" i="8"/>
  <c r="Z43" i="8"/>
  <c r="AF43" i="8" s="1"/>
  <c r="X43" i="8"/>
  <c r="W43" i="8" s="1"/>
  <c r="V43" i="8" s="1"/>
  <c r="S43" i="8"/>
  <c r="Q43" i="8"/>
  <c r="L43" i="8"/>
  <c r="R43" i="8" s="1"/>
  <c r="CO42" i="8"/>
  <c r="CN42" i="8"/>
  <c r="CK42" i="8"/>
  <c r="CQ42" i="8" s="1"/>
  <c r="CH42" i="8"/>
  <c r="CG42" i="8" s="1"/>
  <c r="CD42" i="8"/>
  <c r="CJ42" i="8" s="1"/>
  <c r="CC42" i="8"/>
  <c r="CA42" i="8"/>
  <c r="BZ42" i="8"/>
  <c r="BW42" i="8"/>
  <c r="BY42" i="8" s="1"/>
  <c r="BX42" i="8" s="1"/>
  <c r="BT42" i="8"/>
  <c r="BS42" i="8"/>
  <c r="BR42" i="8"/>
  <c r="BQ42" i="8" s="1"/>
  <c r="BP42" i="8"/>
  <c r="BV42" i="8" s="1"/>
  <c r="BO42" i="8"/>
  <c r="BM42" i="8"/>
  <c r="BL42" i="8" s="1"/>
  <c r="BI42" i="8"/>
  <c r="BK42" i="8" s="1"/>
  <c r="BF42" i="8"/>
  <c r="BE42" i="8" s="1"/>
  <c r="BB42" i="8"/>
  <c r="BH42" i="8" s="1"/>
  <c r="BA42" i="8"/>
  <c r="AY42" i="8"/>
  <c r="AX42" i="8" s="1"/>
  <c r="AW42" i="8"/>
  <c r="AV42" i="8" s="1"/>
  <c r="AU42" i="8"/>
  <c r="AR42" i="8"/>
  <c r="AQ42" i="8" s="1"/>
  <c r="AN42" i="8"/>
  <c r="AT42" i="8" s="1"/>
  <c r="AM42" i="8"/>
  <c r="AL42" i="8"/>
  <c r="AK42" i="8"/>
  <c r="AJ42" i="8" s="1"/>
  <c r="AI42" i="8"/>
  <c r="AH42" i="8" s="1"/>
  <c r="AG42" i="8"/>
  <c r="AD42" i="8"/>
  <c r="AC42" i="8"/>
  <c r="Z42" i="8"/>
  <c r="AF42" i="8" s="1"/>
  <c r="X42" i="8"/>
  <c r="W42" i="8" s="1"/>
  <c r="V42" i="8" s="1"/>
  <c r="S42" i="8"/>
  <c r="Y42" i="8" s="1"/>
  <c r="Q42" i="8"/>
  <c r="P42" i="8" s="1"/>
  <c r="L42" i="8"/>
  <c r="N42" i="8" s="1"/>
  <c r="J42" i="8"/>
  <c r="CO41" i="8"/>
  <c r="CN41" i="8" s="1"/>
  <c r="CK41" i="8"/>
  <c r="CH41" i="8"/>
  <c r="CG41" i="8" s="1"/>
  <c r="CD41" i="8"/>
  <c r="CF41" i="8" s="1"/>
  <c r="CC41" i="8"/>
  <c r="CA41" i="8"/>
  <c r="BZ41" i="8" s="1"/>
  <c r="BY41" i="8"/>
  <c r="BX41" i="8" s="1"/>
  <c r="BW41" i="8"/>
  <c r="BT41" i="8"/>
  <c r="BS41" i="8"/>
  <c r="BP41" i="8"/>
  <c r="BV41" i="8" s="1"/>
  <c r="BM41" i="8"/>
  <c r="BL41" i="8" s="1"/>
  <c r="BI41" i="8"/>
  <c r="BF41" i="8"/>
  <c r="BE41" i="8" s="1"/>
  <c r="BB41" i="8"/>
  <c r="BD41" i="8" s="1"/>
  <c r="AY41" i="8"/>
  <c r="AX41" i="8"/>
  <c r="AW41" i="8"/>
  <c r="AV41" i="8" s="1"/>
  <c r="AU41" i="8"/>
  <c r="BA41" i="8" s="1"/>
  <c r="AR41" i="8"/>
  <c r="AQ41" i="8"/>
  <c r="AN41" i="8"/>
  <c r="AT41" i="8" s="1"/>
  <c r="AK41" i="8"/>
  <c r="AJ41" i="8"/>
  <c r="AG41" i="8"/>
  <c r="AF41" i="8"/>
  <c r="AD41" i="8"/>
  <c r="AC41" i="8" s="1"/>
  <c r="Z41" i="8"/>
  <c r="AB41" i="8" s="1"/>
  <c r="W41" i="8"/>
  <c r="V41" i="8"/>
  <c r="U41" i="8"/>
  <c r="T41" i="8" s="1"/>
  <c r="S41" i="8"/>
  <c r="Y41" i="8" s="1"/>
  <c r="P41" i="8"/>
  <c r="I41" i="8" s="1"/>
  <c r="O41" i="8"/>
  <c r="L41" i="8"/>
  <c r="J41" i="8"/>
  <c r="CO40" i="8"/>
  <c r="CN40" i="8"/>
  <c r="CK40" i="8"/>
  <c r="CQ40" i="8" s="1"/>
  <c r="CH40" i="8"/>
  <c r="CG40" i="8" s="1"/>
  <c r="CD40" i="8"/>
  <c r="CA40" i="8"/>
  <c r="BZ40" i="8" s="1"/>
  <c r="BW40" i="8"/>
  <c r="BY40" i="8" s="1"/>
  <c r="BT40" i="8"/>
  <c r="BS40" i="8" s="1"/>
  <c r="BP40" i="8"/>
  <c r="BV40" i="8" s="1"/>
  <c r="BM40" i="8"/>
  <c r="BL40" i="8"/>
  <c r="BI40" i="8"/>
  <c r="BO40" i="8" s="1"/>
  <c r="BF40" i="8"/>
  <c r="BE40" i="8" s="1"/>
  <c r="BB40" i="8"/>
  <c r="AY40" i="8"/>
  <c r="AX40" i="8" s="1"/>
  <c r="AU40" i="8"/>
  <c r="AW40" i="8" s="1"/>
  <c r="AT40" i="8"/>
  <c r="AR40" i="8"/>
  <c r="AQ40" i="8" s="1"/>
  <c r="AP40" i="8"/>
  <c r="AO40" i="8" s="1"/>
  <c r="AN40" i="8"/>
  <c r="AL40" i="8"/>
  <c r="AK40" i="8"/>
  <c r="AJ40" i="8" s="1"/>
  <c r="AG40" i="8"/>
  <c r="AM40" i="8" s="1"/>
  <c r="AE40" i="8"/>
  <c r="AD40" i="8"/>
  <c r="AC40" i="8"/>
  <c r="Z40" i="8"/>
  <c r="AF40" i="8" s="1"/>
  <c r="X40" i="8"/>
  <c r="W40" i="8" s="1"/>
  <c r="V40" i="8" s="1"/>
  <c r="S40" i="8"/>
  <c r="Y40" i="8" s="1"/>
  <c r="Q40" i="8"/>
  <c r="P40" i="8" s="1"/>
  <c r="L40" i="8"/>
  <c r="J40" i="8"/>
  <c r="CO39" i="8"/>
  <c r="CN39" i="8" s="1"/>
  <c r="CK39" i="8"/>
  <c r="CH39" i="8"/>
  <c r="CG39" i="8" s="1"/>
  <c r="CD39" i="8"/>
  <c r="CF39" i="8" s="1"/>
  <c r="CC39" i="8"/>
  <c r="CA39" i="8"/>
  <c r="BZ39" i="8" s="1"/>
  <c r="BY39" i="8"/>
  <c r="BX39" i="8" s="1"/>
  <c r="BW39" i="8"/>
  <c r="BT39" i="8"/>
  <c r="BS39" i="8"/>
  <c r="BP39" i="8"/>
  <c r="BV39" i="8" s="1"/>
  <c r="BM39" i="8"/>
  <c r="BL39" i="8" s="1"/>
  <c r="BI39" i="8"/>
  <c r="BF39" i="8"/>
  <c r="BE39" i="8" s="1"/>
  <c r="BB39" i="8"/>
  <c r="BD39" i="8" s="1"/>
  <c r="AY39" i="8"/>
  <c r="AX39" i="8" s="1"/>
  <c r="AU39" i="8"/>
  <c r="BA39" i="8" s="1"/>
  <c r="AR39" i="8"/>
  <c r="AQ39" i="8"/>
  <c r="AN39" i="8"/>
  <c r="AT39" i="8" s="1"/>
  <c r="AL39" i="8"/>
  <c r="AK39" i="8" s="1"/>
  <c r="AJ39" i="8" s="1"/>
  <c r="AG39" i="8"/>
  <c r="AM39" i="8" s="1"/>
  <c r="AD39" i="8"/>
  <c r="AC39" i="8" s="1"/>
  <c r="Z39" i="8"/>
  <c r="AF39" i="8" s="1"/>
  <c r="W39" i="8"/>
  <c r="V39" i="8"/>
  <c r="S39" i="8"/>
  <c r="Y39" i="8" s="1"/>
  <c r="Q39" i="8"/>
  <c r="P39" i="8" s="1"/>
  <c r="N39" i="8"/>
  <c r="L39" i="8"/>
  <c r="I39" i="8"/>
  <c r="CO38" i="8"/>
  <c r="CN38" i="8"/>
  <c r="CM38" i="8"/>
  <c r="CL38" i="8" s="1"/>
  <c r="CK38" i="8"/>
  <c r="CQ38" i="8" s="1"/>
  <c r="CH38" i="8"/>
  <c r="CG38" i="8"/>
  <c r="CD38" i="8"/>
  <c r="CJ38" i="8" s="1"/>
  <c r="CA38" i="8"/>
  <c r="BZ38" i="8" s="1"/>
  <c r="BW38" i="8"/>
  <c r="BT38" i="8"/>
  <c r="BS38" i="8" s="1"/>
  <c r="BP38" i="8"/>
  <c r="BR38" i="8" s="1"/>
  <c r="BO38" i="8"/>
  <c r="BM38" i="8"/>
  <c r="BL38" i="8"/>
  <c r="BI38" i="8"/>
  <c r="BK38" i="8" s="1"/>
  <c r="BJ38" i="8" s="1"/>
  <c r="BF38" i="8"/>
  <c r="BE38" i="8"/>
  <c r="BD38" i="8"/>
  <c r="BC38" i="8" s="1"/>
  <c r="BB38" i="8"/>
  <c r="BH38" i="8" s="1"/>
  <c r="AY38" i="8"/>
  <c r="AX38" i="8" s="1"/>
  <c r="AU38" i="8"/>
  <c r="AR38" i="8"/>
  <c r="AQ38" i="8" s="1"/>
  <c r="AN38" i="8"/>
  <c r="AP38" i="8" s="1"/>
  <c r="AM38" i="8"/>
  <c r="AK38" i="8"/>
  <c r="AJ38" i="8"/>
  <c r="AG38" i="8"/>
  <c r="AI38" i="8" s="1"/>
  <c r="AH38" i="8" s="1"/>
  <c r="AE38" i="8"/>
  <c r="AD38" i="8"/>
  <c r="AC38" i="8"/>
  <c r="Z38" i="8"/>
  <c r="AF38" i="8" s="1"/>
  <c r="W38" i="8"/>
  <c r="V38" i="8"/>
  <c r="U38" i="8"/>
  <c r="S38" i="8"/>
  <c r="Q38" i="8"/>
  <c r="P38" i="8" s="1"/>
  <c r="L38" i="8"/>
  <c r="N38" i="8" s="1"/>
  <c r="J38" i="8"/>
  <c r="CO37" i="8"/>
  <c r="CN37" i="8" s="1"/>
  <c r="CK37" i="8"/>
  <c r="CH37" i="8"/>
  <c r="CG37" i="8" s="1"/>
  <c r="CD37" i="8"/>
  <c r="CF37" i="8" s="1"/>
  <c r="CA37" i="8"/>
  <c r="BZ37" i="8"/>
  <c r="BY37" i="8"/>
  <c r="BX37" i="8" s="1"/>
  <c r="BW37" i="8"/>
  <c r="CC37" i="8" s="1"/>
  <c r="BT37" i="8"/>
  <c r="BS37" i="8"/>
  <c r="BP37" i="8"/>
  <c r="BV37" i="8" s="1"/>
  <c r="BM37" i="8"/>
  <c r="BL37" i="8" s="1"/>
  <c r="BI37" i="8"/>
  <c r="BH37" i="8"/>
  <c r="BF37" i="8"/>
  <c r="BE37" i="8" s="1"/>
  <c r="BB37" i="8"/>
  <c r="BD37" i="8" s="1"/>
  <c r="AY37" i="8"/>
  <c r="AX37" i="8"/>
  <c r="AW37" i="8"/>
  <c r="AV37" i="8" s="1"/>
  <c r="AU37" i="8"/>
  <c r="BA37" i="8" s="1"/>
  <c r="AR37" i="8"/>
  <c r="AQ37" i="8"/>
  <c r="AN37" i="8"/>
  <c r="AT37" i="8" s="1"/>
  <c r="AG37" i="8"/>
  <c r="Z37" i="8"/>
  <c r="AB37" i="8" s="1"/>
  <c r="S37" i="8"/>
  <c r="Q37" i="8"/>
  <c r="L37" i="8"/>
  <c r="N37" i="8" s="1"/>
  <c r="CO36" i="8"/>
  <c r="CN36" i="8" s="1"/>
  <c r="CK36" i="8"/>
  <c r="CH36" i="8"/>
  <c r="CG36" i="8"/>
  <c r="CD36" i="8"/>
  <c r="CJ36" i="8" s="1"/>
  <c r="CA36" i="8"/>
  <c r="BZ36" i="8"/>
  <c r="BW36" i="8"/>
  <c r="CC36" i="8" s="1"/>
  <c r="BT36" i="8"/>
  <c r="BS36" i="8" s="1"/>
  <c r="BP36" i="8"/>
  <c r="BV36" i="8" s="1"/>
  <c r="BM36" i="8"/>
  <c r="BL36" i="8"/>
  <c r="BI36" i="8"/>
  <c r="BO36" i="8" s="1"/>
  <c r="BF36" i="8"/>
  <c r="BE36" i="8" s="1"/>
  <c r="BB36" i="8"/>
  <c r="BH36" i="8" s="1"/>
  <c r="AY36" i="8"/>
  <c r="AX36" i="8"/>
  <c r="AW36" i="8"/>
  <c r="AV36" i="8" s="1"/>
  <c r="AU36" i="8"/>
  <c r="BA36" i="8" s="1"/>
  <c r="AR36" i="8"/>
  <c r="AQ36" i="8" s="1"/>
  <c r="AN36" i="8"/>
  <c r="AP36" i="8" s="1"/>
  <c r="AL36" i="8"/>
  <c r="AK36" i="8"/>
  <c r="AH36" i="8"/>
  <c r="AG36" i="8"/>
  <c r="AI36" i="8" s="1"/>
  <c r="AE36" i="8"/>
  <c r="AE37" i="8" s="1"/>
  <c r="AD36" i="8"/>
  <c r="AC36" i="8"/>
  <c r="Z36" i="8"/>
  <c r="X36" i="8"/>
  <c r="S36" i="8"/>
  <c r="U36" i="8" s="1"/>
  <c r="T36" i="8" s="1"/>
  <c r="Q36" i="8"/>
  <c r="P36" i="8"/>
  <c r="O36" i="8" s="1"/>
  <c r="N36" i="8"/>
  <c r="L36" i="8"/>
  <c r="CQ35" i="8"/>
  <c r="CO35" i="8"/>
  <c r="CN35" i="8"/>
  <c r="CM35" i="8"/>
  <c r="CL35" i="8" s="1"/>
  <c r="CK35" i="8"/>
  <c r="CH35" i="8"/>
  <c r="CG35" i="8" s="1"/>
  <c r="CD35" i="8"/>
  <c r="CA35" i="8"/>
  <c r="BZ35" i="8" s="1"/>
  <c r="BW35" i="8"/>
  <c r="CC35" i="8" s="1"/>
  <c r="BT35" i="8"/>
  <c r="BS35" i="8"/>
  <c r="BP35" i="8"/>
  <c r="BM35" i="8"/>
  <c r="BL35" i="8" s="1"/>
  <c r="BI35" i="8"/>
  <c r="BO35" i="8" s="1"/>
  <c r="BF35" i="8"/>
  <c r="BE35" i="8" s="1"/>
  <c r="BB35" i="8"/>
  <c r="BH35" i="8" s="1"/>
  <c r="AY35" i="8"/>
  <c r="AX35" i="8" s="1"/>
  <c r="AU35" i="8"/>
  <c r="AR35" i="8"/>
  <c r="AQ35" i="8" s="1"/>
  <c r="AN35" i="8"/>
  <c r="AT35" i="8" s="1"/>
  <c r="AK35" i="8"/>
  <c r="AJ35" i="8"/>
  <c r="AG35" i="8"/>
  <c r="AM35" i="8" s="1"/>
  <c r="AD35" i="8"/>
  <c r="AC35" i="8" s="1"/>
  <c r="Z35" i="8"/>
  <c r="W35" i="8"/>
  <c r="V35" i="8" s="1"/>
  <c r="S35" i="8"/>
  <c r="Y35" i="8" s="1"/>
  <c r="P35" i="8"/>
  <c r="O35" i="8"/>
  <c r="L35" i="8"/>
  <c r="J35" i="8"/>
  <c r="CO34" i="8"/>
  <c r="CN34" i="8" s="1"/>
  <c r="CK34" i="8"/>
  <c r="CQ34" i="8" s="1"/>
  <c r="CH34" i="8"/>
  <c r="CG34" i="8"/>
  <c r="CF34" i="8"/>
  <c r="CE34" i="8" s="1"/>
  <c r="CD34" i="8"/>
  <c r="CJ34" i="8" s="1"/>
  <c r="CA34" i="8"/>
  <c r="BZ34" i="8" s="1"/>
  <c r="BW34" i="8"/>
  <c r="BT34" i="8"/>
  <c r="BS34" i="8" s="1"/>
  <c r="BR34" i="8"/>
  <c r="BQ34" i="8" s="1"/>
  <c r="BP34" i="8"/>
  <c r="BV34" i="8" s="1"/>
  <c r="BM34" i="8"/>
  <c r="BL34" i="8"/>
  <c r="BI34" i="8"/>
  <c r="BF34" i="8"/>
  <c r="BE34" i="8" s="1"/>
  <c r="BB34" i="8"/>
  <c r="BH34" i="8" s="1"/>
  <c r="AY34" i="8"/>
  <c r="AX34" i="8"/>
  <c r="AU34" i="8"/>
  <c r="BA34" i="8" s="1"/>
  <c r="AR34" i="8"/>
  <c r="AQ34" i="8" s="1"/>
  <c r="AN34" i="8"/>
  <c r="AK34" i="8"/>
  <c r="AJ34" i="8" s="1"/>
  <c r="AG34" i="8"/>
  <c r="AM34" i="8" s="1"/>
  <c r="AD34" i="8"/>
  <c r="AC34" i="8"/>
  <c r="Z34" i="8"/>
  <c r="AF34" i="8" s="1"/>
  <c r="W34" i="8"/>
  <c r="V34" i="8" s="1"/>
  <c r="S34" i="8"/>
  <c r="E34" i="8" s="1"/>
  <c r="K34" i="8" s="1"/>
  <c r="P34" i="8"/>
  <c r="O34" i="8" s="1"/>
  <c r="L34" i="8"/>
  <c r="R34" i="8" s="1"/>
  <c r="J34" i="8"/>
  <c r="CO33" i="8"/>
  <c r="CN33" i="8" s="1"/>
  <c r="CK33" i="8"/>
  <c r="CQ33" i="8" s="1"/>
  <c r="CH33" i="8"/>
  <c r="CG33" i="8" s="1"/>
  <c r="CD33" i="8"/>
  <c r="CJ33" i="8" s="1"/>
  <c r="CA33" i="8"/>
  <c r="BZ33" i="8" s="1"/>
  <c r="BW33" i="8"/>
  <c r="CC33" i="8" s="1"/>
  <c r="BT33" i="8"/>
  <c r="BS33" i="8"/>
  <c r="BP33" i="8"/>
  <c r="BM33" i="8"/>
  <c r="BL33" i="8" s="1"/>
  <c r="BI33" i="8"/>
  <c r="BO33" i="8" s="1"/>
  <c r="BF33" i="8"/>
  <c r="BE33" i="8"/>
  <c r="BB33" i="8"/>
  <c r="AY33" i="8"/>
  <c r="AX33" i="8" s="1"/>
  <c r="AU33" i="8"/>
  <c r="BA33" i="8" s="1"/>
  <c r="AR33" i="8"/>
  <c r="AQ33" i="8"/>
  <c r="AN33" i="8"/>
  <c r="AT33" i="8" s="1"/>
  <c r="AK33" i="8"/>
  <c r="AJ33" i="8" s="1"/>
  <c r="AG33" i="8"/>
  <c r="AM33" i="8" s="1"/>
  <c r="AD33" i="8"/>
  <c r="AC33" i="8" s="1"/>
  <c r="Z33" i="8"/>
  <c r="AF33" i="8" s="1"/>
  <c r="Y33" i="8"/>
  <c r="W33" i="8"/>
  <c r="V33" i="8" s="1"/>
  <c r="S33" i="8"/>
  <c r="U33" i="8" s="1"/>
  <c r="Q33" i="8"/>
  <c r="J33" i="8" s="1"/>
  <c r="P33" i="8"/>
  <c r="O33" i="8"/>
  <c r="H33" i="8" s="1"/>
  <c r="L33" i="8"/>
  <c r="I33" i="8"/>
  <c r="CO32" i="8"/>
  <c r="CN32" i="8"/>
  <c r="CK32" i="8"/>
  <c r="CQ32" i="8" s="1"/>
  <c r="CH32" i="8"/>
  <c r="CG32" i="8"/>
  <c r="CF32" i="8"/>
  <c r="CD32" i="8"/>
  <c r="CJ32" i="8" s="1"/>
  <c r="CA32" i="8"/>
  <c r="BZ32" i="8" s="1"/>
  <c r="BW32" i="8"/>
  <c r="BY32" i="8" s="1"/>
  <c r="BT32" i="8"/>
  <c r="BS32" i="8"/>
  <c r="BR32" i="8"/>
  <c r="BQ32" i="8" s="1"/>
  <c r="BP32" i="8"/>
  <c r="BV32" i="8" s="1"/>
  <c r="BM32" i="8"/>
  <c r="BL32" i="8"/>
  <c r="BI32" i="8"/>
  <c r="BO32" i="8" s="1"/>
  <c r="BF32" i="8"/>
  <c r="BE32" i="8"/>
  <c r="BB32" i="8"/>
  <c r="BH32" i="8" s="1"/>
  <c r="BA32" i="8"/>
  <c r="AY32" i="8"/>
  <c r="AX32" i="8" s="1"/>
  <c r="AV32" i="8"/>
  <c r="AU32" i="8"/>
  <c r="AW32" i="8" s="1"/>
  <c r="AR32" i="8"/>
  <c r="AQ32" i="8"/>
  <c r="AP32" i="8"/>
  <c r="AO32" i="8" s="1"/>
  <c r="AN32" i="8"/>
  <c r="AT32" i="8" s="1"/>
  <c r="AL32" i="8"/>
  <c r="AG32" i="8"/>
  <c r="AI32" i="8" s="1"/>
  <c r="AE32" i="8"/>
  <c r="AD32" i="8"/>
  <c r="AC32" i="8"/>
  <c r="AB32" i="8"/>
  <c r="AA32" i="8" s="1"/>
  <c r="Z32" i="8"/>
  <c r="X32" i="8"/>
  <c r="W32" i="8"/>
  <c r="V32" i="8"/>
  <c r="S32" i="8"/>
  <c r="Y32" i="8" s="1"/>
  <c r="Q32" i="8"/>
  <c r="P32" i="8" s="1"/>
  <c r="O32" i="8"/>
  <c r="L32" i="8"/>
  <c r="B32" i="8" s="1"/>
  <c r="CO31" i="8"/>
  <c r="CN31" i="8"/>
  <c r="CK31" i="8"/>
  <c r="CJ31" i="8"/>
  <c r="CH31" i="8"/>
  <c r="CG31" i="8"/>
  <c r="CE31" i="8"/>
  <c r="CD31" i="8"/>
  <c r="CF31" i="8" s="1"/>
  <c r="CA31" i="8"/>
  <c r="BZ31" i="8"/>
  <c r="BW31" i="8"/>
  <c r="CC31" i="8" s="1"/>
  <c r="BT31" i="8"/>
  <c r="BS31" i="8"/>
  <c r="BP31" i="8"/>
  <c r="BM31" i="8"/>
  <c r="BL31" i="8"/>
  <c r="BI31" i="8"/>
  <c r="BK31" i="8" s="1"/>
  <c r="BH31" i="8"/>
  <c r="BF31" i="8"/>
  <c r="BE31" i="8" s="1"/>
  <c r="BB31" i="8"/>
  <c r="BD31" i="8" s="1"/>
  <c r="AY31" i="8"/>
  <c r="AX31" i="8"/>
  <c r="AU31" i="8"/>
  <c r="BA31" i="8" s="1"/>
  <c r="AR31" i="8"/>
  <c r="AQ31" i="8" s="1"/>
  <c r="AN31" i="8"/>
  <c r="AK31" i="8"/>
  <c r="AJ31" i="8"/>
  <c r="AG31" i="8"/>
  <c r="AM31" i="8" s="1"/>
  <c r="AD31" i="8"/>
  <c r="AC31" i="8"/>
  <c r="Z31" i="8"/>
  <c r="W31" i="8"/>
  <c r="V31" i="8"/>
  <c r="S31" i="8"/>
  <c r="Y31" i="8" s="1"/>
  <c r="R31" i="8"/>
  <c r="P31" i="8"/>
  <c r="O31" i="8" s="1"/>
  <c r="L31" i="8"/>
  <c r="J31" i="8"/>
  <c r="CO30" i="8"/>
  <c r="CN30" i="8"/>
  <c r="CK30" i="8"/>
  <c r="CQ30" i="8" s="1"/>
  <c r="CJ30" i="8"/>
  <c r="CH30" i="8"/>
  <c r="CG30" i="8" s="1"/>
  <c r="CD30" i="8"/>
  <c r="CF30" i="8" s="1"/>
  <c r="CE30" i="8" s="1"/>
  <c r="CA30" i="8"/>
  <c r="BZ30" i="8"/>
  <c r="BW30" i="8"/>
  <c r="CC30" i="8" s="1"/>
  <c r="BT30" i="8"/>
  <c r="BS30" i="8" s="1"/>
  <c r="BP30" i="8"/>
  <c r="BM30" i="8"/>
  <c r="BL30" i="8"/>
  <c r="BI30" i="8"/>
  <c r="BO30" i="8" s="1"/>
  <c r="BH30" i="8"/>
  <c r="BF30" i="8"/>
  <c r="BE30" i="8"/>
  <c r="BB30" i="8"/>
  <c r="BD30" i="8" s="1"/>
  <c r="BC30" i="8" s="1"/>
  <c r="AY30" i="8"/>
  <c r="AX30" i="8"/>
  <c r="AU30" i="8"/>
  <c r="BA30" i="8" s="1"/>
  <c r="AR30" i="8"/>
  <c r="AQ30" i="8" s="1"/>
  <c r="AN30" i="8"/>
  <c r="AK30" i="8"/>
  <c r="AJ30" i="8" s="1"/>
  <c r="AG30" i="8"/>
  <c r="AM30" i="8" s="1"/>
  <c r="AF30" i="8"/>
  <c r="AD30" i="8"/>
  <c r="AC30" i="8"/>
  <c r="AB30" i="8"/>
  <c r="AA30" i="8" s="1"/>
  <c r="Z30" i="8"/>
  <c r="W30" i="8"/>
  <c r="V30" i="8"/>
  <c r="S30" i="8"/>
  <c r="Y30" i="8" s="1"/>
  <c r="P30" i="8"/>
  <c r="O30" i="8" s="1"/>
  <c r="H30" i="8" s="1"/>
  <c r="L30" i="8"/>
  <c r="R30" i="8" s="1"/>
  <c r="J30" i="8"/>
  <c r="I30" i="8"/>
  <c r="CO29" i="8"/>
  <c r="CN29" i="8" s="1"/>
  <c r="CK29" i="8"/>
  <c r="CQ29" i="8" s="1"/>
  <c r="CH29" i="8"/>
  <c r="CG29" i="8" s="1"/>
  <c r="CD29" i="8"/>
  <c r="CJ29" i="8" s="1"/>
  <c r="CA29" i="8"/>
  <c r="BZ29" i="8" s="1"/>
  <c r="BW29" i="8"/>
  <c r="CC29" i="8" s="1"/>
  <c r="BT29" i="8"/>
  <c r="BS29" i="8"/>
  <c r="BR29" i="8"/>
  <c r="BP29" i="8"/>
  <c r="BV29" i="8" s="1"/>
  <c r="BM29" i="8"/>
  <c r="BL29" i="8" s="1"/>
  <c r="BI29" i="8"/>
  <c r="BH29" i="8"/>
  <c r="BF29" i="8"/>
  <c r="BE29" i="8"/>
  <c r="BB29" i="8"/>
  <c r="AY29" i="8"/>
  <c r="AX29" i="8"/>
  <c r="AU29" i="8"/>
  <c r="BA29" i="8" s="1"/>
  <c r="AR29" i="8"/>
  <c r="AQ29" i="8"/>
  <c r="AN29" i="8"/>
  <c r="AT29" i="8" s="1"/>
  <c r="AK29" i="8"/>
  <c r="AJ29" i="8" s="1"/>
  <c r="AG29" i="8"/>
  <c r="AI29" i="8" s="1"/>
  <c r="AD29" i="8"/>
  <c r="AC29" i="8" s="1"/>
  <c r="Z29" i="8"/>
  <c r="AF29" i="8" s="1"/>
  <c r="Y29" i="8"/>
  <c r="W29" i="8"/>
  <c r="V29" i="8"/>
  <c r="S29" i="8"/>
  <c r="U29" i="8" s="1"/>
  <c r="P29" i="8"/>
  <c r="O29" i="8"/>
  <c r="N29" i="8"/>
  <c r="L29" i="8"/>
  <c r="J29" i="8"/>
  <c r="CO28" i="8"/>
  <c r="CN28" i="8"/>
  <c r="CK28" i="8"/>
  <c r="CQ28" i="8" s="1"/>
  <c r="CH28" i="8"/>
  <c r="CG28" i="8" s="1"/>
  <c r="CD28" i="8"/>
  <c r="CF28" i="8" s="1"/>
  <c r="CC28" i="8"/>
  <c r="CA28" i="8"/>
  <c r="BZ28" i="8" s="1"/>
  <c r="BW28" i="8"/>
  <c r="BT28" i="8"/>
  <c r="BP28" i="8"/>
  <c r="BV28" i="8" s="1"/>
  <c r="BM28" i="8"/>
  <c r="BL28" i="8"/>
  <c r="BI28" i="8"/>
  <c r="BO28" i="8" s="1"/>
  <c r="BF28" i="8"/>
  <c r="BE28" i="8" s="1"/>
  <c r="BC28" i="8"/>
  <c r="BB28" i="8"/>
  <c r="BD28" i="8" s="1"/>
  <c r="BA28" i="8"/>
  <c r="AY28" i="8"/>
  <c r="AX28" i="8"/>
  <c r="AU28" i="8"/>
  <c r="AR28" i="8"/>
  <c r="AQ28" i="8"/>
  <c r="AN28" i="8"/>
  <c r="AT28" i="8" s="1"/>
  <c r="AK28" i="8"/>
  <c r="AJ28" i="8"/>
  <c r="AG28" i="8"/>
  <c r="AD28" i="8"/>
  <c r="AC28" i="8" s="1"/>
  <c r="Z28" i="8"/>
  <c r="X28" i="8"/>
  <c r="W28" i="8"/>
  <c r="S28" i="8"/>
  <c r="R28" i="8"/>
  <c r="P28" i="8"/>
  <c r="O28" i="8"/>
  <c r="L28" i="8"/>
  <c r="N28" i="8" s="1"/>
  <c r="J28" i="8"/>
  <c r="CQ27" i="8"/>
  <c r="CO27" i="8"/>
  <c r="CN27" i="8"/>
  <c r="CK27" i="8"/>
  <c r="CM27" i="8" s="1"/>
  <c r="CL27" i="8" s="1"/>
  <c r="CH27" i="8"/>
  <c r="CG27" i="8" s="1"/>
  <c r="CD27" i="8"/>
  <c r="CJ27" i="8" s="1"/>
  <c r="CA27" i="8"/>
  <c r="BZ27" i="8"/>
  <c r="BY27" i="8"/>
  <c r="BX27" i="8" s="1"/>
  <c r="BW27" i="8"/>
  <c r="CC27" i="8" s="1"/>
  <c r="BT27" i="8"/>
  <c r="BS27" i="8" s="1"/>
  <c r="BP27" i="8"/>
  <c r="BM27" i="8"/>
  <c r="BL27" i="8" s="1"/>
  <c r="BK27" i="8"/>
  <c r="BJ27" i="8" s="1"/>
  <c r="BI27" i="8"/>
  <c r="BO27" i="8" s="1"/>
  <c r="BF27" i="8"/>
  <c r="BE27" i="8"/>
  <c r="BB27" i="8"/>
  <c r="AY27" i="8"/>
  <c r="AX27" i="8"/>
  <c r="AU27" i="8"/>
  <c r="AR27" i="8"/>
  <c r="AQ27" i="8" s="1"/>
  <c r="AN27" i="8"/>
  <c r="AM27" i="8"/>
  <c r="AK27" i="8"/>
  <c r="AJ27" i="8" s="1"/>
  <c r="AG27" i="8"/>
  <c r="AI27" i="8" s="1"/>
  <c r="AH27" i="8" s="1"/>
  <c r="AD27" i="8"/>
  <c r="AC27" i="8"/>
  <c r="Z27" i="8"/>
  <c r="AF27" i="8" s="1"/>
  <c r="W27" i="8"/>
  <c r="V27" i="8"/>
  <c r="U27" i="8"/>
  <c r="S27" i="8"/>
  <c r="Y27" i="8" s="1"/>
  <c r="Q27" i="8"/>
  <c r="L27" i="8"/>
  <c r="N27" i="8" s="1"/>
  <c r="J27" i="8"/>
  <c r="CO26" i="8"/>
  <c r="CN26" i="8" s="1"/>
  <c r="CK26" i="8"/>
  <c r="CH26" i="8"/>
  <c r="CG26" i="8" s="1"/>
  <c r="CD26" i="8"/>
  <c r="CJ26" i="8" s="1"/>
  <c r="CC26" i="8"/>
  <c r="CA26" i="8"/>
  <c r="BZ26" i="8" s="1"/>
  <c r="BW26" i="8"/>
  <c r="BY26" i="8" s="1"/>
  <c r="BX26" i="8" s="1"/>
  <c r="BT26" i="8"/>
  <c r="BS26" i="8" s="1"/>
  <c r="BP26" i="8"/>
  <c r="BV26" i="8" s="1"/>
  <c r="BO26" i="8"/>
  <c r="BM26" i="8"/>
  <c r="BL26" i="8" s="1"/>
  <c r="BK26" i="8"/>
  <c r="BJ26" i="8" s="1"/>
  <c r="BI26" i="8"/>
  <c r="BF26" i="8"/>
  <c r="BE26" i="8" s="1"/>
  <c r="BB26" i="8"/>
  <c r="AY26" i="8"/>
  <c r="AX26" i="8" s="1"/>
  <c r="AU26" i="8"/>
  <c r="BA26" i="8" s="1"/>
  <c r="AR26" i="8"/>
  <c r="AQ26" i="8"/>
  <c r="AN26" i="8"/>
  <c r="AT26" i="8" s="1"/>
  <c r="AK26" i="8"/>
  <c r="AJ26" i="8" s="1"/>
  <c r="AG26" i="8"/>
  <c r="AI26" i="8" s="1"/>
  <c r="AE26" i="8"/>
  <c r="Z26" i="8"/>
  <c r="AB26" i="8" s="1"/>
  <c r="X26" i="8"/>
  <c r="W26" i="8"/>
  <c r="V26" i="8" s="1"/>
  <c r="S26" i="8"/>
  <c r="Y26" i="8" s="1"/>
  <c r="R26" i="8"/>
  <c r="P26" i="8"/>
  <c r="O26" i="8"/>
  <c r="L26" i="8"/>
  <c r="N26" i="8" s="1"/>
  <c r="J26" i="8"/>
  <c r="CQ25" i="8"/>
  <c r="CO25" i="8"/>
  <c r="CN25" i="8"/>
  <c r="CM25" i="8"/>
  <c r="CL25" i="8" s="1"/>
  <c r="CK25" i="8"/>
  <c r="CH25" i="8"/>
  <c r="CG25" i="8" s="1"/>
  <c r="CD25" i="8"/>
  <c r="CJ25" i="8" s="1"/>
  <c r="CA25" i="8"/>
  <c r="BZ25" i="8" s="1"/>
  <c r="BW25" i="8"/>
  <c r="CC25" i="8" s="1"/>
  <c r="BV25" i="8"/>
  <c r="BT25" i="8"/>
  <c r="BS25" i="8" s="1"/>
  <c r="BP25" i="8"/>
  <c r="BM25" i="8"/>
  <c r="BL25" i="8"/>
  <c r="BI25" i="8"/>
  <c r="BO25" i="8" s="1"/>
  <c r="BF25" i="8"/>
  <c r="BE25" i="8" s="1"/>
  <c r="BB25" i="8"/>
  <c r="AY25" i="8"/>
  <c r="AX25" i="8" s="1"/>
  <c r="AU25" i="8"/>
  <c r="BA25" i="8" s="1"/>
  <c r="AR25" i="8"/>
  <c r="AQ25" i="8"/>
  <c r="AN25" i="8"/>
  <c r="AK25" i="8"/>
  <c r="AJ25" i="8"/>
  <c r="AI25" i="8"/>
  <c r="AH25" i="8" s="1"/>
  <c r="AG25" i="8"/>
  <c r="AM25" i="8" s="1"/>
  <c r="AD25" i="8"/>
  <c r="AC25" i="8" s="1"/>
  <c r="AB25" i="8"/>
  <c r="AA25" i="8" s="1"/>
  <c r="Z25" i="8"/>
  <c r="AF25" i="8" s="1"/>
  <c r="W25" i="8"/>
  <c r="V25" i="8" s="1"/>
  <c r="S25" i="8"/>
  <c r="Y25" i="8" s="1"/>
  <c r="P25" i="8"/>
  <c r="I25" i="8" s="1"/>
  <c r="L25" i="8"/>
  <c r="R25" i="8" s="1"/>
  <c r="J25" i="8"/>
  <c r="CO24" i="8"/>
  <c r="CN24" i="8"/>
  <c r="CK24" i="8"/>
  <c r="CH24" i="8"/>
  <c r="CG24" i="8"/>
  <c r="CD24" i="8"/>
  <c r="CJ24" i="8" s="1"/>
  <c r="CA24" i="8"/>
  <c r="BZ24" i="8" s="1"/>
  <c r="BW24" i="8"/>
  <c r="CC24" i="8" s="1"/>
  <c r="BT24" i="8"/>
  <c r="BS24" i="8" s="1"/>
  <c r="BP24" i="8"/>
  <c r="BV24" i="8" s="1"/>
  <c r="BM24" i="8"/>
  <c r="BL24" i="8" s="1"/>
  <c r="BI24" i="8"/>
  <c r="BO24" i="8" s="1"/>
  <c r="BF24" i="8"/>
  <c r="BE24" i="8"/>
  <c r="BB24" i="8"/>
  <c r="BD24" i="8" s="1"/>
  <c r="AY24" i="8"/>
  <c r="AX24" i="8" s="1"/>
  <c r="AU24" i="8"/>
  <c r="AT24" i="8"/>
  <c r="AR24" i="8"/>
  <c r="AQ24" i="8" s="1"/>
  <c r="AN24" i="8"/>
  <c r="AP24" i="8" s="1"/>
  <c r="AK24" i="8"/>
  <c r="AJ24" i="8"/>
  <c r="AG24" i="8"/>
  <c r="AF24" i="8"/>
  <c r="AD24" i="8"/>
  <c r="AC24" i="8"/>
  <c r="Z24" i="8"/>
  <c r="AB24" i="8" s="1"/>
  <c r="AA24" i="8" s="1"/>
  <c r="W24" i="8"/>
  <c r="V24" i="8" s="1"/>
  <c r="S24" i="8"/>
  <c r="U24" i="8" s="1"/>
  <c r="T24" i="8" s="1"/>
  <c r="P24" i="8"/>
  <c r="O24" i="8" s="1"/>
  <c r="L24" i="8"/>
  <c r="R24" i="8" s="1"/>
  <c r="J24" i="8"/>
  <c r="CO23" i="8"/>
  <c r="CN23" i="8" s="1"/>
  <c r="CM23" i="8"/>
  <c r="CL23" i="8" s="1"/>
  <c r="CK23" i="8"/>
  <c r="CQ23" i="8" s="1"/>
  <c r="CH23" i="8"/>
  <c r="CG23" i="8" s="1"/>
  <c r="CD23" i="8"/>
  <c r="CA23" i="8"/>
  <c r="BZ23" i="8" s="1"/>
  <c r="BW23" i="8"/>
  <c r="CC23" i="8" s="1"/>
  <c r="BT23" i="8"/>
  <c r="BS23" i="8"/>
  <c r="BR23" i="8"/>
  <c r="BQ23" i="8" s="1"/>
  <c r="BP23" i="8"/>
  <c r="BV23" i="8" s="1"/>
  <c r="BM23" i="8"/>
  <c r="BL23" i="8" s="1"/>
  <c r="BI23" i="8"/>
  <c r="BF23" i="8"/>
  <c r="BE23" i="8" s="1"/>
  <c r="BB23" i="8"/>
  <c r="BH23" i="8" s="1"/>
  <c r="BA23" i="8"/>
  <c r="AY23" i="8"/>
  <c r="AX23" i="8" s="1"/>
  <c r="AU23" i="8"/>
  <c r="AW23" i="8" s="1"/>
  <c r="AV23" i="8" s="1"/>
  <c r="AR23" i="8"/>
  <c r="AQ23" i="8" s="1"/>
  <c r="AN23" i="8"/>
  <c r="AT23" i="8" s="1"/>
  <c r="AM23" i="8"/>
  <c r="AK23" i="8"/>
  <c r="AJ23" i="8" s="1"/>
  <c r="AI23" i="8"/>
  <c r="AH23" i="8" s="1"/>
  <c r="AG23" i="8"/>
  <c r="AD23" i="8"/>
  <c r="AC23" i="8" s="1"/>
  <c r="Z23" i="8"/>
  <c r="W23" i="8"/>
  <c r="V23" i="8" s="1"/>
  <c r="S23" i="8"/>
  <c r="Y23" i="8" s="1"/>
  <c r="P23" i="8"/>
  <c r="O23" i="8"/>
  <c r="H23" i="8" s="1"/>
  <c r="L23" i="8"/>
  <c r="N23" i="8" s="1"/>
  <c r="M23" i="8" s="1"/>
  <c r="J23" i="8"/>
  <c r="CO22" i="8"/>
  <c r="CN22" i="8"/>
  <c r="CM22" i="8"/>
  <c r="CK22" i="8"/>
  <c r="CH22" i="8"/>
  <c r="CG22" i="8" s="1"/>
  <c r="CD22" i="8"/>
  <c r="CF22" i="8" s="1"/>
  <c r="CC22" i="8"/>
  <c r="CA22" i="8"/>
  <c r="BZ22" i="8"/>
  <c r="BW22" i="8"/>
  <c r="BT22" i="8"/>
  <c r="BS22" i="8" s="1"/>
  <c r="BP22" i="8"/>
  <c r="BV22" i="8" s="1"/>
  <c r="BM22" i="8"/>
  <c r="BL22" i="8" s="1"/>
  <c r="BK22" i="8"/>
  <c r="BJ22" i="8" s="1"/>
  <c r="BI22" i="8"/>
  <c r="BO22" i="8" s="1"/>
  <c r="BF22" i="8"/>
  <c r="BE22" i="8" s="1"/>
  <c r="BB22" i="8"/>
  <c r="AY22" i="8"/>
  <c r="AX22" i="8" s="1"/>
  <c r="AU22" i="8"/>
  <c r="BA22" i="8" s="1"/>
  <c r="AT22" i="8"/>
  <c r="AR22" i="8"/>
  <c r="AQ22" i="8"/>
  <c r="AN22" i="8"/>
  <c r="AP22" i="8" s="1"/>
  <c r="AO22" i="8" s="1"/>
  <c r="AK22" i="8"/>
  <c r="AJ22" i="8"/>
  <c r="AG22" i="8"/>
  <c r="AI22" i="8" s="1"/>
  <c r="AE22" i="8"/>
  <c r="AD22" i="8" s="1"/>
  <c r="AC22" i="8" s="1"/>
  <c r="Z22" i="8"/>
  <c r="W22" i="8"/>
  <c r="V22" i="8" s="1"/>
  <c r="S22" i="8"/>
  <c r="P22" i="8"/>
  <c r="O22" i="8"/>
  <c r="N22" i="8"/>
  <c r="L22" i="8"/>
  <c r="R22" i="8" s="1"/>
  <c r="J22" i="8"/>
  <c r="CO21" i="8"/>
  <c r="CN21" i="8" s="1"/>
  <c r="CK21" i="8"/>
  <c r="CQ21" i="8" s="1"/>
  <c r="CH21" i="8"/>
  <c r="CG21" i="8" s="1"/>
  <c r="CF21" i="8"/>
  <c r="CE21" i="8" s="1"/>
  <c r="CD21" i="8"/>
  <c r="CJ21" i="8" s="1"/>
  <c r="CA21" i="8"/>
  <c r="BZ21" i="8"/>
  <c r="BW21" i="8"/>
  <c r="CC21" i="8" s="1"/>
  <c r="BV21" i="8"/>
  <c r="BT21" i="8"/>
  <c r="BS21" i="8" s="1"/>
  <c r="BQ21" i="8"/>
  <c r="BP21" i="8"/>
  <c r="BR21" i="8" s="1"/>
  <c r="BM21" i="8"/>
  <c r="BL21" i="8"/>
  <c r="BI21" i="8"/>
  <c r="BO21" i="8" s="1"/>
  <c r="BF21" i="8"/>
  <c r="BE21" i="8" s="1"/>
  <c r="BB21" i="8"/>
  <c r="BH21" i="8" s="1"/>
  <c r="AY21" i="8"/>
  <c r="AX21" i="8"/>
  <c r="AU21" i="8"/>
  <c r="BA21" i="8" s="1"/>
  <c r="AR21" i="8"/>
  <c r="AQ21" i="8"/>
  <c r="AN21" i="8"/>
  <c r="AK21" i="8"/>
  <c r="AJ21" i="8" s="1"/>
  <c r="AG21" i="8"/>
  <c r="AM21" i="8" s="1"/>
  <c r="AF21" i="8"/>
  <c r="AD21" i="8"/>
  <c r="AC21" i="8" s="1"/>
  <c r="AB21" i="8"/>
  <c r="AA21" i="8" s="1"/>
  <c r="Z21" i="8"/>
  <c r="X21" i="8"/>
  <c r="W21" i="8"/>
  <c r="V21" i="8"/>
  <c r="S21" i="8"/>
  <c r="Y21" i="8" s="1"/>
  <c r="P21" i="8"/>
  <c r="O21" i="8" s="1"/>
  <c r="L21" i="8"/>
  <c r="J21" i="8"/>
  <c r="CO20" i="8"/>
  <c r="CN20" i="8" s="1"/>
  <c r="CK20" i="8"/>
  <c r="CJ20" i="8"/>
  <c r="CH20" i="8"/>
  <c r="CG20" i="8"/>
  <c r="CF20" i="8"/>
  <c r="CD20" i="8"/>
  <c r="CA20" i="8"/>
  <c r="BZ20" i="8"/>
  <c r="BW20" i="8"/>
  <c r="BT20" i="8"/>
  <c r="BS20" i="8" s="1"/>
  <c r="BP20" i="8"/>
  <c r="BO20" i="8"/>
  <c r="BM20" i="8"/>
  <c r="BL20" i="8" s="1"/>
  <c r="BI20" i="8"/>
  <c r="BK20" i="8" s="1"/>
  <c r="BF20" i="8"/>
  <c r="BE20" i="8"/>
  <c r="BB20" i="8"/>
  <c r="BA20" i="8"/>
  <c r="AY20" i="8"/>
  <c r="AX20" i="8" s="1"/>
  <c r="AU20" i="8"/>
  <c r="AR20" i="8"/>
  <c r="AQ20" i="8"/>
  <c r="AN20" i="8"/>
  <c r="AT20" i="8" s="1"/>
  <c r="AK20" i="8"/>
  <c r="AJ20" i="8" s="1"/>
  <c r="AI20" i="8"/>
  <c r="AG20" i="8"/>
  <c r="AD20" i="8"/>
  <c r="AC20" i="8" s="1"/>
  <c r="Z20" i="8"/>
  <c r="AF20" i="8" s="1"/>
  <c r="W20" i="8"/>
  <c r="V20" i="8"/>
  <c r="U20" i="8"/>
  <c r="T20" i="8" s="1"/>
  <c r="S20" i="8"/>
  <c r="Y20" i="8" s="1"/>
  <c r="P20" i="8"/>
  <c r="O20" i="8"/>
  <c r="H20" i="8" s="1"/>
  <c r="L20" i="8"/>
  <c r="J20" i="8"/>
  <c r="CO19" i="8"/>
  <c r="CN19" i="8" s="1"/>
  <c r="CK19" i="8"/>
  <c r="CJ19" i="8"/>
  <c r="CH19" i="8"/>
  <c r="CG19" i="8" s="1"/>
  <c r="CD19" i="8"/>
  <c r="CF19" i="8" s="1"/>
  <c r="CE19" i="8" s="1"/>
  <c r="CA19" i="8"/>
  <c r="BZ19" i="8"/>
  <c r="BW19" i="8"/>
  <c r="BT19" i="8"/>
  <c r="BS19" i="8" s="1"/>
  <c r="BP19" i="8"/>
  <c r="BV19" i="8" s="1"/>
  <c r="BM19" i="8"/>
  <c r="BL19" i="8"/>
  <c r="BI19" i="8"/>
  <c r="BO19" i="8" s="1"/>
  <c r="BF19" i="8"/>
  <c r="BE19" i="8" s="1"/>
  <c r="BD19" i="8"/>
  <c r="BB19" i="8"/>
  <c r="AY19" i="8"/>
  <c r="AX19" i="8" s="1"/>
  <c r="AU19" i="8"/>
  <c r="BA19" i="8" s="1"/>
  <c r="AR19" i="8"/>
  <c r="AQ19" i="8"/>
  <c r="AP19" i="8"/>
  <c r="AO19" i="8" s="1"/>
  <c r="AN19" i="8"/>
  <c r="AT19" i="8" s="1"/>
  <c r="AK19" i="8"/>
  <c r="AJ19" i="8"/>
  <c r="AG19" i="8"/>
  <c r="AI19" i="8" s="1"/>
  <c r="AD19" i="8"/>
  <c r="AC19" i="8" s="1"/>
  <c r="Z19" i="8"/>
  <c r="AB19" i="8" s="1"/>
  <c r="W19" i="8"/>
  <c r="V19" i="8"/>
  <c r="S19" i="8"/>
  <c r="U19" i="8" s="1"/>
  <c r="P19" i="8"/>
  <c r="O19" i="8"/>
  <c r="L19" i="8"/>
  <c r="E19" i="8" s="1"/>
  <c r="K19" i="8" s="1"/>
  <c r="J19" i="8"/>
  <c r="CO18" i="8"/>
  <c r="CN18" i="8" s="1"/>
  <c r="CK18" i="8"/>
  <c r="CQ18" i="8" s="1"/>
  <c r="CH18" i="8"/>
  <c r="CG18" i="8"/>
  <c r="CF18" i="8"/>
  <c r="CD18" i="8"/>
  <c r="CJ18" i="8" s="1"/>
  <c r="CA18" i="8"/>
  <c r="BZ18" i="8" s="1"/>
  <c r="BW18" i="8"/>
  <c r="BY18" i="8" s="1"/>
  <c r="BT18" i="8"/>
  <c r="BS18" i="8" s="1"/>
  <c r="BP18" i="8"/>
  <c r="BV18" i="8" s="1"/>
  <c r="BM18" i="8"/>
  <c r="BL18" i="8"/>
  <c r="BI18" i="8"/>
  <c r="BO18" i="8" s="1"/>
  <c r="BF18" i="8"/>
  <c r="BE18" i="8"/>
  <c r="BD18" i="8"/>
  <c r="BB18" i="8"/>
  <c r="AY18" i="8"/>
  <c r="AX18" i="8" s="1"/>
  <c r="AU18" i="8"/>
  <c r="AW18" i="8" s="1"/>
  <c r="AT18" i="8"/>
  <c r="AR18" i="8"/>
  <c r="AQ18" i="8"/>
  <c r="AP18" i="8"/>
  <c r="AO18" i="8" s="1"/>
  <c r="AN18" i="8"/>
  <c r="AK18" i="8"/>
  <c r="AJ18" i="8"/>
  <c r="AG18" i="8"/>
  <c r="AD18" i="8"/>
  <c r="AC18" i="8" s="1"/>
  <c r="Z18" i="8"/>
  <c r="AB18" i="8" s="1"/>
  <c r="AA18" i="8" s="1"/>
  <c r="Y18" i="8"/>
  <c r="W18" i="8"/>
  <c r="V18" i="8" s="1"/>
  <c r="S18" i="8"/>
  <c r="U18" i="8" s="1"/>
  <c r="P18" i="8"/>
  <c r="O18" i="8"/>
  <c r="L18" i="8"/>
  <c r="E18" i="8" s="1"/>
  <c r="K18" i="8" s="1"/>
  <c r="J18" i="8"/>
  <c r="CO17" i="8"/>
  <c r="CN17" i="8"/>
  <c r="CK17" i="8"/>
  <c r="CQ17" i="8" s="1"/>
  <c r="CH17" i="8"/>
  <c r="CG17" i="8"/>
  <c r="CD17" i="8"/>
  <c r="CA17" i="8"/>
  <c r="BZ17" i="8" s="1"/>
  <c r="BW17" i="8"/>
  <c r="BY17" i="8" s="1"/>
  <c r="BX17" i="8" s="1"/>
  <c r="BV17" i="8"/>
  <c r="BT17" i="8"/>
  <c r="BS17" i="8"/>
  <c r="BP17" i="8"/>
  <c r="BR17" i="8" s="1"/>
  <c r="BM17" i="8"/>
  <c r="BL17" i="8"/>
  <c r="BI17" i="8"/>
  <c r="BO17" i="8" s="1"/>
  <c r="BF17" i="8"/>
  <c r="BE17" i="8"/>
  <c r="BB17" i="8"/>
  <c r="AY17" i="8"/>
  <c r="AX17" i="8" s="1"/>
  <c r="AV17" i="8"/>
  <c r="AU17" i="8"/>
  <c r="AW17" i="8" s="1"/>
  <c r="AT17" i="8"/>
  <c r="AR17" i="8"/>
  <c r="AQ17" i="8" s="1"/>
  <c r="AN17" i="8"/>
  <c r="AP17" i="8" s="1"/>
  <c r="AK17" i="8"/>
  <c r="AJ17" i="8"/>
  <c r="AG17" i="8"/>
  <c r="AM17" i="8" s="1"/>
  <c r="AD17" i="8"/>
  <c r="AC17" i="8"/>
  <c r="Z17" i="8"/>
  <c r="W17" i="8"/>
  <c r="V17" i="8" s="1"/>
  <c r="T17" i="8"/>
  <c r="S17" i="8"/>
  <c r="U17" i="8" s="1"/>
  <c r="R17" i="8"/>
  <c r="P17" i="8"/>
  <c r="O17" i="8"/>
  <c r="L17" i="8"/>
  <c r="N17" i="8" s="1"/>
  <c r="J17" i="8"/>
  <c r="I17" i="8"/>
  <c r="CO16" i="8"/>
  <c r="CN16" i="8" s="1"/>
  <c r="CK16" i="8"/>
  <c r="CM16" i="8" s="1"/>
  <c r="CJ16" i="8"/>
  <c r="CH16" i="8"/>
  <c r="CG16" i="8" s="1"/>
  <c r="CD16" i="8"/>
  <c r="CF16" i="8" s="1"/>
  <c r="CA16" i="8"/>
  <c r="BZ16" i="8"/>
  <c r="BY16" i="8"/>
  <c r="BX16" i="8" s="1"/>
  <c r="BW16" i="8"/>
  <c r="CC16" i="8" s="1"/>
  <c r="BT16" i="8"/>
  <c r="BS16" i="8" s="1"/>
  <c r="BP16" i="8"/>
  <c r="BV16" i="8" s="1"/>
  <c r="BM16" i="8"/>
  <c r="BL16" i="8" s="1"/>
  <c r="BI16" i="8"/>
  <c r="BO16" i="8" s="1"/>
  <c r="BH16" i="8"/>
  <c r="BF16" i="8"/>
  <c r="BE16" i="8" s="1"/>
  <c r="BB16" i="8"/>
  <c r="BD16" i="8" s="1"/>
  <c r="BC16" i="8" s="1"/>
  <c r="AY16" i="8"/>
  <c r="AX16" i="8"/>
  <c r="AU16" i="8"/>
  <c r="BA16" i="8" s="1"/>
  <c r="AT16" i="8"/>
  <c r="AR16" i="8"/>
  <c r="AQ16" i="8" s="1"/>
  <c r="AN16" i="8"/>
  <c r="AP16" i="8" s="1"/>
  <c r="AL16" i="8"/>
  <c r="AK16" i="8" s="1"/>
  <c r="AG16" i="8"/>
  <c r="AI16" i="8" s="1"/>
  <c r="AE16" i="8"/>
  <c r="AD16" i="8"/>
  <c r="AC16" i="8"/>
  <c r="Z16" i="8"/>
  <c r="X16" i="8"/>
  <c r="S16" i="8"/>
  <c r="U16" i="8" s="1"/>
  <c r="T16" i="8" s="1"/>
  <c r="Q16" i="8"/>
  <c r="J16" i="8" s="1"/>
  <c r="L16" i="8"/>
  <c r="N16" i="8" s="1"/>
  <c r="CQ15" i="8"/>
  <c r="CO15" i="8"/>
  <c r="CN15" i="8"/>
  <c r="CK15" i="8"/>
  <c r="CM15" i="8" s="1"/>
  <c r="CL15" i="8" s="1"/>
  <c r="CH15" i="8"/>
  <c r="CG15" i="8" s="1"/>
  <c r="CD15" i="8"/>
  <c r="CJ15" i="8" s="1"/>
  <c r="CC15" i="8"/>
  <c r="CA15" i="8"/>
  <c r="BZ15" i="8" s="1"/>
  <c r="BW15" i="8"/>
  <c r="BY15" i="8" s="1"/>
  <c r="BX15" i="8" s="1"/>
  <c r="BT15" i="8"/>
  <c r="BS15" i="8"/>
  <c r="BP15" i="8"/>
  <c r="BO15" i="8"/>
  <c r="BM15" i="8"/>
  <c r="BL15" i="8" s="1"/>
  <c r="BK15" i="8"/>
  <c r="BJ15" i="8" s="1"/>
  <c r="BI15" i="8"/>
  <c r="BF15" i="8"/>
  <c r="BE15" i="8"/>
  <c r="BB15" i="8"/>
  <c r="BH15" i="8" s="1"/>
  <c r="AY15" i="8"/>
  <c r="AX15" i="8" s="1"/>
  <c r="AU15" i="8"/>
  <c r="BA15" i="8" s="1"/>
  <c r="AR15" i="8"/>
  <c r="AQ15" i="8" s="1"/>
  <c r="AN15" i="8"/>
  <c r="AT15" i="8" s="1"/>
  <c r="AL15" i="8"/>
  <c r="AK15" i="8"/>
  <c r="AJ15" i="8"/>
  <c r="AI15" i="8"/>
  <c r="AH15" i="8" s="1"/>
  <c r="AG15" i="8"/>
  <c r="AE15" i="8"/>
  <c r="AD15" i="8" s="1"/>
  <c r="AC15" i="8" s="1"/>
  <c r="Z15" i="8"/>
  <c r="AF15" i="8" s="1"/>
  <c r="X15" i="8"/>
  <c r="J15" i="8" s="1"/>
  <c r="S15" i="8"/>
  <c r="Y15" i="8" s="1"/>
  <c r="Q15" i="8"/>
  <c r="P15" i="8"/>
  <c r="O15" i="8"/>
  <c r="L15" i="8"/>
  <c r="N15" i="8" s="1"/>
  <c r="M15" i="8" s="1"/>
  <c r="CO14" i="8"/>
  <c r="CN14" i="8"/>
  <c r="CM14" i="8"/>
  <c r="CL14" i="8" s="1"/>
  <c r="CK14" i="8"/>
  <c r="CQ14" i="8" s="1"/>
  <c r="CH14" i="8"/>
  <c r="CG14" i="8" s="1"/>
  <c r="CD14" i="8"/>
  <c r="CF14" i="8" s="1"/>
  <c r="CA14" i="8"/>
  <c r="BZ14" i="8" s="1"/>
  <c r="BW14" i="8"/>
  <c r="CC14" i="8" s="1"/>
  <c r="BV14" i="8"/>
  <c r="BT14" i="8"/>
  <c r="BS14" i="8" s="1"/>
  <c r="BP14" i="8"/>
  <c r="BR14" i="8" s="1"/>
  <c r="BM14" i="8"/>
  <c r="BL14" i="8"/>
  <c r="BK14" i="8"/>
  <c r="BJ14" i="8" s="1"/>
  <c r="BI14" i="8"/>
  <c r="BO14" i="8" s="1"/>
  <c r="BF14" i="8"/>
  <c r="BE14" i="8" s="1"/>
  <c r="BB14" i="8"/>
  <c r="BH14" i="8" s="1"/>
  <c r="AY14" i="8"/>
  <c r="AX14" i="8" s="1"/>
  <c r="AU14" i="8"/>
  <c r="BA14" i="8" s="1"/>
  <c r="AT14" i="8"/>
  <c r="AR14" i="8"/>
  <c r="AQ14" i="8" s="1"/>
  <c r="AN14" i="8"/>
  <c r="AP14" i="8" s="1"/>
  <c r="AO14" i="8" s="1"/>
  <c r="AL14" i="8"/>
  <c r="AK14" i="8"/>
  <c r="AJ14" i="8"/>
  <c r="AG14" i="8"/>
  <c r="AM14" i="8" s="1"/>
  <c r="AE14" i="8"/>
  <c r="AD14" i="8"/>
  <c r="AC14" i="8" s="1"/>
  <c r="Z14" i="8"/>
  <c r="AF14" i="8" s="1"/>
  <c r="X14" i="8"/>
  <c r="W14" i="8" s="1"/>
  <c r="V14" i="8" s="1"/>
  <c r="S14" i="8"/>
  <c r="U14" i="8" s="1"/>
  <c r="Q14" i="8"/>
  <c r="N14" i="8"/>
  <c r="M14" i="8" s="1"/>
  <c r="L14" i="8"/>
  <c r="CO13" i="8"/>
  <c r="CN13" i="8" s="1"/>
  <c r="CK13" i="8"/>
  <c r="CQ13" i="8" s="1"/>
  <c r="CH13" i="8"/>
  <c r="CG13" i="8" s="1"/>
  <c r="CD13" i="8"/>
  <c r="CJ13" i="8" s="1"/>
  <c r="CC13" i="8"/>
  <c r="CA13" i="8"/>
  <c r="BZ13" i="8"/>
  <c r="BY13" i="8"/>
  <c r="BX13" i="8" s="1"/>
  <c r="BW13" i="8"/>
  <c r="BT13" i="8"/>
  <c r="BS13" i="8" s="1"/>
  <c r="BP13" i="8"/>
  <c r="BV13" i="8" s="1"/>
  <c r="BO13" i="8"/>
  <c r="BM13" i="8"/>
  <c r="BL13" i="8" s="1"/>
  <c r="BI13" i="8"/>
  <c r="BK13" i="8" s="1"/>
  <c r="BJ13" i="8" s="1"/>
  <c r="BF13" i="8"/>
  <c r="BE13" i="8"/>
  <c r="BB13" i="8"/>
  <c r="BA13" i="8"/>
  <c r="AY13" i="8"/>
  <c r="AX13" i="8" s="1"/>
  <c r="AW13" i="8"/>
  <c r="AV13" i="8" s="1"/>
  <c r="AU13" i="8"/>
  <c r="AR13" i="8"/>
  <c r="AQ13" i="8"/>
  <c r="AN13" i="8"/>
  <c r="AT13" i="8" s="1"/>
  <c r="AK13" i="8"/>
  <c r="AJ13" i="8" s="1"/>
  <c r="AG13" i="8"/>
  <c r="AM13" i="8" s="1"/>
  <c r="AD13" i="8"/>
  <c r="AC13" i="8" s="1"/>
  <c r="Z13" i="8"/>
  <c r="AF13" i="8" s="1"/>
  <c r="W13" i="8"/>
  <c r="V13" i="8"/>
  <c r="U13" i="8"/>
  <c r="T13" i="8" s="1"/>
  <c r="S13" i="8"/>
  <c r="Y13" i="8" s="1"/>
  <c r="P13" i="8"/>
  <c r="L13" i="8"/>
  <c r="J13" i="8"/>
  <c r="CO12" i="8"/>
  <c r="CN12" i="8" s="1"/>
  <c r="CM12" i="8"/>
  <c r="CL12" i="8" s="1"/>
  <c r="CK12" i="8"/>
  <c r="CQ12" i="8" s="1"/>
  <c r="CH12" i="8"/>
  <c r="CG12" i="8" s="1"/>
  <c r="CF12" i="8"/>
  <c r="CD12" i="8"/>
  <c r="CJ12" i="8" s="1"/>
  <c r="CA12" i="8"/>
  <c r="BZ12" i="8" s="1"/>
  <c r="BW12" i="8"/>
  <c r="CC12" i="8" s="1"/>
  <c r="BV12" i="8"/>
  <c r="BT12" i="8"/>
  <c r="BS12" i="8"/>
  <c r="BP12" i="8"/>
  <c r="BR12" i="8" s="1"/>
  <c r="BM12" i="8"/>
  <c r="BL12" i="8" s="1"/>
  <c r="BI12" i="8"/>
  <c r="BO12" i="8" s="1"/>
  <c r="BH12" i="8"/>
  <c r="BF12" i="8"/>
  <c r="BE12" i="8" s="1"/>
  <c r="BD12" i="8"/>
  <c r="BC12" i="8" s="1"/>
  <c r="BB12" i="8"/>
  <c r="AY12" i="8"/>
  <c r="AX12" i="8"/>
  <c r="AU12" i="8"/>
  <c r="AT12" i="8"/>
  <c r="AR12" i="8"/>
  <c r="AQ12" i="8" s="1"/>
  <c r="AP12" i="8"/>
  <c r="AO12" i="8" s="1"/>
  <c r="AN12" i="8"/>
  <c r="AL12" i="8"/>
  <c r="AK12" i="8" s="1"/>
  <c r="AI12" i="8"/>
  <c r="AH12" i="8" s="1"/>
  <c r="AG12" i="8"/>
  <c r="AD12" i="8"/>
  <c r="AC12" i="8"/>
  <c r="AB12" i="8"/>
  <c r="Z12" i="8"/>
  <c r="AF12" i="8" s="1"/>
  <c r="X12" i="8"/>
  <c r="S12" i="8"/>
  <c r="Q12" i="8"/>
  <c r="P12" i="8"/>
  <c r="L12" i="8"/>
  <c r="N12" i="8" s="1"/>
  <c r="CO11" i="8"/>
  <c r="CN11" i="8" s="1"/>
  <c r="CK11" i="8"/>
  <c r="CM11" i="8" s="1"/>
  <c r="CH11" i="8"/>
  <c r="CG11" i="8" s="1"/>
  <c r="CD11" i="8"/>
  <c r="CJ11" i="8" s="1"/>
  <c r="CA11" i="8"/>
  <c r="BZ11" i="8"/>
  <c r="BY11" i="8"/>
  <c r="BW11" i="8"/>
  <c r="CC11" i="8" s="1"/>
  <c r="BT11" i="8"/>
  <c r="BS11" i="8"/>
  <c r="BP11" i="8"/>
  <c r="BV11" i="8" s="1"/>
  <c r="BO11" i="8"/>
  <c r="BM11" i="8"/>
  <c r="BL11" i="8" s="1"/>
  <c r="BJ11" i="8"/>
  <c r="BI11" i="8"/>
  <c r="BK11" i="8" s="1"/>
  <c r="BF11" i="8"/>
  <c r="BE11" i="8"/>
  <c r="BD11" i="8"/>
  <c r="BC11" i="8" s="1"/>
  <c r="BB11" i="8"/>
  <c r="BH11" i="8" s="1"/>
  <c r="AY11" i="8"/>
  <c r="AX11" i="8" s="1"/>
  <c r="AU11" i="8"/>
  <c r="AW11" i="8" s="1"/>
  <c r="AR11" i="8"/>
  <c r="AQ11" i="8"/>
  <c r="AP11" i="8"/>
  <c r="AO11" i="8" s="1"/>
  <c r="AN11" i="8"/>
  <c r="AT11" i="8" s="1"/>
  <c r="AK11" i="8"/>
  <c r="AJ11" i="8" s="1"/>
  <c r="AG11" i="8"/>
  <c r="AI11" i="8" s="1"/>
  <c r="AF11" i="8"/>
  <c r="AD11" i="8"/>
  <c r="AC11" i="8" s="1"/>
  <c r="Z11" i="8"/>
  <c r="AB11" i="8" s="1"/>
  <c r="AA11" i="8" s="1"/>
  <c r="W11" i="8"/>
  <c r="I11" i="8" s="1"/>
  <c r="V11" i="8"/>
  <c r="S11" i="8"/>
  <c r="Y11" i="8" s="1"/>
  <c r="P11" i="8"/>
  <c r="O11" i="8"/>
  <c r="L11" i="8"/>
  <c r="R11" i="8" s="1"/>
  <c r="J11" i="8"/>
  <c r="CO10" i="8"/>
  <c r="CN10" i="8"/>
  <c r="CM10" i="8"/>
  <c r="CL10" i="8" s="1"/>
  <c r="CK10" i="8"/>
  <c r="CQ10" i="8" s="1"/>
  <c r="CH10" i="8"/>
  <c r="CG10" i="8" s="1"/>
  <c r="CE10" i="8"/>
  <c r="CD10" i="8"/>
  <c r="CF10" i="8" s="1"/>
  <c r="CA10" i="8"/>
  <c r="BZ10" i="8" s="1"/>
  <c r="BW10" i="8"/>
  <c r="CC10" i="8" s="1"/>
  <c r="BV10" i="8"/>
  <c r="BT10" i="8"/>
  <c r="BS10" i="8" s="1"/>
  <c r="BR10" i="8"/>
  <c r="BQ10" i="8" s="1"/>
  <c r="BP10" i="8"/>
  <c r="BM10" i="8"/>
  <c r="BL10" i="8"/>
  <c r="BI10" i="8"/>
  <c r="BO10" i="8" s="1"/>
  <c r="BF10" i="8"/>
  <c r="BE10" i="8" s="1"/>
  <c r="BB10" i="8"/>
  <c r="BD10" i="8" s="1"/>
  <c r="AY10" i="8"/>
  <c r="AX10" i="8"/>
  <c r="AW10" i="8"/>
  <c r="AV10" i="8" s="1"/>
  <c r="AU10" i="8"/>
  <c r="BA10" i="8" s="1"/>
  <c r="AR10" i="8"/>
  <c r="AQ10" i="8"/>
  <c r="AN10" i="8"/>
  <c r="AT10" i="8" s="1"/>
  <c r="AL10" i="8"/>
  <c r="AK10" i="8"/>
  <c r="AJ10" i="8"/>
  <c r="AI10" i="8"/>
  <c r="AG10" i="8"/>
  <c r="AM10" i="8" s="1"/>
  <c r="AE10" i="8"/>
  <c r="AD10" i="8" s="1"/>
  <c r="Z10" i="8"/>
  <c r="AB10" i="8" s="1"/>
  <c r="X10" i="8"/>
  <c r="W10" i="8" s="1"/>
  <c r="S10" i="8"/>
  <c r="U10" i="8" s="1"/>
  <c r="Q10" i="8"/>
  <c r="J10" i="8" s="1"/>
  <c r="L10" i="8"/>
  <c r="N10" i="8" s="1"/>
  <c r="CO9" i="8"/>
  <c r="CN9" i="8"/>
  <c r="CK9" i="8"/>
  <c r="CM9" i="8" s="1"/>
  <c r="CH9" i="8"/>
  <c r="CG9" i="8" s="1"/>
  <c r="CD9" i="8"/>
  <c r="CJ9" i="8" s="1"/>
  <c r="CC9" i="8"/>
  <c r="CA9" i="8"/>
  <c r="BZ9" i="8" s="1"/>
  <c r="BW9" i="8"/>
  <c r="BY9" i="8" s="1"/>
  <c r="BT9" i="8"/>
  <c r="BS9" i="8"/>
  <c r="BP9" i="8"/>
  <c r="BM9" i="8"/>
  <c r="BL9" i="8"/>
  <c r="BJ9" i="8"/>
  <c r="BI9" i="8"/>
  <c r="BK9" i="8" s="1"/>
  <c r="BF9" i="8"/>
  <c r="BE9" i="8" s="1"/>
  <c r="BB9" i="8"/>
  <c r="BH9" i="8" s="1"/>
  <c r="AY9" i="8"/>
  <c r="AX9" i="8"/>
  <c r="AU9" i="8"/>
  <c r="BA9" i="8" s="1"/>
  <c r="AT9" i="8"/>
  <c r="AR9" i="8"/>
  <c r="AQ9" i="8"/>
  <c r="AN9" i="8"/>
  <c r="AP9" i="8" s="1"/>
  <c r="AO9" i="8" s="1"/>
  <c r="AK9" i="8"/>
  <c r="AJ9" i="8"/>
  <c r="AG9" i="8"/>
  <c r="AI9" i="8" s="1"/>
  <c r="AE9" i="8"/>
  <c r="Z9" i="8"/>
  <c r="W9" i="8"/>
  <c r="V9" i="8" s="1"/>
  <c r="U9" i="8"/>
  <c r="T9" i="8" s="1"/>
  <c r="S9" i="8"/>
  <c r="Y9" i="8" s="1"/>
  <c r="P9" i="8"/>
  <c r="O9" i="8"/>
  <c r="N9" i="8"/>
  <c r="M9" i="8" s="1"/>
  <c r="L9" i="8"/>
  <c r="R9" i="8" s="1"/>
  <c r="CO8" i="8"/>
  <c r="CN8" i="8" s="1"/>
  <c r="CK8" i="8"/>
  <c r="CQ8" i="8" s="1"/>
  <c r="CH8" i="8"/>
  <c r="CG8" i="8" s="1"/>
  <c r="CD8" i="8"/>
  <c r="CA8" i="8"/>
  <c r="BZ8" i="8"/>
  <c r="BW8" i="8"/>
  <c r="BY8" i="8" s="1"/>
  <c r="BT8" i="8"/>
  <c r="BS8" i="8" s="1"/>
  <c r="BP8" i="8"/>
  <c r="BR8" i="8" s="1"/>
  <c r="BM8" i="8"/>
  <c r="BL8" i="8" s="1"/>
  <c r="BK8" i="8"/>
  <c r="BJ8" i="8" s="1"/>
  <c r="BI8" i="8"/>
  <c r="BO8" i="8" s="1"/>
  <c r="BF8" i="8"/>
  <c r="BE8" i="8" s="1"/>
  <c r="BD8" i="8"/>
  <c r="BC8" i="8"/>
  <c r="BB8" i="8"/>
  <c r="BH8" i="8" s="1"/>
  <c r="AY8" i="8"/>
  <c r="AX8" i="8" s="1"/>
  <c r="AU8" i="8"/>
  <c r="BA8" i="8" s="1"/>
  <c r="AT8" i="8"/>
  <c r="AR8" i="8"/>
  <c r="AQ8" i="8" s="1"/>
  <c r="AN8" i="8"/>
  <c r="AP8" i="8" s="1"/>
  <c r="AO8" i="8" s="1"/>
  <c r="AK8" i="8"/>
  <c r="AJ8" i="8"/>
  <c r="AG8" i="8"/>
  <c r="AM8" i="8" s="1"/>
  <c r="AD8" i="8"/>
  <c r="AC8" i="8" s="1"/>
  <c r="Z8" i="8"/>
  <c r="AB8" i="8" s="1"/>
  <c r="W8" i="8"/>
  <c r="V8" i="8" s="1"/>
  <c r="S8" i="8"/>
  <c r="P8" i="8"/>
  <c r="O8" i="8"/>
  <c r="N8" i="8"/>
  <c r="M8" i="8"/>
  <c r="L8" i="8"/>
  <c r="R8" i="8" s="1"/>
  <c r="J8" i="8"/>
  <c r="CO7" i="8"/>
  <c r="CN7" i="8" s="1"/>
  <c r="CK7" i="8"/>
  <c r="CM7" i="8" s="1"/>
  <c r="CH7" i="8"/>
  <c r="CG7" i="8" s="1"/>
  <c r="CD7" i="8"/>
  <c r="CF7" i="8" s="1"/>
  <c r="CA7" i="8"/>
  <c r="BZ7" i="8" s="1"/>
  <c r="BW7" i="8"/>
  <c r="BT7" i="8"/>
  <c r="BS7" i="8"/>
  <c r="BP7" i="8"/>
  <c r="BV7" i="8" s="1"/>
  <c r="BM7" i="8"/>
  <c r="BL7" i="8" s="1"/>
  <c r="BI7" i="8"/>
  <c r="BK7" i="8" s="1"/>
  <c r="BF7" i="8"/>
  <c r="BE7" i="8" s="1"/>
  <c r="BB7" i="8"/>
  <c r="BD7" i="8" s="1"/>
  <c r="AY7" i="8"/>
  <c r="AX7" i="8" s="1"/>
  <c r="AW7" i="8"/>
  <c r="AV7" i="8" s="1"/>
  <c r="AU7" i="8"/>
  <c r="BA7" i="8" s="1"/>
  <c r="AR7" i="8"/>
  <c r="AQ7" i="8"/>
  <c r="AP7" i="8"/>
  <c r="AN7" i="8"/>
  <c r="AT7" i="8" s="1"/>
  <c r="AK7" i="8"/>
  <c r="AJ7" i="8" s="1"/>
  <c r="AG7" i="8"/>
  <c r="AI7" i="8" s="1"/>
  <c r="AD7" i="8"/>
  <c r="AC7" i="8" s="1"/>
  <c r="Z7" i="8"/>
  <c r="AB7" i="8" s="1"/>
  <c r="Y7" i="8"/>
  <c r="W7" i="8"/>
  <c r="V7" i="8" s="1"/>
  <c r="U7" i="8"/>
  <c r="T7" i="8" s="1"/>
  <c r="S7" i="8"/>
  <c r="Q7" i="8"/>
  <c r="J7" i="8" s="1"/>
  <c r="P7" i="8"/>
  <c r="I7" i="8" s="1"/>
  <c r="O7" i="8"/>
  <c r="L7" i="8"/>
  <c r="CO6" i="8"/>
  <c r="CN6" i="8"/>
  <c r="CK6" i="8"/>
  <c r="CM6" i="8" s="1"/>
  <c r="CH6" i="8"/>
  <c r="CG6" i="8"/>
  <c r="CF6" i="8"/>
  <c r="CD6" i="8"/>
  <c r="CJ6" i="8" s="1"/>
  <c r="CA6" i="8"/>
  <c r="BZ6" i="8" s="1"/>
  <c r="BW6" i="8"/>
  <c r="BY6" i="8" s="1"/>
  <c r="BV6" i="8"/>
  <c r="BT6" i="8"/>
  <c r="BS6" i="8"/>
  <c r="BR6" i="8"/>
  <c r="BQ6" i="8" s="1"/>
  <c r="BP6" i="8"/>
  <c r="BM6" i="8"/>
  <c r="BL6" i="8"/>
  <c r="BI6" i="8"/>
  <c r="BF6" i="8"/>
  <c r="BE6" i="8"/>
  <c r="BD6" i="8"/>
  <c r="BC6" i="8"/>
  <c r="BB6" i="8"/>
  <c r="BH6" i="8" s="1"/>
  <c r="AY6" i="8"/>
  <c r="AX6" i="8" s="1"/>
  <c r="AU6" i="8"/>
  <c r="AW6" i="8" s="1"/>
  <c r="AT6" i="8"/>
  <c r="AR6" i="8"/>
  <c r="AQ6" i="8"/>
  <c r="AN6" i="8"/>
  <c r="AP6" i="8" s="1"/>
  <c r="AO6" i="8" s="1"/>
  <c r="AM6" i="8"/>
  <c r="AK6" i="8"/>
  <c r="AJ6" i="8"/>
  <c r="AI6" i="8"/>
  <c r="AH6" i="8" s="1"/>
  <c r="AG6" i="8"/>
  <c r="AD6" i="8"/>
  <c r="AC6" i="8"/>
  <c r="Z6" i="8"/>
  <c r="AF6" i="8" s="1"/>
  <c r="W6" i="8"/>
  <c r="V6" i="8" s="1"/>
  <c r="S6" i="8"/>
  <c r="U6" i="8" s="1"/>
  <c r="Q6" i="8"/>
  <c r="O6" i="8" s="1"/>
  <c r="P6" i="8"/>
  <c r="I6" i="8" s="1"/>
  <c r="L6" i="8"/>
  <c r="N6" i="8" s="1"/>
  <c r="J6" i="8"/>
  <c r="CQ5" i="8"/>
  <c r="CO5" i="8"/>
  <c r="CN5" i="8" s="1"/>
  <c r="CK5" i="8"/>
  <c r="CM5" i="8" s="1"/>
  <c r="CH5" i="8"/>
  <c r="CG5" i="8" s="1"/>
  <c r="CD5" i="8"/>
  <c r="CJ5" i="8" s="1"/>
  <c r="CA5" i="8"/>
  <c r="BZ5" i="8"/>
  <c r="BY5" i="8"/>
  <c r="BW5" i="8"/>
  <c r="CC5" i="8" s="1"/>
  <c r="BT5" i="8"/>
  <c r="BS5" i="8" s="1"/>
  <c r="BP5" i="8"/>
  <c r="BR5" i="8" s="1"/>
  <c r="BM5" i="8"/>
  <c r="BL5" i="8" s="1"/>
  <c r="BI5" i="8"/>
  <c r="BK5" i="8" s="1"/>
  <c r="BH5" i="8"/>
  <c r="BF5" i="8"/>
  <c r="BE5" i="8" s="1"/>
  <c r="BB5" i="8"/>
  <c r="BD5" i="8" s="1"/>
  <c r="BC5" i="8" s="1"/>
  <c r="AY5" i="8"/>
  <c r="AX5" i="8"/>
  <c r="AW5" i="8"/>
  <c r="AU5" i="8"/>
  <c r="BA5" i="8" s="1"/>
  <c r="AR5" i="8"/>
  <c r="AQ5" i="8" s="1"/>
  <c r="AN5" i="8"/>
  <c r="AP5" i="8" s="1"/>
  <c r="AL5" i="8"/>
  <c r="AG5" i="8"/>
  <c r="AI5" i="8" s="1"/>
  <c r="AE5" i="8"/>
  <c r="AE4" i="8" s="1"/>
  <c r="AD5" i="8"/>
  <c r="Z5" i="8"/>
  <c r="AB5" i="8" s="1"/>
  <c r="Y5" i="8"/>
  <c r="W5" i="8"/>
  <c r="V5" i="8" s="1"/>
  <c r="S5" i="8"/>
  <c r="U5" i="8" s="1"/>
  <c r="T5" i="8" s="1"/>
  <c r="Q5" i="8"/>
  <c r="Q4" i="8" s="1"/>
  <c r="P5" i="8"/>
  <c r="O5" i="8"/>
  <c r="L5" i="8"/>
  <c r="R5" i="8" s="1"/>
  <c r="CO4" i="8"/>
  <c r="CO55" i="8" s="1"/>
  <c r="CO58" i="8" s="1"/>
  <c r="CN4" i="8"/>
  <c r="CK4" i="8"/>
  <c r="CQ4" i="8" s="1"/>
  <c r="CH4" i="8"/>
  <c r="CG4" i="8"/>
  <c r="CD4" i="8"/>
  <c r="CA4" i="8"/>
  <c r="BW4" i="8"/>
  <c r="BV4" i="8"/>
  <c r="BT4" i="8"/>
  <c r="BT55" i="8" s="1"/>
  <c r="BT58" i="8" s="1"/>
  <c r="BS4" i="8"/>
  <c r="BP4" i="8"/>
  <c r="BR4" i="8" s="1"/>
  <c r="BM4" i="8"/>
  <c r="BM55" i="8" s="1"/>
  <c r="BM58" i="8" s="1"/>
  <c r="BL4" i="8"/>
  <c r="BI4" i="8"/>
  <c r="BO4" i="8" s="1"/>
  <c r="BF4" i="8"/>
  <c r="BE4" i="8"/>
  <c r="BB4" i="8"/>
  <c r="BB55" i="8" s="1"/>
  <c r="AY4" i="8"/>
  <c r="AU4" i="8"/>
  <c r="AU55" i="8" s="1"/>
  <c r="AU58" i="8" s="1"/>
  <c r="AT4" i="8"/>
  <c r="AR4" i="8"/>
  <c r="AR55" i="8" s="1"/>
  <c r="AR58" i="8" s="1"/>
  <c r="AN4" i="8"/>
  <c r="AP4" i="8" s="1"/>
  <c r="AL4" i="8"/>
  <c r="AK4" i="8" s="1"/>
  <c r="AI4" i="8"/>
  <c r="AH4" i="8" s="1"/>
  <c r="AG4" i="8"/>
  <c r="AB4" i="8"/>
  <c r="AA4" i="8" s="1"/>
  <c r="Z4" i="8"/>
  <c r="X4" i="8"/>
  <c r="W4" i="8"/>
  <c r="V4" i="8"/>
  <c r="S4" i="8"/>
  <c r="L4" i="8"/>
  <c r="AM77" i="7"/>
  <c r="Y77" i="7"/>
  <c r="AM76" i="7"/>
  <c r="Y76" i="7"/>
  <c r="AM75" i="7"/>
  <c r="AF75" i="7"/>
  <c r="Y75" i="7"/>
  <c r="Y73" i="7"/>
  <c r="AM72" i="7"/>
  <c r="AF72" i="7"/>
  <c r="Y72" i="7"/>
  <c r="R71" i="7"/>
  <c r="AF69" i="7"/>
  <c r="Y69" i="7"/>
  <c r="AM68" i="7"/>
  <c r="AF68" i="7"/>
  <c r="R68" i="7"/>
  <c r="R67" i="7"/>
  <c r="AM66" i="7"/>
  <c r="AM65" i="7"/>
  <c r="Y65" i="7"/>
  <c r="R65" i="7"/>
  <c r="AM64" i="7"/>
  <c r="Y64" i="7"/>
  <c r="R64" i="7"/>
  <c r="AM63" i="7"/>
  <c r="AF63" i="7"/>
  <c r="Y63" i="7"/>
  <c r="R63" i="7"/>
  <c r="AM62" i="7"/>
  <c r="AF62" i="7"/>
  <c r="Y62" i="7"/>
  <c r="R62" i="7"/>
  <c r="AM61" i="7"/>
  <c r="AM79" i="7" s="1"/>
  <c r="AF61" i="7"/>
  <c r="Y61" i="7"/>
  <c r="Y79" i="7" s="1"/>
  <c r="R61" i="7"/>
  <c r="BN59" i="7"/>
  <c r="AZ59" i="7"/>
  <c r="CP58" i="7"/>
  <c r="BU58" i="7"/>
  <c r="BU59" i="7" s="1"/>
  <c r="BN58" i="7"/>
  <c r="CQ57" i="7"/>
  <c r="CO57" i="7"/>
  <c r="CN57" i="7" s="1"/>
  <c r="CM57" i="7"/>
  <c r="CK57" i="7"/>
  <c r="CH57" i="7"/>
  <c r="CG57" i="7"/>
  <c r="CD57" i="7"/>
  <c r="CJ57" i="7" s="1"/>
  <c r="CA57" i="7"/>
  <c r="BZ57" i="7"/>
  <c r="BW57" i="7"/>
  <c r="CC57" i="7" s="1"/>
  <c r="BT57" i="7"/>
  <c r="BS57" i="7" s="1"/>
  <c r="BP57" i="7"/>
  <c r="BM57" i="7"/>
  <c r="BL57" i="7" s="1"/>
  <c r="BK57" i="7"/>
  <c r="BI57" i="7"/>
  <c r="BO57" i="7" s="1"/>
  <c r="BF57" i="7"/>
  <c r="BE57" i="7" s="1"/>
  <c r="BB57" i="7"/>
  <c r="AY57" i="7"/>
  <c r="AX57" i="7"/>
  <c r="AU57" i="7"/>
  <c r="BA57" i="7" s="1"/>
  <c r="AR57" i="7"/>
  <c r="AQ57" i="7" s="1"/>
  <c r="AN57" i="7"/>
  <c r="AM57" i="7"/>
  <c r="AK57" i="7"/>
  <c r="AJ57" i="7" s="1"/>
  <c r="AI57" i="7"/>
  <c r="AG57" i="7"/>
  <c r="AE57" i="7"/>
  <c r="AD57" i="7"/>
  <c r="AC57" i="7"/>
  <c r="Z57" i="7"/>
  <c r="AF57" i="7" s="1"/>
  <c r="W57" i="7"/>
  <c r="I57" i="7" s="1"/>
  <c r="U57" i="7"/>
  <c r="T57" i="7"/>
  <c r="S57" i="7"/>
  <c r="Y57" i="7" s="1"/>
  <c r="R57" i="7"/>
  <c r="P57" i="7"/>
  <c r="O57" i="7"/>
  <c r="N57" i="7"/>
  <c r="L57" i="7"/>
  <c r="J57" i="7"/>
  <c r="CO56" i="7"/>
  <c r="CN56" i="7"/>
  <c r="CK56" i="7"/>
  <c r="CQ56" i="7" s="1"/>
  <c r="CH56" i="7"/>
  <c r="CG56" i="7"/>
  <c r="CD56" i="7"/>
  <c r="CA56" i="7"/>
  <c r="BZ56" i="7" s="1"/>
  <c r="BW56" i="7"/>
  <c r="CC56" i="7" s="1"/>
  <c r="BT56" i="7"/>
  <c r="BS56" i="7"/>
  <c r="BR56" i="7"/>
  <c r="BQ56" i="7" s="1"/>
  <c r="BP56" i="7"/>
  <c r="BV56" i="7" s="1"/>
  <c r="BM56" i="7"/>
  <c r="BL56" i="7"/>
  <c r="BI56" i="7"/>
  <c r="BK56" i="7" s="1"/>
  <c r="BJ56" i="7" s="1"/>
  <c r="BF56" i="7"/>
  <c r="BE56" i="7"/>
  <c r="BB56" i="7"/>
  <c r="AY56" i="7"/>
  <c r="AX56" i="7"/>
  <c r="AU56" i="7"/>
  <c r="BA56" i="7" s="1"/>
  <c r="AR56" i="7"/>
  <c r="AQ56" i="7" s="1"/>
  <c r="AN56" i="7"/>
  <c r="AL56" i="7"/>
  <c r="AK56" i="7"/>
  <c r="AJ56" i="7"/>
  <c r="AG56" i="7"/>
  <c r="AM56" i="7" s="1"/>
  <c r="AE56" i="7"/>
  <c r="Z56" i="7"/>
  <c r="AB56" i="7" s="1"/>
  <c r="W56" i="7"/>
  <c r="V56" i="7"/>
  <c r="S56" i="7"/>
  <c r="P56" i="7"/>
  <c r="O56" i="7" s="1"/>
  <c r="L56" i="7"/>
  <c r="CP55" i="7"/>
  <c r="CI55" i="7"/>
  <c r="CI58" i="7" s="1"/>
  <c r="CB55" i="7"/>
  <c r="BU55" i="7"/>
  <c r="BN55" i="7"/>
  <c r="BG55" i="7"/>
  <c r="BG58" i="7" s="1"/>
  <c r="AZ55" i="7"/>
  <c r="AZ58" i="7" s="1"/>
  <c r="AS55" i="7"/>
  <c r="AS58" i="7" s="1"/>
  <c r="AS59" i="7" s="1"/>
  <c r="CO54" i="7"/>
  <c r="CN54" i="7"/>
  <c r="CK54" i="7"/>
  <c r="CQ54" i="7" s="1"/>
  <c r="CH54" i="7"/>
  <c r="CG54" i="7"/>
  <c r="CE54" i="7"/>
  <c r="CD54" i="7"/>
  <c r="CF54" i="7" s="1"/>
  <c r="CA54" i="7"/>
  <c r="BZ54" i="7"/>
  <c r="BW54" i="7"/>
  <c r="BT54" i="7"/>
  <c r="BS54" i="7"/>
  <c r="BR54" i="7"/>
  <c r="BQ54" i="7" s="1"/>
  <c r="BP54" i="7"/>
  <c r="BV54" i="7" s="1"/>
  <c r="BM54" i="7"/>
  <c r="BL54" i="7" s="1"/>
  <c r="BI54" i="7"/>
  <c r="BF54" i="7"/>
  <c r="BE54" i="7"/>
  <c r="BB54" i="7"/>
  <c r="AY54" i="7"/>
  <c r="AX54" i="7" s="1"/>
  <c r="AU54" i="7"/>
  <c r="AR54" i="7"/>
  <c r="AQ54" i="7" s="1"/>
  <c r="AN54" i="7"/>
  <c r="AT54" i="7" s="1"/>
  <c r="AK54" i="7"/>
  <c r="AJ54" i="7" s="1"/>
  <c r="AG54" i="7"/>
  <c r="AM54" i="7" s="1"/>
  <c r="AD54" i="7"/>
  <c r="AC54" i="7"/>
  <c r="AB54" i="7"/>
  <c r="AA54" i="7" s="1"/>
  <c r="Z54" i="7"/>
  <c r="AF54" i="7" s="1"/>
  <c r="X54" i="7"/>
  <c r="S54" i="7"/>
  <c r="R54" i="7"/>
  <c r="P54" i="7"/>
  <c r="O54" i="7" s="1"/>
  <c r="L54" i="7"/>
  <c r="N54" i="7" s="1"/>
  <c r="CO53" i="7"/>
  <c r="CN53" i="7"/>
  <c r="CK53" i="7"/>
  <c r="CH53" i="7"/>
  <c r="CG53" i="7" s="1"/>
  <c r="CD53" i="7"/>
  <c r="CA53" i="7"/>
  <c r="BZ53" i="7"/>
  <c r="BW53" i="7"/>
  <c r="CC53" i="7" s="1"/>
  <c r="BT53" i="7"/>
  <c r="BS53" i="7" s="1"/>
  <c r="BP53" i="7"/>
  <c r="BO53" i="7"/>
  <c r="BM53" i="7"/>
  <c r="BL53" i="7"/>
  <c r="BK53" i="7"/>
  <c r="BI53" i="7"/>
  <c r="BF53" i="7"/>
  <c r="BE53" i="7" s="1"/>
  <c r="BB53" i="7"/>
  <c r="AY53" i="7"/>
  <c r="AX53" i="7"/>
  <c r="AU53" i="7"/>
  <c r="BA53" i="7" s="1"/>
  <c r="AR53" i="7"/>
  <c r="AQ53" i="7" s="1"/>
  <c r="AO53" i="7"/>
  <c r="AN53" i="7"/>
  <c r="AP53" i="7" s="1"/>
  <c r="AM53" i="7"/>
  <c r="AK53" i="7"/>
  <c r="AJ53" i="7"/>
  <c r="AI53" i="7"/>
  <c r="AG53" i="7"/>
  <c r="AE53" i="7"/>
  <c r="Z53" i="7"/>
  <c r="AB53" i="7" s="1"/>
  <c r="W53" i="7"/>
  <c r="U53" i="7"/>
  <c r="T53" i="7" s="1"/>
  <c r="S53" i="7"/>
  <c r="Y53" i="7" s="1"/>
  <c r="P53" i="7"/>
  <c r="O53" i="7"/>
  <c r="L53" i="7"/>
  <c r="B53" i="7" s="1"/>
  <c r="CQ52" i="7"/>
  <c r="CO52" i="7"/>
  <c r="CN52" i="7"/>
  <c r="CM52" i="7"/>
  <c r="CL52" i="7" s="1"/>
  <c r="CK52" i="7"/>
  <c r="CH52" i="7"/>
  <c r="CG52" i="7" s="1"/>
  <c r="CD52" i="7"/>
  <c r="CJ52" i="7" s="1"/>
  <c r="CA52" i="7"/>
  <c r="BZ52" i="7" s="1"/>
  <c r="BY52" i="7"/>
  <c r="BX52" i="7" s="1"/>
  <c r="BW52" i="7"/>
  <c r="CC52" i="7" s="1"/>
  <c r="BT52" i="7"/>
  <c r="BS52" i="7" s="1"/>
  <c r="BP52" i="7"/>
  <c r="BV52" i="7" s="1"/>
  <c r="BM52" i="7"/>
  <c r="BL52" i="7"/>
  <c r="BI52" i="7"/>
  <c r="BH52" i="7"/>
  <c r="BF52" i="7"/>
  <c r="BE52" i="7" s="1"/>
  <c r="BB52" i="7"/>
  <c r="AY52" i="7"/>
  <c r="AX52" i="7" s="1"/>
  <c r="AU52" i="7"/>
  <c r="AR52" i="7"/>
  <c r="AQ52" i="7" s="1"/>
  <c r="AN52" i="7"/>
  <c r="AT52" i="7" s="1"/>
  <c r="AL52" i="7"/>
  <c r="AK52" i="7"/>
  <c r="AJ52" i="7"/>
  <c r="AG52" i="7"/>
  <c r="AM52" i="7" s="1"/>
  <c r="AE52" i="7"/>
  <c r="AB52" i="7"/>
  <c r="Z52" i="7"/>
  <c r="AF52" i="7" s="1"/>
  <c r="X52" i="7"/>
  <c r="S52" i="7"/>
  <c r="U52" i="7" s="1"/>
  <c r="P52" i="7"/>
  <c r="L52" i="7"/>
  <c r="CO51" i="7"/>
  <c r="CN51" i="7"/>
  <c r="CK51" i="7"/>
  <c r="CQ51" i="7" s="1"/>
  <c r="CJ51" i="7"/>
  <c r="CH51" i="7"/>
  <c r="CG51" i="7"/>
  <c r="CD51" i="7"/>
  <c r="CA51" i="7"/>
  <c r="BZ51" i="7"/>
  <c r="BW51" i="7"/>
  <c r="BT51" i="7"/>
  <c r="BS51" i="7" s="1"/>
  <c r="BP51" i="7"/>
  <c r="BO51" i="7"/>
  <c r="BM51" i="7"/>
  <c r="BL51" i="7" s="1"/>
  <c r="BI51" i="7"/>
  <c r="BF51" i="7"/>
  <c r="BE51" i="7"/>
  <c r="BB51" i="7"/>
  <c r="AY51" i="7"/>
  <c r="AX51" i="7"/>
  <c r="AU51" i="7"/>
  <c r="AR51" i="7"/>
  <c r="AQ51" i="7" s="1"/>
  <c r="AN51" i="7"/>
  <c r="AM51" i="7"/>
  <c r="AL51" i="7"/>
  <c r="AK51" i="7"/>
  <c r="AJ51" i="7"/>
  <c r="AG51" i="7"/>
  <c r="AE51" i="7"/>
  <c r="AD51" i="7"/>
  <c r="AC51" i="7"/>
  <c r="Z51" i="7"/>
  <c r="Y51" i="7"/>
  <c r="X51" i="7"/>
  <c r="W51" i="7" s="1"/>
  <c r="I51" i="7" s="1"/>
  <c r="U51" i="7"/>
  <c r="T51" i="7"/>
  <c r="S51" i="7"/>
  <c r="Q51" i="7"/>
  <c r="P51" i="7"/>
  <c r="O51" i="7" s="1"/>
  <c r="L51" i="7"/>
  <c r="CO50" i="7"/>
  <c r="CN50" i="7"/>
  <c r="CK50" i="7"/>
  <c r="CH50" i="7"/>
  <c r="CG50" i="7"/>
  <c r="CD50" i="7"/>
  <c r="CA50" i="7"/>
  <c r="BZ50" i="7" s="1"/>
  <c r="BW50" i="7"/>
  <c r="BV50" i="7"/>
  <c r="BT50" i="7"/>
  <c r="BS50" i="7"/>
  <c r="BR50" i="7"/>
  <c r="BP50" i="7"/>
  <c r="BM50" i="7"/>
  <c r="BL50" i="7" s="1"/>
  <c r="BI50" i="7"/>
  <c r="BF50" i="7"/>
  <c r="BE50" i="7"/>
  <c r="BB50" i="7"/>
  <c r="AY50" i="7"/>
  <c r="AX50" i="7" s="1"/>
  <c r="AU50" i="7"/>
  <c r="AR50" i="7"/>
  <c r="AQ50" i="7"/>
  <c r="AP50" i="7"/>
  <c r="AN50" i="7"/>
  <c r="AT50" i="7" s="1"/>
  <c r="AL50" i="7"/>
  <c r="AK50" i="7"/>
  <c r="AG50" i="7"/>
  <c r="AI50" i="7" s="1"/>
  <c r="AE50" i="7"/>
  <c r="Z50" i="7"/>
  <c r="AB50" i="7" s="1"/>
  <c r="X50" i="7"/>
  <c r="W50" i="7"/>
  <c r="V50" i="7" s="1"/>
  <c r="S50" i="7"/>
  <c r="Q50" i="7"/>
  <c r="P50" i="7"/>
  <c r="O50" i="7"/>
  <c r="L50" i="7"/>
  <c r="CO49" i="7"/>
  <c r="CN49" i="7"/>
  <c r="CK49" i="7"/>
  <c r="CQ49" i="7" s="1"/>
  <c r="CH49" i="7"/>
  <c r="CG49" i="7" s="1"/>
  <c r="CF49" i="7"/>
  <c r="CD49" i="7"/>
  <c r="CJ49" i="7" s="1"/>
  <c r="CC49" i="7"/>
  <c r="CA49" i="7"/>
  <c r="BZ49" i="7"/>
  <c r="BW49" i="7"/>
  <c r="BT49" i="7"/>
  <c r="BS49" i="7"/>
  <c r="BP49" i="7"/>
  <c r="BM49" i="7"/>
  <c r="BL49" i="7"/>
  <c r="BK49" i="7"/>
  <c r="BI49" i="7"/>
  <c r="BO49" i="7" s="1"/>
  <c r="BF49" i="7"/>
  <c r="BE49" i="7" s="1"/>
  <c r="BD49" i="7"/>
  <c r="BB49" i="7"/>
  <c r="BH49" i="7" s="1"/>
  <c r="AY49" i="7"/>
  <c r="AX49" i="7"/>
  <c r="AU49" i="7"/>
  <c r="AR49" i="7"/>
  <c r="AQ49" i="7"/>
  <c r="AP49" i="7"/>
  <c r="AN49" i="7"/>
  <c r="AL49" i="7"/>
  <c r="AK49" i="7"/>
  <c r="AJ49" i="7"/>
  <c r="AG49" i="7"/>
  <c r="Z49" i="7"/>
  <c r="X49" i="7"/>
  <c r="S49" i="7"/>
  <c r="L49" i="7"/>
  <c r="CO48" i="7"/>
  <c r="CN48" i="7"/>
  <c r="CM48" i="7"/>
  <c r="CK48" i="7"/>
  <c r="CH48" i="7"/>
  <c r="CG48" i="7"/>
  <c r="CD48" i="7"/>
  <c r="CF48" i="7" s="1"/>
  <c r="CA48" i="7"/>
  <c r="BZ48" i="7"/>
  <c r="BW48" i="7"/>
  <c r="BT48" i="7"/>
  <c r="BS48" i="7" s="1"/>
  <c r="BP48" i="7"/>
  <c r="BR48" i="7" s="1"/>
  <c r="BM48" i="7"/>
  <c r="BL48" i="7"/>
  <c r="BK48" i="7"/>
  <c r="BI48" i="7"/>
  <c r="BF48" i="7"/>
  <c r="BE48" i="7"/>
  <c r="BB48" i="7"/>
  <c r="AY48" i="7"/>
  <c r="AX48" i="7"/>
  <c r="AU48" i="7"/>
  <c r="BA48" i="7" s="1"/>
  <c r="AT48" i="7"/>
  <c r="AR48" i="7"/>
  <c r="AQ48" i="7" s="1"/>
  <c r="AN48" i="7"/>
  <c r="AP48" i="7" s="1"/>
  <c r="AL48" i="7"/>
  <c r="AK48" i="7"/>
  <c r="AJ48" i="7"/>
  <c r="AG48" i="7"/>
  <c r="AE48" i="7"/>
  <c r="AB48" i="7"/>
  <c r="Z48" i="7"/>
  <c r="X48" i="7"/>
  <c r="W48" i="7"/>
  <c r="S48" i="7"/>
  <c r="U48" i="7" s="1"/>
  <c r="T48" i="7" s="1"/>
  <c r="Q48" i="7"/>
  <c r="P48" i="7"/>
  <c r="O48" i="7"/>
  <c r="L48" i="7"/>
  <c r="CO47" i="7"/>
  <c r="CN47" i="7"/>
  <c r="CK47" i="7"/>
  <c r="CH47" i="7"/>
  <c r="CG47" i="7"/>
  <c r="CF47" i="7"/>
  <c r="CD47" i="7"/>
  <c r="CJ47" i="7" s="1"/>
  <c r="CA47" i="7"/>
  <c r="BZ47" i="7" s="1"/>
  <c r="BX47" i="7"/>
  <c r="BW47" i="7"/>
  <c r="BY47" i="7" s="1"/>
  <c r="BV47" i="7"/>
  <c r="BT47" i="7"/>
  <c r="BS47" i="7"/>
  <c r="BP47" i="7"/>
  <c r="BM47" i="7"/>
  <c r="BL47" i="7" s="1"/>
  <c r="BI47" i="7"/>
  <c r="BK47" i="7" s="1"/>
  <c r="BF47" i="7"/>
  <c r="BE47" i="7"/>
  <c r="BB47" i="7"/>
  <c r="BH47" i="7" s="1"/>
  <c r="AY47" i="7"/>
  <c r="AX47" i="7" s="1"/>
  <c r="AU47" i="7"/>
  <c r="AW47" i="7" s="1"/>
  <c r="AT47" i="7"/>
  <c r="AR47" i="7"/>
  <c r="AQ47" i="7"/>
  <c r="AP47" i="7"/>
  <c r="AN47" i="7"/>
  <c r="AK47" i="7"/>
  <c r="AJ47" i="7"/>
  <c r="AG47" i="7"/>
  <c r="AI47" i="7" s="1"/>
  <c r="AD47" i="7"/>
  <c r="AC47" i="7"/>
  <c r="AB47" i="7"/>
  <c r="AA47" i="7" s="1"/>
  <c r="Z47" i="7"/>
  <c r="AF47" i="7" s="1"/>
  <c r="W47" i="7"/>
  <c r="V47" i="7" s="1"/>
  <c r="T47" i="7"/>
  <c r="S47" i="7"/>
  <c r="U47" i="7" s="1"/>
  <c r="R47" i="7"/>
  <c r="P47" i="7"/>
  <c r="O47" i="7"/>
  <c r="N47" i="7"/>
  <c r="L47" i="7"/>
  <c r="J47" i="7"/>
  <c r="CO46" i="7"/>
  <c r="CN46" i="7"/>
  <c r="CM46" i="7"/>
  <c r="CK46" i="7"/>
  <c r="CH46" i="7"/>
  <c r="CG46" i="7"/>
  <c r="CD46" i="7"/>
  <c r="CF46" i="7" s="1"/>
  <c r="CA46" i="7"/>
  <c r="BZ46" i="7"/>
  <c r="BW46" i="7"/>
  <c r="BT46" i="7"/>
  <c r="BS46" i="7" s="1"/>
  <c r="BP46" i="7"/>
  <c r="BR46" i="7" s="1"/>
  <c r="BM46" i="7"/>
  <c r="BL46" i="7"/>
  <c r="BK46" i="7"/>
  <c r="BI46" i="7"/>
  <c r="BF46" i="7"/>
  <c r="BE46" i="7"/>
  <c r="BB46" i="7"/>
  <c r="AY46" i="7"/>
  <c r="AX46" i="7"/>
  <c r="AU46" i="7"/>
  <c r="BA46" i="7" s="1"/>
  <c r="AT46" i="7"/>
  <c r="AR46" i="7"/>
  <c r="AQ46" i="7" s="1"/>
  <c r="AN46" i="7"/>
  <c r="AP46" i="7" s="1"/>
  <c r="AK46" i="7"/>
  <c r="AJ46" i="7"/>
  <c r="AG46" i="7"/>
  <c r="AF46" i="7"/>
  <c r="AD46" i="7"/>
  <c r="Z46" i="7"/>
  <c r="AB46" i="7" s="1"/>
  <c r="W46" i="7"/>
  <c r="V46" i="7"/>
  <c r="U46" i="7"/>
  <c r="T46" i="7" s="1"/>
  <c r="S46" i="7"/>
  <c r="Y46" i="7" s="1"/>
  <c r="P46" i="7"/>
  <c r="O46" i="7" s="1"/>
  <c r="L46" i="7"/>
  <c r="N46" i="7" s="1"/>
  <c r="J46" i="7"/>
  <c r="CO45" i="7"/>
  <c r="CN45" i="7" s="1"/>
  <c r="CK45" i="7"/>
  <c r="CH45" i="7"/>
  <c r="CG45" i="7"/>
  <c r="CF45" i="7"/>
  <c r="CD45" i="7"/>
  <c r="CA45" i="7"/>
  <c r="BZ45" i="7"/>
  <c r="BW45" i="7"/>
  <c r="BY45" i="7" s="1"/>
  <c r="BT45" i="7"/>
  <c r="BS45" i="7"/>
  <c r="BP45" i="7"/>
  <c r="BM45" i="7"/>
  <c r="BL45" i="7" s="1"/>
  <c r="BI45" i="7"/>
  <c r="BK45" i="7" s="1"/>
  <c r="BF45" i="7"/>
  <c r="BE45" i="7" s="1"/>
  <c r="BB45" i="7"/>
  <c r="AY45" i="7"/>
  <c r="AX45" i="7"/>
  <c r="AW45" i="7"/>
  <c r="AU45" i="7"/>
  <c r="BA45" i="7" s="1"/>
  <c r="AR45" i="7"/>
  <c r="AQ45" i="7"/>
  <c r="AN45" i="7"/>
  <c r="AT45" i="7" s="1"/>
  <c r="AK45" i="7"/>
  <c r="AJ45" i="7" s="1"/>
  <c r="AG45" i="7"/>
  <c r="AF45" i="7"/>
  <c r="AD45" i="7"/>
  <c r="AC45" i="7"/>
  <c r="AB45" i="7"/>
  <c r="Z45" i="7"/>
  <c r="W45" i="7"/>
  <c r="V45" i="7"/>
  <c r="S45" i="7"/>
  <c r="U45" i="7" s="1"/>
  <c r="P45" i="7"/>
  <c r="O45" i="7"/>
  <c r="L45" i="7"/>
  <c r="J45" i="7"/>
  <c r="CO44" i="7"/>
  <c r="CN44" i="7"/>
  <c r="CK44" i="7"/>
  <c r="CQ44" i="7" s="1"/>
  <c r="CJ44" i="7"/>
  <c r="CH44" i="7"/>
  <c r="CG44" i="7" s="1"/>
  <c r="CD44" i="7"/>
  <c r="CF44" i="7" s="1"/>
  <c r="CA44" i="7"/>
  <c r="BZ44" i="7"/>
  <c r="BW44" i="7"/>
  <c r="BT44" i="7"/>
  <c r="BS44" i="7" s="1"/>
  <c r="BP44" i="7"/>
  <c r="BR44" i="7" s="1"/>
  <c r="BM44" i="7"/>
  <c r="BL44" i="7"/>
  <c r="BK44" i="7"/>
  <c r="BI44" i="7"/>
  <c r="BF44" i="7"/>
  <c r="BE44" i="7" s="1"/>
  <c r="BB44" i="7"/>
  <c r="BD44" i="7" s="1"/>
  <c r="AY44" i="7"/>
  <c r="AX44" i="7"/>
  <c r="AW44" i="7"/>
  <c r="AU44" i="7"/>
  <c r="AR44" i="7"/>
  <c r="AQ44" i="7" s="1"/>
  <c r="AN44" i="7"/>
  <c r="AK44" i="7"/>
  <c r="AJ44" i="7"/>
  <c r="AG44" i="7"/>
  <c r="AM44" i="7" s="1"/>
  <c r="AD44" i="7"/>
  <c r="AC44" i="7" s="1"/>
  <c r="Z44" i="7"/>
  <c r="Y44" i="7"/>
  <c r="W44" i="7"/>
  <c r="V44" i="7"/>
  <c r="U44" i="7"/>
  <c r="S44" i="7"/>
  <c r="P44" i="7"/>
  <c r="O44" i="7" s="1"/>
  <c r="L44" i="7"/>
  <c r="R44" i="7" s="1"/>
  <c r="J44" i="7"/>
  <c r="I44" i="7"/>
  <c r="CO43" i="7"/>
  <c r="CN43" i="7"/>
  <c r="CK43" i="7"/>
  <c r="CQ43" i="7" s="1"/>
  <c r="CH43" i="7"/>
  <c r="CG43" i="7"/>
  <c r="CD43" i="7"/>
  <c r="CA43" i="7"/>
  <c r="BZ43" i="7" s="1"/>
  <c r="BW43" i="7"/>
  <c r="BY43" i="7" s="1"/>
  <c r="BT43" i="7"/>
  <c r="BS43" i="7" s="1"/>
  <c r="BP43" i="7"/>
  <c r="BV43" i="7" s="1"/>
  <c r="BM43" i="7"/>
  <c r="BL43" i="7"/>
  <c r="BI43" i="7"/>
  <c r="BK43" i="7" s="1"/>
  <c r="BF43" i="7"/>
  <c r="BE43" i="7"/>
  <c r="BB43" i="7"/>
  <c r="BH43" i="7" s="1"/>
  <c r="AY43" i="7"/>
  <c r="AX43" i="7" s="1"/>
  <c r="AU43" i="7"/>
  <c r="AR43" i="7"/>
  <c r="AQ43" i="7" s="1"/>
  <c r="AP43" i="7"/>
  <c r="AN43" i="7"/>
  <c r="AM43" i="7"/>
  <c r="AK43" i="7"/>
  <c r="AJ43" i="7"/>
  <c r="AG43" i="7"/>
  <c r="AI43" i="7" s="1"/>
  <c r="AH43" i="7" s="1"/>
  <c r="AE43" i="7"/>
  <c r="AD43" i="7"/>
  <c r="AC43" i="7"/>
  <c r="Z43" i="7"/>
  <c r="AF43" i="7" s="1"/>
  <c r="X43" i="7"/>
  <c r="W43" i="7"/>
  <c r="V43" i="7"/>
  <c r="S43" i="7"/>
  <c r="Q43" i="7"/>
  <c r="L43" i="7"/>
  <c r="J43" i="7"/>
  <c r="CO42" i="7"/>
  <c r="CN42" i="7"/>
  <c r="CK42" i="7"/>
  <c r="CQ42" i="7" s="1"/>
  <c r="CH42" i="7"/>
  <c r="CG42" i="7"/>
  <c r="CD42" i="7"/>
  <c r="CA42" i="7"/>
  <c r="BZ42" i="7"/>
  <c r="BW42" i="7"/>
  <c r="BT42" i="7"/>
  <c r="BS42" i="7"/>
  <c r="BP42" i="7"/>
  <c r="BV42" i="7" s="1"/>
  <c r="BM42" i="7"/>
  <c r="BL42" i="7"/>
  <c r="BI42" i="7"/>
  <c r="BO42" i="7" s="1"/>
  <c r="BF42" i="7"/>
  <c r="BE42" i="7" s="1"/>
  <c r="BB42" i="7"/>
  <c r="BH42" i="7" s="1"/>
  <c r="AY42" i="7"/>
  <c r="AX42" i="7"/>
  <c r="AU42" i="7"/>
  <c r="BA42" i="7" s="1"/>
  <c r="AR42" i="7"/>
  <c r="AQ42" i="7"/>
  <c r="AN42" i="7"/>
  <c r="AT42" i="7" s="1"/>
  <c r="AL42" i="7"/>
  <c r="AK42" i="7"/>
  <c r="AJ42" i="7"/>
  <c r="AG42" i="7"/>
  <c r="AI42" i="7" s="1"/>
  <c r="AE42" i="7"/>
  <c r="AB42" i="7"/>
  <c r="Z42" i="7"/>
  <c r="AA42" i="7" s="1"/>
  <c r="X42" i="7"/>
  <c r="W42" i="7"/>
  <c r="S42" i="7"/>
  <c r="Q42" i="7"/>
  <c r="J42" i="7" s="1"/>
  <c r="L42" i="7"/>
  <c r="CQ41" i="7"/>
  <c r="CO41" i="7"/>
  <c r="CN41" i="7"/>
  <c r="CK41" i="7"/>
  <c r="CJ41" i="7"/>
  <c r="CH41" i="7"/>
  <c r="CG41" i="7"/>
  <c r="CF41" i="7"/>
  <c r="CE41" i="7"/>
  <c r="CD41" i="7"/>
  <c r="CA41" i="7"/>
  <c r="BZ41" i="7"/>
  <c r="BW41" i="7"/>
  <c r="BV41" i="7"/>
  <c r="BT41" i="7"/>
  <c r="BS41" i="7"/>
  <c r="BR41" i="7"/>
  <c r="BP41" i="7"/>
  <c r="BM41" i="7"/>
  <c r="BL41" i="7"/>
  <c r="BI41" i="7"/>
  <c r="BH41" i="7"/>
  <c r="BF41" i="7"/>
  <c r="BE41" i="7" s="1"/>
  <c r="BD41" i="7"/>
  <c r="BB41" i="7"/>
  <c r="BC41" i="7" s="1"/>
  <c r="AY41" i="7"/>
  <c r="AX41" i="7"/>
  <c r="AU41" i="7"/>
  <c r="AT41" i="7"/>
  <c r="AR41" i="7"/>
  <c r="AQ41" i="7"/>
  <c r="AP41" i="7"/>
  <c r="AN41" i="7"/>
  <c r="AK41" i="7"/>
  <c r="AJ41" i="7"/>
  <c r="AG41" i="7"/>
  <c r="AF41" i="7"/>
  <c r="AD41" i="7"/>
  <c r="AC41" i="7" s="1"/>
  <c r="AB41" i="7"/>
  <c r="AA41" i="7"/>
  <c r="Z41" i="7"/>
  <c r="Y41" i="7"/>
  <c r="W41" i="7"/>
  <c r="V41" i="7"/>
  <c r="U41" i="7"/>
  <c r="T41" i="7" s="1"/>
  <c r="S41" i="7"/>
  <c r="P41" i="7"/>
  <c r="O41" i="7"/>
  <c r="L41" i="7"/>
  <c r="R41" i="7" s="1"/>
  <c r="J41" i="7"/>
  <c r="CO40" i="7"/>
  <c r="CN40" i="7"/>
  <c r="CK40" i="7"/>
  <c r="CQ40" i="7" s="1"/>
  <c r="CH40" i="7"/>
  <c r="CG40" i="7" s="1"/>
  <c r="CD40" i="7"/>
  <c r="CC40" i="7"/>
  <c r="CA40" i="7"/>
  <c r="BZ40" i="7"/>
  <c r="BY40" i="7"/>
  <c r="BX40" i="7" s="1"/>
  <c r="BW40" i="7"/>
  <c r="BT40" i="7"/>
  <c r="BS40" i="7"/>
  <c r="BP40" i="7"/>
  <c r="BM40" i="7"/>
  <c r="BL40" i="7"/>
  <c r="BI40" i="7"/>
  <c r="BO40" i="7" s="1"/>
  <c r="BF40" i="7"/>
  <c r="BE40" i="7"/>
  <c r="BB40" i="7"/>
  <c r="BD40" i="7" s="1"/>
  <c r="BA40" i="7"/>
  <c r="AY40" i="7"/>
  <c r="AX40" i="7"/>
  <c r="AW40" i="7"/>
  <c r="AV40" i="7" s="1"/>
  <c r="AU40" i="7"/>
  <c r="AR40" i="7"/>
  <c r="AQ40" i="7"/>
  <c r="AN40" i="7"/>
  <c r="AT40" i="7" s="1"/>
  <c r="AM40" i="7"/>
  <c r="AL40" i="7"/>
  <c r="AK40" i="7"/>
  <c r="AJ40" i="7"/>
  <c r="AG40" i="7"/>
  <c r="AI40" i="7" s="1"/>
  <c r="AH40" i="7" s="1"/>
  <c r="AE40" i="7"/>
  <c r="AD40" i="7" s="1"/>
  <c r="Z40" i="7"/>
  <c r="AF40" i="7" s="1"/>
  <c r="X40" i="7"/>
  <c r="W40" i="7" s="1"/>
  <c r="U40" i="7"/>
  <c r="T40" i="7" s="1"/>
  <c r="S40" i="7"/>
  <c r="Q40" i="7"/>
  <c r="P40" i="7"/>
  <c r="O40" i="7"/>
  <c r="L40" i="7"/>
  <c r="CO39" i="7"/>
  <c r="CN39" i="7"/>
  <c r="CK39" i="7"/>
  <c r="CH39" i="7"/>
  <c r="CG39" i="7"/>
  <c r="CD39" i="7"/>
  <c r="CJ39" i="7" s="1"/>
  <c r="CC39" i="7"/>
  <c r="CA39" i="7"/>
  <c r="BZ39" i="7" s="1"/>
  <c r="BW39" i="7"/>
  <c r="BY39" i="7" s="1"/>
  <c r="BT39" i="7"/>
  <c r="BS39" i="7"/>
  <c r="BP39" i="7"/>
  <c r="BM39" i="7"/>
  <c r="BL39" i="7"/>
  <c r="BI39" i="7"/>
  <c r="BK39" i="7" s="1"/>
  <c r="BF39" i="7"/>
  <c r="BE39" i="7" s="1"/>
  <c r="BB39" i="7"/>
  <c r="BA39" i="7"/>
  <c r="AY39" i="7"/>
  <c r="AX39" i="7" s="1"/>
  <c r="AU39" i="7"/>
  <c r="AW39" i="7" s="1"/>
  <c r="AV39" i="7" s="1"/>
  <c r="AR39" i="7"/>
  <c r="AQ39" i="7"/>
  <c r="AN39" i="7"/>
  <c r="AM39" i="7"/>
  <c r="AL39" i="7"/>
  <c r="AG39" i="7"/>
  <c r="AI39" i="7" s="1"/>
  <c r="AD39" i="7"/>
  <c r="AC39" i="7" s="1"/>
  <c r="Z39" i="7"/>
  <c r="Y39" i="7"/>
  <c r="X39" i="7"/>
  <c r="W39" i="7"/>
  <c r="V39" i="7"/>
  <c r="S39" i="7"/>
  <c r="U39" i="7" s="1"/>
  <c r="Q39" i="7"/>
  <c r="M39" i="7"/>
  <c r="L39" i="7"/>
  <c r="N39" i="7" s="1"/>
  <c r="CQ38" i="7"/>
  <c r="CO38" i="7"/>
  <c r="CN38" i="7" s="1"/>
  <c r="CK38" i="7"/>
  <c r="CM38" i="7" s="1"/>
  <c r="CL38" i="7" s="1"/>
  <c r="CH38" i="7"/>
  <c r="CG38" i="7"/>
  <c r="CF38" i="7"/>
  <c r="CE38" i="7" s="1"/>
  <c r="CD38" i="7"/>
  <c r="CJ38" i="7" s="1"/>
  <c r="CC38" i="7"/>
  <c r="CA38" i="7"/>
  <c r="BZ38" i="7"/>
  <c r="BW38" i="7"/>
  <c r="BY38" i="7" s="1"/>
  <c r="BT38" i="7"/>
  <c r="BS38" i="7"/>
  <c r="BP38" i="7"/>
  <c r="BO38" i="7"/>
  <c r="BM38" i="7"/>
  <c r="BL38" i="7"/>
  <c r="BI38" i="7"/>
  <c r="BK38" i="7" s="1"/>
  <c r="BJ38" i="7" s="1"/>
  <c r="BF38" i="7"/>
  <c r="BE38" i="7" s="1"/>
  <c r="BB38" i="7"/>
  <c r="BH38" i="7" s="1"/>
  <c r="BA38" i="7"/>
  <c r="AY38" i="7"/>
  <c r="AX38" i="7"/>
  <c r="AW38" i="7"/>
  <c r="AV38" i="7" s="1"/>
  <c r="AU38" i="7"/>
  <c r="AR38" i="7"/>
  <c r="AQ38" i="7"/>
  <c r="AN38" i="7"/>
  <c r="AM38" i="7"/>
  <c r="AK38" i="7"/>
  <c r="AJ38" i="7" s="1"/>
  <c r="AI38" i="7"/>
  <c r="AH38" i="7" s="1"/>
  <c r="AG38" i="7"/>
  <c r="AE38" i="7"/>
  <c r="AD38" i="7" s="1"/>
  <c r="AB38" i="7"/>
  <c r="AA38" i="7" s="1"/>
  <c r="Z38" i="7"/>
  <c r="X38" i="7"/>
  <c r="W38" i="7"/>
  <c r="V38" i="7"/>
  <c r="S38" i="7"/>
  <c r="Y38" i="7" s="1"/>
  <c r="Q38" i="7"/>
  <c r="P38" i="7"/>
  <c r="O38" i="7"/>
  <c r="N38" i="7"/>
  <c r="L38" i="7"/>
  <c r="R38" i="7" s="1"/>
  <c r="J38" i="7"/>
  <c r="CO37" i="7"/>
  <c r="CN37" i="7"/>
  <c r="CK37" i="7"/>
  <c r="CQ37" i="7" s="1"/>
  <c r="CH37" i="7"/>
  <c r="CG37" i="7" s="1"/>
  <c r="CD37" i="7"/>
  <c r="CF37" i="7" s="1"/>
  <c r="CC37" i="7"/>
  <c r="CA37" i="7"/>
  <c r="BZ37" i="7"/>
  <c r="BY37" i="7"/>
  <c r="BW37" i="7"/>
  <c r="BT37" i="7"/>
  <c r="BS37" i="7"/>
  <c r="BR37" i="7"/>
  <c r="BP37" i="7"/>
  <c r="BM37" i="7"/>
  <c r="BL37" i="7"/>
  <c r="BI37" i="7"/>
  <c r="BO37" i="7" s="1"/>
  <c r="BF37" i="7"/>
  <c r="BE37" i="7" s="1"/>
  <c r="BB37" i="7"/>
  <c r="BD37" i="7" s="1"/>
  <c r="AY37" i="7"/>
  <c r="AX37" i="7" s="1"/>
  <c r="AU37" i="7"/>
  <c r="BA37" i="7" s="1"/>
  <c r="AR37" i="7"/>
  <c r="AQ37" i="7"/>
  <c r="AP37" i="7"/>
  <c r="AO37" i="7" s="1"/>
  <c r="AN37" i="7"/>
  <c r="AT37" i="7" s="1"/>
  <c r="AG37" i="7"/>
  <c r="Z37" i="7"/>
  <c r="S37" i="7"/>
  <c r="Q37" i="7"/>
  <c r="P37" i="7" s="1"/>
  <c r="L37" i="7"/>
  <c r="N37" i="7" s="1"/>
  <c r="CO36" i="7"/>
  <c r="CN36" i="7" s="1"/>
  <c r="CL36" i="7"/>
  <c r="CK36" i="7"/>
  <c r="CM36" i="7" s="1"/>
  <c r="CJ36" i="7"/>
  <c r="CH36" i="7"/>
  <c r="CG36" i="7" s="1"/>
  <c r="CD36" i="7"/>
  <c r="CA36" i="7"/>
  <c r="BZ36" i="7" s="1"/>
  <c r="BY36" i="7"/>
  <c r="BX36" i="7" s="1"/>
  <c r="BW36" i="7"/>
  <c r="CC36" i="7" s="1"/>
  <c r="BT36" i="7"/>
  <c r="BS36" i="7"/>
  <c r="BP36" i="7"/>
  <c r="BV36" i="7" s="1"/>
  <c r="BM36" i="7"/>
  <c r="BL36" i="7" s="1"/>
  <c r="BI36" i="7"/>
  <c r="BK36" i="7" s="1"/>
  <c r="BH36" i="7"/>
  <c r="BF36" i="7"/>
  <c r="BE36" i="7"/>
  <c r="BB36" i="7"/>
  <c r="AY36" i="7"/>
  <c r="AX36" i="7"/>
  <c r="AU36" i="7"/>
  <c r="AR36" i="7"/>
  <c r="AQ36" i="7"/>
  <c r="AN36" i="7"/>
  <c r="AT36" i="7" s="1"/>
  <c r="AL36" i="7"/>
  <c r="AG36" i="7"/>
  <c r="AM36" i="7" s="1"/>
  <c r="AF36" i="7"/>
  <c r="AE36" i="7"/>
  <c r="AD36" i="7"/>
  <c r="Z36" i="7"/>
  <c r="AB36" i="7" s="1"/>
  <c r="X36" i="7"/>
  <c r="X37" i="7" s="1"/>
  <c r="W36" i="7"/>
  <c r="V36" i="7" s="1"/>
  <c r="S36" i="7"/>
  <c r="Q36" i="7"/>
  <c r="J36" i="7" s="1"/>
  <c r="P36" i="7"/>
  <c r="N36" i="7"/>
  <c r="L36" i="7"/>
  <c r="CO35" i="7"/>
  <c r="CN35" i="7"/>
  <c r="CK35" i="7"/>
  <c r="CJ35" i="7"/>
  <c r="CH35" i="7"/>
  <c r="CG35" i="7"/>
  <c r="CF35" i="7"/>
  <c r="CD35" i="7"/>
  <c r="CA35" i="7"/>
  <c r="BZ35" i="7"/>
  <c r="BW35" i="7"/>
  <c r="CC35" i="7" s="1"/>
  <c r="BV35" i="7"/>
  <c r="BT35" i="7"/>
  <c r="BS35" i="7" s="1"/>
  <c r="BP35" i="7"/>
  <c r="BR35" i="7" s="1"/>
  <c r="BM35" i="7"/>
  <c r="BL35" i="7" s="1"/>
  <c r="BK35" i="7"/>
  <c r="BI35" i="7"/>
  <c r="BO35" i="7" s="1"/>
  <c r="BF35" i="7"/>
  <c r="BE35" i="7"/>
  <c r="BB35" i="7"/>
  <c r="BH35" i="7" s="1"/>
  <c r="AY35" i="7"/>
  <c r="AX35" i="7"/>
  <c r="AU35" i="7"/>
  <c r="BA35" i="7" s="1"/>
  <c r="AR35" i="7"/>
  <c r="AQ35" i="7" s="1"/>
  <c r="AN35" i="7"/>
  <c r="AP35" i="7" s="1"/>
  <c r="AM35" i="7"/>
  <c r="AK35" i="7"/>
  <c r="AJ35" i="7"/>
  <c r="AI35" i="7"/>
  <c r="AG35" i="7"/>
  <c r="AF35" i="7"/>
  <c r="AD35" i="7"/>
  <c r="AC35" i="7"/>
  <c r="AB35" i="7"/>
  <c r="Z35" i="7"/>
  <c r="W35" i="7"/>
  <c r="V35" i="7"/>
  <c r="S35" i="7"/>
  <c r="Y35" i="7" s="1"/>
  <c r="Q35" i="7"/>
  <c r="L35" i="7"/>
  <c r="E35" i="7" s="1"/>
  <c r="K35" i="7" s="1"/>
  <c r="J35" i="7"/>
  <c r="CO34" i="7"/>
  <c r="CN34" i="7"/>
  <c r="CK34" i="7"/>
  <c r="CJ34" i="7"/>
  <c r="CH34" i="7"/>
  <c r="CG34" i="7"/>
  <c r="CD34" i="7"/>
  <c r="CA34" i="7"/>
  <c r="BZ34" i="7" s="1"/>
  <c r="BW34" i="7"/>
  <c r="CC34" i="7" s="1"/>
  <c r="BT34" i="7"/>
  <c r="BS34" i="7" s="1"/>
  <c r="BR34" i="7"/>
  <c r="BQ34" i="7" s="1"/>
  <c r="BP34" i="7"/>
  <c r="BV34" i="7" s="1"/>
  <c r="BM34" i="7"/>
  <c r="BL34" i="7"/>
  <c r="BI34" i="7"/>
  <c r="BH34" i="7"/>
  <c r="BF34" i="7"/>
  <c r="BE34" i="7"/>
  <c r="BB34" i="7"/>
  <c r="AY34" i="7"/>
  <c r="AX34" i="7" s="1"/>
  <c r="AW34" i="7"/>
  <c r="AV34" i="7" s="1"/>
  <c r="AU34" i="7"/>
  <c r="BA34" i="7" s="1"/>
  <c r="AR34" i="7"/>
  <c r="AQ34" i="7"/>
  <c r="AP34" i="7"/>
  <c r="AO34" i="7" s="1"/>
  <c r="AN34" i="7"/>
  <c r="AT34" i="7" s="1"/>
  <c r="AK34" i="7"/>
  <c r="AJ34" i="7"/>
  <c r="AG34" i="7"/>
  <c r="AD34" i="7"/>
  <c r="AC34" i="7"/>
  <c r="Z34" i="7"/>
  <c r="W34" i="7"/>
  <c r="V34" i="7"/>
  <c r="S34" i="7"/>
  <c r="Y34" i="7" s="1"/>
  <c r="Q34" i="7"/>
  <c r="L34" i="7"/>
  <c r="CO33" i="7"/>
  <c r="CN33" i="7"/>
  <c r="CK33" i="7"/>
  <c r="CQ33" i="7" s="1"/>
  <c r="CH33" i="7"/>
  <c r="CG33" i="7"/>
  <c r="CD33" i="7"/>
  <c r="CJ33" i="7" s="1"/>
  <c r="CC33" i="7"/>
  <c r="CA33" i="7"/>
  <c r="BZ33" i="7" s="1"/>
  <c r="BW33" i="7"/>
  <c r="BY33" i="7" s="1"/>
  <c r="BT33" i="7"/>
  <c r="BS33" i="7" s="1"/>
  <c r="BR33" i="7"/>
  <c r="BP33" i="7"/>
  <c r="BV33" i="7" s="1"/>
  <c r="BO33" i="7"/>
  <c r="BM33" i="7"/>
  <c r="BL33" i="7" s="1"/>
  <c r="BI33" i="7"/>
  <c r="BK33" i="7" s="1"/>
  <c r="BF33" i="7"/>
  <c r="BE33" i="7"/>
  <c r="BB33" i="7"/>
  <c r="AY33" i="7"/>
  <c r="AX33" i="7" s="1"/>
  <c r="AU33" i="7"/>
  <c r="AW33" i="7" s="1"/>
  <c r="AT33" i="7"/>
  <c r="AR33" i="7"/>
  <c r="AQ33" i="7" s="1"/>
  <c r="AN33" i="7"/>
  <c r="AK33" i="7"/>
  <c r="AJ33" i="7"/>
  <c r="AG33" i="7"/>
  <c r="AM33" i="7" s="1"/>
  <c r="AD33" i="7"/>
  <c r="AC33" i="7"/>
  <c r="Z33" i="7"/>
  <c r="AF33" i="7" s="1"/>
  <c r="W33" i="7"/>
  <c r="V33" i="7" s="1"/>
  <c r="S33" i="7"/>
  <c r="Q33" i="7"/>
  <c r="P33" i="7" s="1"/>
  <c r="L33" i="7"/>
  <c r="J33" i="7"/>
  <c r="CO32" i="7"/>
  <c r="CN32" i="7" s="1"/>
  <c r="CK32" i="7"/>
  <c r="CQ32" i="7" s="1"/>
  <c r="CJ32" i="7"/>
  <c r="CH32" i="7"/>
  <c r="CG32" i="7"/>
  <c r="CF32" i="7"/>
  <c r="CE32" i="7"/>
  <c r="CD32" i="7"/>
  <c r="CA32" i="7"/>
  <c r="BZ32" i="7"/>
  <c r="BW32" i="7"/>
  <c r="CC32" i="7" s="1"/>
  <c r="BT32" i="7"/>
  <c r="BS32" i="7"/>
  <c r="BP32" i="7"/>
  <c r="BR32" i="7" s="1"/>
  <c r="BM32" i="7"/>
  <c r="BL32" i="7" s="1"/>
  <c r="BI32" i="7"/>
  <c r="BF32" i="7"/>
  <c r="BE32" i="7"/>
  <c r="BD32" i="7"/>
  <c r="BC32" i="7" s="1"/>
  <c r="BB32" i="7"/>
  <c r="BH32" i="7" s="1"/>
  <c r="AY32" i="7"/>
  <c r="AX32" i="7"/>
  <c r="AU32" i="7"/>
  <c r="BA32" i="7" s="1"/>
  <c r="AR32" i="7"/>
  <c r="AQ32" i="7"/>
  <c r="AN32" i="7"/>
  <c r="AT32" i="7" s="1"/>
  <c r="AL32" i="7"/>
  <c r="AK32" i="7"/>
  <c r="AG32" i="7"/>
  <c r="AI32" i="7" s="1"/>
  <c r="AE32" i="7"/>
  <c r="Z32" i="7"/>
  <c r="X32" i="7"/>
  <c r="V32" i="7" s="1"/>
  <c r="W32" i="7"/>
  <c r="S32" i="7"/>
  <c r="Q32" i="7"/>
  <c r="R32" i="7" s="1"/>
  <c r="P32" i="7"/>
  <c r="L32" i="7"/>
  <c r="N32" i="7" s="1"/>
  <c r="M32" i="7" s="1"/>
  <c r="CQ31" i="7"/>
  <c r="CO31" i="7"/>
  <c r="CN31" i="7" s="1"/>
  <c r="CM31" i="7"/>
  <c r="CL31" i="7" s="1"/>
  <c r="CK31" i="7"/>
  <c r="CH31" i="7"/>
  <c r="CG31" i="7" s="1"/>
  <c r="CF31" i="7"/>
  <c r="CE31" i="7" s="1"/>
  <c r="CD31" i="7"/>
  <c r="CJ31" i="7" s="1"/>
  <c r="CA31" i="7"/>
  <c r="BZ31" i="7"/>
  <c r="BW31" i="7"/>
  <c r="BT31" i="7"/>
  <c r="BS31" i="7"/>
  <c r="BP31" i="7"/>
  <c r="BV31" i="7" s="1"/>
  <c r="BM31" i="7"/>
  <c r="BL31" i="7" s="1"/>
  <c r="BK31" i="7"/>
  <c r="BJ31" i="7" s="1"/>
  <c r="BI31" i="7"/>
  <c r="BO31" i="7" s="1"/>
  <c r="BF31" i="7"/>
  <c r="BE31" i="7"/>
  <c r="BB31" i="7"/>
  <c r="BH31" i="7" s="1"/>
  <c r="AY31" i="7"/>
  <c r="AX31" i="7"/>
  <c r="AU31" i="7"/>
  <c r="AT31" i="7"/>
  <c r="AR31" i="7"/>
  <c r="AQ31" i="7"/>
  <c r="AN31" i="7"/>
  <c r="AM31" i="7"/>
  <c r="AK31" i="7"/>
  <c r="AJ31" i="7"/>
  <c r="AI31" i="7"/>
  <c r="AH31" i="7"/>
  <c r="AG31" i="7"/>
  <c r="AD31" i="7"/>
  <c r="AC31" i="7" s="1"/>
  <c r="Z31" i="7"/>
  <c r="AF31" i="7" s="1"/>
  <c r="W31" i="7"/>
  <c r="V31" i="7"/>
  <c r="S31" i="7"/>
  <c r="Y31" i="7" s="1"/>
  <c r="P31" i="7"/>
  <c r="O31" i="7" s="1"/>
  <c r="L31" i="7"/>
  <c r="J31" i="7"/>
  <c r="CO30" i="7"/>
  <c r="CN30" i="7" s="1"/>
  <c r="CK30" i="7"/>
  <c r="CQ30" i="7" s="1"/>
  <c r="CJ30" i="7"/>
  <c r="CH30" i="7"/>
  <c r="CG30" i="7" s="1"/>
  <c r="CD30" i="7"/>
  <c r="CF30" i="7" s="1"/>
  <c r="CE30" i="7" s="1"/>
  <c r="CA30" i="7"/>
  <c r="BZ30" i="7" s="1"/>
  <c r="BW30" i="7"/>
  <c r="CC30" i="7" s="1"/>
  <c r="BV30" i="7"/>
  <c r="BT30" i="7"/>
  <c r="BS30" i="7"/>
  <c r="BR30" i="7"/>
  <c r="BP30" i="7"/>
  <c r="BM30" i="7"/>
  <c r="BL30" i="7"/>
  <c r="BI30" i="7"/>
  <c r="BO30" i="7" s="1"/>
  <c r="BH30" i="7"/>
  <c r="BF30" i="7"/>
  <c r="BE30" i="7" s="1"/>
  <c r="BD30" i="7"/>
  <c r="BB30" i="7"/>
  <c r="BC30" i="7" s="1"/>
  <c r="AY30" i="7"/>
  <c r="AX30" i="7" s="1"/>
  <c r="AU30" i="7"/>
  <c r="AR30" i="7"/>
  <c r="AQ30" i="7"/>
  <c r="AN30" i="7"/>
  <c r="AL30" i="7"/>
  <c r="AK30" i="7"/>
  <c r="AH30" i="7"/>
  <c r="AG30" i="7"/>
  <c r="AI30" i="7" s="1"/>
  <c r="AE30" i="7"/>
  <c r="AD30" i="7"/>
  <c r="AC30" i="7" s="1"/>
  <c r="Z30" i="7"/>
  <c r="AF30" i="7" s="1"/>
  <c r="X30" i="7"/>
  <c r="S30" i="7"/>
  <c r="R30" i="7"/>
  <c r="Q30" i="7"/>
  <c r="P30" i="7"/>
  <c r="O30" i="7"/>
  <c r="N30" i="7"/>
  <c r="L30" i="7"/>
  <c r="J30" i="7"/>
  <c r="CQ29" i="7"/>
  <c r="CO29" i="7"/>
  <c r="CN29" i="7" s="1"/>
  <c r="CM29" i="7"/>
  <c r="CL29" i="7"/>
  <c r="CK29" i="7"/>
  <c r="CH29" i="7"/>
  <c r="CG29" i="7" s="1"/>
  <c r="CD29" i="7"/>
  <c r="CJ29" i="7" s="1"/>
  <c r="CA29" i="7"/>
  <c r="BZ29" i="7"/>
  <c r="BW29" i="7"/>
  <c r="BV29" i="7"/>
  <c r="BT29" i="7"/>
  <c r="BS29" i="7" s="1"/>
  <c r="BP29" i="7"/>
  <c r="BM29" i="7"/>
  <c r="BL29" i="7"/>
  <c r="BI29" i="7"/>
  <c r="BF29" i="7"/>
  <c r="BE29" i="7"/>
  <c r="BB29" i="7"/>
  <c r="AY29" i="7"/>
  <c r="AX29" i="7"/>
  <c r="AU29" i="7"/>
  <c r="AT29" i="7"/>
  <c r="AR29" i="7"/>
  <c r="AQ29" i="7" s="1"/>
  <c r="AN29" i="7"/>
  <c r="AK29" i="7"/>
  <c r="AJ29" i="7"/>
  <c r="AI29" i="7"/>
  <c r="AG29" i="7"/>
  <c r="AD29" i="7"/>
  <c r="AC29" i="7"/>
  <c r="Z29" i="7"/>
  <c r="AF29" i="7" s="1"/>
  <c r="W29" i="7"/>
  <c r="V29" i="7"/>
  <c r="S29" i="7"/>
  <c r="P29" i="7"/>
  <c r="O29" i="7"/>
  <c r="L29" i="7"/>
  <c r="J29" i="7"/>
  <c r="I29" i="7"/>
  <c r="CQ28" i="7"/>
  <c r="CO28" i="7"/>
  <c r="CN28" i="7"/>
  <c r="CK28" i="7"/>
  <c r="CH28" i="7"/>
  <c r="CG28" i="7"/>
  <c r="CD28" i="7"/>
  <c r="CA28" i="7"/>
  <c r="BZ28" i="7" s="1"/>
  <c r="BW28" i="7"/>
  <c r="BT28" i="7"/>
  <c r="BS28" i="7"/>
  <c r="BR28" i="7"/>
  <c r="BQ28" i="7" s="1"/>
  <c r="BP28" i="7"/>
  <c r="BV28" i="7" s="1"/>
  <c r="BM28" i="7"/>
  <c r="BL28" i="7"/>
  <c r="BI28" i="7"/>
  <c r="BF28" i="7"/>
  <c r="BE28" i="7" s="1"/>
  <c r="BB28" i="7"/>
  <c r="BH28" i="7" s="1"/>
  <c r="AY28" i="7"/>
  <c r="AX28" i="7"/>
  <c r="AU28" i="7"/>
  <c r="AR28" i="7"/>
  <c r="AQ28" i="7"/>
  <c r="AN28" i="7"/>
  <c r="AT28" i="7" s="1"/>
  <c r="AM28" i="7"/>
  <c r="AK28" i="7"/>
  <c r="AJ28" i="7" s="1"/>
  <c r="AG28" i="7"/>
  <c r="AD28" i="7"/>
  <c r="AC28" i="7" s="1"/>
  <c r="Z28" i="7"/>
  <c r="AF28" i="7" s="1"/>
  <c r="W28" i="7"/>
  <c r="V28" i="7"/>
  <c r="S28" i="7"/>
  <c r="Y28" i="7" s="1"/>
  <c r="Q28" i="7"/>
  <c r="P28" i="7"/>
  <c r="O28" i="7"/>
  <c r="L28" i="7"/>
  <c r="J28" i="7"/>
  <c r="B28" i="7"/>
  <c r="CO27" i="7"/>
  <c r="CN27" i="7"/>
  <c r="CM27" i="7"/>
  <c r="CL27" i="7" s="1"/>
  <c r="CK27" i="7"/>
  <c r="CQ27" i="7" s="1"/>
  <c r="CH27" i="7"/>
  <c r="CG27" i="7" s="1"/>
  <c r="CD27" i="7"/>
  <c r="CC27" i="7"/>
  <c r="CA27" i="7"/>
  <c r="BZ27" i="7"/>
  <c r="BW27" i="7"/>
  <c r="BT27" i="7"/>
  <c r="BS27" i="7"/>
  <c r="BP27" i="7"/>
  <c r="BM27" i="7"/>
  <c r="BL27" i="7"/>
  <c r="BI27" i="7"/>
  <c r="BO27" i="7" s="1"/>
  <c r="BF27" i="7"/>
  <c r="BE27" i="7" s="1"/>
  <c r="BD27" i="7"/>
  <c r="BB27" i="7"/>
  <c r="BA27" i="7"/>
  <c r="AY27" i="7"/>
  <c r="AX27" i="7"/>
  <c r="AU27" i="7"/>
  <c r="AR27" i="7"/>
  <c r="AQ27" i="7"/>
  <c r="AN27" i="7"/>
  <c r="AK27" i="7"/>
  <c r="AJ27" i="7"/>
  <c r="AG27" i="7"/>
  <c r="AM27" i="7" s="1"/>
  <c r="AD27" i="7"/>
  <c r="AC27" i="7" s="1"/>
  <c r="H27" i="7" s="1"/>
  <c r="Z27" i="7"/>
  <c r="W27" i="7"/>
  <c r="V27" i="7"/>
  <c r="S27" i="7"/>
  <c r="U27" i="7" s="1"/>
  <c r="Q27" i="7"/>
  <c r="P27" i="7"/>
  <c r="O27" i="7"/>
  <c r="N27" i="7"/>
  <c r="L27" i="7"/>
  <c r="J27" i="7"/>
  <c r="CO26" i="7"/>
  <c r="CN26" i="7"/>
  <c r="CK26" i="7"/>
  <c r="CQ26" i="7" s="1"/>
  <c r="CH26" i="7"/>
  <c r="CG26" i="7"/>
  <c r="CE26" i="7"/>
  <c r="CD26" i="7"/>
  <c r="CF26" i="7" s="1"/>
  <c r="CA26" i="7"/>
  <c r="BZ26" i="7"/>
  <c r="BW26" i="7"/>
  <c r="CC26" i="7" s="1"/>
  <c r="BT26" i="7"/>
  <c r="BS26" i="7" s="1"/>
  <c r="BP26" i="7"/>
  <c r="BM26" i="7"/>
  <c r="BL26" i="7" s="1"/>
  <c r="BK26" i="7"/>
  <c r="BJ26" i="7" s="1"/>
  <c r="BI26" i="7"/>
  <c r="BO26" i="7" s="1"/>
  <c r="BF26" i="7"/>
  <c r="BE26" i="7"/>
  <c r="BB26" i="7"/>
  <c r="BD26" i="7" s="1"/>
  <c r="AY26" i="7"/>
  <c r="AX26" i="7"/>
  <c r="AU26" i="7"/>
  <c r="AW26" i="7" s="1"/>
  <c r="AT26" i="7"/>
  <c r="AR26" i="7"/>
  <c r="AQ26" i="7"/>
  <c r="AN26" i="7"/>
  <c r="AP26" i="7" s="1"/>
  <c r="AK26" i="7"/>
  <c r="AJ26" i="7"/>
  <c r="AI26" i="7"/>
  <c r="AG26" i="7"/>
  <c r="AE26" i="7"/>
  <c r="AD26" i="7"/>
  <c r="AC26" i="7" s="1"/>
  <c r="Z26" i="7"/>
  <c r="X26" i="7"/>
  <c r="S26" i="7"/>
  <c r="U26" i="7" s="1"/>
  <c r="Q26" i="7"/>
  <c r="P26" i="7"/>
  <c r="L26" i="7"/>
  <c r="CO25" i="7"/>
  <c r="CN25" i="7"/>
  <c r="CM25" i="7"/>
  <c r="CK25" i="7"/>
  <c r="CQ25" i="7" s="1"/>
  <c r="CJ25" i="7"/>
  <c r="CH25" i="7"/>
  <c r="CG25" i="7" s="1"/>
  <c r="CF25" i="7"/>
  <c r="CD25" i="7"/>
  <c r="CA25" i="7"/>
  <c r="BZ25" i="7"/>
  <c r="BY25" i="7"/>
  <c r="BW25" i="7"/>
  <c r="BV25" i="7"/>
  <c r="BT25" i="7"/>
  <c r="BS25" i="7"/>
  <c r="BR25" i="7"/>
  <c r="BP25" i="7"/>
  <c r="BM25" i="7"/>
  <c r="BL25" i="7" s="1"/>
  <c r="BI25" i="7"/>
  <c r="BF25" i="7"/>
  <c r="BE25" i="7" s="1"/>
  <c r="BB25" i="7"/>
  <c r="BD25" i="7" s="1"/>
  <c r="BA25" i="7"/>
  <c r="AY25" i="7"/>
  <c r="AX25" i="7"/>
  <c r="AU25" i="7"/>
  <c r="AW25" i="7" s="1"/>
  <c r="AR25" i="7"/>
  <c r="AQ25" i="7"/>
  <c r="AN25" i="7"/>
  <c r="AK25" i="7"/>
  <c r="AJ25" i="7" s="1"/>
  <c r="AG25" i="7"/>
  <c r="AD25" i="7"/>
  <c r="AC25" i="7" s="1"/>
  <c r="Z25" i="7"/>
  <c r="W25" i="7"/>
  <c r="V25" i="7" s="1"/>
  <c r="U25" i="7"/>
  <c r="S25" i="7"/>
  <c r="P25" i="7"/>
  <c r="L25" i="7"/>
  <c r="J25" i="7"/>
  <c r="CO24" i="7"/>
  <c r="CN24" i="7"/>
  <c r="CK24" i="7"/>
  <c r="CQ24" i="7" s="1"/>
  <c r="CH24" i="7"/>
  <c r="CG24" i="7" s="1"/>
  <c r="CD24" i="7"/>
  <c r="CA24" i="7"/>
  <c r="BZ24" i="7" s="1"/>
  <c r="BW24" i="7"/>
  <c r="BV24" i="7"/>
  <c r="BT24" i="7"/>
  <c r="BS24" i="7"/>
  <c r="BP24" i="7"/>
  <c r="BR24" i="7" s="1"/>
  <c r="BM24" i="7"/>
  <c r="BL24" i="7"/>
  <c r="BI24" i="7"/>
  <c r="BF24" i="7"/>
  <c r="BE24" i="7" s="1"/>
  <c r="BB24" i="7"/>
  <c r="BA24" i="7"/>
  <c r="AY24" i="7"/>
  <c r="AX24" i="7" s="1"/>
  <c r="AU24" i="7"/>
  <c r="AW24" i="7" s="1"/>
  <c r="AV24" i="7" s="1"/>
  <c r="AR24" i="7"/>
  <c r="AQ24" i="7" s="1"/>
  <c r="AP24" i="7"/>
  <c r="AN24" i="7"/>
  <c r="AM24" i="7"/>
  <c r="AK24" i="7"/>
  <c r="AJ24" i="7" s="1"/>
  <c r="AG24" i="7"/>
  <c r="AI24" i="7" s="1"/>
  <c r="AD24" i="7"/>
  <c r="AC24" i="7" s="1"/>
  <c r="Z24" i="7"/>
  <c r="W24" i="7"/>
  <c r="V24" i="7" s="1"/>
  <c r="S24" i="7"/>
  <c r="Y24" i="7" s="1"/>
  <c r="P24" i="7"/>
  <c r="L24" i="7"/>
  <c r="R24" i="7" s="1"/>
  <c r="J24" i="7"/>
  <c r="CQ23" i="7"/>
  <c r="CO23" i="7"/>
  <c r="CN23" i="7"/>
  <c r="CM23" i="7"/>
  <c r="CK23" i="7"/>
  <c r="CH23" i="7"/>
  <c r="CG23" i="7" s="1"/>
  <c r="CD23" i="7"/>
  <c r="CF23" i="7" s="1"/>
  <c r="CA23" i="7"/>
  <c r="BZ23" i="7"/>
  <c r="BY23" i="7"/>
  <c r="BX23" i="7" s="1"/>
  <c r="BW23" i="7"/>
  <c r="CC23" i="7" s="1"/>
  <c r="BT23" i="7"/>
  <c r="BS23" i="7" s="1"/>
  <c r="BP23" i="7"/>
  <c r="BR23" i="7" s="1"/>
  <c r="BM23" i="7"/>
  <c r="BL23" i="7"/>
  <c r="BI23" i="7"/>
  <c r="BO23" i="7" s="1"/>
  <c r="BF23" i="7"/>
  <c r="BE23" i="7"/>
  <c r="BB23" i="7"/>
  <c r="BD23" i="7" s="1"/>
  <c r="AY23" i="7"/>
  <c r="AX23" i="7"/>
  <c r="AU23" i="7"/>
  <c r="AR23" i="7"/>
  <c r="AQ23" i="7" s="1"/>
  <c r="AN23" i="7"/>
  <c r="AP23" i="7" s="1"/>
  <c r="AK23" i="7"/>
  <c r="AJ23" i="7"/>
  <c r="AG23" i="7"/>
  <c r="AF23" i="7"/>
  <c r="AD23" i="7"/>
  <c r="AC23" i="7" s="1"/>
  <c r="Z23" i="7"/>
  <c r="AB23" i="7" s="1"/>
  <c r="W23" i="7"/>
  <c r="V23" i="7"/>
  <c r="S23" i="7"/>
  <c r="Y23" i="7" s="1"/>
  <c r="R23" i="7"/>
  <c r="P23" i="7"/>
  <c r="O23" i="7" s="1"/>
  <c r="L23" i="7"/>
  <c r="N23" i="7" s="1"/>
  <c r="J23" i="7"/>
  <c r="I23" i="7"/>
  <c r="CO22" i="7"/>
  <c r="CN22" i="7" s="1"/>
  <c r="CK22" i="7"/>
  <c r="CM22" i="7" s="1"/>
  <c r="CJ22" i="7"/>
  <c r="CH22" i="7"/>
  <c r="CG22" i="7" s="1"/>
  <c r="CD22" i="7"/>
  <c r="CA22" i="7"/>
  <c r="BZ22" i="7"/>
  <c r="BY22" i="7"/>
  <c r="BW22" i="7"/>
  <c r="BT22" i="7"/>
  <c r="BS22" i="7"/>
  <c r="BP22" i="7"/>
  <c r="BV22" i="7" s="1"/>
  <c r="BM22" i="7"/>
  <c r="BL22" i="7" s="1"/>
  <c r="BI22" i="7"/>
  <c r="BH22" i="7"/>
  <c r="BF22" i="7"/>
  <c r="BE22" i="7"/>
  <c r="BB22" i="7"/>
  <c r="BD22" i="7" s="1"/>
  <c r="AY22" i="7"/>
  <c r="AX22" i="7" s="1"/>
  <c r="AU22" i="7"/>
  <c r="AW22" i="7" s="1"/>
  <c r="AR22" i="7"/>
  <c r="AQ22" i="7"/>
  <c r="AP22" i="7"/>
  <c r="AO22" i="7" s="1"/>
  <c r="AN22" i="7"/>
  <c r="AT22" i="7" s="1"/>
  <c r="AL22" i="7"/>
  <c r="AG22" i="7"/>
  <c r="AD22" i="7"/>
  <c r="AC22" i="7" s="1"/>
  <c r="Z22" i="7"/>
  <c r="AF22" i="7" s="1"/>
  <c r="W22" i="7"/>
  <c r="V22" i="7"/>
  <c r="S22" i="7"/>
  <c r="Q22" i="7"/>
  <c r="P22" i="7"/>
  <c r="O22" i="7"/>
  <c r="N22" i="7"/>
  <c r="M22" i="7"/>
  <c r="L22" i="7"/>
  <c r="CQ21" i="7"/>
  <c r="CO21" i="7"/>
  <c r="CN21" i="7"/>
  <c r="CM21" i="7"/>
  <c r="CK21" i="7"/>
  <c r="CH21" i="7"/>
  <c r="CG21" i="7"/>
  <c r="CD21" i="7"/>
  <c r="CA21" i="7"/>
  <c r="BZ21" i="7" s="1"/>
  <c r="BW21" i="7"/>
  <c r="BY21" i="7" s="1"/>
  <c r="BT21" i="7"/>
  <c r="BS21" i="7" s="1"/>
  <c r="BR21" i="7"/>
  <c r="BP21" i="7"/>
  <c r="BV21" i="7" s="1"/>
  <c r="BM21" i="7"/>
  <c r="BL21" i="7"/>
  <c r="BK21" i="7"/>
  <c r="BJ21" i="7"/>
  <c r="BI21" i="7"/>
  <c r="BO21" i="7" s="1"/>
  <c r="BF21" i="7"/>
  <c r="BE21" i="7"/>
  <c r="BB21" i="7"/>
  <c r="BH21" i="7" s="1"/>
  <c r="BA21" i="7"/>
  <c r="AY21" i="7"/>
  <c r="AX21" i="7" s="1"/>
  <c r="AU21" i="7"/>
  <c r="AW21" i="7" s="1"/>
  <c r="AT21" i="7"/>
  <c r="AR21" i="7"/>
  <c r="AQ21" i="7"/>
  <c r="AP21" i="7"/>
  <c r="AN21" i="7"/>
  <c r="AM21" i="7"/>
  <c r="AK21" i="7"/>
  <c r="AJ21" i="7"/>
  <c r="AI21" i="7"/>
  <c r="AG21" i="7"/>
  <c r="AD21" i="7"/>
  <c r="AC21" i="7"/>
  <c r="Z21" i="7"/>
  <c r="Y21" i="7"/>
  <c r="W21" i="7"/>
  <c r="V21" i="7" s="1"/>
  <c r="S21" i="7"/>
  <c r="U21" i="7" s="1"/>
  <c r="Q21" i="7"/>
  <c r="L21" i="7"/>
  <c r="CO20" i="7"/>
  <c r="CN20" i="7"/>
  <c r="CK20" i="7"/>
  <c r="CJ20" i="7"/>
  <c r="CH20" i="7"/>
  <c r="CG20" i="7"/>
  <c r="CD20" i="7"/>
  <c r="CF20" i="7" s="1"/>
  <c r="CE20" i="7" s="1"/>
  <c r="CA20" i="7"/>
  <c r="BZ20" i="7"/>
  <c r="BW20" i="7"/>
  <c r="CC20" i="7" s="1"/>
  <c r="BT20" i="7"/>
  <c r="BS20" i="7"/>
  <c r="BP20" i="7"/>
  <c r="BM20" i="7"/>
  <c r="BL20" i="7" s="1"/>
  <c r="BI20" i="7"/>
  <c r="BO20" i="7" s="1"/>
  <c r="BH20" i="7"/>
  <c r="BF20" i="7"/>
  <c r="BE20" i="7"/>
  <c r="BD20" i="7"/>
  <c r="BC20" i="7" s="1"/>
  <c r="BB20" i="7"/>
  <c r="AY20" i="7"/>
  <c r="AX20" i="7" s="1"/>
  <c r="AU20" i="7"/>
  <c r="BA20" i="7" s="1"/>
  <c r="AR20" i="7"/>
  <c r="AQ20" i="7"/>
  <c r="AN20" i="7"/>
  <c r="AT20" i="7" s="1"/>
  <c r="AK20" i="7"/>
  <c r="AJ20" i="7"/>
  <c r="AG20" i="7"/>
  <c r="AD20" i="7"/>
  <c r="AC20" i="7" s="1"/>
  <c r="AB20" i="7"/>
  <c r="Z20" i="7"/>
  <c r="AF20" i="7" s="1"/>
  <c r="W20" i="7"/>
  <c r="S20" i="7"/>
  <c r="Y20" i="7" s="1"/>
  <c r="P20" i="7"/>
  <c r="O20" i="7"/>
  <c r="L20" i="7"/>
  <c r="J20" i="7"/>
  <c r="CO19" i="7"/>
  <c r="CN19" i="7"/>
  <c r="CK19" i="7"/>
  <c r="CH19" i="7"/>
  <c r="CG19" i="7" s="1"/>
  <c r="CD19" i="7"/>
  <c r="CJ19" i="7" s="1"/>
  <c r="CC19" i="7"/>
  <c r="CA19" i="7"/>
  <c r="BZ19" i="7"/>
  <c r="BY19" i="7"/>
  <c r="BX19" i="7" s="1"/>
  <c r="BW19" i="7"/>
  <c r="BT19" i="7"/>
  <c r="BS19" i="7" s="1"/>
  <c r="BP19" i="7"/>
  <c r="BO19" i="7"/>
  <c r="BM19" i="7"/>
  <c r="BL19" i="7"/>
  <c r="BI19" i="7"/>
  <c r="BK19" i="7" s="1"/>
  <c r="BJ19" i="7" s="1"/>
  <c r="BF19" i="7"/>
  <c r="BE19" i="7"/>
  <c r="BB19" i="7"/>
  <c r="BA19" i="7"/>
  <c r="AY19" i="7"/>
  <c r="AX19" i="7" s="1"/>
  <c r="AU19" i="7"/>
  <c r="AW19" i="7" s="1"/>
  <c r="AR19" i="7"/>
  <c r="AQ19" i="7" s="1"/>
  <c r="AN19" i="7"/>
  <c r="AT19" i="7" s="1"/>
  <c r="AK19" i="7"/>
  <c r="AJ19" i="7"/>
  <c r="AG19" i="7"/>
  <c r="AM19" i="7" s="1"/>
  <c r="AD19" i="7"/>
  <c r="AC19" i="7" s="1"/>
  <c r="Z19" i="7"/>
  <c r="AF19" i="7" s="1"/>
  <c r="Y19" i="7"/>
  <c r="X19" i="7"/>
  <c r="U19" i="7"/>
  <c r="S19" i="7"/>
  <c r="P19" i="7"/>
  <c r="O19" i="7"/>
  <c r="L19" i="7"/>
  <c r="N19" i="7" s="1"/>
  <c r="E19" i="7"/>
  <c r="CQ18" i="7"/>
  <c r="CO18" i="7"/>
  <c r="CN18" i="7" s="1"/>
  <c r="CK18" i="7"/>
  <c r="CM18" i="7" s="1"/>
  <c r="CH18" i="7"/>
  <c r="CG18" i="7"/>
  <c r="CD18" i="7"/>
  <c r="CA18" i="7"/>
  <c r="BZ18" i="7" s="1"/>
  <c r="BW18" i="7"/>
  <c r="BT18" i="7"/>
  <c r="BS18" i="7"/>
  <c r="H18" i="7" s="1"/>
  <c r="BP18" i="7"/>
  <c r="BM18" i="7"/>
  <c r="BL18" i="7"/>
  <c r="BI18" i="7"/>
  <c r="BF18" i="7"/>
  <c r="BE18" i="7"/>
  <c r="BB18" i="7"/>
  <c r="AY18" i="7"/>
  <c r="AX18" i="7" s="1"/>
  <c r="AU18" i="7"/>
  <c r="AT18" i="7"/>
  <c r="AR18" i="7"/>
  <c r="AQ18" i="7"/>
  <c r="AP18" i="7"/>
  <c r="AN18" i="7"/>
  <c r="AM18" i="7"/>
  <c r="AK18" i="7"/>
  <c r="AJ18" i="7" s="1"/>
  <c r="AG18" i="7"/>
  <c r="AI18" i="7" s="1"/>
  <c r="AD18" i="7"/>
  <c r="AC18" i="7"/>
  <c r="Z18" i="7"/>
  <c r="AF18" i="7" s="1"/>
  <c r="W18" i="7"/>
  <c r="V18" i="7" s="1"/>
  <c r="S18" i="7"/>
  <c r="R18" i="7"/>
  <c r="P18" i="7"/>
  <c r="O18" i="7"/>
  <c r="L18" i="7"/>
  <c r="N18" i="7" s="1"/>
  <c r="J18" i="7"/>
  <c r="I18" i="7"/>
  <c r="CQ17" i="7"/>
  <c r="CO17" i="7"/>
  <c r="CN17" i="7"/>
  <c r="CK17" i="7"/>
  <c r="CM17" i="7" s="1"/>
  <c r="CH17" i="7"/>
  <c r="CG17" i="7" s="1"/>
  <c r="CD17" i="7"/>
  <c r="CJ17" i="7" s="1"/>
  <c r="CA17" i="7"/>
  <c r="BZ17" i="7"/>
  <c r="BY17" i="7"/>
  <c r="BX17" i="7" s="1"/>
  <c r="BW17" i="7"/>
  <c r="CC17" i="7" s="1"/>
  <c r="BT17" i="7"/>
  <c r="BS17" i="7" s="1"/>
  <c r="BP17" i="7"/>
  <c r="BM17" i="7"/>
  <c r="BL17" i="7" s="1"/>
  <c r="BI17" i="7"/>
  <c r="BO17" i="7" s="1"/>
  <c r="BF17" i="7"/>
  <c r="BE17" i="7" s="1"/>
  <c r="BB17" i="7"/>
  <c r="BH17" i="7" s="1"/>
  <c r="AY17" i="7"/>
  <c r="AX17" i="7"/>
  <c r="AU17" i="7"/>
  <c r="AT17" i="7"/>
  <c r="AR17" i="7"/>
  <c r="AQ17" i="7" s="1"/>
  <c r="AO17" i="7"/>
  <c r="AN17" i="7"/>
  <c r="AP17" i="7" s="1"/>
  <c r="AL17" i="7"/>
  <c r="J17" i="7" s="1"/>
  <c r="AK17" i="7"/>
  <c r="AJ17" i="7"/>
  <c r="AG17" i="7"/>
  <c r="AF17" i="7"/>
  <c r="AD17" i="7"/>
  <c r="AC17" i="7" s="1"/>
  <c r="AB17" i="7"/>
  <c r="Z17" i="7"/>
  <c r="AA17" i="7" s="1"/>
  <c r="W17" i="7"/>
  <c r="V17" i="7"/>
  <c r="U17" i="7"/>
  <c r="T17" i="7" s="1"/>
  <c r="S17" i="7"/>
  <c r="Y17" i="7" s="1"/>
  <c r="P17" i="7"/>
  <c r="O17" i="7"/>
  <c r="L17" i="7"/>
  <c r="R17" i="7" s="1"/>
  <c r="CO16" i="7"/>
  <c r="CN16" i="7"/>
  <c r="CK16" i="7"/>
  <c r="CJ16" i="7"/>
  <c r="CH16" i="7"/>
  <c r="CG16" i="7" s="1"/>
  <c r="CD16" i="7"/>
  <c r="CC16" i="7"/>
  <c r="CA16" i="7"/>
  <c r="BZ16" i="7"/>
  <c r="BY16" i="7"/>
  <c r="BX16" i="7" s="1"/>
  <c r="BW16" i="7"/>
  <c r="BT16" i="7"/>
  <c r="BS16" i="7" s="1"/>
  <c r="BP16" i="7"/>
  <c r="BO16" i="7"/>
  <c r="BM16" i="7"/>
  <c r="BL16" i="7"/>
  <c r="BI16" i="7"/>
  <c r="BK16" i="7" s="1"/>
  <c r="BJ16" i="7" s="1"/>
  <c r="BF16" i="7"/>
  <c r="BE16" i="7"/>
  <c r="BB16" i="7"/>
  <c r="BA16" i="7"/>
  <c r="AY16" i="7"/>
  <c r="AX16" i="7" s="1"/>
  <c r="AU16" i="7"/>
  <c r="AW16" i="7" s="1"/>
  <c r="AR16" i="7"/>
  <c r="AQ16" i="7"/>
  <c r="AN16" i="7"/>
  <c r="AT16" i="7" s="1"/>
  <c r="AL16" i="7"/>
  <c r="AK16" i="7"/>
  <c r="AJ16" i="7"/>
  <c r="AG16" i="7"/>
  <c r="AE16" i="7"/>
  <c r="Z16" i="7"/>
  <c r="B16" i="7" s="1"/>
  <c r="X16" i="7"/>
  <c r="S16" i="7"/>
  <c r="U16" i="7" s="1"/>
  <c r="Q16" i="7"/>
  <c r="J16" i="7" s="1"/>
  <c r="L16" i="7"/>
  <c r="CO15" i="7"/>
  <c r="CN15" i="7" s="1"/>
  <c r="CK15" i="7"/>
  <c r="CQ15" i="7" s="1"/>
  <c r="CH15" i="7"/>
  <c r="CG15" i="7"/>
  <c r="CD15" i="7"/>
  <c r="CA15" i="7"/>
  <c r="BZ15" i="7"/>
  <c r="BY15" i="7"/>
  <c r="BX15" i="7" s="1"/>
  <c r="BW15" i="7"/>
  <c r="CC15" i="7" s="1"/>
  <c r="BT15" i="7"/>
  <c r="BS15" i="7"/>
  <c r="BP15" i="7"/>
  <c r="BO15" i="7"/>
  <c r="BM15" i="7"/>
  <c r="BL15" i="7" s="1"/>
  <c r="BI15" i="7"/>
  <c r="BH15" i="7"/>
  <c r="BF15" i="7"/>
  <c r="BE15" i="7"/>
  <c r="BD15" i="7"/>
  <c r="BC15" i="7" s="1"/>
  <c r="BB15" i="7"/>
  <c r="AY15" i="7"/>
  <c r="AX15" i="7" s="1"/>
  <c r="AU15" i="7"/>
  <c r="BA15" i="7" s="1"/>
  <c r="AR15" i="7"/>
  <c r="AQ15" i="7"/>
  <c r="AN15" i="7"/>
  <c r="AP15" i="7" s="1"/>
  <c r="AO15" i="7" s="1"/>
  <c r="AL15" i="7"/>
  <c r="AK15" i="7"/>
  <c r="AG15" i="7"/>
  <c r="AF15" i="7"/>
  <c r="AE15" i="7"/>
  <c r="AD15" i="7" s="1"/>
  <c r="Z15" i="7"/>
  <c r="X15" i="7"/>
  <c r="U15" i="7"/>
  <c r="S15" i="7"/>
  <c r="Q15" i="7"/>
  <c r="R15" i="7" s="1"/>
  <c r="P15" i="7"/>
  <c r="O15" i="7" s="1"/>
  <c r="N15" i="7"/>
  <c r="M15" i="7" s="1"/>
  <c r="L15" i="7"/>
  <c r="CO14" i="7"/>
  <c r="CN14" i="7"/>
  <c r="CM14" i="7"/>
  <c r="CL14" i="7" s="1"/>
  <c r="CK14" i="7"/>
  <c r="CQ14" i="7" s="1"/>
  <c r="CH14" i="7"/>
  <c r="CG14" i="7" s="1"/>
  <c r="CD14" i="7"/>
  <c r="CA14" i="7"/>
  <c r="BZ14" i="7"/>
  <c r="BW14" i="7"/>
  <c r="BV14" i="7"/>
  <c r="BT14" i="7"/>
  <c r="BS14" i="7"/>
  <c r="BP14" i="7"/>
  <c r="BR14" i="7" s="1"/>
  <c r="BM14" i="7"/>
  <c r="BL14" i="7"/>
  <c r="BI14" i="7"/>
  <c r="BO14" i="7" s="1"/>
  <c r="BF14" i="7"/>
  <c r="BE14" i="7" s="1"/>
  <c r="BB14" i="7"/>
  <c r="BH14" i="7" s="1"/>
  <c r="AY14" i="7"/>
  <c r="AX14" i="7"/>
  <c r="AU14" i="7"/>
  <c r="BA14" i="7" s="1"/>
  <c r="AR14" i="7"/>
  <c r="AQ14" i="7"/>
  <c r="AN14" i="7"/>
  <c r="AK14" i="7"/>
  <c r="AJ14" i="7" s="1"/>
  <c r="AI14" i="7"/>
  <c r="AH14" i="7" s="1"/>
  <c r="AG14" i="7"/>
  <c r="AM14" i="7" s="1"/>
  <c r="AE14" i="7"/>
  <c r="Z14" i="7"/>
  <c r="AF14" i="7" s="1"/>
  <c r="X14" i="7"/>
  <c r="W14" i="7" s="1"/>
  <c r="V14" i="7" s="1"/>
  <c r="S14" i="7"/>
  <c r="U14" i="7" s="1"/>
  <c r="T14" i="7" s="1"/>
  <c r="R14" i="7"/>
  <c r="Q14" i="7"/>
  <c r="P14" i="7"/>
  <c r="O14" i="7"/>
  <c r="N14" i="7"/>
  <c r="L14" i="7"/>
  <c r="CO13" i="7"/>
  <c r="CN13" i="7"/>
  <c r="CK13" i="7"/>
  <c r="CQ13" i="7" s="1"/>
  <c r="CH13" i="7"/>
  <c r="CG13" i="7" s="1"/>
  <c r="CD13" i="7"/>
  <c r="CC13" i="7"/>
  <c r="CA13" i="7"/>
  <c r="BZ13" i="7"/>
  <c r="BY13" i="7"/>
  <c r="BW13" i="7"/>
  <c r="BT13" i="7"/>
  <c r="BS13" i="7"/>
  <c r="BP13" i="7"/>
  <c r="BM13" i="7"/>
  <c r="BL13" i="7" s="1"/>
  <c r="BI13" i="7"/>
  <c r="BH13" i="7"/>
  <c r="BF13" i="7"/>
  <c r="BE13" i="7" s="1"/>
  <c r="BD13" i="7"/>
  <c r="BC13" i="7" s="1"/>
  <c r="BB13" i="7"/>
  <c r="AY13" i="7"/>
  <c r="AX13" i="7"/>
  <c r="AU13" i="7"/>
  <c r="AW13" i="7" s="1"/>
  <c r="AR13" i="7"/>
  <c r="AQ13" i="7" s="1"/>
  <c r="AN13" i="7"/>
  <c r="AT13" i="7" s="1"/>
  <c r="AK13" i="7"/>
  <c r="AJ13" i="7" s="1"/>
  <c r="AG13" i="7"/>
  <c r="AD13" i="7"/>
  <c r="AC13" i="7" s="1"/>
  <c r="Z13" i="7"/>
  <c r="AF13" i="7" s="1"/>
  <c r="Y13" i="7"/>
  <c r="W13" i="7"/>
  <c r="V13" i="7" s="1"/>
  <c r="S13" i="7"/>
  <c r="P13" i="7"/>
  <c r="O13" i="7"/>
  <c r="N13" i="7"/>
  <c r="L13" i="7"/>
  <c r="R13" i="7" s="1"/>
  <c r="J13" i="7"/>
  <c r="CO12" i="7"/>
  <c r="CN12" i="7"/>
  <c r="CM12" i="7"/>
  <c r="CL12" i="7" s="1"/>
  <c r="CK12" i="7"/>
  <c r="CQ12" i="7" s="1"/>
  <c r="CH12" i="7"/>
  <c r="CG12" i="7" s="1"/>
  <c r="CD12" i="7"/>
  <c r="CC12" i="7"/>
  <c r="CA12" i="7"/>
  <c r="BZ12" i="7" s="1"/>
  <c r="BW12" i="7"/>
  <c r="BY12" i="7" s="1"/>
  <c r="BX12" i="7" s="1"/>
  <c r="BT12" i="7"/>
  <c r="BS12" i="7"/>
  <c r="BP12" i="7"/>
  <c r="BM12" i="7"/>
  <c r="BL12" i="7" s="1"/>
  <c r="BI12" i="7"/>
  <c r="BF12" i="7"/>
  <c r="BE12" i="7" s="1"/>
  <c r="BB12" i="7"/>
  <c r="BH12" i="7" s="1"/>
  <c r="AY12" i="7"/>
  <c r="AX12" i="7" s="1"/>
  <c r="AU12" i="7"/>
  <c r="BA12" i="7" s="1"/>
  <c r="AT12" i="7"/>
  <c r="AR12" i="7"/>
  <c r="AQ12" i="7" s="1"/>
  <c r="AN12" i="7"/>
  <c r="AL12" i="7"/>
  <c r="AM12" i="7" s="1"/>
  <c r="AK12" i="7"/>
  <c r="AJ12" i="7"/>
  <c r="AI12" i="7"/>
  <c r="AH12" i="7" s="1"/>
  <c r="AG12" i="7"/>
  <c r="AE12" i="7"/>
  <c r="AD12" i="7" s="1"/>
  <c r="Z12" i="7"/>
  <c r="AB12" i="7" s="1"/>
  <c r="AA12" i="7" s="1"/>
  <c r="X12" i="7"/>
  <c r="W12" i="7"/>
  <c r="V12" i="7"/>
  <c r="U12" i="7"/>
  <c r="T12" i="7" s="1"/>
  <c r="S12" i="7"/>
  <c r="Y12" i="7" s="1"/>
  <c r="Q12" i="7"/>
  <c r="P12" i="7"/>
  <c r="O12" i="7"/>
  <c r="N12" i="7"/>
  <c r="L12" i="7"/>
  <c r="R12" i="7" s="1"/>
  <c r="CO11" i="7"/>
  <c r="CN11" i="7" s="1"/>
  <c r="CK11" i="7"/>
  <c r="CH11" i="7"/>
  <c r="CG11" i="7" s="1"/>
  <c r="CF11" i="7"/>
  <c r="CE11" i="7" s="1"/>
  <c r="CD11" i="7"/>
  <c r="CJ11" i="7" s="1"/>
  <c r="CA11" i="7"/>
  <c r="BZ11" i="7"/>
  <c r="BW11" i="7"/>
  <c r="BY11" i="7" s="1"/>
  <c r="BT11" i="7"/>
  <c r="BS11" i="7" s="1"/>
  <c r="BP11" i="7"/>
  <c r="BV11" i="7" s="1"/>
  <c r="BM11" i="7"/>
  <c r="BL11" i="7" s="1"/>
  <c r="BK11" i="7"/>
  <c r="BJ11" i="7" s="1"/>
  <c r="BI11" i="7"/>
  <c r="BO11" i="7" s="1"/>
  <c r="BF11" i="7"/>
  <c r="BE11" i="7" s="1"/>
  <c r="BD11" i="7"/>
  <c r="BC11" i="7" s="1"/>
  <c r="BB11" i="7"/>
  <c r="BH11" i="7" s="1"/>
  <c r="BA11" i="7"/>
  <c r="AY11" i="7"/>
  <c r="AX11" i="7" s="1"/>
  <c r="AU11" i="7"/>
  <c r="AT11" i="7"/>
  <c r="AR11" i="7"/>
  <c r="AQ11" i="7"/>
  <c r="AP11" i="7"/>
  <c r="AO11" i="7" s="1"/>
  <c r="AN11" i="7"/>
  <c r="AK11" i="7"/>
  <c r="AJ11" i="7"/>
  <c r="AI11" i="7"/>
  <c r="AH11" i="7"/>
  <c r="AG11" i="7"/>
  <c r="AM11" i="7" s="1"/>
  <c r="AD11" i="7"/>
  <c r="AC11" i="7" s="1"/>
  <c r="Z11" i="7"/>
  <c r="AB11" i="7" s="1"/>
  <c r="Y11" i="7"/>
  <c r="W11" i="7"/>
  <c r="V11" i="7"/>
  <c r="U11" i="7"/>
  <c r="S11" i="7"/>
  <c r="P11" i="7"/>
  <c r="O11" i="7"/>
  <c r="L11" i="7"/>
  <c r="R11" i="7" s="1"/>
  <c r="J11" i="7"/>
  <c r="I11" i="7"/>
  <c r="E11" i="7"/>
  <c r="K11" i="7" s="1"/>
  <c r="CO10" i="7"/>
  <c r="CN10" i="7" s="1"/>
  <c r="CK10" i="7"/>
  <c r="CH10" i="7"/>
  <c r="CG10" i="7"/>
  <c r="CD10" i="7"/>
  <c r="CA10" i="7"/>
  <c r="BZ10" i="7" s="1"/>
  <c r="BW10" i="7"/>
  <c r="CC10" i="7" s="1"/>
  <c r="BV10" i="7"/>
  <c r="BT10" i="7"/>
  <c r="BS10" i="7" s="1"/>
  <c r="BP10" i="7"/>
  <c r="BM10" i="7"/>
  <c r="BL10" i="7"/>
  <c r="BI10" i="7"/>
  <c r="BO10" i="7" s="1"/>
  <c r="BF10" i="7"/>
  <c r="BE10" i="7"/>
  <c r="BD10" i="7"/>
  <c r="BB10" i="7"/>
  <c r="BH10" i="7" s="1"/>
  <c r="BA10" i="7"/>
  <c r="AY10" i="7"/>
  <c r="AX10" i="7" s="1"/>
  <c r="AU10" i="7"/>
  <c r="AW10" i="7" s="1"/>
  <c r="AT10" i="7"/>
  <c r="AR10" i="7"/>
  <c r="AQ10" i="7" s="1"/>
  <c r="AN10" i="7"/>
  <c r="AL10" i="7"/>
  <c r="AK10" i="7"/>
  <c r="AJ10" i="7"/>
  <c r="AG10" i="7"/>
  <c r="AM10" i="7" s="1"/>
  <c r="AE10" i="7"/>
  <c r="AD10" i="7" s="1"/>
  <c r="AC10" i="7" s="1"/>
  <c r="Z10" i="7"/>
  <c r="AF10" i="7" s="1"/>
  <c r="X10" i="7"/>
  <c r="W10" i="7" s="1"/>
  <c r="S10" i="7"/>
  <c r="R10" i="7"/>
  <c r="Q10" i="7"/>
  <c r="P10" i="7"/>
  <c r="O10" i="7"/>
  <c r="L10" i="7"/>
  <c r="CO9" i="7"/>
  <c r="CN9" i="7" s="1"/>
  <c r="CK9" i="7"/>
  <c r="CQ9" i="7" s="1"/>
  <c r="CH9" i="7"/>
  <c r="CG9" i="7" s="1"/>
  <c r="CD9" i="7"/>
  <c r="CJ9" i="7" s="1"/>
  <c r="CA9" i="7"/>
  <c r="BZ9" i="7" s="1"/>
  <c r="BW9" i="7"/>
  <c r="CC9" i="7" s="1"/>
  <c r="BV9" i="7"/>
  <c r="BT9" i="7"/>
  <c r="BS9" i="7" s="1"/>
  <c r="BR9" i="7"/>
  <c r="BQ9" i="7"/>
  <c r="BP9" i="7"/>
  <c r="BM9" i="7"/>
  <c r="BL9" i="7"/>
  <c r="BI9" i="7"/>
  <c r="BO9" i="7" s="1"/>
  <c r="BH9" i="7"/>
  <c r="BF9" i="7"/>
  <c r="BE9" i="7" s="1"/>
  <c r="BB9" i="7"/>
  <c r="BD9" i="7" s="1"/>
  <c r="BA9" i="7"/>
  <c r="AY9" i="7"/>
  <c r="AX9" i="7" s="1"/>
  <c r="AU9" i="7"/>
  <c r="AR9" i="7"/>
  <c r="AQ9" i="7"/>
  <c r="AP9" i="7"/>
  <c r="AO9" i="7" s="1"/>
  <c r="AN9" i="7"/>
  <c r="AT9" i="7" s="1"/>
  <c r="AK9" i="7"/>
  <c r="AJ9" i="7"/>
  <c r="AG9" i="7"/>
  <c r="AM9" i="7" s="1"/>
  <c r="AE9" i="7"/>
  <c r="AD9" i="7" s="1"/>
  <c r="I9" i="7" s="1"/>
  <c r="AB9" i="7"/>
  <c r="AA9" i="7" s="1"/>
  <c r="Z9" i="7"/>
  <c r="X9" i="7"/>
  <c r="W9" i="7"/>
  <c r="U9" i="7"/>
  <c r="T9" i="7"/>
  <c r="S9" i="7"/>
  <c r="Y9" i="7" s="1"/>
  <c r="P9" i="7"/>
  <c r="O9" i="7" s="1"/>
  <c r="L9" i="7"/>
  <c r="R9" i="7" s="1"/>
  <c r="CQ8" i="7"/>
  <c r="CO8" i="7"/>
  <c r="CN8" i="7"/>
  <c r="CM8" i="7"/>
  <c r="CK8" i="7"/>
  <c r="CH8" i="7"/>
  <c r="CG8" i="7" s="1"/>
  <c r="CF8" i="7"/>
  <c r="CE8" i="7" s="1"/>
  <c r="CD8" i="7"/>
  <c r="CJ8" i="7" s="1"/>
  <c r="CA8" i="7"/>
  <c r="BZ8" i="7"/>
  <c r="BY8" i="7"/>
  <c r="BX8" i="7"/>
  <c r="BW8" i="7"/>
  <c r="CC8" i="7" s="1"/>
  <c r="BT8" i="7"/>
  <c r="BS8" i="7" s="1"/>
  <c r="BP8" i="7"/>
  <c r="BV8" i="7" s="1"/>
  <c r="BO8" i="7"/>
  <c r="BM8" i="7"/>
  <c r="BL8" i="7"/>
  <c r="BK8" i="7"/>
  <c r="BJ8" i="7" s="1"/>
  <c r="BI8" i="7"/>
  <c r="BF8" i="7"/>
  <c r="BE8" i="7" s="1"/>
  <c r="BB8" i="7"/>
  <c r="BH8" i="7" s="1"/>
  <c r="AY8" i="7"/>
  <c r="AX8" i="7"/>
  <c r="AU8" i="7"/>
  <c r="BA8" i="7" s="1"/>
  <c r="AR8" i="7"/>
  <c r="AQ8" i="7" s="1"/>
  <c r="AN8" i="7"/>
  <c r="AK8" i="7"/>
  <c r="AJ8" i="7" s="1"/>
  <c r="AG8" i="7"/>
  <c r="AD8" i="7"/>
  <c r="AC8" i="7"/>
  <c r="Z8" i="7"/>
  <c r="AF8" i="7" s="1"/>
  <c r="W8" i="7"/>
  <c r="V8" i="7"/>
  <c r="U8" i="7"/>
  <c r="S8" i="7"/>
  <c r="Y8" i="7" s="1"/>
  <c r="P8" i="7"/>
  <c r="O8" i="7" s="1"/>
  <c r="L8" i="7"/>
  <c r="J8" i="7"/>
  <c r="CQ7" i="7"/>
  <c r="CO7" i="7"/>
  <c r="CN7" i="7" s="1"/>
  <c r="CK7" i="7"/>
  <c r="CH7" i="7"/>
  <c r="CG7" i="7" s="1"/>
  <c r="CF7" i="7"/>
  <c r="CE7" i="7" s="1"/>
  <c r="CD7" i="7"/>
  <c r="CJ7" i="7" s="1"/>
  <c r="CC7" i="7"/>
  <c r="CA7" i="7"/>
  <c r="BZ7" i="7" s="1"/>
  <c r="BW7" i="7"/>
  <c r="BY7" i="7" s="1"/>
  <c r="BT7" i="7"/>
  <c r="BS7" i="7"/>
  <c r="BP7" i="7"/>
  <c r="BV7" i="7" s="1"/>
  <c r="BM7" i="7"/>
  <c r="BL7" i="7" s="1"/>
  <c r="BI7" i="7"/>
  <c r="BK7" i="7" s="1"/>
  <c r="BF7" i="7"/>
  <c r="BE7" i="7" s="1"/>
  <c r="BD7" i="7"/>
  <c r="BC7" i="7" s="1"/>
  <c r="BB7" i="7"/>
  <c r="BH7" i="7" s="1"/>
  <c r="AY7" i="7"/>
  <c r="AX7" i="7"/>
  <c r="AW7" i="7"/>
  <c r="AU7" i="7"/>
  <c r="BA7" i="7" s="1"/>
  <c r="AR7" i="7"/>
  <c r="AQ7" i="7"/>
  <c r="AN7" i="7"/>
  <c r="AT7" i="7" s="1"/>
  <c r="AK7" i="7"/>
  <c r="AJ7" i="7" s="1"/>
  <c r="AG7" i="7"/>
  <c r="AF7" i="7"/>
  <c r="AD7" i="7"/>
  <c r="AC7" i="7" s="1"/>
  <c r="Z7" i="7"/>
  <c r="AB7" i="7" s="1"/>
  <c r="AA7" i="7" s="1"/>
  <c r="W7" i="7"/>
  <c r="V7" i="7" s="1"/>
  <c r="S7" i="7"/>
  <c r="Q7" i="7"/>
  <c r="P7" i="7"/>
  <c r="I7" i="7" s="1"/>
  <c r="L7" i="7"/>
  <c r="N7" i="7" s="1"/>
  <c r="M7" i="7" s="1"/>
  <c r="J7" i="7"/>
  <c r="CO6" i="7"/>
  <c r="CN6" i="7" s="1"/>
  <c r="CM6" i="7"/>
  <c r="CL6" i="7"/>
  <c r="CK6" i="7"/>
  <c r="CQ6" i="7" s="1"/>
  <c r="CH6" i="7"/>
  <c r="CG6" i="7" s="1"/>
  <c r="CD6" i="7"/>
  <c r="CA6" i="7"/>
  <c r="BZ6" i="7" s="1"/>
  <c r="BW6" i="7"/>
  <c r="CC6" i="7" s="1"/>
  <c r="BV6" i="7"/>
  <c r="BT6" i="7"/>
  <c r="BS6" i="7"/>
  <c r="BQ6" i="7"/>
  <c r="BP6" i="7"/>
  <c r="BR6" i="7" s="1"/>
  <c r="BM6" i="7"/>
  <c r="BL6" i="7" s="1"/>
  <c r="BI6" i="7"/>
  <c r="BO6" i="7" s="1"/>
  <c r="BF6" i="7"/>
  <c r="BE6" i="7" s="1"/>
  <c r="BB6" i="7"/>
  <c r="BH6" i="7" s="1"/>
  <c r="BA6" i="7"/>
  <c r="AY6" i="7"/>
  <c r="AX6" i="7"/>
  <c r="AU6" i="7"/>
  <c r="AT6" i="7"/>
  <c r="AR6" i="7"/>
  <c r="AQ6" i="7" s="1"/>
  <c r="AN6" i="7"/>
  <c r="AP6" i="7" s="1"/>
  <c r="AO6" i="7" s="1"/>
  <c r="AK6" i="7"/>
  <c r="AJ6" i="7" s="1"/>
  <c r="AG6" i="7"/>
  <c r="AF6" i="7"/>
  <c r="AD6" i="7"/>
  <c r="AC6" i="7" s="1"/>
  <c r="Z6" i="7"/>
  <c r="AB6" i="7" s="1"/>
  <c r="W6" i="7"/>
  <c r="V6" i="7" s="1"/>
  <c r="H6" i="7" s="1"/>
  <c r="S6" i="7"/>
  <c r="Y6" i="7" s="1"/>
  <c r="R6" i="7"/>
  <c r="P6" i="7"/>
  <c r="O6" i="7"/>
  <c r="N6" i="7"/>
  <c r="L6" i="7"/>
  <c r="J6" i="7"/>
  <c r="CQ5" i="7"/>
  <c r="CO5" i="7"/>
  <c r="CN5" i="7" s="1"/>
  <c r="CK5" i="7"/>
  <c r="CM5" i="7" s="1"/>
  <c r="CL5" i="7" s="1"/>
  <c r="CH5" i="7"/>
  <c r="CG5" i="7"/>
  <c r="CF5" i="7"/>
  <c r="CE5" i="7" s="1"/>
  <c r="CD5" i="7"/>
  <c r="CJ5" i="7" s="1"/>
  <c r="CA5" i="7"/>
  <c r="BZ5" i="7" s="1"/>
  <c r="BW5" i="7"/>
  <c r="BY5" i="7" s="1"/>
  <c r="BV5" i="7"/>
  <c r="BT5" i="7"/>
  <c r="BS5" i="7" s="1"/>
  <c r="BP5" i="7"/>
  <c r="BM5" i="7"/>
  <c r="BL5" i="7" s="1"/>
  <c r="BI5" i="7"/>
  <c r="BF5" i="7"/>
  <c r="BE5" i="7" s="1"/>
  <c r="BB5" i="7"/>
  <c r="BH5" i="7" s="1"/>
  <c r="AY5" i="7"/>
  <c r="AX5" i="7" s="1"/>
  <c r="AW5" i="7"/>
  <c r="AV5" i="7" s="1"/>
  <c r="AU5" i="7"/>
  <c r="BA5" i="7" s="1"/>
  <c r="AR5" i="7"/>
  <c r="AQ5" i="7"/>
  <c r="AN5" i="7"/>
  <c r="AM5" i="7"/>
  <c r="AL5" i="7"/>
  <c r="AK5" i="7" s="1"/>
  <c r="AG5" i="7"/>
  <c r="AI5" i="7" s="1"/>
  <c r="AH5" i="7" s="1"/>
  <c r="AE5" i="7"/>
  <c r="AE4" i="7" s="1"/>
  <c r="AD5" i="7"/>
  <c r="AB5" i="7"/>
  <c r="AA5" i="7" s="1"/>
  <c r="Z5" i="7"/>
  <c r="X5" i="7"/>
  <c r="W5" i="7"/>
  <c r="V5" i="7"/>
  <c r="U5" i="7"/>
  <c r="T5" i="7" s="1"/>
  <c r="S5" i="7"/>
  <c r="Y5" i="7" s="1"/>
  <c r="Q5" i="7"/>
  <c r="P5" i="7"/>
  <c r="O5" i="7"/>
  <c r="L5" i="7"/>
  <c r="CO4" i="7"/>
  <c r="CO55" i="7" s="1"/>
  <c r="CO58" i="7" s="1"/>
  <c r="CK4" i="7"/>
  <c r="CM4" i="7" s="1"/>
  <c r="CL4" i="7" s="1"/>
  <c r="CH4" i="7"/>
  <c r="CG4" i="7" s="1"/>
  <c r="CF4" i="7"/>
  <c r="CE4" i="7" s="1"/>
  <c r="CD4" i="7"/>
  <c r="CC4" i="7"/>
  <c r="CA4" i="7"/>
  <c r="BW4" i="7"/>
  <c r="BV4" i="7"/>
  <c r="BT4" i="7"/>
  <c r="BT55" i="7" s="1"/>
  <c r="BT58" i="7" s="1"/>
  <c r="BR4" i="7"/>
  <c r="BQ4" i="7" s="1"/>
  <c r="BP4" i="7"/>
  <c r="BM4" i="7"/>
  <c r="BL4" i="7"/>
  <c r="BI4" i="7"/>
  <c r="BF4" i="7"/>
  <c r="BB4" i="7"/>
  <c r="BH4" i="7" s="1"/>
  <c r="BA4" i="7"/>
  <c r="AY4" i="7"/>
  <c r="AY55" i="7" s="1"/>
  <c r="AY58" i="7" s="1"/>
  <c r="AU4" i="7"/>
  <c r="AW4" i="7" s="1"/>
  <c r="AR4" i="7"/>
  <c r="AQ4" i="7"/>
  <c r="AN4" i="7"/>
  <c r="AN55" i="7" s="1"/>
  <c r="AL4" i="7"/>
  <c r="AK4" i="7" s="1"/>
  <c r="AG4" i="7"/>
  <c r="AD4" i="7"/>
  <c r="AC4" i="7" s="1"/>
  <c r="Z4" i="7"/>
  <c r="X4" i="7"/>
  <c r="J4" i="7" s="1"/>
  <c r="S4" i="7"/>
  <c r="E4" i="7" s="1"/>
  <c r="K4" i="7" s="1"/>
  <c r="Q4" i="7"/>
  <c r="P4" i="7" s="1"/>
  <c r="L4" i="7"/>
  <c r="CQ87" i="6"/>
  <c r="CJ87" i="6"/>
  <c r="CC87" i="6"/>
  <c r="BV87" i="6"/>
  <c r="BO87" i="6"/>
  <c r="BH87" i="6"/>
  <c r="BA87" i="6"/>
  <c r="AT87" i="6"/>
  <c r="AM84" i="6"/>
  <c r="AM83" i="6"/>
  <c r="AM82" i="6"/>
  <c r="AM81" i="6"/>
  <c r="AF81" i="6"/>
  <c r="AM80" i="6"/>
  <c r="AF80" i="6"/>
  <c r="AM79" i="6"/>
  <c r="Y79" i="6"/>
  <c r="AM78" i="6"/>
  <c r="AF78" i="6"/>
  <c r="AF77" i="6"/>
  <c r="Y77" i="6"/>
  <c r="AM76" i="6"/>
  <c r="R76" i="6"/>
  <c r="R75" i="6"/>
  <c r="AM74" i="6"/>
  <c r="AF74" i="6"/>
  <c r="R74" i="6"/>
  <c r="R73" i="6"/>
  <c r="AF72" i="6"/>
  <c r="Y72" i="6"/>
  <c r="R72" i="6"/>
  <c r="AM71" i="6"/>
  <c r="AF71" i="6"/>
  <c r="Y71" i="6"/>
  <c r="R71" i="6"/>
  <c r="Y70" i="6"/>
  <c r="R70" i="6"/>
  <c r="Y69" i="6"/>
  <c r="R69" i="6"/>
  <c r="AM68" i="6"/>
  <c r="Y68" i="6"/>
  <c r="R68" i="6"/>
  <c r="AM67" i="6"/>
  <c r="Y67" i="6"/>
  <c r="R67" i="6"/>
  <c r="AM66" i="6"/>
  <c r="AF66" i="6"/>
  <c r="Y66" i="6"/>
  <c r="R66" i="6"/>
  <c r="AF65" i="6"/>
  <c r="R65" i="6"/>
  <c r="Y64" i="6"/>
  <c r="R64" i="6"/>
  <c r="AM63" i="6"/>
  <c r="AF63" i="6"/>
  <c r="Y63" i="6"/>
  <c r="R63" i="6"/>
  <c r="AM62" i="6"/>
  <c r="AF62" i="6"/>
  <c r="Y62" i="6"/>
  <c r="R62" i="6"/>
  <c r="AM61" i="6"/>
  <c r="AM87" i="6" s="1"/>
  <c r="AL49" i="6" s="1"/>
  <c r="AF61" i="6"/>
  <c r="Y61" i="6"/>
  <c r="Y87" i="6" s="1"/>
  <c r="R61" i="6"/>
  <c r="R87" i="6" s="1"/>
  <c r="Q49" i="6" s="1"/>
  <c r="AZ59" i="6"/>
  <c r="AZ58" i="6"/>
  <c r="AS58" i="6"/>
  <c r="AS59" i="6" s="1"/>
  <c r="CO57" i="6"/>
  <c r="CN57" i="6"/>
  <c r="CK57" i="6"/>
  <c r="CQ57" i="6" s="1"/>
  <c r="CH57" i="6"/>
  <c r="CG57" i="6" s="1"/>
  <c r="CD57" i="6"/>
  <c r="CF57" i="6" s="1"/>
  <c r="CE57" i="6" s="1"/>
  <c r="CC57" i="6"/>
  <c r="CA57" i="6"/>
  <c r="BZ57" i="6"/>
  <c r="BW57" i="6"/>
  <c r="BY57" i="6" s="1"/>
  <c r="BT57" i="6"/>
  <c r="BS57" i="6" s="1"/>
  <c r="BP57" i="6"/>
  <c r="BM57" i="6"/>
  <c r="BL57" i="6"/>
  <c r="BI57" i="6"/>
  <c r="BO57" i="6" s="1"/>
  <c r="BF57" i="6"/>
  <c r="BE57" i="6" s="1"/>
  <c r="BC57" i="6"/>
  <c r="BB57" i="6"/>
  <c r="BD57" i="6" s="1"/>
  <c r="BA57" i="6"/>
  <c r="AY57" i="6"/>
  <c r="AX57" i="6"/>
  <c r="AW57" i="6"/>
  <c r="AU57" i="6"/>
  <c r="AR57" i="6"/>
  <c r="AQ57" i="6" s="1"/>
  <c r="AN57" i="6"/>
  <c r="AP57" i="6" s="1"/>
  <c r="AK57" i="6"/>
  <c r="AJ57" i="6"/>
  <c r="AI57" i="6"/>
  <c r="AG57" i="6"/>
  <c r="AM57" i="6" s="1"/>
  <c r="AD57" i="6"/>
  <c r="AC57" i="6" s="1"/>
  <c r="Z57" i="6"/>
  <c r="AB57" i="6" s="1"/>
  <c r="AA57" i="6" s="1"/>
  <c r="W57" i="6"/>
  <c r="V57" i="6"/>
  <c r="U57" i="6"/>
  <c r="S57" i="6"/>
  <c r="P57" i="6"/>
  <c r="L57" i="6"/>
  <c r="J57" i="6"/>
  <c r="CQ56" i="6"/>
  <c r="CO56" i="6"/>
  <c r="CN56" i="6" s="1"/>
  <c r="CK56" i="6"/>
  <c r="CM56" i="6" s="1"/>
  <c r="CL56" i="6" s="1"/>
  <c r="CH56" i="6"/>
  <c r="CG56" i="6"/>
  <c r="CF56" i="6"/>
  <c r="CD56" i="6"/>
  <c r="CJ56" i="6" s="1"/>
  <c r="CA56" i="6"/>
  <c r="BZ56" i="6" s="1"/>
  <c r="BX56" i="6"/>
  <c r="BW56" i="6"/>
  <c r="BY56" i="6" s="1"/>
  <c r="BT56" i="6"/>
  <c r="BS56" i="6" s="1"/>
  <c r="BP56" i="6"/>
  <c r="BM56" i="6"/>
  <c r="BL56" i="6" s="1"/>
  <c r="BI56" i="6"/>
  <c r="BF56" i="6"/>
  <c r="BE56" i="6"/>
  <c r="BD56" i="6"/>
  <c r="BC56" i="6" s="1"/>
  <c r="BB56" i="6"/>
  <c r="BH56" i="6" s="1"/>
  <c r="AY56" i="6"/>
  <c r="AX56" i="6" s="1"/>
  <c r="AU56" i="6"/>
  <c r="AW56" i="6" s="1"/>
  <c r="AR56" i="6"/>
  <c r="AQ56" i="6" s="1"/>
  <c r="AN56" i="6"/>
  <c r="AT56" i="6" s="1"/>
  <c r="AL56" i="6"/>
  <c r="AK56" i="6"/>
  <c r="AJ56" i="6"/>
  <c r="AI56" i="6"/>
  <c r="AH56" i="6" s="1"/>
  <c r="AG56" i="6"/>
  <c r="AM56" i="6" s="1"/>
  <c r="AE56" i="6"/>
  <c r="AD56" i="6"/>
  <c r="I56" i="6" s="1"/>
  <c r="Z56" i="6"/>
  <c r="AF56" i="6" s="1"/>
  <c r="W56" i="6"/>
  <c r="V56" i="6"/>
  <c r="S56" i="6"/>
  <c r="P56" i="6"/>
  <c r="O56" i="6" s="1"/>
  <c r="M56" i="6"/>
  <c r="L56" i="6"/>
  <c r="N56" i="6" s="1"/>
  <c r="J56" i="6"/>
  <c r="CP55" i="6"/>
  <c r="CP58" i="6" s="1"/>
  <c r="CI55" i="6"/>
  <c r="CI58" i="6" s="1"/>
  <c r="CB55" i="6"/>
  <c r="CB58" i="6" s="1"/>
  <c r="CB59" i="6" s="1"/>
  <c r="BU55" i="6"/>
  <c r="BU58" i="6" s="1"/>
  <c r="BU59" i="6" s="1"/>
  <c r="BN55" i="6"/>
  <c r="BG55" i="6"/>
  <c r="AZ55" i="6"/>
  <c r="AS55" i="6"/>
  <c r="CQ54" i="6"/>
  <c r="CO54" i="6"/>
  <c r="CN54" i="6"/>
  <c r="CM54" i="6"/>
  <c r="CK54" i="6"/>
  <c r="CH54" i="6"/>
  <c r="CG54" i="6" s="1"/>
  <c r="CD54" i="6"/>
  <c r="CA54" i="6"/>
  <c r="BZ54" i="6"/>
  <c r="BW54" i="6"/>
  <c r="CC54" i="6" s="1"/>
  <c r="BV54" i="6"/>
  <c r="BT54" i="6"/>
  <c r="BS54" i="6" s="1"/>
  <c r="BP54" i="6"/>
  <c r="BR54" i="6" s="1"/>
  <c r="BM54" i="6"/>
  <c r="BL54" i="6"/>
  <c r="BI54" i="6"/>
  <c r="BF54" i="6"/>
  <c r="BB54" i="6"/>
  <c r="BD54" i="6" s="1"/>
  <c r="AY54" i="6"/>
  <c r="AX54" i="6"/>
  <c r="AU54" i="6"/>
  <c r="BA54" i="6" s="1"/>
  <c r="AR54" i="6"/>
  <c r="AQ54" i="6" s="1"/>
  <c r="AO54" i="6"/>
  <c r="AN54" i="6"/>
  <c r="AP54" i="6" s="1"/>
  <c r="AM54" i="6"/>
  <c r="AK54" i="6"/>
  <c r="AJ54" i="6"/>
  <c r="AI54" i="6"/>
  <c r="AG54" i="6"/>
  <c r="AD54" i="6"/>
  <c r="AC54" i="6" s="1"/>
  <c r="Z54" i="6"/>
  <c r="W54" i="6"/>
  <c r="V54" i="6"/>
  <c r="S54" i="6"/>
  <c r="Y54" i="6" s="1"/>
  <c r="P54" i="6"/>
  <c r="O54" i="6" s="1"/>
  <c r="L54" i="6"/>
  <c r="J54" i="6"/>
  <c r="CO53" i="6"/>
  <c r="CN53" i="6" s="1"/>
  <c r="CK53" i="6"/>
  <c r="CM53" i="6" s="1"/>
  <c r="CL53" i="6" s="1"/>
  <c r="CH53" i="6"/>
  <c r="CG53" i="6"/>
  <c r="CD53" i="6"/>
  <c r="CA53" i="6"/>
  <c r="BZ53" i="6" s="1"/>
  <c r="BW53" i="6"/>
  <c r="BT53" i="6"/>
  <c r="BS53" i="6"/>
  <c r="BP53" i="6"/>
  <c r="BV53" i="6" s="1"/>
  <c r="BO53" i="6"/>
  <c r="BM53" i="6"/>
  <c r="BL53" i="6" s="1"/>
  <c r="BJ53" i="6"/>
  <c r="BI53" i="6"/>
  <c r="BK53" i="6" s="1"/>
  <c r="BF53" i="6"/>
  <c r="BE53" i="6"/>
  <c r="BB53" i="6"/>
  <c r="BD53" i="6" s="1"/>
  <c r="AY53" i="6"/>
  <c r="AX53" i="6" s="1"/>
  <c r="AU53" i="6"/>
  <c r="AR53" i="6"/>
  <c r="AQ53" i="6"/>
  <c r="AP53" i="6"/>
  <c r="AN53" i="6"/>
  <c r="AT53" i="6" s="1"/>
  <c r="AK53" i="6"/>
  <c r="AJ53" i="6" s="1"/>
  <c r="AG53" i="6"/>
  <c r="AF53" i="6"/>
  <c r="AD53" i="6"/>
  <c r="AC53" i="6"/>
  <c r="AB53" i="6"/>
  <c r="Z53" i="6"/>
  <c r="W53" i="6"/>
  <c r="V53" i="6" s="1"/>
  <c r="H53" i="6" s="1"/>
  <c r="S53" i="6"/>
  <c r="Q53" i="6"/>
  <c r="J53" i="6" s="1"/>
  <c r="P53" i="6"/>
  <c r="O53" i="6"/>
  <c r="L53" i="6"/>
  <c r="CO52" i="6"/>
  <c r="CN52" i="6" s="1"/>
  <c r="CK52" i="6"/>
  <c r="CQ52" i="6" s="1"/>
  <c r="CH52" i="6"/>
  <c r="CG52" i="6"/>
  <c r="CD52" i="6"/>
  <c r="CA52" i="6"/>
  <c r="BZ52" i="6"/>
  <c r="BW52" i="6"/>
  <c r="BT52" i="6"/>
  <c r="BS52" i="6" s="1"/>
  <c r="BR52" i="6"/>
  <c r="BQ52" i="6" s="1"/>
  <c r="BP52" i="6"/>
  <c r="BV52" i="6" s="1"/>
  <c r="BM52" i="6"/>
  <c r="BL52" i="6"/>
  <c r="BI52" i="6"/>
  <c r="BO52" i="6" s="1"/>
  <c r="BF52" i="6"/>
  <c r="BE52" i="6"/>
  <c r="BB52" i="6"/>
  <c r="BD52" i="6" s="1"/>
  <c r="AY52" i="6"/>
  <c r="AX52" i="6"/>
  <c r="AU52" i="6"/>
  <c r="BA52" i="6" s="1"/>
  <c r="AR52" i="6"/>
  <c r="AQ52" i="6"/>
  <c r="AN52" i="6"/>
  <c r="AL52" i="6"/>
  <c r="AG52" i="6"/>
  <c r="AE52" i="6"/>
  <c r="AD52" i="6"/>
  <c r="AC52" i="6"/>
  <c r="Z52" i="6"/>
  <c r="AF52" i="6" s="1"/>
  <c r="Y52" i="6"/>
  <c r="X52" i="6"/>
  <c r="W52" i="6"/>
  <c r="V52" i="6"/>
  <c r="U52" i="6"/>
  <c r="T52" i="6" s="1"/>
  <c r="S52" i="6"/>
  <c r="Q52" i="6"/>
  <c r="N52" i="6"/>
  <c r="L52" i="6"/>
  <c r="CO51" i="6"/>
  <c r="CN51" i="6"/>
  <c r="CK51" i="6"/>
  <c r="CH51" i="6"/>
  <c r="CG51" i="6"/>
  <c r="CD51" i="6"/>
  <c r="CA51" i="6"/>
  <c r="BZ51" i="6" s="1"/>
  <c r="BW51" i="6"/>
  <c r="BT51" i="6"/>
  <c r="BS51" i="6"/>
  <c r="BP51" i="6"/>
  <c r="BV51" i="6" s="1"/>
  <c r="BM51" i="6"/>
  <c r="BL51" i="6"/>
  <c r="BI51" i="6"/>
  <c r="BF51" i="6"/>
  <c r="BE51" i="6"/>
  <c r="BB51" i="6"/>
  <c r="AY51" i="6"/>
  <c r="AX51" i="6"/>
  <c r="AU51" i="6"/>
  <c r="AR51" i="6"/>
  <c r="AQ51" i="6" s="1"/>
  <c r="AN51" i="6"/>
  <c r="AP51" i="6" s="1"/>
  <c r="AL51" i="6"/>
  <c r="AK51" i="6"/>
  <c r="AJ51" i="6" s="1"/>
  <c r="AG51" i="6"/>
  <c r="AD51" i="6"/>
  <c r="AC51" i="6" s="1"/>
  <c r="AB51" i="6"/>
  <c r="Z51" i="6"/>
  <c r="AF51" i="6" s="1"/>
  <c r="X51" i="6"/>
  <c r="W51" i="6"/>
  <c r="V51" i="6"/>
  <c r="S51" i="6"/>
  <c r="R51" i="6"/>
  <c r="Q51" i="6"/>
  <c r="P51" i="6" s="1"/>
  <c r="O51" i="6" s="1"/>
  <c r="L51" i="6"/>
  <c r="N51" i="6" s="1"/>
  <c r="J51" i="6"/>
  <c r="CO50" i="6"/>
  <c r="CN50" i="6" s="1"/>
  <c r="CK50" i="6"/>
  <c r="CQ50" i="6" s="1"/>
  <c r="CJ50" i="6"/>
  <c r="CH50" i="6"/>
  <c r="CG50" i="6" s="1"/>
  <c r="CF50" i="6"/>
  <c r="CE50" i="6" s="1"/>
  <c r="CD50" i="6"/>
  <c r="CA50" i="6"/>
  <c r="BZ50" i="6"/>
  <c r="BW50" i="6"/>
  <c r="BV50" i="6"/>
  <c r="BT50" i="6"/>
  <c r="BS50" i="6" s="1"/>
  <c r="BP50" i="6"/>
  <c r="BR50" i="6" s="1"/>
  <c r="BM50" i="6"/>
  <c r="BL50" i="6"/>
  <c r="BK50" i="6"/>
  <c r="BI50" i="6"/>
  <c r="BF50" i="6"/>
  <c r="BE50" i="6"/>
  <c r="BB50" i="6"/>
  <c r="BH50" i="6" s="1"/>
  <c r="AY50" i="6"/>
  <c r="AX50" i="6" s="1"/>
  <c r="AU50" i="6"/>
  <c r="BA50" i="6" s="1"/>
  <c r="AT50" i="6"/>
  <c r="AR50" i="6"/>
  <c r="AQ50" i="6" s="1"/>
  <c r="AP50" i="6"/>
  <c r="AN50" i="6"/>
  <c r="AL50" i="6"/>
  <c r="AK50" i="6"/>
  <c r="AJ50" i="6"/>
  <c r="AG50" i="6"/>
  <c r="AE50" i="6"/>
  <c r="Z50" i="6"/>
  <c r="AF50" i="6" s="1"/>
  <c r="Y50" i="6"/>
  <c r="X50" i="6"/>
  <c r="W50" i="6" s="1"/>
  <c r="S50" i="6"/>
  <c r="U50" i="6" s="1"/>
  <c r="Q50" i="6"/>
  <c r="P50" i="6"/>
  <c r="O50" i="6"/>
  <c r="L50" i="6"/>
  <c r="R50" i="6" s="1"/>
  <c r="J50" i="6"/>
  <c r="CO49" i="6"/>
  <c r="CN49" i="6"/>
  <c r="CK49" i="6"/>
  <c r="CH49" i="6"/>
  <c r="CG49" i="6"/>
  <c r="CF49" i="6"/>
  <c r="CD49" i="6"/>
  <c r="CJ49" i="6" s="1"/>
  <c r="CA49" i="6"/>
  <c r="BZ49" i="6"/>
  <c r="BW49" i="6"/>
  <c r="BT49" i="6"/>
  <c r="BS49" i="6" s="1"/>
  <c r="BP49" i="6"/>
  <c r="BV49" i="6" s="1"/>
  <c r="BM49" i="6"/>
  <c r="BL49" i="6" s="1"/>
  <c r="BK49" i="6"/>
  <c r="BJ49" i="6" s="1"/>
  <c r="BI49" i="6"/>
  <c r="BO49" i="6" s="1"/>
  <c r="BF49" i="6"/>
  <c r="BE49" i="6" s="1"/>
  <c r="BB49" i="6"/>
  <c r="BH49" i="6" s="1"/>
  <c r="AY49" i="6"/>
  <c r="AX49" i="6"/>
  <c r="AU49" i="6"/>
  <c r="BA49" i="6" s="1"/>
  <c r="AR49" i="6"/>
  <c r="AQ49" i="6" s="1"/>
  <c r="AN49" i="6"/>
  <c r="AG49" i="6"/>
  <c r="AI49" i="6" s="1"/>
  <c r="AB49" i="6"/>
  <c r="Z49" i="6"/>
  <c r="X49" i="6"/>
  <c r="U49" i="6"/>
  <c r="S49" i="6"/>
  <c r="P49" i="6"/>
  <c r="O49" i="6"/>
  <c r="L49" i="6"/>
  <c r="N49" i="6" s="1"/>
  <c r="CO48" i="6"/>
  <c r="CN48" i="6" s="1"/>
  <c r="CK48" i="6"/>
  <c r="CQ48" i="6" s="1"/>
  <c r="CH48" i="6"/>
  <c r="CG48" i="6"/>
  <c r="CD48" i="6"/>
  <c r="CJ48" i="6" s="1"/>
  <c r="CA48" i="6"/>
  <c r="BZ48" i="6" s="1"/>
  <c r="BW48" i="6"/>
  <c r="BV48" i="6"/>
  <c r="BT48" i="6"/>
  <c r="BS48" i="6"/>
  <c r="BP48" i="6"/>
  <c r="BR48" i="6" s="1"/>
  <c r="BQ48" i="6" s="1"/>
  <c r="BM48" i="6"/>
  <c r="BL48" i="6"/>
  <c r="BK48" i="6"/>
  <c r="BJ48" i="6" s="1"/>
  <c r="BI48" i="6"/>
  <c r="BO48" i="6" s="1"/>
  <c r="BF48" i="6"/>
  <c r="BE48" i="6"/>
  <c r="BB48" i="6"/>
  <c r="BH48" i="6" s="1"/>
  <c r="AY48" i="6"/>
  <c r="AX48" i="6" s="1"/>
  <c r="AU48" i="6"/>
  <c r="BA48" i="6" s="1"/>
  <c r="AT48" i="6"/>
  <c r="AR48" i="6"/>
  <c r="AQ48" i="6" s="1"/>
  <c r="AN48" i="6"/>
  <c r="AL48" i="6"/>
  <c r="AG48" i="6"/>
  <c r="AI48" i="6" s="1"/>
  <c r="AH48" i="6" s="1"/>
  <c r="AE48" i="6"/>
  <c r="AD48" i="6"/>
  <c r="AC48" i="6"/>
  <c r="AB48" i="6"/>
  <c r="Z48" i="6"/>
  <c r="AF48" i="6" s="1"/>
  <c r="X48" i="6"/>
  <c r="W48" i="6"/>
  <c r="V48" i="6"/>
  <c r="U48" i="6"/>
  <c r="T48" i="6"/>
  <c r="S48" i="6"/>
  <c r="Y48" i="6" s="1"/>
  <c r="Q48" i="6"/>
  <c r="P48" i="6" s="1"/>
  <c r="L48" i="6"/>
  <c r="R48" i="6" s="1"/>
  <c r="J48" i="6"/>
  <c r="CO47" i="6"/>
  <c r="CN47" i="6"/>
  <c r="CK47" i="6"/>
  <c r="CQ47" i="6" s="1"/>
  <c r="CH47" i="6"/>
  <c r="CG47" i="6" s="1"/>
  <c r="CD47" i="6"/>
  <c r="CA47" i="6"/>
  <c r="BZ47" i="6"/>
  <c r="BW47" i="6"/>
  <c r="CC47" i="6" s="1"/>
  <c r="BT47" i="6"/>
  <c r="BS47" i="6"/>
  <c r="BP47" i="6"/>
  <c r="BV47" i="6" s="1"/>
  <c r="BM47" i="6"/>
  <c r="BL47" i="6"/>
  <c r="BI47" i="6"/>
  <c r="BF47" i="6"/>
  <c r="BE47" i="6" s="1"/>
  <c r="BB47" i="6"/>
  <c r="BA47" i="6"/>
  <c r="AY47" i="6"/>
  <c r="AX47" i="6" s="1"/>
  <c r="AU47" i="6"/>
  <c r="AR47" i="6"/>
  <c r="AQ47" i="6"/>
  <c r="AN47" i="6"/>
  <c r="AT47" i="6" s="1"/>
  <c r="AK47" i="6"/>
  <c r="AJ47" i="6"/>
  <c r="AG47" i="6"/>
  <c r="AD47" i="6"/>
  <c r="AC47" i="6" s="1"/>
  <c r="Z47" i="6"/>
  <c r="AF47" i="6" s="1"/>
  <c r="W47" i="6"/>
  <c r="V47" i="6"/>
  <c r="S47" i="6"/>
  <c r="U47" i="6" s="1"/>
  <c r="T47" i="6" s="1"/>
  <c r="P47" i="6"/>
  <c r="O47" i="6"/>
  <c r="L47" i="6"/>
  <c r="J47" i="6"/>
  <c r="CO46" i="6"/>
  <c r="CN46" i="6"/>
  <c r="CK46" i="6"/>
  <c r="CQ46" i="6" s="1"/>
  <c r="CH46" i="6"/>
  <c r="CG46" i="6"/>
  <c r="CD46" i="6"/>
  <c r="CA46" i="6"/>
  <c r="BZ46" i="6" s="1"/>
  <c r="BW46" i="6"/>
  <c r="BY46" i="6" s="1"/>
  <c r="BT46" i="6"/>
  <c r="BS46" i="6"/>
  <c r="BP46" i="6"/>
  <c r="BV46" i="6" s="1"/>
  <c r="BO46" i="6"/>
  <c r="BM46" i="6"/>
  <c r="BL46" i="6"/>
  <c r="BI46" i="6"/>
  <c r="BF46" i="6"/>
  <c r="BE46" i="6"/>
  <c r="BB46" i="6"/>
  <c r="BH46" i="6" s="1"/>
  <c r="AY46" i="6"/>
  <c r="AX46" i="6" s="1"/>
  <c r="AU46" i="6"/>
  <c r="AR46" i="6"/>
  <c r="AQ46" i="6"/>
  <c r="AN46" i="6"/>
  <c r="AK46" i="6"/>
  <c r="AJ46" i="6"/>
  <c r="H46" i="6" s="1"/>
  <c r="AG46" i="6"/>
  <c r="AM46" i="6" s="1"/>
  <c r="AD46" i="6"/>
  <c r="AC46" i="6"/>
  <c r="Z46" i="6"/>
  <c r="W46" i="6"/>
  <c r="V46" i="6" s="1"/>
  <c r="S46" i="6"/>
  <c r="R46" i="6"/>
  <c r="P46" i="6"/>
  <c r="O46" i="6"/>
  <c r="L46" i="6"/>
  <c r="N46" i="6" s="1"/>
  <c r="J46" i="6"/>
  <c r="I46" i="6"/>
  <c r="CQ45" i="6"/>
  <c r="CO45" i="6"/>
  <c r="CN45" i="6"/>
  <c r="CM45" i="6"/>
  <c r="CL45" i="6" s="1"/>
  <c r="CK45" i="6"/>
  <c r="CH45" i="6"/>
  <c r="CG45" i="6" s="1"/>
  <c r="CD45" i="6"/>
  <c r="CJ45" i="6" s="1"/>
  <c r="CA45" i="6"/>
  <c r="BZ45" i="6"/>
  <c r="BW45" i="6"/>
  <c r="CC45" i="6" s="1"/>
  <c r="BV45" i="6"/>
  <c r="BT45" i="6"/>
  <c r="BS45" i="6" s="1"/>
  <c r="BP45" i="6"/>
  <c r="BR45" i="6" s="1"/>
  <c r="BO45" i="6"/>
  <c r="BM45" i="6"/>
  <c r="BL45" i="6"/>
  <c r="BK45" i="6"/>
  <c r="BJ45" i="6" s="1"/>
  <c r="BI45" i="6"/>
  <c r="BF45" i="6"/>
  <c r="BE45" i="6" s="1"/>
  <c r="BB45" i="6"/>
  <c r="AY45" i="6"/>
  <c r="AX45" i="6"/>
  <c r="AU45" i="6"/>
  <c r="AR45" i="6"/>
  <c r="AQ45" i="6" s="1"/>
  <c r="AO45" i="6"/>
  <c r="AN45" i="6"/>
  <c r="AP45" i="6" s="1"/>
  <c r="AK45" i="6"/>
  <c r="AJ45" i="6"/>
  <c r="AI45" i="6"/>
  <c r="AH45" i="6" s="1"/>
  <c r="AG45" i="6"/>
  <c r="AM45" i="6" s="1"/>
  <c r="AD45" i="6"/>
  <c r="Z45" i="6"/>
  <c r="AF45" i="6" s="1"/>
  <c r="W45" i="6"/>
  <c r="V45" i="6"/>
  <c r="S45" i="6"/>
  <c r="Y45" i="6" s="1"/>
  <c r="P45" i="6"/>
  <c r="O45" i="6" s="1"/>
  <c r="L45" i="6"/>
  <c r="J45" i="6"/>
  <c r="CO44" i="6"/>
  <c r="CN44" i="6" s="1"/>
  <c r="CK44" i="6"/>
  <c r="CH44" i="6"/>
  <c r="CG44" i="6"/>
  <c r="CD44" i="6"/>
  <c r="CJ44" i="6" s="1"/>
  <c r="CA44" i="6"/>
  <c r="BZ44" i="6" s="1"/>
  <c r="BW44" i="6"/>
  <c r="CC44" i="6" s="1"/>
  <c r="BT44" i="6"/>
  <c r="BS44" i="6"/>
  <c r="BP44" i="6"/>
  <c r="BV44" i="6" s="1"/>
  <c r="BO44" i="6"/>
  <c r="BM44" i="6"/>
  <c r="BL44" i="6" s="1"/>
  <c r="BJ44" i="6"/>
  <c r="BI44" i="6"/>
  <c r="BK44" i="6" s="1"/>
  <c r="BF44" i="6"/>
  <c r="BE44" i="6"/>
  <c r="BB44" i="6"/>
  <c r="BH44" i="6" s="1"/>
  <c r="AY44" i="6"/>
  <c r="AX44" i="6" s="1"/>
  <c r="AU44" i="6"/>
  <c r="AR44" i="6"/>
  <c r="AQ44" i="6"/>
  <c r="AN44" i="6"/>
  <c r="AK44" i="6"/>
  <c r="AJ44" i="6" s="1"/>
  <c r="AG44" i="6"/>
  <c r="AI44" i="6" s="1"/>
  <c r="AD44" i="6"/>
  <c r="AC44" i="6"/>
  <c r="Z44" i="6"/>
  <c r="W44" i="6"/>
  <c r="S44" i="6"/>
  <c r="Y44" i="6" s="1"/>
  <c r="P44" i="6"/>
  <c r="O44" i="6"/>
  <c r="L44" i="6"/>
  <c r="R44" i="6" s="1"/>
  <c r="J44" i="6"/>
  <c r="CO43" i="6"/>
  <c r="CN43" i="6"/>
  <c r="CK43" i="6"/>
  <c r="CQ43" i="6" s="1"/>
  <c r="CH43" i="6"/>
  <c r="CG43" i="6" s="1"/>
  <c r="CD43" i="6"/>
  <c r="CF43" i="6" s="1"/>
  <c r="CA43" i="6"/>
  <c r="BZ43" i="6" s="1"/>
  <c r="BW43" i="6"/>
  <c r="BV43" i="6"/>
  <c r="BT43" i="6"/>
  <c r="BS43" i="6"/>
  <c r="BP43" i="6"/>
  <c r="BM43" i="6"/>
  <c r="BL43" i="6"/>
  <c r="BK43" i="6"/>
  <c r="BI43" i="6"/>
  <c r="BO43" i="6" s="1"/>
  <c r="BH43" i="6"/>
  <c r="BF43" i="6"/>
  <c r="BE43" i="6" s="1"/>
  <c r="BB43" i="6"/>
  <c r="BD43" i="6" s="1"/>
  <c r="AY43" i="6"/>
  <c r="AX43" i="6"/>
  <c r="AW43" i="6"/>
  <c r="AU43" i="6"/>
  <c r="BA43" i="6" s="1"/>
  <c r="AR43" i="6"/>
  <c r="AQ43" i="6"/>
  <c r="AN43" i="6"/>
  <c r="AT43" i="6" s="1"/>
  <c r="AM43" i="6"/>
  <c r="AL43" i="6"/>
  <c r="AK43" i="6"/>
  <c r="AJ43" i="6"/>
  <c r="AI43" i="6"/>
  <c r="AG43" i="6"/>
  <c r="AE43" i="6"/>
  <c r="AD43" i="6" s="1"/>
  <c r="Z43" i="6"/>
  <c r="X43" i="6"/>
  <c r="W43" i="6" s="1"/>
  <c r="S43" i="6"/>
  <c r="U43" i="6" s="1"/>
  <c r="T43" i="6" s="1"/>
  <c r="Q43" i="6"/>
  <c r="L43" i="6"/>
  <c r="N43" i="6" s="1"/>
  <c r="CO42" i="6"/>
  <c r="CN42" i="6" s="1"/>
  <c r="CK42" i="6"/>
  <c r="CQ42" i="6" s="1"/>
  <c r="CH42" i="6"/>
  <c r="CG42" i="6"/>
  <c r="CD42" i="6"/>
  <c r="CF42" i="6" s="1"/>
  <c r="CA42" i="6"/>
  <c r="BZ42" i="6" s="1"/>
  <c r="BW42" i="6"/>
  <c r="BT42" i="6"/>
  <c r="BS42" i="6" s="1"/>
  <c r="BR42" i="6"/>
  <c r="BQ42" i="6" s="1"/>
  <c r="BP42" i="6"/>
  <c r="BV42" i="6" s="1"/>
  <c r="BM42" i="6"/>
  <c r="BL42" i="6" s="1"/>
  <c r="BI42" i="6"/>
  <c r="BO42" i="6" s="1"/>
  <c r="BF42" i="6"/>
  <c r="BE42" i="6"/>
  <c r="BB42" i="6"/>
  <c r="BD42" i="6" s="1"/>
  <c r="AY42" i="6"/>
  <c r="AX42" i="6" s="1"/>
  <c r="AU42" i="6"/>
  <c r="AR42" i="6"/>
  <c r="AQ42" i="6" s="1"/>
  <c r="AN42" i="6"/>
  <c r="AT42" i="6" s="1"/>
  <c r="AL42" i="6"/>
  <c r="AH42" i="6"/>
  <c r="AG42" i="6"/>
  <c r="AI42" i="6" s="1"/>
  <c r="AE42" i="6"/>
  <c r="AD42" i="6"/>
  <c r="AC42" i="6" s="1"/>
  <c r="Z42" i="6"/>
  <c r="AF42" i="6" s="1"/>
  <c r="X42" i="6"/>
  <c r="W42" i="6"/>
  <c r="V42" i="6"/>
  <c r="S42" i="6"/>
  <c r="U42" i="6" s="1"/>
  <c r="Q42" i="6"/>
  <c r="P42" i="6" s="1"/>
  <c r="L42" i="6"/>
  <c r="CO41" i="6"/>
  <c r="CN41" i="6"/>
  <c r="CK41" i="6"/>
  <c r="CH41" i="6"/>
  <c r="CG41" i="6" s="1"/>
  <c r="CD41" i="6"/>
  <c r="CC41" i="6"/>
  <c r="CA41" i="6"/>
  <c r="BZ41" i="6" s="1"/>
  <c r="BY41" i="6"/>
  <c r="BX41" i="6" s="1"/>
  <c r="BW41" i="6"/>
  <c r="BT41" i="6"/>
  <c r="BS41" i="6" s="1"/>
  <c r="BP41" i="6"/>
  <c r="BV41" i="6" s="1"/>
  <c r="BM41" i="6"/>
  <c r="BL41" i="6"/>
  <c r="BK41" i="6"/>
  <c r="BI41" i="6"/>
  <c r="BF41" i="6"/>
  <c r="BE41" i="6" s="1"/>
  <c r="BB41" i="6"/>
  <c r="AY41" i="6"/>
  <c r="AX41" i="6" s="1"/>
  <c r="AU41" i="6"/>
  <c r="AR41" i="6"/>
  <c r="AQ41" i="6" s="1"/>
  <c r="AN41" i="6"/>
  <c r="AK41" i="6"/>
  <c r="AJ41" i="6"/>
  <c r="AG41" i="6"/>
  <c r="AD41" i="6"/>
  <c r="AC41" i="6" s="1"/>
  <c r="Z41" i="6"/>
  <c r="Y41" i="6"/>
  <c r="W41" i="6"/>
  <c r="V41" i="6"/>
  <c r="S41" i="6"/>
  <c r="U41" i="6" s="1"/>
  <c r="T41" i="6" s="1"/>
  <c r="P41" i="6"/>
  <c r="L41" i="6"/>
  <c r="J41" i="6"/>
  <c r="CO40" i="6"/>
  <c r="CN40" i="6" s="1"/>
  <c r="CK40" i="6"/>
  <c r="CQ40" i="6" s="1"/>
  <c r="CH40" i="6"/>
  <c r="CG40" i="6"/>
  <c r="CD40" i="6"/>
  <c r="CA40" i="6"/>
  <c r="BZ40" i="6" s="1"/>
  <c r="BW40" i="6"/>
  <c r="BT40" i="6"/>
  <c r="BS40" i="6" s="1"/>
  <c r="BR40" i="6"/>
  <c r="BQ40" i="6" s="1"/>
  <c r="BP40" i="6"/>
  <c r="BV40" i="6" s="1"/>
  <c r="BM40" i="6"/>
  <c r="BL40" i="6" s="1"/>
  <c r="BI40" i="6"/>
  <c r="BO40" i="6" s="1"/>
  <c r="BF40" i="6"/>
  <c r="BE40" i="6"/>
  <c r="BB40" i="6"/>
  <c r="AY40" i="6"/>
  <c r="AX40" i="6" s="1"/>
  <c r="AU40" i="6"/>
  <c r="AR40" i="6"/>
  <c r="AQ40" i="6" s="1"/>
  <c r="AN40" i="6"/>
  <c r="AP40" i="6" s="1"/>
  <c r="AO40" i="6" s="1"/>
  <c r="AL40" i="6"/>
  <c r="AK40" i="6" s="1"/>
  <c r="AJ40" i="6" s="1"/>
  <c r="AI40" i="6"/>
  <c r="AH40" i="6" s="1"/>
  <c r="AG40" i="6"/>
  <c r="AM40" i="6" s="1"/>
  <c r="AE40" i="6"/>
  <c r="AD40" i="6"/>
  <c r="AC40" i="6" s="1"/>
  <c r="Z40" i="6"/>
  <c r="AF40" i="6" s="1"/>
  <c r="X40" i="6"/>
  <c r="W40" i="6"/>
  <c r="V40" i="6"/>
  <c r="S40" i="6"/>
  <c r="Q40" i="6"/>
  <c r="P40" i="6" s="1"/>
  <c r="L40" i="6"/>
  <c r="J40" i="6"/>
  <c r="CO39" i="6"/>
  <c r="CN39" i="6"/>
  <c r="CK39" i="6"/>
  <c r="CH39" i="6"/>
  <c r="CG39" i="6" s="1"/>
  <c r="CD39" i="6"/>
  <c r="CA39" i="6"/>
  <c r="BZ39" i="6" s="1"/>
  <c r="BW39" i="6"/>
  <c r="BY39" i="6" s="1"/>
  <c r="BX39" i="6" s="1"/>
  <c r="BT39" i="6"/>
  <c r="BS39" i="6"/>
  <c r="BP39" i="6"/>
  <c r="BM39" i="6"/>
  <c r="BL39" i="6"/>
  <c r="BI39" i="6"/>
  <c r="BO39" i="6" s="1"/>
  <c r="BF39" i="6"/>
  <c r="BE39" i="6" s="1"/>
  <c r="BB39" i="6"/>
  <c r="AY39" i="6"/>
  <c r="AX39" i="6"/>
  <c r="AW39" i="6"/>
  <c r="AV39" i="6" s="1"/>
  <c r="AU39" i="6"/>
  <c r="BA39" i="6" s="1"/>
  <c r="AR39" i="6"/>
  <c r="AQ39" i="6" s="1"/>
  <c r="AN39" i="6"/>
  <c r="AL39" i="6"/>
  <c r="AK39" i="6"/>
  <c r="AJ39" i="6"/>
  <c r="AG39" i="6"/>
  <c r="AF39" i="6"/>
  <c r="AE39" i="6"/>
  <c r="AD39" i="6" s="1"/>
  <c r="Z39" i="6"/>
  <c r="AB39" i="6" s="1"/>
  <c r="X39" i="6"/>
  <c r="T39" i="6"/>
  <c r="S39" i="6"/>
  <c r="U39" i="6" s="1"/>
  <c r="Q39" i="6"/>
  <c r="P39" i="6"/>
  <c r="L39" i="6"/>
  <c r="J39" i="6"/>
  <c r="CO38" i="6"/>
  <c r="CN38" i="6" s="1"/>
  <c r="CK38" i="6"/>
  <c r="CJ38" i="6"/>
  <c r="CH38" i="6"/>
  <c r="CG38" i="6" s="1"/>
  <c r="CF38" i="6"/>
  <c r="CE38" i="6" s="1"/>
  <c r="CD38" i="6"/>
  <c r="CA38" i="6"/>
  <c r="BZ38" i="6"/>
  <c r="BW38" i="6"/>
  <c r="CC38" i="6" s="1"/>
  <c r="BT38" i="6"/>
  <c r="BS38" i="6"/>
  <c r="BP38" i="6"/>
  <c r="BV38" i="6" s="1"/>
  <c r="BM38" i="6"/>
  <c r="BL38" i="6" s="1"/>
  <c r="BI38" i="6"/>
  <c r="BF38" i="6"/>
  <c r="BE38" i="6"/>
  <c r="BB38" i="6"/>
  <c r="AY38" i="6"/>
  <c r="AX38" i="6"/>
  <c r="AW38" i="6"/>
  <c r="AU38" i="6"/>
  <c r="BA38" i="6" s="1"/>
  <c r="AR38" i="6"/>
  <c r="AQ38" i="6"/>
  <c r="AN38" i="6"/>
  <c r="AL38" i="6"/>
  <c r="AG38" i="6"/>
  <c r="AI38" i="6" s="1"/>
  <c r="AE38" i="6"/>
  <c r="AD38" i="6" s="1"/>
  <c r="Z38" i="6"/>
  <c r="X38" i="6"/>
  <c r="W38" i="6"/>
  <c r="V38" i="6"/>
  <c r="S38" i="6"/>
  <c r="Q38" i="6"/>
  <c r="L38" i="6"/>
  <c r="N38" i="6" s="1"/>
  <c r="CQ37" i="6"/>
  <c r="CO37" i="6"/>
  <c r="CN37" i="6"/>
  <c r="CM37" i="6"/>
  <c r="CL37" i="6" s="1"/>
  <c r="CK37" i="6"/>
  <c r="CH37" i="6"/>
  <c r="CG37" i="6" s="1"/>
  <c r="CD37" i="6"/>
  <c r="CJ37" i="6" s="1"/>
  <c r="CA37" i="6"/>
  <c r="BZ37" i="6"/>
  <c r="BW37" i="6"/>
  <c r="CC37" i="6" s="1"/>
  <c r="BT37" i="6"/>
  <c r="BS37" i="6" s="1"/>
  <c r="BP37" i="6"/>
  <c r="BO37" i="6"/>
  <c r="BM37" i="6"/>
  <c r="BL37" i="6" s="1"/>
  <c r="BI37" i="6"/>
  <c r="BK37" i="6" s="1"/>
  <c r="BJ37" i="6" s="1"/>
  <c r="BF37" i="6"/>
  <c r="BE37" i="6"/>
  <c r="BB37" i="6"/>
  <c r="AY37" i="6"/>
  <c r="AX37" i="6"/>
  <c r="AW37" i="6"/>
  <c r="AU37" i="6"/>
  <c r="BA37" i="6" s="1"/>
  <c r="AR37" i="6"/>
  <c r="AQ37" i="6"/>
  <c r="AN37" i="6"/>
  <c r="AI37" i="6"/>
  <c r="AG37" i="6"/>
  <c r="AF37" i="6"/>
  <c r="AE37" i="6"/>
  <c r="AD37" i="6"/>
  <c r="AC37" i="6" s="1"/>
  <c r="AA37" i="6"/>
  <c r="Z37" i="6"/>
  <c r="AB37" i="6" s="1"/>
  <c r="X37" i="6"/>
  <c r="W37" i="6"/>
  <c r="S37" i="6"/>
  <c r="U37" i="6" s="1"/>
  <c r="T37" i="6" s="1"/>
  <c r="L37" i="6"/>
  <c r="CO36" i="6"/>
  <c r="CN36" i="6"/>
  <c r="CK36" i="6"/>
  <c r="CQ36" i="6" s="1"/>
  <c r="CH36" i="6"/>
  <c r="CG36" i="6"/>
  <c r="CD36" i="6"/>
  <c r="CA36" i="6"/>
  <c r="BZ36" i="6"/>
  <c r="BW36" i="6"/>
  <c r="BV36" i="6"/>
  <c r="BT36" i="6"/>
  <c r="BS36" i="6"/>
  <c r="BP36" i="6"/>
  <c r="BR36" i="6" s="1"/>
  <c r="BQ36" i="6" s="1"/>
  <c r="BM36" i="6"/>
  <c r="BL36" i="6"/>
  <c r="BI36" i="6"/>
  <c r="BO36" i="6" s="1"/>
  <c r="BF36" i="6"/>
  <c r="BE36" i="6"/>
  <c r="BB36" i="6"/>
  <c r="AY36" i="6"/>
  <c r="AX36" i="6"/>
  <c r="AU36" i="6"/>
  <c r="BA36" i="6" s="1"/>
  <c r="AT36" i="6"/>
  <c r="AR36" i="6"/>
  <c r="AQ36" i="6"/>
  <c r="AN36" i="6"/>
  <c r="AP36" i="6" s="1"/>
  <c r="AO36" i="6" s="1"/>
  <c r="AL36" i="6"/>
  <c r="AG36" i="6"/>
  <c r="AE36" i="6"/>
  <c r="AD36" i="6"/>
  <c r="AC36" i="6"/>
  <c r="Z36" i="6"/>
  <c r="AF36" i="6" s="1"/>
  <c r="X36" i="6"/>
  <c r="W36" i="6"/>
  <c r="V36" i="6"/>
  <c r="U36" i="6"/>
  <c r="S36" i="6"/>
  <c r="Q36" i="6"/>
  <c r="L36" i="6"/>
  <c r="CO35" i="6"/>
  <c r="CN35" i="6"/>
  <c r="CL35" i="6"/>
  <c r="CK35" i="6"/>
  <c r="CM35" i="6" s="1"/>
  <c r="CJ35" i="6"/>
  <c r="CH35" i="6"/>
  <c r="CG35" i="6"/>
  <c r="CD35" i="6"/>
  <c r="CA35" i="6"/>
  <c r="BZ35" i="6"/>
  <c r="BY35" i="6"/>
  <c r="BX35" i="6" s="1"/>
  <c r="BW35" i="6"/>
  <c r="CC35" i="6" s="1"/>
  <c r="BT35" i="6"/>
  <c r="BS35" i="6" s="1"/>
  <c r="BP35" i="6"/>
  <c r="BM35" i="6"/>
  <c r="BL35" i="6"/>
  <c r="BI35" i="6"/>
  <c r="BH35" i="6"/>
  <c r="BF35" i="6"/>
  <c r="BE35" i="6"/>
  <c r="BB35" i="6"/>
  <c r="AY35" i="6"/>
  <c r="AX35" i="6" s="1"/>
  <c r="AW35" i="6"/>
  <c r="AV35" i="6"/>
  <c r="AU35" i="6"/>
  <c r="BA35" i="6" s="1"/>
  <c r="AR35" i="6"/>
  <c r="AQ35" i="6"/>
  <c r="AN35" i="6"/>
  <c r="AT35" i="6" s="1"/>
  <c r="AK35" i="6"/>
  <c r="AJ35" i="6"/>
  <c r="AI35" i="6"/>
  <c r="AG35" i="6"/>
  <c r="AM35" i="6" s="1"/>
  <c r="AD35" i="6"/>
  <c r="AC35" i="6"/>
  <c r="Z35" i="6"/>
  <c r="AF35" i="6" s="1"/>
  <c r="Y35" i="6"/>
  <c r="W35" i="6"/>
  <c r="V35" i="6" s="1"/>
  <c r="U35" i="6"/>
  <c r="T35" i="6"/>
  <c r="S35" i="6"/>
  <c r="P35" i="6"/>
  <c r="O35" i="6"/>
  <c r="L35" i="6"/>
  <c r="J35" i="6"/>
  <c r="CO34" i="6"/>
  <c r="CN34" i="6" s="1"/>
  <c r="CK34" i="6"/>
  <c r="CH34" i="6"/>
  <c r="CG34" i="6"/>
  <c r="CD34" i="6"/>
  <c r="CA34" i="6"/>
  <c r="BZ34" i="6"/>
  <c r="BW34" i="6"/>
  <c r="BT34" i="6"/>
  <c r="BS34" i="6" s="1"/>
  <c r="BP34" i="6"/>
  <c r="BM34" i="6"/>
  <c r="BL34" i="6"/>
  <c r="BI34" i="6"/>
  <c r="BO34" i="6" s="1"/>
  <c r="BF34" i="6"/>
  <c r="BE34" i="6"/>
  <c r="BB34" i="6"/>
  <c r="BH34" i="6" s="1"/>
  <c r="BA34" i="6"/>
  <c r="AY34" i="6"/>
  <c r="AX34" i="6" s="1"/>
  <c r="AU34" i="6"/>
  <c r="AR34" i="6"/>
  <c r="AN34" i="6"/>
  <c r="AK34" i="6"/>
  <c r="AJ34" i="6"/>
  <c r="AG34" i="6"/>
  <c r="AM34" i="6" s="1"/>
  <c r="AD34" i="6"/>
  <c r="AC34" i="6"/>
  <c r="Z34" i="6"/>
  <c r="W34" i="6"/>
  <c r="V34" i="6"/>
  <c r="S34" i="6"/>
  <c r="R34" i="6"/>
  <c r="P34" i="6"/>
  <c r="O34" i="6"/>
  <c r="L34" i="6"/>
  <c r="N34" i="6" s="1"/>
  <c r="J34" i="6"/>
  <c r="CQ33" i="6"/>
  <c r="CO33" i="6"/>
  <c r="CN33" i="6"/>
  <c r="CK33" i="6"/>
  <c r="CM33" i="6" s="1"/>
  <c r="CL33" i="6" s="1"/>
  <c r="CH33" i="6"/>
  <c r="CG33" i="6"/>
  <c r="CF33" i="6"/>
  <c r="CE33" i="6" s="1"/>
  <c r="CD33" i="6"/>
  <c r="CJ33" i="6" s="1"/>
  <c r="CA33" i="6"/>
  <c r="BZ33" i="6"/>
  <c r="BW33" i="6"/>
  <c r="CC33" i="6" s="1"/>
  <c r="BT33" i="6"/>
  <c r="BS33" i="6"/>
  <c r="BP33" i="6"/>
  <c r="BV33" i="6" s="1"/>
  <c r="BO33" i="6"/>
  <c r="BM33" i="6"/>
  <c r="BL33" i="6"/>
  <c r="BI33" i="6"/>
  <c r="BK33" i="6" s="1"/>
  <c r="BJ33" i="6" s="1"/>
  <c r="BF33" i="6"/>
  <c r="BE33" i="6" s="1"/>
  <c r="BB33" i="6"/>
  <c r="BA33" i="6"/>
  <c r="AY33" i="6"/>
  <c r="AX33" i="6"/>
  <c r="AW33" i="6"/>
  <c r="AU33" i="6"/>
  <c r="AR33" i="6"/>
  <c r="AQ33" i="6" s="1"/>
  <c r="AN33" i="6"/>
  <c r="AK33" i="6"/>
  <c r="AJ33" i="6" s="1"/>
  <c r="AI33" i="6"/>
  <c r="AG33" i="6"/>
  <c r="AM33" i="6" s="1"/>
  <c r="AD33" i="6"/>
  <c r="Z33" i="6"/>
  <c r="AF33" i="6" s="1"/>
  <c r="W33" i="6"/>
  <c r="V33" i="6"/>
  <c r="S33" i="6"/>
  <c r="Y33" i="6" s="1"/>
  <c r="Q33" i="6"/>
  <c r="P33" i="6"/>
  <c r="L33" i="6"/>
  <c r="R33" i="6" s="1"/>
  <c r="J33" i="6"/>
  <c r="B33" i="6"/>
  <c r="CO32" i="6"/>
  <c r="CN32" i="6" s="1"/>
  <c r="CK32" i="6"/>
  <c r="CJ32" i="6"/>
  <c r="CH32" i="6"/>
  <c r="CG32" i="6"/>
  <c r="CF32" i="6"/>
  <c r="CD32" i="6"/>
  <c r="CA32" i="6"/>
  <c r="BZ32" i="6"/>
  <c r="BW32" i="6"/>
  <c r="BT32" i="6"/>
  <c r="BS32" i="6"/>
  <c r="BP32" i="6"/>
  <c r="BM32" i="6"/>
  <c r="BL32" i="6" s="1"/>
  <c r="BI32" i="6"/>
  <c r="BH32" i="6"/>
  <c r="BF32" i="6"/>
  <c r="BE32" i="6"/>
  <c r="BB32" i="6"/>
  <c r="BD32" i="6" s="1"/>
  <c r="AY32" i="6"/>
  <c r="AX32" i="6"/>
  <c r="AU32" i="6"/>
  <c r="BA32" i="6" s="1"/>
  <c r="AR32" i="6"/>
  <c r="AQ32" i="6"/>
  <c r="AN32" i="6"/>
  <c r="AL32" i="6"/>
  <c r="AG32" i="6"/>
  <c r="AE32" i="6"/>
  <c r="Z32" i="6"/>
  <c r="X32" i="6"/>
  <c r="S32" i="6"/>
  <c r="Q32" i="6"/>
  <c r="P32" i="6" s="1"/>
  <c r="L32" i="6"/>
  <c r="CQ31" i="6"/>
  <c r="CO31" i="6"/>
  <c r="CN31" i="6"/>
  <c r="CK31" i="6"/>
  <c r="CH31" i="6"/>
  <c r="CG31" i="6" s="1"/>
  <c r="CD31" i="6"/>
  <c r="CA31" i="6"/>
  <c r="BZ31" i="6"/>
  <c r="BY31" i="6"/>
  <c r="BX31" i="6"/>
  <c r="BW31" i="6"/>
  <c r="CC31" i="6" s="1"/>
  <c r="BT31" i="6"/>
  <c r="BS31" i="6" s="1"/>
  <c r="BP31" i="6"/>
  <c r="BM31" i="6"/>
  <c r="BL31" i="6"/>
  <c r="BK31" i="6"/>
  <c r="BI31" i="6"/>
  <c r="BF31" i="6"/>
  <c r="BE31" i="6"/>
  <c r="BB31" i="6"/>
  <c r="BH31" i="6" s="1"/>
  <c r="AY31" i="6"/>
  <c r="AX31" i="6"/>
  <c r="AU31" i="6"/>
  <c r="AT31" i="6"/>
  <c r="AR31" i="6"/>
  <c r="AQ31" i="6" s="1"/>
  <c r="AN31" i="6"/>
  <c r="AP31" i="6" s="1"/>
  <c r="AL31" i="6"/>
  <c r="AK31" i="6" s="1"/>
  <c r="AG31" i="6"/>
  <c r="AF31" i="6"/>
  <c r="AD31" i="6"/>
  <c r="AC31" i="6" s="1"/>
  <c r="AB31" i="6"/>
  <c r="AA31" i="6" s="1"/>
  <c r="Z31" i="6"/>
  <c r="X31" i="6"/>
  <c r="W31" i="6"/>
  <c r="V31" i="6"/>
  <c r="S31" i="6"/>
  <c r="U31" i="6" s="1"/>
  <c r="Q31" i="6"/>
  <c r="P31" i="6"/>
  <c r="O31" i="6" s="1"/>
  <c r="L31" i="6"/>
  <c r="CO30" i="6"/>
  <c r="CN30" i="6" s="1"/>
  <c r="CK30" i="6"/>
  <c r="CH30" i="6"/>
  <c r="CG30" i="6"/>
  <c r="CF30" i="6"/>
  <c r="CD30" i="6"/>
  <c r="CJ30" i="6" s="1"/>
  <c r="CA30" i="6"/>
  <c r="BZ30" i="6"/>
  <c r="BW30" i="6"/>
  <c r="BT30" i="6"/>
  <c r="BS30" i="6" s="1"/>
  <c r="BP30" i="6"/>
  <c r="BV30" i="6" s="1"/>
  <c r="BM30" i="6"/>
  <c r="BL30" i="6"/>
  <c r="BI30" i="6"/>
  <c r="BF30" i="6"/>
  <c r="BE30" i="6"/>
  <c r="BB30" i="6"/>
  <c r="AY30" i="6"/>
  <c r="AX30" i="6"/>
  <c r="AU30" i="6"/>
  <c r="AR30" i="6"/>
  <c r="AQ30" i="6"/>
  <c r="AN30" i="6"/>
  <c r="AT30" i="6" s="1"/>
  <c r="AK30" i="6"/>
  <c r="AJ30" i="6"/>
  <c r="AI30" i="6"/>
  <c r="AG30" i="6"/>
  <c r="AM30" i="6" s="1"/>
  <c r="AD30" i="6"/>
  <c r="AC30" i="6"/>
  <c r="Z30" i="6"/>
  <c r="AB30" i="6" s="1"/>
  <c r="X30" i="6"/>
  <c r="W30" i="6"/>
  <c r="S30" i="6"/>
  <c r="Q30" i="6"/>
  <c r="J30" i="6" s="1"/>
  <c r="P30" i="6"/>
  <c r="I30" i="6" s="1"/>
  <c r="O30" i="6"/>
  <c r="L30" i="6"/>
  <c r="CO29" i="6"/>
  <c r="CN29" i="6" s="1"/>
  <c r="CK29" i="6"/>
  <c r="CQ29" i="6" s="1"/>
  <c r="CJ29" i="6"/>
  <c r="CH29" i="6"/>
  <c r="CG29" i="6" s="1"/>
  <c r="CF29" i="6"/>
  <c r="CE29" i="6" s="1"/>
  <c r="CD29" i="6"/>
  <c r="CA29" i="6"/>
  <c r="BZ29" i="6"/>
  <c r="BW29" i="6"/>
  <c r="CC29" i="6" s="1"/>
  <c r="BT29" i="6"/>
  <c r="BS29" i="6"/>
  <c r="BP29" i="6"/>
  <c r="BM29" i="6"/>
  <c r="BL29" i="6"/>
  <c r="BI29" i="6"/>
  <c r="BF29" i="6"/>
  <c r="BE29" i="6"/>
  <c r="BD29" i="6"/>
  <c r="BC29" i="6" s="1"/>
  <c r="BB29" i="6"/>
  <c r="BH29" i="6" s="1"/>
  <c r="AY29" i="6"/>
  <c r="AX29" i="6" s="1"/>
  <c r="AU29" i="6"/>
  <c r="BA29" i="6" s="1"/>
  <c r="AR29" i="6"/>
  <c r="AQ29" i="6"/>
  <c r="AN29" i="6"/>
  <c r="AP29" i="6" s="1"/>
  <c r="AO29" i="6" s="1"/>
  <c r="AK29" i="6"/>
  <c r="AJ29" i="6"/>
  <c r="AG29" i="6"/>
  <c r="AD29" i="6"/>
  <c r="AC29" i="6"/>
  <c r="Z29" i="6"/>
  <c r="AF29" i="6" s="1"/>
  <c r="W29" i="6"/>
  <c r="I29" i="6" s="1"/>
  <c r="U29" i="6"/>
  <c r="T29" i="6" s="1"/>
  <c r="S29" i="6"/>
  <c r="Y29" i="6" s="1"/>
  <c r="P29" i="6"/>
  <c r="O29" i="6"/>
  <c r="L29" i="6"/>
  <c r="J29" i="6"/>
  <c r="CQ28" i="6"/>
  <c r="CO28" i="6"/>
  <c r="CN28" i="6"/>
  <c r="CK28" i="6"/>
  <c r="CH28" i="6"/>
  <c r="CG28" i="6" s="1"/>
  <c r="CD28" i="6"/>
  <c r="CC28" i="6"/>
  <c r="CA28" i="6"/>
  <c r="BZ28" i="6"/>
  <c r="BY28" i="6"/>
  <c r="BX28" i="6" s="1"/>
  <c r="BW28" i="6"/>
  <c r="BT28" i="6"/>
  <c r="BS28" i="6"/>
  <c r="BP28" i="6"/>
  <c r="BO28" i="6"/>
  <c r="BM28" i="6"/>
  <c r="BL28" i="6"/>
  <c r="BI28" i="6"/>
  <c r="BK28" i="6" s="1"/>
  <c r="BF28" i="6"/>
  <c r="BE28" i="6"/>
  <c r="BB28" i="6"/>
  <c r="BA28" i="6"/>
  <c r="AY28" i="6"/>
  <c r="AX28" i="6"/>
  <c r="AU28" i="6"/>
  <c r="AW28" i="6" s="1"/>
  <c r="AV28" i="6" s="1"/>
  <c r="AR28" i="6"/>
  <c r="AQ28" i="6"/>
  <c r="AN28" i="6"/>
  <c r="AT28" i="6" s="1"/>
  <c r="AM28" i="6"/>
  <c r="AK28" i="6"/>
  <c r="AJ28" i="6"/>
  <c r="AG28" i="6"/>
  <c r="AF28" i="6"/>
  <c r="AD28" i="6"/>
  <c r="AC28" i="6"/>
  <c r="Z28" i="6"/>
  <c r="X28" i="6"/>
  <c r="Y28" i="6" s="1"/>
  <c r="U28" i="6"/>
  <c r="S28" i="6"/>
  <c r="Q28" i="6"/>
  <c r="P28" i="6"/>
  <c r="O28" i="6"/>
  <c r="N28" i="6"/>
  <c r="M28" i="6"/>
  <c r="L28" i="6"/>
  <c r="R28" i="6" s="1"/>
  <c r="CO27" i="6"/>
  <c r="CN27" i="6" s="1"/>
  <c r="CK27" i="6"/>
  <c r="CH27" i="6"/>
  <c r="CG27" i="6"/>
  <c r="CD27" i="6"/>
  <c r="CJ27" i="6" s="1"/>
  <c r="CA27" i="6"/>
  <c r="BZ27" i="6"/>
  <c r="BY27" i="6"/>
  <c r="BW27" i="6"/>
  <c r="CC27" i="6" s="1"/>
  <c r="BV27" i="6"/>
  <c r="BT27" i="6"/>
  <c r="BS27" i="6" s="1"/>
  <c r="BP27" i="6"/>
  <c r="BM27" i="6"/>
  <c r="BL27" i="6"/>
  <c r="BI27" i="6"/>
  <c r="BF27" i="6"/>
  <c r="BE27" i="6"/>
  <c r="BB27" i="6"/>
  <c r="AY27" i="6"/>
  <c r="AX27" i="6"/>
  <c r="AU27" i="6"/>
  <c r="AR27" i="6"/>
  <c r="AQ27" i="6"/>
  <c r="AN27" i="6"/>
  <c r="AM27" i="6"/>
  <c r="AK27" i="6"/>
  <c r="AJ27" i="6"/>
  <c r="AG27" i="6"/>
  <c r="AI27" i="6" s="1"/>
  <c r="AH27" i="6" s="1"/>
  <c r="AD27" i="6"/>
  <c r="I27" i="6" s="1"/>
  <c r="AC27" i="6"/>
  <c r="Z27" i="6"/>
  <c r="AF27" i="6" s="1"/>
  <c r="W27" i="6"/>
  <c r="V27" i="6"/>
  <c r="S27" i="6"/>
  <c r="P27" i="6"/>
  <c r="O27" i="6"/>
  <c r="H27" i="6" s="1"/>
  <c r="L27" i="6"/>
  <c r="J27" i="6"/>
  <c r="CO26" i="6"/>
  <c r="CN26" i="6"/>
  <c r="CK26" i="6"/>
  <c r="CH26" i="6"/>
  <c r="CG26" i="6"/>
  <c r="CD26" i="6"/>
  <c r="CJ26" i="6" s="1"/>
  <c r="CA26" i="6"/>
  <c r="BZ26" i="6" s="1"/>
  <c r="BW26" i="6"/>
  <c r="BT26" i="6"/>
  <c r="BS26" i="6"/>
  <c r="BR26" i="6"/>
  <c r="BQ26" i="6" s="1"/>
  <c r="BP26" i="6"/>
  <c r="BV26" i="6" s="1"/>
  <c r="BM26" i="6"/>
  <c r="BL26" i="6" s="1"/>
  <c r="BI26" i="6"/>
  <c r="BF26" i="6"/>
  <c r="BE26" i="6"/>
  <c r="BB26" i="6"/>
  <c r="AY26" i="6"/>
  <c r="AX26" i="6"/>
  <c r="AU26" i="6"/>
  <c r="BA26" i="6" s="1"/>
  <c r="AR26" i="6"/>
  <c r="AQ26" i="6"/>
  <c r="AP26" i="6"/>
  <c r="AN26" i="6"/>
  <c r="AT26" i="6" s="1"/>
  <c r="AM26" i="6"/>
  <c r="AK26" i="6"/>
  <c r="AJ26" i="6" s="1"/>
  <c r="AG26" i="6"/>
  <c r="AE26" i="6"/>
  <c r="AB26" i="6"/>
  <c r="Z26" i="6"/>
  <c r="X26" i="6"/>
  <c r="Y26" i="6" s="1"/>
  <c r="W26" i="6"/>
  <c r="V26" i="6" s="1"/>
  <c r="S26" i="6"/>
  <c r="U26" i="6" s="1"/>
  <c r="T26" i="6" s="1"/>
  <c r="Q26" i="6"/>
  <c r="L26" i="6"/>
  <c r="CO25" i="6"/>
  <c r="CN25" i="6" s="1"/>
  <c r="CK25" i="6"/>
  <c r="CH25" i="6"/>
  <c r="CG25" i="6" s="1"/>
  <c r="CD25" i="6"/>
  <c r="CJ25" i="6" s="1"/>
  <c r="CA25" i="6"/>
  <c r="BZ25" i="6" s="1"/>
  <c r="BW25" i="6"/>
  <c r="CC25" i="6" s="1"/>
  <c r="BT25" i="6"/>
  <c r="BS25" i="6"/>
  <c r="BP25" i="6"/>
  <c r="BV25" i="6" s="1"/>
  <c r="BO25" i="6"/>
  <c r="BM25" i="6"/>
  <c r="BL25" i="6"/>
  <c r="BI25" i="6"/>
  <c r="BF25" i="6"/>
  <c r="BE25" i="6"/>
  <c r="BB25" i="6"/>
  <c r="BH25" i="6" s="1"/>
  <c r="BA25" i="6"/>
  <c r="AY25" i="6"/>
  <c r="AX25" i="6" s="1"/>
  <c r="AU25" i="6"/>
  <c r="AR25" i="6"/>
  <c r="AQ25" i="6" s="1"/>
  <c r="AN25" i="6"/>
  <c r="AP25" i="6" s="1"/>
  <c r="AK25" i="6"/>
  <c r="AJ25" i="6"/>
  <c r="AI25" i="6"/>
  <c r="AG25" i="6"/>
  <c r="AM25" i="6" s="1"/>
  <c r="AD25" i="6"/>
  <c r="AC25" i="6" s="1"/>
  <c r="Z25" i="6"/>
  <c r="Y25" i="6"/>
  <c r="W25" i="6"/>
  <c r="V25" i="6" s="1"/>
  <c r="S25" i="6"/>
  <c r="U25" i="6" s="1"/>
  <c r="Q25" i="6"/>
  <c r="P25" i="6"/>
  <c r="O25" i="6"/>
  <c r="L25" i="6"/>
  <c r="J25" i="6"/>
  <c r="CO24" i="6"/>
  <c r="CN24" i="6" s="1"/>
  <c r="CK24" i="6"/>
  <c r="CH24" i="6"/>
  <c r="CG24" i="6"/>
  <c r="CD24" i="6"/>
  <c r="CA24" i="6"/>
  <c r="BZ24" i="6"/>
  <c r="BY24" i="6"/>
  <c r="BW24" i="6"/>
  <c r="CC24" i="6" s="1"/>
  <c r="BT24" i="6"/>
  <c r="BS24" i="6"/>
  <c r="BP24" i="6"/>
  <c r="BO24" i="6"/>
  <c r="BM24" i="6"/>
  <c r="BL24" i="6"/>
  <c r="BI24" i="6"/>
  <c r="BK24" i="6" s="1"/>
  <c r="BF24" i="6"/>
  <c r="BE24" i="6"/>
  <c r="BB24" i="6"/>
  <c r="BH24" i="6" s="1"/>
  <c r="AY24" i="6"/>
  <c r="AX24" i="6"/>
  <c r="AU24" i="6"/>
  <c r="BA24" i="6" s="1"/>
  <c r="AR24" i="6"/>
  <c r="AQ24" i="6"/>
  <c r="AN24" i="6"/>
  <c r="AK24" i="6"/>
  <c r="AJ24" i="6"/>
  <c r="AG24" i="6"/>
  <c r="AD24" i="6"/>
  <c r="AC24" i="6"/>
  <c r="AB24" i="6"/>
  <c r="Z24" i="6"/>
  <c r="AF24" i="6" s="1"/>
  <c r="X24" i="6"/>
  <c r="W24" i="6"/>
  <c r="V24" i="6"/>
  <c r="U24" i="6"/>
  <c r="S24" i="6"/>
  <c r="Q24" i="6"/>
  <c r="N24" i="6"/>
  <c r="L24" i="6"/>
  <c r="CQ23" i="6"/>
  <c r="CO23" i="6"/>
  <c r="CN23" i="6"/>
  <c r="CK23" i="6"/>
  <c r="CM23" i="6" s="1"/>
  <c r="CL23" i="6" s="1"/>
  <c r="CH23" i="6"/>
  <c r="CG23" i="6"/>
  <c r="CD23" i="6"/>
  <c r="CA23" i="6"/>
  <c r="BZ23" i="6"/>
  <c r="BY23" i="6"/>
  <c r="BX23" i="6" s="1"/>
  <c r="BW23" i="6"/>
  <c r="CC23" i="6" s="1"/>
  <c r="BT23" i="6"/>
  <c r="BS23" i="6" s="1"/>
  <c r="BP23" i="6"/>
  <c r="BV23" i="6" s="1"/>
  <c r="BM23" i="6"/>
  <c r="BL23" i="6"/>
  <c r="BI23" i="6"/>
  <c r="BH23" i="6"/>
  <c r="BF23" i="6"/>
  <c r="BE23" i="6" s="1"/>
  <c r="BB23" i="6"/>
  <c r="AY23" i="6"/>
  <c r="AX23" i="6" s="1"/>
  <c r="AW23" i="6"/>
  <c r="AV23" i="6" s="1"/>
  <c r="AU23" i="6"/>
  <c r="BA23" i="6" s="1"/>
  <c r="AR23" i="6"/>
  <c r="AQ23" i="6" s="1"/>
  <c r="AN23" i="6"/>
  <c r="AT23" i="6" s="1"/>
  <c r="AM23" i="6"/>
  <c r="AK23" i="6"/>
  <c r="AJ23" i="6"/>
  <c r="AG23" i="6"/>
  <c r="AD23" i="6"/>
  <c r="AC23" i="6"/>
  <c r="Z23" i="6"/>
  <c r="AF23" i="6" s="1"/>
  <c r="Y23" i="6"/>
  <c r="W23" i="6"/>
  <c r="V23" i="6" s="1"/>
  <c r="T23" i="6"/>
  <c r="S23" i="6"/>
  <c r="U23" i="6" s="1"/>
  <c r="P23" i="6"/>
  <c r="O23" i="6" s="1"/>
  <c r="L23" i="6"/>
  <c r="J23" i="6"/>
  <c r="CO22" i="6"/>
  <c r="CN22" i="6"/>
  <c r="CK22" i="6"/>
  <c r="CJ22" i="6"/>
  <c r="CH22" i="6"/>
  <c r="CG22" i="6"/>
  <c r="CD22" i="6"/>
  <c r="CA22" i="6"/>
  <c r="BZ22" i="6"/>
  <c r="BW22" i="6"/>
  <c r="BV22" i="6"/>
  <c r="BT22" i="6"/>
  <c r="BS22" i="6"/>
  <c r="BQ22" i="6"/>
  <c r="BP22" i="6"/>
  <c r="BR22" i="6" s="1"/>
  <c r="BM22" i="6"/>
  <c r="BL22" i="6" s="1"/>
  <c r="BI22" i="6"/>
  <c r="BH22" i="6"/>
  <c r="BF22" i="6"/>
  <c r="BE22" i="6"/>
  <c r="BB22" i="6"/>
  <c r="BD22" i="6" s="1"/>
  <c r="BC22" i="6" s="1"/>
  <c r="AY22" i="6"/>
  <c r="AX22" i="6" s="1"/>
  <c r="AU22" i="6"/>
  <c r="AT22" i="6"/>
  <c r="AR22" i="6"/>
  <c r="AQ22" i="6" s="1"/>
  <c r="AP22" i="6"/>
  <c r="AN22" i="6"/>
  <c r="AK22" i="6"/>
  <c r="AJ22" i="6"/>
  <c r="AG22" i="6"/>
  <c r="AM22" i="6" s="1"/>
  <c r="AE22" i="6"/>
  <c r="AD22" i="6"/>
  <c r="AC22" i="6"/>
  <c r="Z22" i="6"/>
  <c r="AF22" i="6" s="1"/>
  <c r="X22" i="6"/>
  <c r="S22" i="6"/>
  <c r="Y22" i="6" s="1"/>
  <c r="R22" i="6"/>
  <c r="Q22" i="6"/>
  <c r="P22" i="6"/>
  <c r="M22" i="6"/>
  <c r="L22" i="6"/>
  <c r="N22" i="6" s="1"/>
  <c r="J22" i="6"/>
  <c r="CO21" i="6"/>
  <c r="CN21" i="6" s="1"/>
  <c r="CK21" i="6"/>
  <c r="CM21" i="6" s="1"/>
  <c r="CJ21" i="6"/>
  <c r="CH21" i="6"/>
  <c r="CG21" i="6" s="1"/>
  <c r="CD21" i="6"/>
  <c r="CA21" i="6"/>
  <c r="BZ21" i="6"/>
  <c r="BW21" i="6"/>
  <c r="BY21" i="6" s="1"/>
  <c r="BX21" i="6" s="1"/>
  <c r="BT21" i="6"/>
  <c r="BS21" i="6"/>
  <c r="BR21" i="6"/>
  <c r="BP21" i="6"/>
  <c r="BV21" i="6" s="1"/>
  <c r="BM21" i="6"/>
  <c r="BL21" i="6" s="1"/>
  <c r="BJ21" i="6"/>
  <c r="BI21" i="6"/>
  <c r="BK21" i="6" s="1"/>
  <c r="BH21" i="6"/>
  <c r="BF21" i="6"/>
  <c r="BE21" i="6" s="1"/>
  <c r="BB21" i="6"/>
  <c r="BD21" i="6" s="1"/>
  <c r="AY21" i="6"/>
  <c r="AX21" i="6" s="1"/>
  <c r="AU21" i="6"/>
  <c r="AR21" i="6"/>
  <c r="AQ21" i="6"/>
  <c r="AP21" i="6"/>
  <c r="AO21" i="6" s="1"/>
  <c r="AN21" i="6"/>
  <c r="AT21" i="6" s="1"/>
  <c r="AK21" i="6"/>
  <c r="AJ21" i="6" s="1"/>
  <c r="AG21" i="6"/>
  <c r="AI21" i="6" s="1"/>
  <c r="AD21" i="6"/>
  <c r="AC21" i="6" s="1"/>
  <c r="Z21" i="6"/>
  <c r="Y21" i="6"/>
  <c r="W21" i="6"/>
  <c r="V21" i="6"/>
  <c r="S21" i="6"/>
  <c r="U21" i="6" s="1"/>
  <c r="Q21" i="6"/>
  <c r="J21" i="6" s="1"/>
  <c r="P21" i="6"/>
  <c r="O21" i="6"/>
  <c r="L21" i="6"/>
  <c r="E21" i="6" s="1"/>
  <c r="K21" i="6" s="1"/>
  <c r="CO20" i="6"/>
  <c r="CN20" i="6"/>
  <c r="CK20" i="6"/>
  <c r="CQ20" i="6" s="1"/>
  <c r="CJ20" i="6"/>
  <c r="CH20" i="6"/>
  <c r="CG20" i="6"/>
  <c r="CD20" i="6"/>
  <c r="CF20" i="6" s="1"/>
  <c r="CE20" i="6" s="1"/>
  <c r="CA20" i="6"/>
  <c r="BZ20" i="6"/>
  <c r="BW20" i="6"/>
  <c r="BV20" i="6"/>
  <c r="BT20" i="6"/>
  <c r="BS20" i="6"/>
  <c r="BP20" i="6"/>
  <c r="BR20" i="6" s="1"/>
  <c r="BQ20" i="6" s="1"/>
  <c r="BM20" i="6"/>
  <c r="BL20" i="6" s="1"/>
  <c r="BI20" i="6"/>
  <c r="BH20" i="6"/>
  <c r="BF20" i="6"/>
  <c r="BE20" i="6"/>
  <c r="BD20" i="6"/>
  <c r="BB20" i="6"/>
  <c r="AY20" i="6"/>
  <c r="AX20" i="6" s="1"/>
  <c r="AU20" i="6"/>
  <c r="BA20" i="6" s="1"/>
  <c r="AT20" i="6"/>
  <c r="AR20" i="6"/>
  <c r="AQ20" i="6" s="1"/>
  <c r="AN20" i="6"/>
  <c r="AP20" i="6" s="1"/>
  <c r="AO20" i="6" s="1"/>
  <c r="AL20" i="6"/>
  <c r="AK20" i="6" s="1"/>
  <c r="AG20" i="6"/>
  <c r="AD20" i="6"/>
  <c r="AC20" i="6"/>
  <c r="AB20" i="6"/>
  <c r="Z20" i="6"/>
  <c r="AF20" i="6" s="1"/>
  <c r="Y20" i="6"/>
  <c r="X20" i="6"/>
  <c r="J20" i="6" s="1"/>
  <c r="S20" i="6"/>
  <c r="Q20" i="6"/>
  <c r="P20" i="6"/>
  <c r="M20" i="6"/>
  <c r="L20" i="6"/>
  <c r="N20" i="6" s="1"/>
  <c r="CO19" i="6"/>
  <c r="CN19" i="6" s="1"/>
  <c r="CK19" i="6"/>
  <c r="CM19" i="6" s="1"/>
  <c r="CH19" i="6"/>
  <c r="CG19" i="6"/>
  <c r="CF19" i="6"/>
  <c r="CD19" i="6"/>
  <c r="CA19" i="6"/>
  <c r="BZ19" i="6" s="1"/>
  <c r="BW19" i="6"/>
  <c r="BT19" i="6"/>
  <c r="BS19" i="6"/>
  <c r="BP19" i="6"/>
  <c r="BV19" i="6" s="1"/>
  <c r="BM19" i="6"/>
  <c r="BL19" i="6" s="1"/>
  <c r="BJ19" i="6"/>
  <c r="BI19" i="6"/>
  <c r="BK19" i="6" s="1"/>
  <c r="BH19" i="6"/>
  <c r="BF19" i="6"/>
  <c r="BE19" i="6"/>
  <c r="BD19" i="6"/>
  <c r="BB19" i="6"/>
  <c r="AY19" i="6"/>
  <c r="AX19" i="6" s="1"/>
  <c r="AU19" i="6"/>
  <c r="AR19" i="6"/>
  <c r="AQ19" i="6"/>
  <c r="AN19" i="6"/>
  <c r="AT19" i="6" s="1"/>
  <c r="AK19" i="6"/>
  <c r="AJ19" i="6" s="1"/>
  <c r="AH19" i="6"/>
  <c r="AG19" i="6"/>
  <c r="AI19" i="6" s="1"/>
  <c r="AF19" i="6"/>
  <c r="AD19" i="6"/>
  <c r="AC19" i="6"/>
  <c r="AB19" i="6"/>
  <c r="Z19" i="6"/>
  <c r="W19" i="6"/>
  <c r="V19" i="6" s="1"/>
  <c r="S19" i="6"/>
  <c r="Q19" i="6"/>
  <c r="J19" i="6" s="1"/>
  <c r="L19" i="6"/>
  <c r="N19" i="6" s="1"/>
  <c r="CO18" i="6"/>
  <c r="CN18" i="6" s="1"/>
  <c r="CK18" i="6"/>
  <c r="CH18" i="6"/>
  <c r="CG18" i="6"/>
  <c r="CD18" i="6"/>
  <c r="CJ18" i="6" s="1"/>
  <c r="CC18" i="6"/>
  <c r="CA18" i="6"/>
  <c r="BZ18" i="6" s="1"/>
  <c r="BW18" i="6"/>
  <c r="BY18" i="6" s="1"/>
  <c r="BT18" i="6"/>
  <c r="BS18" i="6" s="1"/>
  <c r="BP18" i="6"/>
  <c r="BM18" i="6"/>
  <c r="BL18" i="6"/>
  <c r="BI18" i="6"/>
  <c r="BO18" i="6" s="1"/>
  <c r="BH18" i="6"/>
  <c r="BF18" i="6"/>
  <c r="BE18" i="6"/>
  <c r="BB18" i="6"/>
  <c r="BD18" i="6" s="1"/>
  <c r="BC18" i="6" s="1"/>
  <c r="AY18" i="6"/>
  <c r="AX18" i="6"/>
  <c r="AU18" i="6"/>
  <c r="AR18" i="6"/>
  <c r="AQ18" i="6" s="1"/>
  <c r="AP18" i="6"/>
  <c r="AO18" i="6" s="1"/>
  <c r="AN18" i="6"/>
  <c r="AT18" i="6" s="1"/>
  <c r="AM18" i="6"/>
  <c r="AK18" i="6"/>
  <c r="AJ18" i="6"/>
  <c r="AI18" i="6"/>
  <c r="AH18" i="6" s="1"/>
  <c r="AG18" i="6"/>
  <c r="AD18" i="6"/>
  <c r="AC18" i="6"/>
  <c r="Z18" i="6"/>
  <c r="W18" i="6"/>
  <c r="V18" i="6" s="1"/>
  <c r="S18" i="6"/>
  <c r="U18" i="6" s="1"/>
  <c r="P18" i="6"/>
  <c r="O18" i="6"/>
  <c r="N18" i="6"/>
  <c r="M18" i="6" s="1"/>
  <c r="L18" i="6"/>
  <c r="R18" i="6" s="1"/>
  <c r="J18" i="6"/>
  <c r="CO17" i="6"/>
  <c r="CN17" i="6"/>
  <c r="CK17" i="6"/>
  <c r="CH17" i="6"/>
  <c r="CG17" i="6" s="1"/>
  <c r="CD17" i="6"/>
  <c r="CC17" i="6"/>
  <c r="CA17" i="6"/>
  <c r="BZ17" i="6"/>
  <c r="BY17" i="6"/>
  <c r="BX17" i="6" s="1"/>
  <c r="BW17" i="6"/>
  <c r="BT17" i="6"/>
  <c r="BS17" i="6" s="1"/>
  <c r="BP17" i="6"/>
  <c r="BR17" i="6" s="1"/>
  <c r="BO17" i="6"/>
  <c r="BM17" i="6"/>
  <c r="BL17" i="6" s="1"/>
  <c r="BI17" i="6"/>
  <c r="BK17" i="6" s="1"/>
  <c r="BJ17" i="6" s="1"/>
  <c r="BH17" i="6"/>
  <c r="BF17" i="6"/>
  <c r="BE17" i="6"/>
  <c r="BD17" i="6"/>
  <c r="BB17" i="6"/>
  <c r="AY17" i="6"/>
  <c r="AX17" i="6"/>
  <c r="AU17" i="6"/>
  <c r="AR17" i="6"/>
  <c r="AQ17" i="6"/>
  <c r="AN17" i="6"/>
  <c r="AP17" i="6" s="1"/>
  <c r="AL17" i="6"/>
  <c r="AG17" i="6"/>
  <c r="AF17" i="6"/>
  <c r="AD17" i="6"/>
  <c r="AC17" i="6" s="1"/>
  <c r="Z17" i="6"/>
  <c r="AB17" i="6" s="1"/>
  <c r="AA17" i="6" s="1"/>
  <c r="W17" i="6"/>
  <c r="V17" i="6"/>
  <c r="U17" i="6"/>
  <c r="T17" i="6" s="1"/>
  <c r="S17" i="6"/>
  <c r="Y17" i="6" s="1"/>
  <c r="R17" i="6"/>
  <c r="Q17" i="6"/>
  <c r="P17" i="6" s="1"/>
  <c r="L17" i="6"/>
  <c r="N17" i="6" s="1"/>
  <c r="CO16" i="6"/>
  <c r="CN16" i="6"/>
  <c r="CK16" i="6"/>
  <c r="CH16" i="6"/>
  <c r="CG16" i="6" s="1"/>
  <c r="CD16" i="6"/>
  <c r="CC16" i="6"/>
  <c r="CA16" i="6"/>
  <c r="BZ16" i="6"/>
  <c r="BW16" i="6"/>
  <c r="BY16" i="6" s="1"/>
  <c r="BX16" i="6" s="1"/>
  <c r="BV16" i="6"/>
  <c r="BT16" i="6"/>
  <c r="BS16" i="6" s="1"/>
  <c r="BP16" i="6"/>
  <c r="BR16" i="6" s="1"/>
  <c r="BQ16" i="6" s="1"/>
  <c r="BO16" i="6"/>
  <c r="BM16" i="6"/>
  <c r="BL16" i="6"/>
  <c r="BI16" i="6"/>
  <c r="BK16" i="6" s="1"/>
  <c r="BF16" i="6"/>
  <c r="BE16" i="6" s="1"/>
  <c r="BB16" i="6"/>
  <c r="BA16" i="6"/>
  <c r="AY16" i="6"/>
  <c r="AX16" i="6"/>
  <c r="AW16" i="6"/>
  <c r="AV16" i="6" s="1"/>
  <c r="AU16" i="6"/>
  <c r="AR16" i="6"/>
  <c r="AQ16" i="6"/>
  <c r="AN16" i="6"/>
  <c r="AM16" i="6"/>
  <c r="AL16" i="6"/>
  <c r="AK16" i="6"/>
  <c r="AJ16" i="6"/>
  <c r="AG16" i="6"/>
  <c r="AI16" i="6" s="1"/>
  <c r="AE16" i="6"/>
  <c r="AD16" i="6" s="1"/>
  <c r="Z16" i="6"/>
  <c r="X16" i="6"/>
  <c r="W16" i="6"/>
  <c r="U16" i="6"/>
  <c r="T16" i="6" s="1"/>
  <c r="S16" i="6"/>
  <c r="Y16" i="6" s="1"/>
  <c r="Q16" i="6"/>
  <c r="M16" i="6"/>
  <c r="L16" i="6"/>
  <c r="N16" i="6" s="1"/>
  <c r="CQ15" i="6"/>
  <c r="CO15" i="6"/>
  <c r="CN15" i="6"/>
  <c r="CK15" i="6"/>
  <c r="CM15" i="6" s="1"/>
  <c r="CH15" i="6"/>
  <c r="CG15" i="6" s="1"/>
  <c r="CF15" i="6"/>
  <c r="CD15" i="6"/>
  <c r="CA15" i="6"/>
  <c r="BZ15" i="6"/>
  <c r="BY15" i="6"/>
  <c r="BX15" i="6" s="1"/>
  <c r="BW15" i="6"/>
  <c r="CC15" i="6" s="1"/>
  <c r="BT15" i="6"/>
  <c r="BS15" i="6"/>
  <c r="BP15" i="6"/>
  <c r="BR15" i="6" s="1"/>
  <c r="BO15" i="6"/>
  <c r="BM15" i="6"/>
  <c r="BL15" i="6"/>
  <c r="BJ15" i="6"/>
  <c r="BI15" i="6"/>
  <c r="BK15" i="6" s="1"/>
  <c r="BF15" i="6"/>
  <c r="BE15" i="6"/>
  <c r="BD15" i="6"/>
  <c r="BC15" i="6" s="1"/>
  <c r="BB15" i="6"/>
  <c r="BH15" i="6" s="1"/>
  <c r="AY15" i="6"/>
  <c r="AX15" i="6"/>
  <c r="AU15" i="6"/>
  <c r="AW15" i="6" s="1"/>
  <c r="AR15" i="6"/>
  <c r="AQ15" i="6"/>
  <c r="AN15" i="6"/>
  <c r="AM15" i="6"/>
  <c r="AL15" i="6"/>
  <c r="AI15" i="6"/>
  <c r="AH15" i="6"/>
  <c r="AG15" i="6"/>
  <c r="AE15" i="6"/>
  <c r="AD15" i="6" s="1"/>
  <c r="Z15" i="6"/>
  <c r="X15" i="6"/>
  <c r="W15" i="6"/>
  <c r="V15" i="6"/>
  <c r="S15" i="6"/>
  <c r="E15" i="6" s="1"/>
  <c r="Q15" i="6"/>
  <c r="P15" i="6" s="1"/>
  <c r="M15" i="6"/>
  <c r="L15" i="6"/>
  <c r="N15" i="6" s="1"/>
  <c r="CO14" i="6"/>
  <c r="CN14" i="6"/>
  <c r="CK14" i="6"/>
  <c r="CH14" i="6"/>
  <c r="CG14" i="6" s="1"/>
  <c r="CF14" i="6"/>
  <c r="CE14" i="6" s="1"/>
  <c r="CD14" i="6"/>
  <c r="CJ14" i="6" s="1"/>
  <c r="CA14" i="6"/>
  <c r="BZ14" i="6"/>
  <c r="BY14" i="6"/>
  <c r="BW14" i="6"/>
  <c r="BT14" i="6"/>
  <c r="BS14" i="6"/>
  <c r="BQ14" i="6"/>
  <c r="BP14" i="6"/>
  <c r="BR14" i="6" s="1"/>
  <c r="BM14" i="6"/>
  <c r="BL14" i="6"/>
  <c r="BI14" i="6"/>
  <c r="BF14" i="6"/>
  <c r="BE14" i="6" s="1"/>
  <c r="BB14" i="6"/>
  <c r="BD14" i="6" s="1"/>
  <c r="AY14" i="6"/>
  <c r="AX14" i="6"/>
  <c r="AU14" i="6"/>
  <c r="BA14" i="6" s="1"/>
  <c r="AR14" i="6"/>
  <c r="AQ14" i="6" s="1"/>
  <c r="AN14" i="6"/>
  <c r="AT14" i="6" s="1"/>
  <c r="AM14" i="6"/>
  <c r="AL14" i="6"/>
  <c r="AK14" i="6" s="1"/>
  <c r="AJ14" i="6"/>
  <c r="AI14" i="6"/>
  <c r="AG14" i="6"/>
  <c r="AE14" i="6"/>
  <c r="Z14" i="6"/>
  <c r="B14" i="6" s="1"/>
  <c r="W14" i="6"/>
  <c r="V14" i="6"/>
  <c r="U14" i="6"/>
  <c r="T14" i="6" s="1"/>
  <c r="S14" i="6"/>
  <c r="Y14" i="6" s="1"/>
  <c r="Q14" i="6"/>
  <c r="P14" i="6"/>
  <c r="O14" i="6"/>
  <c r="N14" i="6"/>
  <c r="L14" i="6"/>
  <c r="J14" i="6"/>
  <c r="CO13" i="6"/>
  <c r="CN13" i="6" s="1"/>
  <c r="CK13" i="6"/>
  <c r="CH13" i="6"/>
  <c r="CG13" i="6" s="1"/>
  <c r="CD13" i="6"/>
  <c r="CF13" i="6" s="1"/>
  <c r="CA13" i="6"/>
  <c r="BZ13" i="6"/>
  <c r="BW13" i="6"/>
  <c r="BY13" i="6" s="1"/>
  <c r="BT13" i="6"/>
  <c r="BS13" i="6"/>
  <c r="BP13" i="6"/>
  <c r="BM13" i="6"/>
  <c r="BL13" i="6" s="1"/>
  <c r="BK13" i="6"/>
  <c r="BJ13" i="6" s="1"/>
  <c r="BI13" i="6"/>
  <c r="BO13" i="6" s="1"/>
  <c r="BF13" i="6"/>
  <c r="BE13" i="6" s="1"/>
  <c r="BB13" i="6"/>
  <c r="BH13" i="6" s="1"/>
  <c r="AY13" i="6"/>
  <c r="AX13" i="6" s="1"/>
  <c r="AU13" i="6"/>
  <c r="BA13" i="6" s="1"/>
  <c r="AR13" i="6"/>
  <c r="AQ13" i="6"/>
  <c r="AN13" i="6"/>
  <c r="AT13" i="6" s="1"/>
  <c r="AL13" i="6"/>
  <c r="AK13" i="6"/>
  <c r="AJ13" i="6"/>
  <c r="AG13" i="6"/>
  <c r="AM13" i="6" s="1"/>
  <c r="AE13" i="6"/>
  <c r="AD13" i="6"/>
  <c r="AC13" i="6"/>
  <c r="Z13" i="6"/>
  <c r="AB13" i="6" s="1"/>
  <c r="X13" i="6"/>
  <c r="W13" i="6" s="1"/>
  <c r="I13" i="6" s="1"/>
  <c r="V13" i="6"/>
  <c r="S13" i="6"/>
  <c r="Y13" i="6" s="1"/>
  <c r="Q13" i="6"/>
  <c r="P13" i="6"/>
  <c r="N13" i="6"/>
  <c r="L13" i="6"/>
  <c r="J13" i="6"/>
  <c r="CQ12" i="6"/>
  <c r="CO12" i="6"/>
  <c r="CN12" i="6" s="1"/>
  <c r="CM12" i="6"/>
  <c r="CL12" i="6" s="1"/>
  <c r="CK12" i="6"/>
  <c r="CH12" i="6"/>
  <c r="CG12" i="6"/>
  <c r="CD12" i="6"/>
  <c r="CF12" i="6" s="1"/>
  <c r="CC12" i="6"/>
  <c r="CA12" i="6"/>
  <c r="BZ12" i="6" s="1"/>
  <c r="BY12" i="6"/>
  <c r="BW12" i="6"/>
  <c r="BT12" i="6"/>
  <c r="BS12" i="6" s="1"/>
  <c r="BR12" i="6"/>
  <c r="BQ12" i="6" s="1"/>
  <c r="BP12" i="6"/>
  <c r="BV12" i="6" s="1"/>
  <c r="BM12" i="6"/>
  <c r="BL12" i="6" s="1"/>
  <c r="BI12" i="6"/>
  <c r="BK12" i="6" s="1"/>
  <c r="BH12" i="6"/>
  <c r="BF12" i="6"/>
  <c r="BE12" i="6"/>
  <c r="BD12" i="6"/>
  <c r="BB12" i="6"/>
  <c r="AY12" i="6"/>
  <c r="AX12" i="6"/>
  <c r="AU12" i="6"/>
  <c r="AR12" i="6"/>
  <c r="AQ12" i="6"/>
  <c r="AN12" i="6"/>
  <c r="AT12" i="6" s="1"/>
  <c r="AL12" i="6"/>
  <c r="AI12" i="6"/>
  <c r="AH12" i="6" s="1"/>
  <c r="AG12" i="6"/>
  <c r="AM12" i="6" s="1"/>
  <c r="AE12" i="6"/>
  <c r="AD12" i="6"/>
  <c r="AA12" i="6"/>
  <c r="Z12" i="6"/>
  <c r="AB12" i="6" s="1"/>
  <c r="W12" i="6"/>
  <c r="V12" i="6" s="1"/>
  <c r="U12" i="6"/>
  <c r="S12" i="6"/>
  <c r="Q12" i="6"/>
  <c r="J12" i="6" s="1"/>
  <c r="L12" i="6"/>
  <c r="R12" i="6" s="1"/>
  <c r="CO11" i="6"/>
  <c r="CN11" i="6"/>
  <c r="CK11" i="6"/>
  <c r="CQ11" i="6" s="1"/>
  <c r="CH11" i="6"/>
  <c r="CG11" i="6" s="1"/>
  <c r="CD11" i="6"/>
  <c r="CJ11" i="6" s="1"/>
  <c r="CA11" i="6"/>
  <c r="BZ11" i="6"/>
  <c r="BW11" i="6"/>
  <c r="BT11" i="6"/>
  <c r="BS11" i="6" s="1"/>
  <c r="BP11" i="6"/>
  <c r="BO11" i="6"/>
  <c r="BM11" i="6"/>
  <c r="BL11" i="6" s="1"/>
  <c r="BI11" i="6"/>
  <c r="BK11" i="6" s="1"/>
  <c r="BJ11" i="6" s="1"/>
  <c r="BF11" i="6"/>
  <c r="BE11" i="6" s="1"/>
  <c r="BD11" i="6"/>
  <c r="BC11" i="6" s="1"/>
  <c r="BB11" i="6"/>
  <c r="BH11" i="6" s="1"/>
  <c r="AY11" i="6"/>
  <c r="AX11" i="6"/>
  <c r="AU11" i="6"/>
  <c r="BA11" i="6" s="1"/>
  <c r="AR11" i="6"/>
  <c r="AQ11" i="6"/>
  <c r="AN11" i="6"/>
  <c r="AT11" i="6" s="1"/>
  <c r="AM11" i="6"/>
  <c r="AL11" i="6"/>
  <c r="J11" i="6" s="1"/>
  <c r="AG11" i="6"/>
  <c r="AI11" i="6" s="1"/>
  <c r="AD11" i="6"/>
  <c r="AC11" i="6"/>
  <c r="Z11" i="6"/>
  <c r="AF11" i="6" s="1"/>
  <c r="W11" i="6"/>
  <c r="V11" i="6"/>
  <c r="S11" i="6"/>
  <c r="Y11" i="6" s="1"/>
  <c r="P11" i="6"/>
  <c r="O11" i="6" s="1"/>
  <c r="M11" i="6"/>
  <c r="L11" i="6"/>
  <c r="N11" i="6" s="1"/>
  <c r="CO10" i="6"/>
  <c r="CN10" i="6" s="1"/>
  <c r="CK10" i="6"/>
  <c r="CM10" i="6" s="1"/>
  <c r="CJ10" i="6"/>
  <c r="CH10" i="6"/>
  <c r="CG10" i="6" s="1"/>
  <c r="CF10" i="6"/>
  <c r="CD10" i="6"/>
  <c r="CA10" i="6"/>
  <c r="BZ10" i="6"/>
  <c r="BW10" i="6"/>
  <c r="CC10" i="6" s="1"/>
  <c r="BT10" i="6"/>
  <c r="BS10" i="6"/>
  <c r="BP10" i="6"/>
  <c r="BV10" i="6" s="1"/>
  <c r="BM10" i="6"/>
  <c r="BL10" i="6" s="1"/>
  <c r="BJ10" i="6"/>
  <c r="BI10" i="6"/>
  <c r="BK10" i="6" s="1"/>
  <c r="BH10" i="6"/>
  <c r="BF10" i="6"/>
  <c r="BE10" i="6"/>
  <c r="BD10" i="6"/>
  <c r="BB10" i="6"/>
  <c r="AY10" i="6"/>
  <c r="AX10" i="6" s="1"/>
  <c r="AU10" i="6"/>
  <c r="AW10" i="6" s="1"/>
  <c r="AR10" i="6"/>
  <c r="AQ10" i="6"/>
  <c r="AN10" i="6"/>
  <c r="AT10" i="6" s="1"/>
  <c r="AL10" i="6"/>
  <c r="AG10" i="6"/>
  <c r="AM10" i="6" s="1"/>
  <c r="AF10" i="6"/>
  <c r="AE10" i="6"/>
  <c r="AD10" i="6" s="1"/>
  <c r="Z10" i="6"/>
  <c r="AB10" i="6" s="1"/>
  <c r="X10" i="6"/>
  <c r="W10" i="6" s="1"/>
  <c r="S10" i="6"/>
  <c r="R10" i="6"/>
  <c r="Q10" i="6"/>
  <c r="P10" i="6"/>
  <c r="O10" i="6"/>
  <c r="L10" i="6"/>
  <c r="N10" i="6" s="1"/>
  <c r="CQ9" i="6"/>
  <c r="CO9" i="6"/>
  <c r="CN9" i="6" s="1"/>
  <c r="CM9" i="6"/>
  <c r="CK9" i="6"/>
  <c r="CH9" i="6"/>
  <c r="CG9" i="6" s="1"/>
  <c r="CF9" i="6"/>
  <c r="CE9" i="6" s="1"/>
  <c r="CD9" i="6"/>
  <c r="CJ9" i="6" s="1"/>
  <c r="CA9" i="6"/>
  <c r="BZ9" i="6"/>
  <c r="BW9" i="6"/>
  <c r="CC9" i="6" s="1"/>
  <c r="BT9" i="6"/>
  <c r="BS9" i="6" s="1"/>
  <c r="BP9" i="6"/>
  <c r="BO9" i="6"/>
  <c r="BM9" i="6"/>
  <c r="BL9" i="6"/>
  <c r="BK9" i="6"/>
  <c r="BI9" i="6"/>
  <c r="BF9" i="6"/>
  <c r="BE9" i="6" s="1"/>
  <c r="BB9" i="6"/>
  <c r="BD9" i="6" s="1"/>
  <c r="AY9" i="6"/>
  <c r="AX9" i="6"/>
  <c r="AW9" i="6"/>
  <c r="AV9" i="6" s="1"/>
  <c r="AU9" i="6"/>
  <c r="BA9" i="6" s="1"/>
  <c r="AR9" i="6"/>
  <c r="AQ9" i="6" s="1"/>
  <c r="AO9" i="6"/>
  <c r="AN9" i="6"/>
  <c r="AP9" i="6" s="1"/>
  <c r="AK9" i="6"/>
  <c r="AJ9" i="6" s="1"/>
  <c r="AI9" i="6"/>
  <c r="AG9" i="6"/>
  <c r="AE9" i="6"/>
  <c r="AF9" i="6" s="1"/>
  <c r="Z9" i="6"/>
  <c r="AB9" i="6" s="1"/>
  <c r="AA9" i="6" s="1"/>
  <c r="X9" i="6"/>
  <c r="W9" i="6"/>
  <c r="V9" i="6"/>
  <c r="U9" i="6"/>
  <c r="T9" i="6" s="1"/>
  <c r="S9" i="6"/>
  <c r="Y9" i="6" s="1"/>
  <c r="Q9" i="6"/>
  <c r="P9" i="6"/>
  <c r="O9" i="6"/>
  <c r="L9" i="6"/>
  <c r="CO8" i="6"/>
  <c r="CN8" i="6" s="1"/>
  <c r="CK8" i="6"/>
  <c r="CQ8" i="6" s="1"/>
  <c r="CH8" i="6"/>
  <c r="CG8" i="6"/>
  <c r="CD8" i="6"/>
  <c r="CJ8" i="6" s="1"/>
  <c r="CA8" i="6"/>
  <c r="BZ8" i="6"/>
  <c r="BW8" i="6"/>
  <c r="CC8" i="6" s="1"/>
  <c r="BV8" i="6"/>
  <c r="BT8" i="6"/>
  <c r="BS8" i="6" s="1"/>
  <c r="BR8" i="6"/>
  <c r="BQ8" i="6" s="1"/>
  <c r="BP8" i="6"/>
  <c r="BM8" i="6"/>
  <c r="BL8" i="6"/>
  <c r="BI8" i="6"/>
  <c r="BF8" i="6"/>
  <c r="BE8" i="6"/>
  <c r="BB8" i="6"/>
  <c r="BD8" i="6" s="1"/>
  <c r="BA8" i="6"/>
  <c r="AY8" i="6"/>
  <c r="AX8" i="6"/>
  <c r="AU8" i="6"/>
  <c r="AR8" i="6"/>
  <c r="AQ8" i="6"/>
  <c r="AP8" i="6"/>
  <c r="AO8" i="6" s="1"/>
  <c r="AN8" i="6"/>
  <c r="AT8" i="6" s="1"/>
  <c r="AK8" i="6"/>
  <c r="AJ8" i="6" s="1"/>
  <c r="AG8" i="6"/>
  <c r="AM8" i="6" s="1"/>
  <c r="AD8" i="6"/>
  <c r="AC8" i="6"/>
  <c r="Z8" i="6"/>
  <c r="AF8" i="6" s="1"/>
  <c r="W8" i="6"/>
  <c r="V8" i="6"/>
  <c r="S8" i="6"/>
  <c r="P8" i="6"/>
  <c r="O8" i="6" s="1"/>
  <c r="H8" i="6" s="1"/>
  <c r="L8" i="6"/>
  <c r="R8" i="6" s="1"/>
  <c r="J8" i="6"/>
  <c r="I8" i="6"/>
  <c r="CO7" i="6"/>
  <c r="CN7" i="6" s="1"/>
  <c r="CK7" i="6"/>
  <c r="CQ7" i="6" s="1"/>
  <c r="CH7" i="6"/>
  <c r="CG7" i="6"/>
  <c r="CD7" i="6"/>
  <c r="CJ7" i="6" s="1"/>
  <c r="CC7" i="6"/>
  <c r="CA7" i="6"/>
  <c r="BZ7" i="6"/>
  <c r="BW7" i="6"/>
  <c r="BY7" i="6" s="1"/>
  <c r="BV7" i="6"/>
  <c r="BT7" i="6"/>
  <c r="BS7" i="6" s="1"/>
  <c r="BP7" i="6"/>
  <c r="BM7" i="6"/>
  <c r="BL7" i="6"/>
  <c r="BI7" i="6"/>
  <c r="BK7" i="6" s="1"/>
  <c r="BF7" i="6"/>
  <c r="BE7" i="6"/>
  <c r="BD7" i="6"/>
  <c r="BB7" i="6"/>
  <c r="BH7" i="6" s="1"/>
  <c r="AY7" i="6"/>
  <c r="AX7" i="6"/>
  <c r="AW7" i="6"/>
  <c r="AV7" i="6"/>
  <c r="AU7" i="6"/>
  <c r="BA7" i="6" s="1"/>
  <c r="AR7" i="6"/>
  <c r="AQ7" i="6"/>
  <c r="AN7" i="6"/>
  <c r="AL7" i="6"/>
  <c r="J7" i="6" s="1"/>
  <c r="AK7" i="6"/>
  <c r="AI7" i="6"/>
  <c r="AG7" i="6"/>
  <c r="AF7" i="6"/>
  <c r="AD7" i="6"/>
  <c r="AC7" i="6" s="1"/>
  <c r="AB7" i="6"/>
  <c r="AA7" i="6" s="1"/>
  <c r="Z7" i="6"/>
  <c r="W7" i="6"/>
  <c r="V7" i="6"/>
  <c r="S7" i="6"/>
  <c r="Y7" i="6" s="1"/>
  <c r="R7" i="6"/>
  <c r="P7" i="6"/>
  <c r="O7" i="6" s="1"/>
  <c r="L7" i="6"/>
  <c r="N7" i="6" s="1"/>
  <c r="I7" i="6"/>
  <c r="CO6" i="6"/>
  <c r="CN6" i="6" s="1"/>
  <c r="CK6" i="6"/>
  <c r="CM6" i="6" s="1"/>
  <c r="CJ6" i="6"/>
  <c r="CH6" i="6"/>
  <c r="CG6" i="6" s="1"/>
  <c r="CD6" i="6"/>
  <c r="CA6" i="6"/>
  <c r="BZ6" i="6" s="1"/>
  <c r="BY6" i="6"/>
  <c r="BX6" i="6"/>
  <c r="BW6" i="6"/>
  <c r="CC6" i="6" s="1"/>
  <c r="BT6" i="6"/>
  <c r="BS6" i="6"/>
  <c r="BP6" i="6"/>
  <c r="BV6" i="6" s="1"/>
  <c r="BM6" i="6"/>
  <c r="BL6" i="6" s="1"/>
  <c r="BI6" i="6"/>
  <c r="BK6" i="6" s="1"/>
  <c r="BH6" i="6"/>
  <c r="BF6" i="6"/>
  <c r="BE6" i="6"/>
  <c r="BD6" i="6"/>
  <c r="BB6" i="6"/>
  <c r="AY6" i="6"/>
  <c r="AX6" i="6" s="1"/>
  <c r="AU6" i="6"/>
  <c r="AW6" i="6" s="1"/>
  <c r="AR6" i="6"/>
  <c r="AQ6" i="6"/>
  <c r="AP6" i="6"/>
  <c r="AO6" i="6" s="1"/>
  <c r="AN6" i="6"/>
  <c r="AT6" i="6" s="1"/>
  <c r="AK6" i="6"/>
  <c r="AJ6" i="6" s="1"/>
  <c r="AG6" i="6"/>
  <c r="AI6" i="6" s="1"/>
  <c r="AF6" i="6"/>
  <c r="AD6" i="6"/>
  <c r="AC6" i="6" s="1"/>
  <c r="AB6" i="6"/>
  <c r="Z6" i="6"/>
  <c r="X6" i="6"/>
  <c r="J6" i="6" s="1"/>
  <c r="U6" i="6"/>
  <c r="T6" i="6" s="1"/>
  <c r="S6" i="6"/>
  <c r="P6" i="6"/>
  <c r="O6" i="6"/>
  <c r="N6" i="6"/>
  <c r="G6" i="6" s="1"/>
  <c r="L6" i="6"/>
  <c r="CO5" i="6"/>
  <c r="CN5" i="6" s="1"/>
  <c r="CK5" i="6"/>
  <c r="CQ5" i="6" s="1"/>
  <c r="CH5" i="6"/>
  <c r="CG5" i="6"/>
  <c r="CF5" i="6"/>
  <c r="CE5" i="6" s="1"/>
  <c r="CD5" i="6"/>
  <c r="CJ5" i="6" s="1"/>
  <c r="CA5" i="6"/>
  <c r="BZ5" i="6"/>
  <c r="BW5" i="6"/>
  <c r="BT5" i="6"/>
  <c r="BS5" i="6" s="1"/>
  <c r="BP5" i="6"/>
  <c r="BV5" i="6" s="1"/>
  <c r="BM5" i="6"/>
  <c r="BL5" i="6"/>
  <c r="BI5" i="6"/>
  <c r="BO5" i="6" s="1"/>
  <c r="BF5" i="6"/>
  <c r="BE5" i="6"/>
  <c r="BB5" i="6"/>
  <c r="BD5" i="6" s="1"/>
  <c r="BC5" i="6" s="1"/>
  <c r="BA5" i="6"/>
  <c r="AY5" i="6"/>
  <c r="AX5" i="6" s="1"/>
  <c r="AU5" i="6"/>
  <c r="AR5" i="6"/>
  <c r="AQ5" i="6"/>
  <c r="AN5" i="6"/>
  <c r="AT5" i="6" s="1"/>
  <c r="AL5" i="6"/>
  <c r="AG5" i="6"/>
  <c r="AM5" i="6" s="1"/>
  <c r="AE5" i="6"/>
  <c r="AD5" i="6"/>
  <c r="AC5" i="6" s="1"/>
  <c r="Z5" i="6"/>
  <c r="AF5" i="6" s="1"/>
  <c r="X5" i="6"/>
  <c r="W5" i="6"/>
  <c r="V5" i="6"/>
  <c r="U5" i="6"/>
  <c r="S5" i="6"/>
  <c r="Y5" i="6" s="1"/>
  <c r="Q5" i="6"/>
  <c r="L5" i="6"/>
  <c r="R5" i="6" s="1"/>
  <c r="CO4" i="6"/>
  <c r="CN4" i="6"/>
  <c r="CK4" i="6"/>
  <c r="CQ4" i="6" s="1"/>
  <c r="CJ4" i="6"/>
  <c r="CH4" i="6"/>
  <c r="CG4" i="6" s="1"/>
  <c r="CD4" i="6"/>
  <c r="CA4" i="6"/>
  <c r="BZ4" i="6"/>
  <c r="BY4" i="6"/>
  <c r="BX4" i="6" s="1"/>
  <c r="BW4" i="6"/>
  <c r="CC4" i="6" s="1"/>
  <c r="BT4" i="6"/>
  <c r="BP4" i="6"/>
  <c r="BM4" i="6"/>
  <c r="BL4" i="6"/>
  <c r="BI4" i="6"/>
  <c r="BO4" i="6" s="1"/>
  <c r="BF4" i="6"/>
  <c r="BF55" i="6" s="1"/>
  <c r="BF58" i="6" s="1"/>
  <c r="BB4" i="6"/>
  <c r="AY4" i="6"/>
  <c r="AU4" i="6"/>
  <c r="BA4" i="6" s="1"/>
  <c r="AR4" i="6"/>
  <c r="AR55" i="6" s="1"/>
  <c r="AR58" i="6" s="1"/>
  <c r="AP4" i="6"/>
  <c r="AO4" i="6" s="1"/>
  <c r="AN4" i="6"/>
  <c r="AG4" i="6"/>
  <c r="Z4" i="6"/>
  <c r="S4" i="6"/>
  <c r="L4" i="6"/>
  <c r="CQ82" i="5"/>
  <c r="CJ82" i="5"/>
  <c r="CC82" i="5"/>
  <c r="BV82" i="5"/>
  <c r="BO82" i="5"/>
  <c r="BH82" i="5"/>
  <c r="BA82" i="5"/>
  <c r="AT82" i="5"/>
  <c r="Y74" i="5"/>
  <c r="Y73" i="5"/>
  <c r="Y72" i="5"/>
  <c r="AM71" i="5"/>
  <c r="AF71" i="5"/>
  <c r="Y71" i="5"/>
  <c r="R71" i="5"/>
  <c r="AM70" i="5"/>
  <c r="AF70" i="5"/>
  <c r="R70" i="5"/>
  <c r="AM69" i="5"/>
  <c r="AF69" i="5"/>
  <c r="R69" i="5"/>
  <c r="R68" i="5"/>
  <c r="AM67" i="5"/>
  <c r="Y67" i="5"/>
  <c r="R67" i="5"/>
  <c r="AM66" i="5"/>
  <c r="AF66" i="5"/>
  <c r="Y66" i="5"/>
  <c r="R66" i="5"/>
  <c r="AM65" i="5"/>
  <c r="Y65" i="5"/>
  <c r="R65" i="5"/>
  <c r="AF64" i="5"/>
  <c r="Y64" i="5"/>
  <c r="R64" i="5"/>
  <c r="AM63" i="5"/>
  <c r="AF63" i="5"/>
  <c r="R63" i="5"/>
  <c r="Y62" i="5"/>
  <c r="R62" i="5"/>
  <c r="R82" i="5" s="1"/>
  <c r="AM61" i="5"/>
  <c r="AF61" i="5"/>
  <c r="Y61" i="5"/>
  <c r="Y82" i="5" s="1"/>
  <c r="R61" i="5"/>
  <c r="BN59" i="5"/>
  <c r="BG59" i="5"/>
  <c r="CP58" i="5"/>
  <c r="CI58" i="5"/>
  <c r="CI59" i="5" s="1"/>
  <c r="CB58" i="5"/>
  <c r="CB59" i="5" s="1"/>
  <c r="BU58" i="5"/>
  <c r="BU59" i="5" s="1"/>
  <c r="CQ57" i="5"/>
  <c r="CO57" i="5"/>
  <c r="CN57" i="5"/>
  <c r="CM57" i="5"/>
  <c r="CK57" i="5"/>
  <c r="CH57" i="5"/>
  <c r="CG57" i="5"/>
  <c r="CD57" i="5"/>
  <c r="CJ57" i="5" s="1"/>
  <c r="CA57" i="5"/>
  <c r="BZ57" i="5" s="1"/>
  <c r="BW57" i="5"/>
  <c r="BV57" i="5"/>
  <c r="BT57" i="5"/>
  <c r="BS57" i="5" s="1"/>
  <c r="BP57" i="5"/>
  <c r="BO57" i="5"/>
  <c r="BM57" i="5"/>
  <c r="BL57" i="5" s="1"/>
  <c r="BI57" i="5"/>
  <c r="BF57" i="5"/>
  <c r="BE57" i="5"/>
  <c r="BB57" i="5"/>
  <c r="AY57" i="5"/>
  <c r="AX57" i="5" s="1"/>
  <c r="AU57" i="5"/>
  <c r="AT57" i="5"/>
  <c r="AR57" i="5"/>
  <c r="AQ57" i="5" s="1"/>
  <c r="AP57" i="5"/>
  <c r="AN57" i="5"/>
  <c r="AK57" i="5"/>
  <c r="AJ57" i="5" s="1"/>
  <c r="AG57" i="5"/>
  <c r="AM57" i="5" s="1"/>
  <c r="AD57" i="5"/>
  <c r="AC57" i="5"/>
  <c r="Z57" i="5"/>
  <c r="X57" i="5"/>
  <c r="W57" i="5" s="1"/>
  <c r="I57" i="5" s="1"/>
  <c r="U57" i="5"/>
  <c r="T57" i="5" s="1"/>
  <c r="S57" i="5"/>
  <c r="Y57" i="5" s="1"/>
  <c r="P57" i="5"/>
  <c r="O57" i="5"/>
  <c r="L57" i="5"/>
  <c r="J57" i="5"/>
  <c r="CQ56" i="5"/>
  <c r="CO56" i="5"/>
  <c r="CN56" i="5"/>
  <c r="CK56" i="5"/>
  <c r="CH56" i="5"/>
  <c r="CG56" i="5"/>
  <c r="CF56" i="5"/>
  <c r="CE56" i="5"/>
  <c r="CD56" i="5"/>
  <c r="CJ56" i="5" s="1"/>
  <c r="CA56" i="5"/>
  <c r="BZ56" i="5"/>
  <c r="BW56" i="5"/>
  <c r="CC56" i="5" s="1"/>
  <c r="BT56" i="5"/>
  <c r="BS56" i="5"/>
  <c r="BR56" i="5"/>
  <c r="BQ56" i="5" s="1"/>
  <c r="BP56" i="5"/>
  <c r="BV56" i="5" s="1"/>
  <c r="BM56" i="5"/>
  <c r="BL56" i="5"/>
  <c r="BI56" i="5"/>
  <c r="BO56" i="5" s="1"/>
  <c r="BH56" i="5"/>
  <c r="BF56" i="5"/>
  <c r="BE56" i="5" s="1"/>
  <c r="BD56" i="5"/>
  <c r="BB56" i="5"/>
  <c r="BC56" i="5" s="1"/>
  <c r="AY56" i="5"/>
  <c r="AX56" i="5"/>
  <c r="AW56" i="5"/>
  <c r="AV56" i="5"/>
  <c r="AU56" i="5"/>
  <c r="BA56" i="5" s="1"/>
  <c r="AR56" i="5"/>
  <c r="AQ56" i="5"/>
  <c r="AN56" i="5"/>
  <c r="AT56" i="5" s="1"/>
  <c r="AL56" i="5"/>
  <c r="AJ56" i="5" s="1"/>
  <c r="AK56" i="5"/>
  <c r="AH56" i="5"/>
  <c r="AG56" i="5"/>
  <c r="AI56" i="5" s="1"/>
  <c r="AE56" i="5"/>
  <c r="Z56" i="5"/>
  <c r="W56" i="5"/>
  <c r="V56" i="5"/>
  <c r="S56" i="5"/>
  <c r="Y56" i="5" s="1"/>
  <c r="P56" i="5"/>
  <c r="O56" i="5"/>
  <c r="N56" i="5"/>
  <c r="M56" i="5"/>
  <c r="L56" i="5"/>
  <c r="CP55" i="5"/>
  <c r="CI55" i="5"/>
  <c r="CB55" i="5"/>
  <c r="BU55" i="5"/>
  <c r="BN55" i="5"/>
  <c r="BN58" i="5" s="1"/>
  <c r="BG55" i="5"/>
  <c r="BG58" i="5" s="1"/>
  <c r="AZ55" i="5"/>
  <c r="AS55" i="5"/>
  <c r="AS58" i="5" s="1"/>
  <c r="AS59" i="5" s="1"/>
  <c r="CO54" i="5"/>
  <c r="CN54" i="5"/>
  <c r="CM54" i="5"/>
  <c r="CK54" i="5"/>
  <c r="CQ54" i="5" s="1"/>
  <c r="CH54" i="5"/>
  <c r="CG54" i="5"/>
  <c r="CD54" i="5"/>
  <c r="CA54" i="5"/>
  <c r="BZ54" i="5" s="1"/>
  <c r="BY54" i="5"/>
  <c r="BX54" i="5"/>
  <c r="BW54" i="5"/>
  <c r="CC54" i="5" s="1"/>
  <c r="BT54" i="5"/>
  <c r="BS54" i="5"/>
  <c r="BR54" i="5"/>
  <c r="BP54" i="5"/>
  <c r="BV54" i="5" s="1"/>
  <c r="BM54" i="5"/>
  <c r="BL54" i="5"/>
  <c r="BI54" i="5"/>
  <c r="BO54" i="5" s="1"/>
  <c r="BH54" i="5"/>
  <c r="BF54" i="5"/>
  <c r="BE54" i="5"/>
  <c r="BB54" i="5"/>
  <c r="BA54" i="5"/>
  <c r="AY54" i="5"/>
  <c r="AX54" i="5" s="1"/>
  <c r="AW54" i="5"/>
  <c r="AV54" i="5"/>
  <c r="AU54" i="5"/>
  <c r="AR54" i="5"/>
  <c r="AQ54" i="5"/>
  <c r="AN54" i="5"/>
  <c r="AT54" i="5" s="1"/>
  <c r="AK54" i="5"/>
  <c r="AJ54" i="5"/>
  <c r="AG54" i="5"/>
  <c r="AM54" i="5" s="1"/>
  <c r="AD54" i="5"/>
  <c r="AC54" i="5" s="1"/>
  <c r="Z54" i="5"/>
  <c r="Y54" i="5"/>
  <c r="W54" i="5"/>
  <c r="V54" i="5"/>
  <c r="U54" i="5"/>
  <c r="T54" i="5" s="1"/>
  <c r="S54" i="5"/>
  <c r="P54" i="5"/>
  <c r="O54" i="5"/>
  <c r="L54" i="5"/>
  <c r="N54" i="5" s="1"/>
  <c r="J54" i="5"/>
  <c r="CO53" i="5"/>
  <c r="CN53" i="5"/>
  <c r="CM53" i="5"/>
  <c r="CL53" i="5"/>
  <c r="CK53" i="5"/>
  <c r="CQ53" i="5" s="1"/>
  <c r="CH53" i="5"/>
  <c r="CG53" i="5"/>
  <c r="CD53" i="5"/>
  <c r="CC53" i="5"/>
  <c r="CA53" i="5"/>
  <c r="BZ53" i="5"/>
  <c r="BW53" i="5"/>
  <c r="BT53" i="5"/>
  <c r="BS53" i="5"/>
  <c r="BR53" i="5"/>
  <c r="BP53" i="5"/>
  <c r="BV53" i="5" s="1"/>
  <c r="BM53" i="5"/>
  <c r="BL53" i="5"/>
  <c r="BI53" i="5"/>
  <c r="BO53" i="5" s="1"/>
  <c r="BF53" i="5"/>
  <c r="BE53" i="5"/>
  <c r="BD53" i="5"/>
  <c r="BB53" i="5"/>
  <c r="BH53" i="5" s="1"/>
  <c r="AY53" i="5"/>
  <c r="AX53" i="5"/>
  <c r="AU53" i="5"/>
  <c r="AT53" i="5"/>
  <c r="AR53" i="5"/>
  <c r="AQ53" i="5" s="1"/>
  <c r="AP53" i="5"/>
  <c r="AO53" i="5"/>
  <c r="AN53" i="5"/>
  <c r="AK53" i="5"/>
  <c r="AJ53" i="5"/>
  <c r="AG53" i="5"/>
  <c r="AM53" i="5" s="1"/>
  <c r="AD53" i="5"/>
  <c r="AC53" i="5"/>
  <c r="Z53" i="5"/>
  <c r="AB53" i="5" s="1"/>
  <c r="X53" i="5"/>
  <c r="W53" i="5" s="1"/>
  <c r="S53" i="5"/>
  <c r="U53" i="5" s="1"/>
  <c r="R53" i="5"/>
  <c r="P53" i="5"/>
  <c r="L53" i="5"/>
  <c r="N53" i="5" s="1"/>
  <c r="J53" i="5"/>
  <c r="CQ52" i="5"/>
  <c r="CO52" i="5"/>
  <c r="CN52" i="5" s="1"/>
  <c r="CK52" i="5"/>
  <c r="CM52" i="5" s="1"/>
  <c r="CJ52" i="5"/>
  <c r="CH52" i="5"/>
  <c r="CG52" i="5" s="1"/>
  <c r="CD52" i="5"/>
  <c r="CF52" i="5" s="1"/>
  <c r="CE52" i="5" s="1"/>
  <c r="CA52" i="5"/>
  <c r="BZ52" i="5"/>
  <c r="BW52" i="5"/>
  <c r="CC52" i="5" s="1"/>
  <c r="BT52" i="5"/>
  <c r="BS52" i="5" s="1"/>
  <c r="BP52" i="5"/>
  <c r="BO52" i="5"/>
  <c r="BM52" i="5"/>
  <c r="BL52" i="5" s="1"/>
  <c r="BI52" i="5"/>
  <c r="BK52" i="5" s="1"/>
  <c r="BH52" i="5"/>
  <c r="BF52" i="5"/>
  <c r="BE52" i="5" s="1"/>
  <c r="BB52" i="5"/>
  <c r="AY52" i="5"/>
  <c r="AX52" i="5"/>
  <c r="AU52" i="5"/>
  <c r="AR52" i="5"/>
  <c r="AQ52" i="5" s="1"/>
  <c r="AN52" i="5"/>
  <c r="AK52" i="5"/>
  <c r="AJ52" i="5" s="1"/>
  <c r="AG52" i="5"/>
  <c r="AF52" i="5"/>
  <c r="AD52" i="5"/>
  <c r="AC52" i="5"/>
  <c r="Z52" i="5"/>
  <c r="W52" i="5"/>
  <c r="V52" i="5"/>
  <c r="U52" i="5"/>
  <c r="T52" i="5"/>
  <c r="S52" i="5"/>
  <c r="Y52" i="5" s="1"/>
  <c r="Q52" i="5"/>
  <c r="P52" i="5" s="1"/>
  <c r="L52" i="5"/>
  <c r="J52" i="5"/>
  <c r="CO51" i="5"/>
  <c r="CN51" i="5"/>
  <c r="CK51" i="5"/>
  <c r="CQ51" i="5" s="1"/>
  <c r="CH51" i="5"/>
  <c r="CG51" i="5" s="1"/>
  <c r="CD51" i="5"/>
  <c r="CA51" i="5"/>
  <c r="BZ51" i="5"/>
  <c r="BW51" i="5"/>
  <c r="CC51" i="5" s="1"/>
  <c r="BT51" i="5"/>
  <c r="BS51" i="5"/>
  <c r="BR51" i="5"/>
  <c r="BP51" i="5"/>
  <c r="BV51" i="5" s="1"/>
  <c r="BM51" i="5"/>
  <c r="BL51" i="5"/>
  <c r="BI51" i="5"/>
  <c r="BO51" i="5" s="1"/>
  <c r="BF51" i="5"/>
  <c r="BE51" i="5" s="1"/>
  <c r="BB51" i="5"/>
  <c r="AY51" i="5"/>
  <c r="AX51" i="5"/>
  <c r="AU51" i="5"/>
  <c r="BA51" i="5" s="1"/>
  <c r="AR51" i="5"/>
  <c r="AQ51" i="5"/>
  <c r="AN51" i="5"/>
  <c r="AT51" i="5" s="1"/>
  <c r="AL51" i="5"/>
  <c r="AK51" i="5"/>
  <c r="AJ51" i="5"/>
  <c r="AG51" i="5"/>
  <c r="AI51" i="5" s="1"/>
  <c r="AE51" i="5"/>
  <c r="Z51" i="5"/>
  <c r="Y51" i="5"/>
  <c r="X51" i="5"/>
  <c r="W51" i="5"/>
  <c r="S51" i="5"/>
  <c r="Q51" i="5"/>
  <c r="P51" i="5"/>
  <c r="L51" i="5"/>
  <c r="CO50" i="5"/>
  <c r="CN50" i="5"/>
  <c r="CK50" i="5"/>
  <c r="CH50" i="5"/>
  <c r="CG50" i="5" s="1"/>
  <c r="CF50" i="5"/>
  <c r="CD50" i="5"/>
  <c r="CJ50" i="5" s="1"/>
  <c r="CA50" i="5"/>
  <c r="BZ50" i="5"/>
  <c r="BW50" i="5"/>
  <c r="CC50" i="5" s="1"/>
  <c r="BV50" i="5"/>
  <c r="BT50" i="5"/>
  <c r="BS50" i="5"/>
  <c r="BP50" i="5"/>
  <c r="BR50" i="5" s="1"/>
  <c r="BM50" i="5"/>
  <c r="BL50" i="5"/>
  <c r="BI50" i="5"/>
  <c r="BH50" i="5"/>
  <c r="BF50" i="5"/>
  <c r="BE50" i="5"/>
  <c r="BD50" i="5"/>
  <c r="BB50" i="5"/>
  <c r="BC50" i="5" s="1"/>
  <c r="AY50" i="5"/>
  <c r="AX50" i="5" s="1"/>
  <c r="AW50" i="5"/>
  <c r="AV50" i="5"/>
  <c r="AU50" i="5"/>
  <c r="BA50" i="5" s="1"/>
  <c r="AR50" i="5"/>
  <c r="AQ50" i="5"/>
  <c r="AP50" i="5"/>
  <c r="AO50" i="5" s="1"/>
  <c r="AN50" i="5"/>
  <c r="AT50" i="5" s="1"/>
  <c r="AL50" i="5"/>
  <c r="AK50" i="5"/>
  <c r="AI50" i="5"/>
  <c r="AH50" i="5" s="1"/>
  <c r="AG50" i="5"/>
  <c r="AM50" i="5" s="1"/>
  <c r="AF50" i="5"/>
  <c r="AE50" i="5"/>
  <c r="AD50" i="5"/>
  <c r="Z50" i="5"/>
  <c r="X50" i="5"/>
  <c r="S50" i="5"/>
  <c r="E50" i="5" s="1"/>
  <c r="Q50" i="5"/>
  <c r="P50" i="5"/>
  <c r="O50" i="5"/>
  <c r="N50" i="5"/>
  <c r="M50" i="5" s="1"/>
  <c r="L50" i="5"/>
  <c r="CQ49" i="5"/>
  <c r="CO49" i="5"/>
  <c r="CN49" i="5" s="1"/>
  <c r="CM49" i="5"/>
  <c r="CL49" i="5"/>
  <c r="CK49" i="5"/>
  <c r="CH49" i="5"/>
  <c r="CG49" i="5"/>
  <c r="CD49" i="5"/>
  <c r="CJ49" i="5" s="1"/>
  <c r="CA49" i="5"/>
  <c r="BZ49" i="5"/>
  <c r="BW49" i="5"/>
  <c r="BV49" i="5"/>
  <c r="BT49" i="5"/>
  <c r="BS49" i="5" s="1"/>
  <c r="BP49" i="5"/>
  <c r="BR49" i="5" s="1"/>
  <c r="BO49" i="5"/>
  <c r="BM49" i="5"/>
  <c r="BL49" i="5"/>
  <c r="BK49" i="5"/>
  <c r="BJ49" i="5" s="1"/>
  <c r="BI49" i="5"/>
  <c r="BF49" i="5"/>
  <c r="BE49" i="5" s="1"/>
  <c r="BB49" i="5"/>
  <c r="AY49" i="5"/>
  <c r="AX49" i="5"/>
  <c r="AU49" i="5"/>
  <c r="BA49" i="5" s="1"/>
  <c r="AR49" i="5"/>
  <c r="AQ49" i="5"/>
  <c r="AN49" i="5"/>
  <c r="AG49" i="5"/>
  <c r="AB49" i="5"/>
  <c r="AA49" i="5"/>
  <c r="Z49" i="5"/>
  <c r="X49" i="5"/>
  <c r="W49" i="5" s="1"/>
  <c r="V49" i="5" s="1"/>
  <c r="S49" i="5"/>
  <c r="Q49" i="5"/>
  <c r="P49" i="5" s="1"/>
  <c r="L49" i="5"/>
  <c r="N49" i="5" s="1"/>
  <c r="CO48" i="5"/>
  <c r="CN48" i="5" s="1"/>
  <c r="CK48" i="5"/>
  <c r="CQ48" i="5" s="1"/>
  <c r="CH48" i="5"/>
  <c r="CG48" i="5"/>
  <c r="CD48" i="5"/>
  <c r="CA48" i="5"/>
  <c r="BZ48" i="5"/>
  <c r="BW48" i="5"/>
  <c r="BY48" i="5" s="1"/>
  <c r="BV48" i="5"/>
  <c r="BT48" i="5"/>
  <c r="BS48" i="5" s="1"/>
  <c r="BR48" i="5"/>
  <c r="BQ48" i="5"/>
  <c r="BP48" i="5"/>
  <c r="BM48" i="5"/>
  <c r="BL48" i="5"/>
  <c r="BI48" i="5"/>
  <c r="BO48" i="5" s="1"/>
  <c r="BH48" i="5"/>
  <c r="BF48" i="5"/>
  <c r="BE48" i="5"/>
  <c r="BC48" i="5"/>
  <c r="BB48" i="5"/>
  <c r="BD48" i="5" s="1"/>
  <c r="AY48" i="5"/>
  <c r="AX48" i="5" s="1"/>
  <c r="AV48" i="5"/>
  <c r="AU48" i="5"/>
  <c r="AW48" i="5" s="1"/>
  <c r="AT48" i="5"/>
  <c r="AR48" i="5"/>
  <c r="AQ48" i="5" s="1"/>
  <c r="AP48" i="5"/>
  <c r="AN48" i="5"/>
  <c r="AO48" i="5" s="1"/>
  <c r="AM48" i="5"/>
  <c r="AL48" i="5"/>
  <c r="AK48" i="5"/>
  <c r="AJ48" i="5"/>
  <c r="AG48" i="5"/>
  <c r="AE48" i="5"/>
  <c r="AD48" i="5"/>
  <c r="Z48" i="5"/>
  <c r="Y48" i="5"/>
  <c r="X48" i="5"/>
  <c r="W48" i="5"/>
  <c r="V48" i="5"/>
  <c r="S48" i="5"/>
  <c r="Q48" i="5"/>
  <c r="L48" i="5"/>
  <c r="N48" i="5" s="1"/>
  <c r="M48" i="5" s="1"/>
  <c r="CO47" i="5"/>
  <c r="CN47" i="5"/>
  <c r="CK47" i="5"/>
  <c r="CH47" i="5"/>
  <c r="CG47" i="5"/>
  <c r="CD47" i="5"/>
  <c r="CA47" i="5"/>
  <c r="BZ47" i="5"/>
  <c r="BY47" i="5"/>
  <c r="BX47" i="5"/>
  <c r="BW47" i="5"/>
  <c r="CC47" i="5" s="1"/>
  <c r="BT47" i="5"/>
  <c r="BS47" i="5"/>
  <c r="BR47" i="5"/>
  <c r="BQ47" i="5"/>
  <c r="BP47" i="5"/>
  <c r="BV47" i="5" s="1"/>
  <c r="BM47" i="5"/>
  <c r="BL47" i="5"/>
  <c r="BK47" i="5"/>
  <c r="BI47" i="5"/>
  <c r="BO47" i="5" s="1"/>
  <c r="BF47" i="5"/>
  <c r="BE47" i="5"/>
  <c r="BB47" i="5"/>
  <c r="BA47" i="5"/>
  <c r="AY47" i="5"/>
  <c r="AX47" i="5"/>
  <c r="AW47" i="5"/>
  <c r="AU47" i="5"/>
  <c r="AR47" i="5"/>
  <c r="AQ47" i="5"/>
  <c r="AN47" i="5"/>
  <c r="AK47" i="5"/>
  <c r="AJ47" i="5"/>
  <c r="AG47" i="5"/>
  <c r="AM47" i="5" s="1"/>
  <c r="AD47" i="5"/>
  <c r="AC47" i="5" s="1"/>
  <c r="AA47" i="5"/>
  <c r="Z47" i="5"/>
  <c r="AB47" i="5" s="1"/>
  <c r="Y47" i="5"/>
  <c r="W47" i="5"/>
  <c r="V47" i="5"/>
  <c r="S47" i="5"/>
  <c r="U47" i="5" s="1"/>
  <c r="P47" i="5"/>
  <c r="O47" i="5" s="1"/>
  <c r="N47" i="5"/>
  <c r="L47" i="5"/>
  <c r="R47" i="5" s="1"/>
  <c r="J47" i="5"/>
  <c r="CO46" i="5"/>
  <c r="CN46" i="5" s="1"/>
  <c r="CK46" i="5"/>
  <c r="CH46" i="5"/>
  <c r="CG46" i="5" s="1"/>
  <c r="CF46" i="5"/>
  <c r="CE46" i="5" s="1"/>
  <c r="CD46" i="5"/>
  <c r="CJ46" i="5" s="1"/>
  <c r="CA46" i="5"/>
  <c r="BZ46" i="5" s="1"/>
  <c r="BW46" i="5"/>
  <c r="CC46" i="5" s="1"/>
  <c r="BT46" i="5"/>
  <c r="BS46" i="5" s="1"/>
  <c r="BP46" i="5"/>
  <c r="BV46" i="5" s="1"/>
  <c r="BO46" i="5"/>
  <c r="BM46" i="5"/>
  <c r="BL46" i="5" s="1"/>
  <c r="BK46" i="5"/>
  <c r="BJ46" i="5" s="1"/>
  <c r="BI46" i="5"/>
  <c r="BF46" i="5"/>
  <c r="BE46" i="5"/>
  <c r="BB46" i="5"/>
  <c r="BH46" i="5" s="1"/>
  <c r="BA46" i="5"/>
  <c r="AY46" i="5"/>
  <c r="AX46" i="5" s="1"/>
  <c r="AU46" i="5"/>
  <c r="AW46" i="5" s="1"/>
  <c r="AT46" i="5"/>
  <c r="AR46" i="5"/>
  <c r="AQ46" i="5"/>
  <c r="AN46" i="5"/>
  <c r="AP46" i="5" s="1"/>
  <c r="AK46" i="5"/>
  <c r="AJ46" i="5" s="1"/>
  <c r="AI46" i="5"/>
  <c r="AH46" i="5" s="1"/>
  <c r="AG46" i="5"/>
  <c r="AM46" i="5" s="1"/>
  <c r="AD46" i="5"/>
  <c r="AC46" i="5" s="1"/>
  <c r="Z46" i="5"/>
  <c r="AF46" i="5" s="1"/>
  <c r="W46" i="5"/>
  <c r="S46" i="5"/>
  <c r="Y46" i="5" s="1"/>
  <c r="P46" i="5"/>
  <c r="O46" i="5"/>
  <c r="L46" i="5"/>
  <c r="J46" i="5"/>
  <c r="CO45" i="5"/>
  <c r="CN45" i="5" s="1"/>
  <c r="CK45" i="5"/>
  <c r="CQ45" i="5" s="1"/>
  <c r="CJ45" i="5"/>
  <c r="CH45" i="5"/>
  <c r="CG45" i="5"/>
  <c r="CD45" i="5"/>
  <c r="CF45" i="5" s="1"/>
  <c r="CE45" i="5" s="1"/>
  <c r="CA45" i="5"/>
  <c r="BZ45" i="5"/>
  <c r="BW45" i="5"/>
  <c r="CC45" i="5" s="1"/>
  <c r="BV45" i="5"/>
  <c r="BT45" i="5"/>
  <c r="BS45" i="5" s="1"/>
  <c r="BP45" i="5"/>
  <c r="BR45" i="5" s="1"/>
  <c r="BM45" i="5"/>
  <c r="BL45" i="5"/>
  <c r="BI45" i="5"/>
  <c r="BO45" i="5" s="1"/>
  <c r="BF45" i="5"/>
  <c r="BE45" i="5"/>
  <c r="BB45" i="5"/>
  <c r="BH45" i="5" s="1"/>
  <c r="AY45" i="5"/>
  <c r="AX45" i="5" s="1"/>
  <c r="AU45" i="5"/>
  <c r="BA45" i="5" s="1"/>
  <c r="AR45" i="5"/>
  <c r="AQ45" i="5" s="1"/>
  <c r="AP45" i="5"/>
  <c r="AO45" i="5" s="1"/>
  <c r="AN45" i="5"/>
  <c r="AT45" i="5" s="1"/>
  <c r="AK45" i="5"/>
  <c r="AJ45" i="5"/>
  <c r="AG45" i="5"/>
  <c r="AD45" i="5"/>
  <c r="AC45" i="5" s="1"/>
  <c r="Z45" i="5"/>
  <c r="AB45" i="5" s="1"/>
  <c r="W45" i="5"/>
  <c r="V45" i="5"/>
  <c r="U45" i="5"/>
  <c r="T45" i="5" s="1"/>
  <c r="S45" i="5"/>
  <c r="Y45" i="5" s="1"/>
  <c r="P45" i="5"/>
  <c r="O45" i="5" s="1"/>
  <c r="L45" i="5"/>
  <c r="J45" i="5"/>
  <c r="CQ44" i="5"/>
  <c r="CO44" i="5"/>
  <c r="CN44" i="5" s="1"/>
  <c r="CK44" i="5"/>
  <c r="CH44" i="5"/>
  <c r="CG44" i="5"/>
  <c r="CD44" i="5"/>
  <c r="CA44" i="5"/>
  <c r="BZ44" i="5" s="1"/>
  <c r="BY44" i="5"/>
  <c r="BX44" i="5"/>
  <c r="BW44" i="5"/>
  <c r="CC44" i="5" s="1"/>
  <c r="BT44" i="5"/>
  <c r="BS44" i="5"/>
  <c r="BP44" i="5"/>
  <c r="BV44" i="5" s="1"/>
  <c r="BM44" i="5"/>
  <c r="BL44" i="5" s="1"/>
  <c r="BI44" i="5"/>
  <c r="BF44" i="5"/>
  <c r="BE44" i="5"/>
  <c r="BB44" i="5"/>
  <c r="AY44" i="5"/>
  <c r="AX44" i="5"/>
  <c r="AW44" i="5"/>
  <c r="AU44" i="5"/>
  <c r="BA44" i="5" s="1"/>
  <c r="AR44" i="5"/>
  <c r="AQ44" i="5"/>
  <c r="AN44" i="5"/>
  <c r="AT44" i="5" s="1"/>
  <c r="AK44" i="5"/>
  <c r="AJ44" i="5" s="1"/>
  <c r="AG44" i="5"/>
  <c r="AF44" i="5"/>
  <c r="AD44" i="5"/>
  <c r="AC44" i="5" s="1"/>
  <c r="Z44" i="5"/>
  <c r="W44" i="5"/>
  <c r="V44" i="5"/>
  <c r="U44" i="5"/>
  <c r="T44" i="5"/>
  <c r="S44" i="5"/>
  <c r="Y44" i="5" s="1"/>
  <c r="P44" i="5"/>
  <c r="O44" i="5"/>
  <c r="L44" i="5"/>
  <c r="J44" i="5"/>
  <c r="CO43" i="5"/>
  <c r="CN43" i="5"/>
  <c r="CK43" i="5"/>
  <c r="CQ43" i="5" s="1"/>
  <c r="CJ43" i="5"/>
  <c r="CH43" i="5"/>
  <c r="CG43" i="5" s="1"/>
  <c r="CD43" i="5"/>
  <c r="CA43" i="5"/>
  <c r="BZ43" i="5" s="1"/>
  <c r="BY43" i="5"/>
  <c r="BW43" i="5"/>
  <c r="BT43" i="5"/>
  <c r="BS43" i="5" s="1"/>
  <c r="BR43" i="5"/>
  <c r="BQ43" i="5" s="1"/>
  <c r="BP43" i="5"/>
  <c r="BV43" i="5" s="1"/>
  <c r="BM43" i="5"/>
  <c r="BL43" i="5"/>
  <c r="BK43" i="5"/>
  <c r="BJ43" i="5" s="1"/>
  <c r="BI43" i="5"/>
  <c r="BO43" i="5" s="1"/>
  <c r="BF43" i="5"/>
  <c r="BE43" i="5" s="1"/>
  <c r="BB43" i="5"/>
  <c r="AY43" i="5"/>
  <c r="AX43" i="5"/>
  <c r="AU43" i="5"/>
  <c r="AR43" i="5"/>
  <c r="AQ43" i="5"/>
  <c r="AP43" i="5"/>
  <c r="AO43" i="5" s="1"/>
  <c r="AN43" i="5"/>
  <c r="AT43" i="5" s="1"/>
  <c r="AL43" i="5"/>
  <c r="AK43" i="5"/>
  <c r="AJ43" i="5"/>
  <c r="AG43" i="5"/>
  <c r="AE43" i="5"/>
  <c r="AD43" i="5"/>
  <c r="AC43" i="5"/>
  <c r="AB43" i="5"/>
  <c r="Z43" i="5"/>
  <c r="AF43" i="5" s="1"/>
  <c r="X43" i="5"/>
  <c r="W43" i="5" s="1"/>
  <c r="S43" i="5"/>
  <c r="U43" i="5" s="1"/>
  <c r="R43" i="5"/>
  <c r="Q43" i="5"/>
  <c r="L43" i="5"/>
  <c r="J43" i="5"/>
  <c r="CO42" i="5"/>
  <c r="CN42" i="5" s="1"/>
  <c r="CK42" i="5"/>
  <c r="CQ42" i="5" s="1"/>
  <c r="CJ42" i="5"/>
  <c r="CH42" i="5"/>
  <c r="CG42" i="5" s="1"/>
  <c r="CF42" i="5"/>
  <c r="CD42" i="5"/>
  <c r="CA42" i="5"/>
  <c r="BZ42" i="5" s="1"/>
  <c r="BW42" i="5"/>
  <c r="CC42" i="5" s="1"/>
  <c r="BT42" i="5"/>
  <c r="BS42" i="5"/>
  <c r="BR42" i="5"/>
  <c r="BQ42" i="5" s="1"/>
  <c r="BP42" i="5"/>
  <c r="BV42" i="5" s="1"/>
  <c r="BM42" i="5"/>
  <c r="BL42" i="5" s="1"/>
  <c r="BI42" i="5"/>
  <c r="BF42" i="5"/>
  <c r="BE42" i="5"/>
  <c r="BB42" i="5"/>
  <c r="AY42" i="5"/>
  <c r="AX42" i="5"/>
  <c r="AU42" i="5"/>
  <c r="BA42" i="5" s="1"/>
  <c r="AR42" i="5"/>
  <c r="AQ42" i="5"/>
  <c r="AN42" i="5"/>
  <c r="AT42" i="5" s="1"/>
  <c r="AM42" i="5"/>
  <c r="AK42" i="5"/>
  <c r="AJ42" i="5" s="1"/>
  <c r="AG42" i="5"/>
  <c r="AD42" i="5"/>
  <c r="AC42" i="5" s="1"/>
  <c r="AB42" i="5"/>
  <c r="Z42" i="5"/>
  <c r="W42" i="5"/>
  <c r="V42" i="5"/>
  <c r="U42" i="5"/>
  <c r="T42" i="5" s="1"/>
  <c r="S42" i="5"/>
  <c r="Y42" i="5" s="1"/>
  <c r="P42" i="5"/>
  <c r="O42" i="5"/>
  <c r="L42" i="5"/>
  <c r="J42" i="5"/>
  <c r="CO41" i="5"/>
  <c r="CN41" i="5"/>
  <c r="CM41" i="5"/>
  <c r="CL41" i="5" s="1"/>
  <c r="CK41" i="5"/>
  <c r="CQ41" i="5" s="1"/>
  <c r="CH41" i="5"/>
  <c r="CG41" i="5" s="1"/>
  <c r="CD41" i="5"/>
  <c r="CC41" i="5"/>
  <c r="CA41" i="5"/>
  <c r="BZ41" i="5"/>
  <c r="BY41" i="5"/>
  <c r="BW41" i="5"/>
  <c r="BT41" i="5"/>
  <c r="BS41" i="5"/>
  <c r="BP41" i="5"/>
  <c r="BV41" i="5" s="1"/>
  <c r="BM41" i="5"/>
  <c r="BL41" i="5"/>
  <c r="BI41" i="5"/>
  <c r="BO41" i="5" s="1"/>
  <c r="BF41" i="5"/>
  <c r="BE41" i="5" s="1"/>
  <c r="BB41" i="5"/>
  <c r="AY41" i="5"/>
  <c r="AX41" i="5" s="1"/>
  <c r="AW41" i="5"/>
  <c r="AU41" i="5"/>
  <c r="AR41" i="5"/>
  <c r="AQ41" i="5" s="1"/>
  <c r="AP41" i="5"/>
  <c r="AO41" i="5" s="1"/>
  <c r="AN41" i="5"/>
  <c r="AT41" i="5" s="1"/>
  <c r="AK41" i="5"/>
  <c r="AJ41" i="5"/>
  <c r="AG41" i="5"/>
  <c r="AF41" i="5"/>
  <c r="AD41" i="5"/>
  <c r="AC41" i="5" s="1"/>
  <c r="Z41" i="5"/>
  <c r="W41" i="5"/>
  <c r="V41" i="5"/>
  <c r="S41" i="5"/>
  <c r="P41" i="5"/>
  <c r="I41" i="5" s="1"/>
  <c r="N41" i="5"/>
  <c r="L41" i="5"/>
  <c r="E41" i="5" s="1"/>
  <c r="K41" i="5" s="1"/>
  <c r="J41" i="5"/>
  <c r="CO40" i="5"/>
  <c r="CN40" i="5"/>
  <c r="CK40" i="5"/>
  <c r="CH40" i="5"/>
  <c r="CG40" i="5"/>
  <c r="CF40" i="5"/>
  <c r="CD40" i="5"/>
  <c r="CJ40" i="5" s="1"/>
  <c r="CA40" i="5"/>
  <c r="BZ40" i="5" s="1"/>
  <c r="BW40" i="5"/>
  <c r="BV40" i="5"/>
  <c r="BT40" i="5"/>
  <c r="BS40" i="5" s="1"/>
  <c r="BP40" i="5"/>
  <c r="BM40" i="5"/>
  <c r="BL40" i="5"/>
  <c r="BI40" i="5"/>
  <c r="BO40" i="5" s="1"/>
  <c r="BF40" i="5"/>
  <c r="BE40" i="5"/>
  <c r="BB40" i="5"/>
  <c r="AY40" i="5"/>
  <c r="AX40" i="5" s="1"/>
  <c r="AU40" i="5"/>
  <c r="AR40" i="5"/>
  <c r="AQ40" i="5"/>
  <c r="AN40" i="5"/>
  <c r="AK40" i="5"/>
  <c r="AJ40" i="5"/>
  <c r="AI40" i="5"/>
  <c r="AH40" i="5" s="1"/>
  <c r="AG40" i="5"/>
  <c r="AM40" i="5" s="1"/>
  <c r="AD40" i="5"/>
  <c r="AC40" i="5"/>
  <c r="Z40" i="5"/>
  <c r="AF40" i="5" s="1"/>
  <c r="Y40" i="5"/>
  <c r="W40" i="5"/>
  <c r="V40" i="5" s="1"/>
  <c r="S40" i="5"/>
  <c r="Q40" i="5"/>
  <c r="R40" i="5" s="1"/>
  <c r="P40" i="5"/>
  <c r="O40" i="5"/>
  <c r="L40" i="5"/>
  <c r="N40" i="5" s="1"/>
  <c r="CQ39" i="5"/>
  <c r="CO39" i="5"/>
  <c r="CN39" i="5" s="1"/>
  <c r="CK39" i="5"/>
  <c r="CM39" i="5" s="1"/>
  <c r="CH39" i="5"/>
  <c r="CG39" i="5"/>
  <c r="CD39" i="5"/>
  <c r="CJ39" i="5" s="1"/>
  <c r="CA39" i="5"/>
  <c r="BZ39" i="5"/>
  <c r="BW39" i="5"/>
  <c r="BT39" i="5"/>
  <c r="BS39" i="5"/>
  <c r="BP39" i="5"/>
  <c r="BR39" i="5" s="1"/>
  <c r="BO39" i="5"/>
  <c r="BM39" i="5"/>
  <c r="BL39" i="5"/>
  <c r="BI39" i="5"/>
  <c r="BK39" i="5" s="1"/>
  <c r="BF39" i="5"/>
  <c r="BE39" i="5" s="1"/>
  <c r="BB39" i="5"/>
  <c r="BH39" i="5" s="1"/>
  <c r="AY39" i="5"/>
  <c r="AX39" i="5"/>
  <c r="AW39" i="5"/>
  <c r="AV39" i="5" s="1"/>
  <c r="AU39" i="5"/>
  <c r="BA39" i="5" s="1"/>
  <c r="AR39" i="5"/>
  <c r="AQ39" i="5"/>
  <c r="AN39" i="5"/>
  <c r="AM39" i="5"/>
  <c r="AK39" i="5"/>
  <c r="AJ39" i="5" s="1"/>
  <c r="AG39" i="5"/>
  <c r="AI39" i="5" s="1"/>
  <c r="AE39" i="5"/>
  <c r="AD39" i="5"/>
  <c r="AC39" i="5" s="1"/>
  <c r="Z39" i="5"/>
  <c r="AB39" i="5" s="1"/>
  <c r="W39" i="5"/>
  <c r="V39" i="5" s="1"/>
  <c r="S39" i="5"/>
  <c r="Q39" i="5"/>
  <c r="J39" i="5" s="1"/>
  <c r="P39" i="5"/>
  <c r="I39" i="5" s="1"/>
  <c r="O39" i="5"/>
  <c r="L39" i="5"/>
  <c r="N39" i="5" s="1"/>
  <c r="E39" i="5"/>
  <c r="CO38" i="5"/>
  <c r="CN38" i="5"/>
  <c r="CK38" i="5"/>
  <c r="CJ38" i="5"/>
  <c r="CH38" i="5"/>
  <c r="CG38" i="5"/>
  <c r="CD38" i="5"/>
  <c r="CF38" i="5" s="1"/>
  <c r="CC38" i="5"/>
  <c r="CA38" i="5"/>
  <c r="BZ38" i="5" s="1"/>
  <c r="BW38" i="5"/>
  <c r="BY38" i="5" s="1"/>
  <c r="BV38" i="5"/>
  <c r="BT38" i="5"/>
  <c r="BS38" i="5" s="1"/>
  <c r="BR38" i="5"/>
  <c r="BP38" i="5"/>
  <c r="BQ38" i="5" s="1"/>
  <c r="BM38" i="5"/>
  <c r="BL38" i="5" s="1"/>
  <c r="BK38" i="5"/>
  <c r="BJ38" i="5" s="1"/>
  <c r="BI38" i="5"/>
  <c r="BO38" i="5" s="1"/>
  <c r="BF38" i="5"/>
  <c r="BE38" i="5"/>
  <c r="BD38" i="5"/>
  <c r="BB38" i="5"/>
  <c r="BH38" i="5" s="1"/>
  <c r="AY38" i="5"/>
  <c r="AX38" i="5"/>
  <c r="AU38" i="5"/>
  <c r="BA38" i="5" s="1"/>
  <c r="AT38" i="5"/>
  <c r="AR38" i="5"/>
  <c r="AQ38" i="5"/>
  <c r="AN38" i="5"/>
  <c r="AP38" i="5" s="1"/>
  <c r="AO38" i="5" s="1"/>
  <c r="AK38" i="5"/>
  <c r="AJ38" i="5"/>
  <c r="AG38" i="5"/>
  <c r="AM38" i="5" s="1"/>
  <c r="AE38" i="5"/>
  <c r="AD38" i="5"/>
  <c r="AC38" i="5"/>
  <c r="Z38" i="5"/>
  <c r="AB38" i="5" s="1"/>
  <c r="Y38" i="5"/>
  <c r="X38" i="5"/>
  <c r="U38" i="5"/>
  <c r="S38" i="5"/>
  <c r="E38" i="5" s="1"/>
  <c r="Q38" i="5"/>
  <c r="P38" i="5" s="1"/>
  <c r="L38" i="5"/>
  <c r="B38" i="5"/>
  <c r="CO37" i="5"/>
  <c r="CN37" i="5" s="1"/>
  <c r="CK37" i="5"/>
  <c r="CM37" i="5" s="1"/>
  <c r="CJ37" i="5"/>
  <c r="CH37" i="5"/>
  <c r="CG37" i="5"/>
  <c r="CD37" i="5"/>
  <c r="CF37" i="5" s="1"/>
  <c r="CA37" i="5"/>
  <c r="BZ37" i="5"/>
  <c r="BW37" i="5"/>
  <c r="CC37" i="5" s="1"/>
  <c r="BT37" i="5"/>
  <c r="BS37" i="5"/>
  <c r="BP37" i="5"/>
  <c r="BV37" i="5" s="1"/>
  <c r="BM37" i="5"/>
  <c r="BL37" i="5" s="1"/>
  <c r="BJ37" i="5"/>
  <c r="BI37" i="5"/>
  <c r="BK37" i="5" s="1"/>
  <c r="BH37" i="5"/>
  <c r="BF37" i="5"/>
  <c r="BE37" i="5"/>
  <c r="BB37" i="5"/>
  <c r="BA37" i="5"/>
  <c r="AY37" i="5"/>
  <c r="AX37" i="5" s="1"/>
  <c r="AU37" i="5"/>
  <c r="AR37" i="5"/>
  <c r="AQ37" i="5"/>
  <c r="AN37" i="5"/>
  <c r="AT37" i="5" s="1"/>
  <c r="AG37" i="5"/>
  <c r="AA37" i="5"/>
  <c r="Z37" i="5"/>
  <c r="AB37" i="5" s="1"/>
  <c r="W37" i="5"/>
  <c r="V37" i="5" s="1"/>
  <c r="S37" i="5"/>
  <c r="N37" i="5"/>
  <c r="L37" i="5"/>
  <c r="CO36" i="5"/>
  <c r="CN36" i="5" s="1"/>
  <c r="CK36" i="5"/>
  <c r="CQ36" i="5" s="1"/>
  <c r="CJ36" i="5"/>
  <c r="CH36" i="5"/>
  <c r="CG36" i="5" s="1"/>
  <c r="CF36" i="5"/>
  <c r="CE36" i="5" s="1"/>
  <c r="CD36" i="5"/>
  <c r="CA36" i="5"/>
  <c r="BZ36" i="5"/>
  <c r="BW36" i="5"/>
  <c r="BV36" i="5"/>
  <c r="BT36" i="5"/>
  <c r="BS36" i="5" s="1"/>
  <c r="BR36" i="5"/>
  <c r="BP36" i="5"/>
  <c r="BM36" i="5"/>
  <c r="BL36" i="5" s="1"/>
  <c r="BI36" i="5"/>
  <c r="BF36" i="5"/>
  <c r="BE36" i="5"/>
  <c r="BB36" i="5"/>
  <c r="AY36" i="5"/>
  <c r="AX36" i="5" s="1"/>
  <c r="AW36" i="5"/>
  <c r="AU36" i="5"/>
  <c r="BA36" i="5" s="1"/>
  <c r="AR36" i="5"/>
  <c r="AQ36" i="5" s="1"/>
  <c r="AN36" i="5"/>
  <c r="AT36" i="5" s="1"/>
  <c r="AL36" i="5"/>
  <c r="AL37" i="5" s="1"/>
  <c r="AK36" i="5"/>
  <c r="AJ36" i="5"/>
  <c r="AG36" i="5"/>
  <c r="E36" i="5" s="1"/>
  <c r="AF36" i="5"/>
  <c r="AE36" i="5"/>
  <c r="Z36" i="5"/>
  <c r="X36" i="5"/>
  <c r="X37" i="5" s="1"/>
  <c r="W36" i="5"/>
  <c r="V36" i="5"/>
  <c r="U36" i="5"/>
  <c r="T36" i="5" s="1"/>
  <c r="S36" i="5"/>
  <c r="Y36" i="5" s="1"/>
  <c r="Q36" i="5"/>
  <c r="L36" i="5"/>
  <c r="N36" i="5" s="1"/>
  <c r="CO35" i="5"/>
  <c r="CN35" i="5"/>
  <c r="CK35" i="5"/>
  <c r="CQ35" i="5" s="1"/>
  <c r="CH35" i="5"/>
  <c r="CG35" i="5" s="1"/>
  <c r="CD35" i="5"/>
  <c r="CA35" i="5"/>
  <c r="BZ35" i="5" s="1"/>
  <c r="BW35" i="5"/>
  <c r="CC35" i="5" s="1"/>
  <c r="BT35" i="5"/>
  <c r="BS35" i="5"/>
  <c r="BR35" i="5"/>
  <c r="BP35" i="5"/>
  <c r="BO35" i="5"/>
  <c r="BM35" i="5"/>
  <c r="BL35" i="5" s="1"/>
  <c r="BI35" i="5"/>
  <c r="BF35" i="5"/>
  <c r="BE35" i="5"/>
  <c r="BB35" i="5"/>
  <c r="BH35" i="5" s="1"/>
  <c r="AY35" i="5"/>
  <c r="AX35" i="5" s="1"/>
  <c r="AW35" i="5"/>
  <c r="AU35" i="5"/>
  <c r="BA35" i="5" s="1"/>
  <c r="AR35" i="5"/>
  <c r="AQ35" i="5" s="1"/>
  <c r="AN35" i="5"/>
  <c r="AT35" i="5" s="1"/>
  <c r="AM35" i="5"/>
  <c r="AK35" i="5"/>
  <c r="AJ35" i="5" s="1"/>
  <c r="AI35" i="5"/>
  <c r="AH35" i="5" s="1"/>
  <c r="AG35" i="5"/>
  <c r="AD35" i="5"/>
  <c r="AC35" i="5"/>
  <c r="Z35" i="5"/>
  <c r="AF35" i="5" s="1"/>
  <c r="Y35" i="5"/>
  <c r="W35" i="5"/>
  <c r="V35" i="5" s="1"/>
  <c r="S35" i="5"/>
  <c r="U35" i="5" s="1"/>
  <c r="P35" i="5"/>
  <c r="I35" i="5" s="1"/>
  <c r="O35" i="5"/>
  <c r="L35" i="5"/>
  <c r="R35" i="5" s="1"/>
  <c r="J35" i="5"/>
  <c r="CO34" i="5"/>
  <c r="CN34" i="5"/>
  <c r="CM34" i="5"/>
  <c r="CK34" i="5"/>
  <c r="CH34" i="5"/>
  <c r="CG34" i="5" s="1"/>
  <c r="CD34" i="5"/>
  <c r="CA34" i="5"/>
  <c r="BZ34" i="5"/>
  <c r="BY34" i="5"/>
  <c r="BX34" i="5" s="1"/>
  <c r="BW34" i="5"/>
  <c r="CC34" i="5" s="1"/>
  <c r="BT34" i="5"/>
  <c r="BS34" i="5" s="1"/>
  <c r="BP34" i="5"/>
  <c r="BV34" i="5" s="1"/>
  <c r="BM34" i="5"/>
  <c r="BL34" i="5" s="1"/>
  <c r="BI34" i="5"/>
  <c r="BO34" i="5" s="1"/>
  <c r="BH34" i="5"/>
  <c r="BF34" i="5"/>
  <c r="BE34" i="5" s="1"/>
  <c r="BD34" i="5"/>
  <c r="BC34" i="5" s="1"/>
  <c r="BB34" i="5"/>
  <c r="AY34" i="5"/>
  <c r="AX34" i="5"/>
  <c r="AU34" i="5"/>
  <c r="BA34" i="5" s="1"/>
  <c r="AT34" i="5"/>
  <c r="AR34" i="5"/>
  <c r="AQ34" i="5" s="1"/>
  <c r="AN34" i="5"/>
  <c r="AP34" i="5" s="1"/>
  <c r="AK34" i="5"/>
  <c r="AJ34" i="5" s="1"/>
  <c r="AG34" i="5"/>
  <c r="AM34" i="5" s="1"/>
  <c r="AD34" i="5"/>
  <c r="AC34" i="5"/>
  <c r="Z34" i="5"/>
  <c r="AF34" i="5" s="1"/>
  <c r="W34" i="5"/>
  <c r="V34" i="5" s="1"/>
  <c r="S34" i="5"/>
  <c r="Y34" i="5" s="1"/>
  <c r="P34" i="5"/>
  <c r="L34" i="5"/>
  <c r="R34" i="5" s="1"/>
  <c r="J34" i="5"/>
  <c r="CO33" i="5"/>
  <c r="CN33" i="5" s="1"/>
  <c r="CK33" i="5"/>
  <c r="CQ33" i="5" s="1"/>
  <c r="CJ33" i="5"/>
  <c r="CH33" i="5"/>
  <c r="CG33" i="5" s="1"/>
  <c r="CD33" i="5"/>
  <c r="CC33" i="5"/>
  <c r="CA33" i="5"/>
  <c r="BZ33" i="5" s="1"/>
  <c r="BW33" i="5"/>
  <c r="BY33" i="5" s="1"/>
  <c r="BX33" i="5" s="1"/>
  <c r="BT33" i="5"/>
  <c r="BS33" i="5"/>
  <c r="BP33" i="5"/>
  <c r="BV33" i="5" s="1"/>
  <c r="BO33" i="5"/>
  <c r="BM33" i="5"/>
  <c r="BL33" i="5" s="1"/>
  <c r="BI33" i="5"/>
  <c r="BK33" i="5" s="1"/>
  <c r="BH33" i="5"/>
  <c r="BF33" i="5"/>
  <c r="BE33" i="5" s="1"/>
  <c r="BD33" i="5"/>
  <c r="BB33" i="5"/>
  <c r="AY33" i="5"/>
  <c r="AX33" i="5"/>
  <c r="AW33" i="5"/>
  <c r="AV33" i="5" s="1"/>
  <c r="AU33" i="5"/>
  <c r="BA33" i="5" s="1"/>
  <c r="AR33" i="5"/>
  <c r="AQ33" i="5" s="1"/>
  <c r="AN33" i="5"/>
  <c r="AK33" i="5"/>
  <c r="AJ33" i="5" s="1"/>
  <c r="AG33" i="5"/>
  <c r="AM33" i="5" s="1"/>
  <c r="AD33" i="5"/>
  <c r="AC33" i="5"/>
  <c r="Z33" i="5"/>
  <c r="W33" i="5"/>
  <c r="V33" i="5" s="1"/>
  <c r="S33" i="5"/>
  <c r="Q33" i="5"/>
  <c r="J33" i="5" s="1"/>
  <c r="L33" i="5"/>
  <c r="N33" i="5" s="1"/>
  <c r="CO32" i="5"/>
  <c r="CN32" i="5" s="1"/>
  <c r="CK32" i="5"/>
  <c r="CQ32" i="5" s="1"/>
  <c r="CH32" i="5"/>
  <c r="CG32" i="5"/>
  <c r="CD32" i="5"/>
  <c r="CJ32" i="5" s="1"/>
  <c r="CC32" i="5"/>
  <c r="CA32" i="5"/>
  <c r="BZ32" i="5" s="1"/>
  <c r="BW32" i="5"/>
  <c r="BY32" i="5" s="1"/>
  <c r="BV32" i="5"/>
  <c r="BT32" i="5"/>
  <c r="BS32" i="5" s="1"/>
  <c r="BR32" i="5"/>
  <c r="BQ32" i="5" s="1"/>
  <c r="BP32" i="5"/>
  <c r="BM32" i="5"/>
  <c r="BL32" i="5"/>
  <c r="BK32" i="5"/>
  <c r="BJ32" i="5" s="1"/>
  <c r="BI32" i="5"/>
  <c r="BO32" i="5" s="1"/>
  <c r="BF32" i="5"/>
  <c r="BE32" i="5"/>
  <c r="BB32" i="5"/>
  <c r="BD32" i="5" s="1"/>
  <c r="AY32" i="5"/>
  <c r="AX32" i="5" s="1"/>
  <c r="AU32" i="5"/>
  <c r="AW32" i="5" s="1"/>
  <c r="AT32" i="5"/>
  <c r="AR32" i="5"/>
  <c r="AQ32" i="5"/>
  <c r="AP32" i="5"/>
  <c r="AO32" i="5" s="1"/>
  <c r="AN32" i="5"/>
  <c r="AL32" i="5"/>
  <c r="AK32" i="5"/>
  <c r="AJ32" i="5"/>
  <c r="AG32" i="5"/>
  <c r="AM32" i="5" s="1"/>
  <c r="AE32" i="5"/>
  <c r="Z32" i="5"/>
  <c r="X32" i="5"/>
  <c r="W32" i="5"/>
  <c r="V32" i="5" s="1"/>
  <c r="S32" i="5"/>
  <c r="R32" i="5"/>
  <c r="Q32" i="5"/>
  <c r="P32" i="5" s="1"/>
  <c r="L32" i="5"/>
  <c r="N32" i="5" s="1"/>
  <c r="CO31" i="5"/>
  <c r="CN31" i="5"/>
  <c r="CK31" i="5"/>
  <c r="CQ31" i="5" s="1"/>
  <c r="CH31" i="5"/>
  <c r="CG31" i="5"/>
  <c r="CD31" i="5"/>
  <c r="CA31" i="5"/>
  <c r="BZ31" i="5" s="1"/>
  <c r="BW31" i="5"/>
  <c r="CC31" i="5" s="1"/>
  <c r="BV31" i="5"/>
  <c r="BT31" i="5"/>
  <c r="BS31" i="5" s="1"/>
  <c r="BR31" i="5"/>
  <c r="BQ31" i="5" s="1"/>
  <c r="BP31" i="5"/>
  <c r="BM31" i="5"/>
  <c r="BL31" i="5"/>
  <c r="BI31" i="5"/>
  <c r="BO31" i="5" s="1"/>
  <c r="BF31" i="5"/>
  <c r="BE31" i="5"/>
  <c r="BB31" i="5"/>
  <c r="BA31" i="5"/>
  <c r="AY31" i="5"/>
  <c r="AX31" i="5" s="1"/>
  <c r="AU31" i="5"/>
  <c r="AW31" i="5" s="1"/>
  <c r="AV31" i="5" s="1"/>
  <c r="AT31" i="5"/>
  <c r="AR31" i="5"/>
  <c r="AQ31" i="5" s="1"/>
  <c r="AP31" i="5"/>
  <c r="AO31" i="5"/>
  <c r="AN31" i="5"/>
  <c r="AK31" i="5"/>
  <c r="AJ31" i="5"/>
  <c r="AG31" i="5"/>
  <c r="AM31" i="5" s="1"/>
  <c r="AF31" i="5"/>
  <c r="AD31" i="5"/>
  <c r="AC31" i="5" s="1"/>
  <c r="Z31" i="5"/>
  <c r="Y31" i="5"/>
  <c r="X31" i="5"/>
  <c r="J31" i="5" s="1"/>
  <c r="U31" i="5"/>
  <c r="S31" i="5"/>
  <c r="P31" i="5"/>
  <c r="N31" i="5"/>
  <c r="L31" i="5"/>
  <c r="R31" i="5" s="1"/>
  <c r="CO30" i="5"/>
  <c r="CN30" i="5"/>
  <c r="CK30" i="5"/>
  <c r="CM30" i="5" s="1"/>
  <c r="CH30" i="5"/>
  <c r="CG30" i="5"/>
  <c r="CF30" i="5"/>
  <c r="CD30" i="5"/>
  <c r="CJ30" i="5" s="1"/>
  <c r="CA30" i="5"/>
  <c r="BZ30" i="5" s="1"/>
  <c r="BW30" i="5"/>
  <c r="BY30" i="5" s="1"/>
  <c r="BV30" i="5"/>
  <c r="BT30" i="5"/>
  <c r="BS30" i="5" s="1"/>
  <c r="BP30" i="5"/>
  <c r="BO30" i="5"/>
  <c r="BM30" i="5"/>
  <c r="BL30" i="5" s="1"/>
  <c r="BI30" i="5"/>
  <c r="BK30" i="5" s="1"/>
  <c r="BJ30" i="5" s="1"/>
  <c r="BF30" i="5"/>
  <c r="BE30" i="5"/>
  <c r="BD30" i="5"/>
  <c r="BC30" i="5"/>
  <c r="BB30" i="5"/>
  <c r="BH30" i="5" s="1"/>
  <c r="BA30" i="5"/>
  <c r="AY30" i="5"/>
  <c r="AX30" i="5" s="1"/>
  <c r="AU30" i="5"/>
  <c r="AW30" i="5" s="1"/>
  <c r="AT30" i="5"/>
  <c r="AR30" i="5"/>
  <c r="AQ30" i="5"/>
  <c r="AP30" i="5"/>
  <c r="AN30" i="5"/>
  <c r="AK30" i="5"/>
  <c r="AJ30" i="5"/>
  <c r="AI30" i="5"/>
  <c r="AH30" i="5"/>
  <c r="AG30" i="5"/>
  <c r="AM30" i="5" s="1"/>
  <c r="AD30" i="5"/>
  <c r="AC30" i="5"/>
  <c r="AB30" i="5"/>
  <c r="Z30" i="5"/>
  <c r="AF30" i="5" s="1"/>
  <c r="X30" i="5"/>
  <c r="W30" i="5" s="1"/>
  <c r="S30" i="5"/>
  <c r="Y30" i="5" s="1"/>
  <c r="R30" i="5"/>
  <c r="P30" i="5"/>
  <c r="O30" i="5" s="1"/>
  <c r="L30" i="5"/>
  <c r="J30" i="5"/>
  <c r="I30" i="5"/>
  <c r="CO29" i="5"/>
  <c r="CN29" i="5" s="1"/>
  <c r="CK29" i="5"/>
  <c r="CJ29" i="5"/>
  <c r="CH29" i="5"/>
  <c r="CG29" i="5" s="1"/>
  <c r="CF29" i="5"/>
  <c r="CE29" i="5" s="1"/>
  <c r="CD29" i="5"/>
  <c r="CA29" i="5"/>
  <c r="BZ29" i="5" s="1"/>
  <c r="BW29" i="5"/>
  <c r="CC29" i="5" s="1"/>
  <c r="BT29" i="5"/>
  <c r="BS29" i="5"/>
  <c r="BP29" i="5"/>
  <c r="BV29" i="5" s="1"/>
  <c r="BO29" i="5"/>
  <c r="BM29" i="5"/>
  <c r="BL29" i="5" s="1"/>
  <c r="BI29" i="5"/>
  <c r="BF29" i="5"/>
  <c r="BE29" i="5" s="1"/>
  <c r="BD29" i="5"/>
  <c r="BC29" i="5" s="1"/>
  <c r="BB29" i="5"/>
  <c r="BH29" i="5" s="1"/>
  <c r="AY29" i="5"/>
  <c r="AX29" i="5"/>
  <c r="AW29" i="5"/>
  <c r="AV29" i="5" s="1"/>
  <c r="AU29" i="5"/>
  <c r="BA29" i="5" s="1"/>
  <c r="AR29" i="5"/>
  <c r="AQ29" i="5"/>
  <c r="AN29" i="5"/>
  <c r="AM29" i="5"/>
  <c r="AK29" i="5"/>
  <c r="AJ29" i="5" s="1"/>
  <c r="AG29" i="5"/>
  <c r="AD29" i="5"/>
  <c r="AC29" i="5" s="1"/>
  <c r="Z29" i="5"/>
  <c r="AF29" i="5" s="1"/>
  <c r="W29" i="5"/>
  <c r="V29" i="5" s="1"/>
  <c r="S29" i="5"/>
  <c r="Y29" i="5" s="1"/>
  <c r="P29" i="5"/>
  <c r="O29" i="5"/>
  <c r="L29" i="5"/>
  <c r="R29" i="5" s="1"/>
  <c r="J29" i="5"/>
  <c r="CO28" i="5"/>
  <c r="CN28" i="5"/>
  <c r="CK28" i="5"/>
  <c r="CQ28" i="5" s="1"/>
  <c r="CJ28" i="5"/>
  <c r="CH28" i="5"/>
  <c r="CG28" i="5" s="1"/>
  <c r="CD28" i="5"/>
  <c r="CA28" i="5"/>
  <c r="BZ28" i="5"/>
  <c r="BY28" i="5"/>
  <c r="BX28" i="5"/>
  <c r="BW28" i="5"/>
  <c r="CC28" i="5" s="1"/>
  <c r="BT28" i="5"/>
  <c r="BS28" i="5" s="1"/>
  <c r="BP28" i="5"/>
  <c r="BV28" i="5" s="1"/>
  <c r="BM28" i="5"/>
  <c r="BL28" i="5"/>
  <c r="BI28" i="5"/>
  <c r="BO28" i="5" s="1"/>
  <c r="BF28" i="5"/>
  <c r="BE28" i="5"/>
  <c r="BB28" i="5"/>
  <c r="AY28" i="5"/>
  <c r="AX28" i="5" s="1"/>
  <c r="AW28" i="5"/>
  <c r="AV28" i="5" s="1"/>
  <c r="AU28" i="5"/>
  <c r="BA28" i="5" s="1"/>
  <c r="AR28" i="5"/>
  <c r="AQ28" i="5"/>
  <c r="AP28" i="5"/>
  <c r="AO28" i="5" s="1"/>
  <c r="AN28" i="5"/>
  <c r="AT28" i="5" s="1"/>
  <c r="AL28" i="5"/>
  <c r="AK28" i="5"/>
  <c r="AJ28" i="5"/>
  <c r="AI28" i="5"/>
  <c r="AH28" i="5"/>
  <c r="AG28" i="5"/>
  <c r="AM28" i="5" s="1"/>
  <c r="AD28" i="5"/>
  <c r="AC28" i="5" s="1"/>
  <c r="Z28" i="5"/>
  <c r="AB28" i="5" s="1"/>
  <c r="X28" i="5"/>
  <c r="W28" i="5"/>
  <c r="I28" i="5" s="1"/>
  <c r="S28" i="5"/>
  <c r="Q28" i="5"/>
  <c r="P28" i="5"/>
  <c r="O28" i="5"/>
  <c r="L28" i="5"/>
  <c r="N28" i="5" s="1"/>
  <c r="B28" i="5"/>
  <c r="CQ27" i="5"/>
  <c r="CO27" i="5"/>
  <c r="CN27" i="5" s="1"/>
  <c r="CM27" i="5"/>
  <c r="CK27" i="5"/>
  <c r="CH27" i="5"/>
  <c r="CG27" i="5" s="1"/>
  <c r="CD27" i="5"/>
  <c r="CJ27" i="5" s="1"/>
  <c r="CA27" i="5"/>
  <c r="BZ27" i="5"/>
  <c r="BW27" i="5"/>
  <c r="BV27" i="5"/>
  <c r="BT27" i="5"/>
  <c r="BS27" i="5" s="1"/>
  <c r="BP27" i="5"/>
  <c r="BR27" i="5" s="1"/>
  <c r="BO27" i="5"/>
  <c r="BM27" i="5"/>
  <c r="BL27" i="5"/>
  <c r="BK27" i="5"/>
  <c r="BI27" i="5"/>
  <c r="BF27" i="5"/>
  <c r="BE27" i="5" s="1"/>
  <c r="BB27" i="5"/>
  <c r="AY27" i="5"/>
  <c r="AX27" i="5"/>
  <c r="AW27" i="5"/>
  <c r="AV27" i="5" s="1"/>
  <c r="AU27" i="5"/>
  <c r="BA27" i="5" s="1"/>
  <c r="AR27" i="5"/>
  <c r="AQ27" i="5" s="1"/>
  <c r="AN27" i="5"/>
  <c r="AL27" i="5"/>
  <c r="AG27" i="5"/>
  <c r="AM27" i="5" s="1"/>
  <c r="AF27" i="5"/>
  <c r="AD27" i="5"/>
  <c r="AC27" i="5" s="1"/>
  <c r="Z27" i="5"/>
  <c r="AB27" i="5" s="1"/>
  <c r="AA27" i="5" s="1"/>
  <c r="W27" i="5"/>
  <c r="V27" i="5"/>
  <c r="S27" i="5"/>
  <c r="Q27" i="5"/>
  <c r="P27" i="5"/>
  <c r="O27" i="5"/>
  <c r="L27" i="5"/>
  <c r="J27" i="5"/>
  <c r="CO26" i="5"/>
  <c r="CN26" i="5"/>
  <c r="CK26" i="5"/>
  <c r="CQ26" i="5" s="1"/>
  <c r="CH26" i="5"/>
  <c r="CG26" i="5" s="1"/>
  <c r="CD26" i="5"/>
  <c r="CC26" i="5"/>
  <c r="CA26" i="5"/>
  <c r="BZ26" i="5" s="1"/>
  <c r="BW26" i="5"/>
  <c r="BT26" i="5"/>
  <c r="BS26" i="5" s="1"/>
  <c r="BP26" i="5"/>
  <c r="BV26" i="5" s="1"/>
  <c r="BM26" i="5"/>
  <c r="BL26" i="5"/>
  <c r="BI26" i="5"/>
  <c r="BH26" i="5"/>
  <c r="BF26" i="5"/>
  <c r="BE26" i="5" s="1"/>
  <c r="BD26" i="5"/>
  <c r="BB26" i="5"/>
  <c r="AY26" i="5"/>
  <c r="AX26" i="5" s="1"/>
  <c r="AU26" i="5"/>
  <c r="AW26" i="5" s="1"/>
  <c r="AR26" i="5"/>
  <c r="AQ26" i="5"/>
  <c r="AN26" i="5"/>
  <c r="AL26" i="5"/>
  <c r="AK26" i="5" s="1"/>
  <c r="AG26" i="5"/>
  <c r="AE26" i="5"/>
  <c r="AD26" i="5"/>
  <c r="AC26" i="5"/>
  <c r="AB26" i="5"/>
  <c r="Z26" i="5"/>
  <c r="AF26" i="5" s="1"/>
  <c r="X26" i="5"/>
  <c r="S26" i="5"/>
  <c r="U26" i="5" s="1"/>
  <c r="Q26" i="5"/>
  <c r="P26" i="5"/>
  <c r="N26" i="5"/>
  <c r="M26" i="5" s="1"/>
  <c r="L26" i="5"/>
  <c r="R26" i="5" s="1"/>
  <c r="CO25" i="5"/>
  <c r="CN25" i="5" s="1"/>
  <c r="CK25" i="5"/>
  <c r="CJ25" i="5"/>
  <c r="CH25" i="5"/>
  <c r="CG25" i="5"/>
  <c r="CF25" i="5"/>
  <c r="CD25" i="5"/>
  <c r="CA25" i="5"/>
  <c r="BZ25" i="5"/>
  <c r="BW25" i="5"/>
  <c r="CC25" i="5" s="1"/>
  <c r="BT25" i="5"/>
  <c r="BS25" i="5" s="1"/>
  <c r="BP25" i="5"/>
  <c r="BO25" i="5"/>
  <c r="BM25" i="5"/>
  <c r="BL25" i="5" s="1"/>
  <c r="BK25" i="5"/>
  <c r="BJ25" i="5" s="1"/>
  <c r="BI25" i="5"/>
  <c r="BF25" i="5"/>
  <c r="BE25" i="5"/>
  <c r="BD25" i="5"/>
  <c r="BB25" i="5"/>
  <c r="AY25" i="5"/>
  <c r="AX25" i="5" s="1"/>
  <c r="AU25" i="5"/>
  <c r="AR25" i="5"/>
  <c r="AQ25" i="5" s="1"/>
  <c r="AN25" i="5"/>
  <c r="AT25" i="5" s="1"/>
  <c r="AL25" i="5"/>
  <c r="AK25" i="5" s="1"/>
  <c r="AJ25" i="5"/>
  <c r="AG25" i="5"/>
  <c r="AM25" i="5" s="1"/>
  <c r="AD25" i="5"/>
  <c r="AC25" i="5"/>
  <c r="Z25" i="5"/>
  <c r="X25" i="5"/>
  <c r="W25" i="5"/>
  <c r="S25" i="5"/>
  <c r="Y25" i="5" s="1"/>
  <c r="R25" i="5"/>
  <c r="Q25" i="5"/>
  <c r="N25" i="5"/>
  <c r="L25" i="5"/>
  <c r="CO24" i="5"/>
  <c r="CN24" i="5" s="1"/>
  <c r="CM24" i="5"/>
  <c r="CK24" i="5"/>
  <c r="CQ24" i="5" s="1"/>
  <c r="CH24" i="5"/>
  <c r="CG24" i="5"/>
  <c r="CD24" i="5"/>
  <c r="CJ24" i="5" s="1"/>
  <c r="CC24" i="5"/>
  <c r="CA24" i="5"/>
  <c r="BZ24" i="5"/>
  <c r="BW24" i="5"/>
  <c r="BT24" i="5"/>
  <c r="BS24" i="5"/>
  <c r="BP24" i="5"/>
  <c r="BR24" i="5" s="1"/>
  <c r="BM24" i="5"/>
  <c r="BL24" i="5"/>
  <c r="BK24" i="5"/>
  <c r="BJ24" i="5" s="1"/>
  <c r="BI24" i="5"/>
  <c r="BO24" i="5" s="1"/>
  <c r="BF24" i="5"/>
  <c r="BE24" i="5"/>
  <c r="BB24" i="5"/>
  <c r="BA24" i="5"/>
  <c r="AY24" i="5"/>
  <c r="AX24" i="5" s="1"/>
  <c r="AU24" i="5"/>
  <c r="AW24" i="5" s="1"/>
  <c r="AT24" i="5"/>
  <c r="AR24" i="5"/>
  <c r="AQ24" i="5" s="1"/>
  <c r="AN24" i="5"/>
  <c r="AP24" i="5" s="1"/>
  <c r="AO24" i="5" s="1"/>
  <c r="AL24" i="5"/>
  <c r="AK24" i="5"/>
  <c r="AJ24" i="5" s="1"/>
  <c r="AI24" i="5"/>
  <c r="AH24" i="5"/>
  <c r="AG24" i="5"/>
  <c r="AM24" i="5" s="1"/>
  <c r="AD24" i="5"/>
  <c r="AC24" i="5"/>
  <c r="Z24" i="5"/>
  <c r="AF24" i="5" s="1"/>
  <c r="X24" i="5"/>
  <c r="W24" i="5" s="1"/>
  <c r="S24" i="5"/>
  <c r="U24" i="5" s="1"/>
  <c r="R24" i="5"/>
  <c r="Q24" i="5"/>
  <c r="L24" i="5"/>
  <c r="CQ23" i="5"/>
  <c r="CO23" i="5"/>
  <c r="CN23" i="5" s="1"/>
  <c r="CK23" i="5"/>
  <c r="CJ23" i="5"/>
  <c r="CH23" i="5"/>
  <c r="CG23" i="5" s="1"/>
  <c r="CF23" i="5"/>
  <c r="CD23" i="5"/>
  <c r="CA23" i="5"/>
  <c r="BZ23" i="5" s="1"/>
  <c r="BW23" i="5"/>
  <c r="CC23" i="5" s="1"/>
  <c r="BT23" i="5"/>
  <c r="BS23" i="5"/>
  <c r="BR23" i="5"/>
  <c r="BP23" i="5"/>
  <c r="BV23" i="5" s="1"/>
  <c r="BM23" i="5"/>
  <c r="BL23" i="5" s="1"/>
  <c r="BI23" i="5"/>
  <c r="BO23" i="5" s="1"/>
  <c r="BH23" i="5"/>
  <c r="BF23" i="5"/>
  <c r="BE23" i="5"/>
  <c r="BD23" i="5"/>
  <c r="BB23" i="5"/>
  <c r="AY23" i="5"/>
  <c r="AX23" i="5" s="1"/>
  <c r="AU23" i="5"/>
  <c r="BA23" i="5" s="1"/>
  <c r="AR23" i="5"/>
  <c r="AQ23" i="5"/>
  <c r="AP23" i="5"/>
  <c r="AO23" i="5" s="1"/>
  <c r="AN23" i="5"/>
  <c r="AT23" i="5" s="1"/>
  <c r="AK23" i="5"/>
  <c r="AJ23" i="5" s="1"/>
  <c r="AG23" i="5"/>
  <c r="AD23" i="5"/>
  <c r="AC23" i="5"/>
  <c r="Z23" i="5"/>
  <c r="W23" i="5"/>
  <c r="V23" i="5" s="1"/>
  <c r="S23" i="5"/>
  <c r="Y23" i="5" s="1"/>
  <c r="P23" i="5"/>
  <c r="I23" i="5" s="1"/>
  <c r="O23" i="5"/>
  <c r="L23" i="5"/>
  <c r="E23" i="5" s="1"/>
  <c r="K23" i="5" s="1"/>
  <c r="J23" i="5"/>
  <c r="CO22" i="5"/>
  <c r="CN22" i="5"/>
  <c r="CM22" i="5"/>
  <c r="CL22" i="5"/>
  <c r="CK22" i="5"/>
  <c r="CQ22" i="5" s="1"/>
  <c r="CJ22" i="5"/>
  <c r="CH22" i="5"/>
  <c r="CG22" i="5" s="1"/>
  <c r="CD22" i="5"/>
  <c r="CA22" i="5"/>
  <c r="BZ22" i="5"/>
  <c r="BY22" i="5"/>
  <c r="BW22" i="5"/>
  <c r="BT22" i="5"/>
  <c r="BS22" i="5" s="1"/>
  <c r="BR22" i="5"/>
  <c r="BQ22" i="5" s="1"/>
  <c r="BP22" i="5"/>
  <c r="BV22" i="5" s="1"/>
  <c r="BM22" i="5"/>
  <c r="BL22" i="5"/>
  <c r="BK22" i="5"/>
  <c r="BI22" i="5"/>
  <c r="BO22" i="5" s="1"/>
  <c r="BH22" i="5"/>
  <c r="BF22" i="5"/>
  <c r="BE22" i="5" s="1"/>
  <c r="BB22" i="5"/>
  <c r="AY22" i="5"/>
  <c r="AX22" i="5" s="1"/>
  <c r="AW22" i="5"/>
  <c r="AU22" i="5"/>
  <c r="AR22" i="5"/>
  <c r="AQ22" i="5" s="1"/>
  <c r="AP22" i="5"/>
  <c r="AO22" i="5" s="1"/>
  <c r="AN22" i="5"/>
  <c r="AT22" i="5" s="1"/>
  <c r="AL22" i="5"/>
  <c r="AK22" i="5"/>
  <c r="AJ22" i="5"/>
  <c r="AG22" i="5"/>
  <c r="AM22" i="5" s="1"/>
  <c r="AE22" i="5"/>
  <c r="AD22" i="5"/>
  <c r="AC22" i="5"/>
  <c r="Z22" i="5"/>
  <c r="AF22" i="5" s="1"/>
  <c r="X22" i="5"/>
  <c r="W22" i="5" s="1"/>
  <c r="S22" i="5"/>
  <c r="U22" i="5" s="1"/>
  <c r="Q22" i="5"/>
  <c r="L22" i="5"/>
  <c r="CO21" i="5"/>
  <c r="CN21" i="5" s="1"/>
  <c r="CK21" i="5"/>
  <c r="CQ21" i="5" s="1"/>
  <c r="CJ21" i="5"/>
  <c r="CH21" i="5"/>
  <c r="CG21" i="5"/>
  <c r="CF21" i="5"/>
  <c r="CD21" i="5"/>
  <c r="CA21" i="5"/>
  <c r="BZ21" i="5" s="1"/>
  <c r="BW21" i="5"/>
  <c r="CC21" i="5" s="1"/>
  <c r="BT21" i="5"/>
  <c r="BS21" i="5"/>
  <c r="BR21" i="5"/>
  <c r="BQ21" i="5" s="1"/>
  <c r="BP21" i="5"/>
  <c r="BV21" i="5" s="1"/>
  <c r="BM21" i="5"/>
  <c r="BL21" i="5" s="1"/>
  <c r="BI21" i="5"/>
  <c r="BF21" i="5"/>
  <c r="BE21" i="5"/>
  <c r="BB21" i="5"/>
  <c r="AY21" i="5"/>
  <c r="AX21" i="5"/>
  <c r="AU21" i="5"/>
  <c r="BA21" i="5" s="1"/>
  <c r="AR21" i="5"/>
  <c r="AQ21" i="5"/>
  <c r="AN21" i="5"/>
  <c r="AT21" i="5" s="1"/>
  <c r="AM21" i="5"/>
  <c r="AK21" i="5"/>
  <c r="AJ21" i="5" s="1"/>
  <c r="AG21" i="5"/>
  <c r="AD21" i="5"/>
  <c r="AC21" i="5" s="1"/>
  <c r="AB21" i="5"/>
  <c r="Z21" i="5"/>
  <c r="Y21" i="5"/>
  <c r="X21" i="5"/>
  <c r="J21" i="5" s="1"/>
  <c r="W21" i="5"/>
  <c r="S21" i="5"/>
  <c r="U21" i="5" s="1"/>
  <c r="T21" i="5" s="1"/>
  <c r="P21" i="5"/>
  <c r="O21" i="5"/>
  <c r="L21" i="5"/>
  <c r="N21" i="5" s="1"/>
  <c r="CO20" i="5"/>
  <c r="CN20" i="5"/>
  <c r="CK20" i="5"/>
  <c r="CQ20" i="5" s="1"/>
  <c r="CH20" i="5"/>
  <c r="CG20" i="5"/>
  <c r="CD20" i="5"/>
  <c r="CC20" i="5"/>
  <c r="CA20" i="5"/>
  <c r="BZ20" i="5" s="1"/>
  <c r="BW20" i="5"/>
  <c r="BY20" i="5" s="1"/>
  <c r="BT20" i="5"/>
  <c r="BS20" i="5" s="1"/>
  <c r="BP20" i="5"/>
  <c r="BV20" i="5" s="1"/>
  <c r="BM20" i="5"/>
  <c r="BL20" i="5"/>
  <c r="BK20" i="5"/>
  <c r="BJ20" i="5" s="1"/>
  <c r="BI20" i="5"/>
  <c r="BO20" i="5" s="1"/>
  <c r="BF20" i="5"/>
  <c r="BE20" i="5"/>
  <c r="BB20" i="5"/>
  <c r="BA20" i="5"/>
  <c r="AY20" i="5"/>
  <c r="AX20" i="5" s="1"/>
  <c r="AU20" i="5"/>
  <c r="AW20" i="5" s="1"/>
  <c r="AT20" i="5"/>
  <c r="AR20" i="5"/>
  <c r="AQ20" i="5" s="1"/>
  <c r="AN20" i="5"/>
  <c r="AP20" i="5" s="1"/>
  <c r="AO20" i="5" s="1"/>
  <c r="AL20" i="5"/>
  <c r="AK20" i="5"/>
  <c r="AJ20" i="5" s="1"/>
  <c r="AG20" i="5"/>
  <c r="AM20" i="5" s="1"/>
  <c r="AD20" i="5"/>
  <c r="AC20" i="5"/>
  <c r="Z20" i="5"/>
  <c r="AF20" i="5" s="1"/>
  <c r="Y20" i="5"/>
  <c r="W20" i="5"/>
  <c r="V20" i="5" s="1"/>
  <c r="S20" i="5"/>
  <c r="R20" i="5"/>
  <c r="P20" i="5"/>
  <c r="I20" i="5" s="1"/>
  <c r="N20" i="5"/>
  <c r="L20" i="5"/>
  <c r="J20" i="5"/>
  <c r="CQ19" i="5"/>
  <c r="CO19" i="5"/>
  <c r="CN19" i="5" s="1"/>
  <c r="CM19" i="5"/>
  <c r="CK19" i="5"/>
  <c r="CH19" i="5"/>
  <c r="CG19" i="5" s="1"/>
  <c r="CD19" i="5"/>
  <c r="CJ19" i="5" s="1"/>
  <c r="CA19" i="5"/>
  <c r="BZ19" i="5"/>
  <c r="BW19" i="5"/>
  <c r="CC19" i="5" s="1"/>
  <c r="BV19" i="5"/>
  <c r="BT19" i="5"/>
  <c r="BS19" i="5" s="1"/>
  <c r="BP19" i="5"/>
  <c r="BM19" i="5"/>
  <c r="BL19" i="5" s="1"/>
  <c r="BK19" i="5"/>
  <c r="BI19" i="5"/>
  <c r="BH19" i="5"/>
  <c r="BF19" i="5"/>
  <c r="BE19" i="5" s="1"/>
  <c r="BD19" i="5"/>
  <c r="BC19" i="5" s="1"/>
  <c r="BB19" i="5"/>
  <c r="AY19" i="5"/>
  <c r="AX19" i="5"/>
  <c r="AW19" i="5"/>
  <c r="AU19" i="5"/>
  <c r="BA19" i="5" s="1"/>
  <c r="AT19" i="5"/>
  <c r="AR19" i="5"/>
  <c r="AQ19" i="5" s="1"/>
  <c r="AN19" i="5"/>
  <c r="AK19" i="5"/>
  <c r="I19" i="5" s="1"/>
  <c r="AI19" i="5"/>
  <c r="AG19" i="5"/>
  <c r="AF19" i="5"/>
  <c r="AD19" i="5"/>
  <c r="AC19" i="5" s="1"/>
  <c r="Z19" i="5"/>
  <c r="AB19" i="5" s="1"/>
  <c r="W19" i="5"/>
  <c r="V19" i="5"/>
  <c r="S19" i="5"/>
  <c r="Y19" i="5" s="1"/>
  <c r="R19" i="5"/>
  <c r="P19" i="5"/>
  <c r="O19" i="5" s="1"/>
  <c r="L19" i="5"/>
  <c r="N19" i="5" s="1"/>
  <c r="J19" i="5"/>
  <c r="CO18" i="5"/>
  <c r="CN18" i="5" s="1"/>
  <c r="CK18" i="5"/>
  <c r="CM18" i="5" s="1"/>
  <c r="CH18" i="5"/>
  <c r="CG18" i="5"/>
  <c r="CD18" i="5"/>
  <c r="CC18" i="5"/>
  <c r="CA18" i="5"/>
  <c r="BZ18" i="5" s="1"/>
  <c r="BY18" i="5"/>
  <c r="BX18" i="5" s="1"/>
  <c r="BW18" i="5"/>
  <c r="BT18" i="5"/>
  <c r="BS18" i="5"/>
  <c r="BP18" i="5"/>
  <c r="BV18" i="5" s="1"/>
  <c r="BM18" i="5"/>
  <c r="BL18" i="5" s="1"/>
  <c r="BJ18" i="5"/>
  <c r="BI18" i="5"/>
  <c r="BK18" i="5" s="1"/>
  <c r="BF18" i="5"/>
  <c r="BE18" i="5" s="1"/>
  <c r="BB18" i="5"/>
  <c r="BA18" i="5"/>
  <c r="AY18" i="5"/>
  <c r="AX18" i="5" s="1"/>
  <c r="AW18" i="5"/>
  <c r="AV18" i="5" s="1"/>
  <c r="AU18" i="5"/>
  <c r="AR18" i="5"/>
  <c r="AQ18" i="5"/>
  <c r="AN18" i="5"/>
  <c r="AT18" i="5" s="1"/>
  <c r="AM18" i="5"/>
  <c r="AK18" i="5"/>
  <c r="AJ18" i="5" s="1"/>
  <c r="AH18" i="5"/>
  <c r="AG18" i="5"/>
  <c r="AI18" i="5" s="1"/>
  <c r="AD18" i="5"/>
  <c r="AC18" i="5"/>
  <c r="AB18" i="5"/>
  <c r="Z18" i="5"/>
  <c r="Y18" i="5"/>
  <c r="W18" i="5"/>
  <c r="V18" i="5" s="1"/>
  <c r="S18" i="5"/>
  <c r="U18" i="5" s="1"/>
  <c r="P18" i="5"/>
  <c r="O18" i="5"/>
  <c r="L18" i="5"/>
  <c r="R18" i="5" s="1"/>
  <c r="J18" i="5"/>
  <c r="CO17" i="5"/>
  <c r="CN17" i="5"/>
  <c r="CM17" i="5"/>
  <c r="CK17" i="5"/>
  <c r="CQ17" i="5" s="1"/>
  <c r="CJ17" i="5"/>
  <c r="CH17" i="5"/>
  <c r="CG17" i="5" s="1"/>
  <c r="CE17" i="5"/>
  <c r="CD17" i="5"/>
  <c r="CF17" i="5" s="1"/>
  <c r="CA17" i="5"/>
  <c r="BZ17" i="5" s="1"/>
  <c r="BY17" i="5"/>
  <c r="BW17" i="5"/>
  <c r="CC17" i="5" s="1"/>
  <c r="BT17" i="5"/>
  <c r="BS17" i="5" s="1"/>
  <c r="BR17" i="5"/>
  <c r="BQ17" i="5" s="1"/>
  <c r="BP17" i="5"/>
  <c r="BV17" i="5" s="1"/>
  <c r="BM17" i="5"/>
  <c r="BL17" i="5"/>
  <c r="BK17" i="5"/>
  <c r="BJ17" i="5" s="1"/>
  <c r="BI17" i="5"/>
  <c r="BO17" i="5" s="1"/>
  <c r="BH17" i="5"/>
  <c r="BF17" i="5"/>
  <c r="BE17" i="5" s="1"/>
  <c r="BB17" i="5"/>
  <c r="BD17" i="5" s="1"/>
  <c r="AY17" i="5"/>
  <c r="AX17" i="5" s="1"/>
  <c r="AU17" i="5"/>
  <c r="AT17" i="5"/>
  <c r="AR17" i="5"/>
  <c r="AQ17" i="5"/>
  <c r="AP17" i="5"/>
  <c r="AO17" i="5" s="1"/>
  <c r="AN17" i="5"/>
  <c r="AL17" i="5"/>
  <c r="AK17" i="5"/>
  <c r="AJ17" i="5"/>
  <c r="AI17" i="5"/>
  <c r="AH17" i="5"/>
  <c r="AG17" i="5"/>
  <c r="AM17" i="5" s="1"/>
  <c r="AD17" i="5"/>
  <c r="AC17" i="5"/>
  <c r="Z17" i="5"/>
  <c r="AF17" i="5" s="1"/>
  <c r="Y17" i="5"/>
  <c r="X17" i="5"/>
  <c r="T17" i="5"/>
  <c r="S17" i="5"/>
  <c r="U17" i="5" s="1"/>
  <c r="P17" i="5"/>
  <c r="L17" i="5"/>
  <c r="R17" i="5" s="1"/>
  <c r="CQ16" i="5"/>
  <c r="CO16" i="5"/>
  <c r="CN16" i="5" s="1"/>
  <c r="CM16" i="5"/>
  <c r="CK16" i="5"/>
  <c r="CH16" i="5"/>
  <c r="CG16" i="5" s="1"/>
  <c r="CF16" i="5"/>
  <c r="CE16" i="5" s="1"/>
  <c r="CD16" i="5"/>
  <c r="CJ16" i="5" s="1"/>
  <c r="CA16" i="5"/>
  <c r="BZ16" i="5"/>
  <c r="BY16" i="5"/>
  <c r="BW16" i="5"/>
  <c r="CC16" i="5" s="1"/>
  <c r="BT16" i="5"/>
  <c r="BS16" i="5" s="1"/>
  <c r="BP16" i="5"/>
  <c r="BR16" i="5" s="1"/>
  <c r="BO16" i="5"/>
  <c r="BM16" i="5"/>
  <c r="BL16" i="5"/>
  <c r="BK16" i="5"/>
  <c r="BI16" i="5"/>
  <c r="BF16" i="5"/>
  <c r="BE16" i="5"/>
  <c r="BD16" i="5"/>
  <c r="BB16" i="5"/>
  <c r="BH16" i="5" s="1"/>
  <c r="AY16" i="5"/>
  <c r="AX16" i="5"/>
  <c r="AU16" i="5"/>
  <c r="BA16" i="5" s="1"/>
  <c r="AR16" i="5"/>
  <c r="AQ16" i="5" s="1"/>
  <c r="AN16" i="5"/>
  <c r="AP16" i="5" s="1"/>
  <c r="AL16" i="5"/>
  <c r="AK16" i="5" s="1"/>
  <c r="AJ16" i="5" s="1"/>
  <c r="AG16" i="5"/>
  <c r="AE16" i="5"/>
  <c r="AB16" i="5"/>
  <c r="Z16" i="5"/>
  <c r="X16" i="5"/>
  <c r="S16" i="5"/>
  <c r="U16" i="5" s="1"/>
  <c r="T16" i="5" s="1"/>
  <c r="Q16" i="5"/>
  <c r="P16" i="5"/>
  <c r="O16" i="5"/>
  <c r="N16" i="5"/>
  <c r="L16" i="5"/>
  <c r="M16" i="5" s="1"/>
  <c r="CO15" i="5"/>
  <c r="CN15" i="5" s="1"/>
  <c r="CK15" i="5"/>
  <c r="CM15" i="5" s="1"/>
  <c r="CH15" i="5"/>
  <c r="CG15" i="5"/>
  <c r="CF15" i="5"/>
  <c r="CE15" i="5" s="1"/>
  <c r="CD15" i="5"/>
  <c r="CJ15" i="5" s="1"/>
  <c r="CA15" i="5"/>
  <c r="BZ15" i="5" s="1"/>
  <c r="BW15" i="5"/>
  <c r="BY15" i="5" s="1"/>
  <c r="BV15" i="5"/>
  <c r="BT15" i="5"/>
  <c r="BS15" i="5" s="1"/>
  <c r="BR15" i="5"/>
  <c r="BP15" i="5"/>
  <c r="BM15" i="5"/>
  <c r="BL15" i="5"/>
  <c r="BI15" i="5"/>
  <c r="BO15" i="5" s="1"/>
  <c r="BF15" i="5"/>
  <c r="BE15" i="5"/>
  <c r="BB15" i="5"/>
  <c r="BH15" i="5" s="1"/>
  <c r="AY15" i="5"/>
  <c r="AX15" i="5" s="1"/>
  <c r="AU15" i="5"/>
  <c r="AW15" i="5" s="1"/>
  <c r="AT15" i="5"/>
  <c r="AR15" i="5"/>
  <c r="AQ15" i="5"/>
  <c r="AP15" i="5"/>
  <c r="AN15" i="5"/>
  <c r="AL15" i="5"/>
  <c r="AK15" i="5" s="1"/>
  <c r="AI15" i="5"/>
  <c r="AH15" i="5"/>
  <c r="AG15" i="5"/>
  <c r="AM15" i="5" s="1"/>
  <c r="AE15" i="5"/>
  <c r="J15" i="5" s="1"/>
  <c r="AD15" i="5"/>
  <c r="AB15" i="5"/>
  <c r="AA15" i="5" s="1"/>
  <c r="Z15" i="5"/>
  <c r="X15" i="5"/>
  <c r="W15" i="5"/>
  <c r="V15" i="5" s="1"/>
  <c r="U15" i="5"/>
  <c r="S15" i="5"/>
  <c r="Y15" i="5" s="1"/>
  <c r="Q15" i="5"/>
  <c r="P15" i="5"/>
  <c r="O15" i="5"/>
  <c r="L15" i="5"/>
  <c r="R15" i="5" s="1"/>
  <c r="E15" i="5"/>
  <c r="CO14" i="5"/>
  <c r="CN14" i="5"/>
  <c r="CK14" i="5"/>
  <c r="CQ14" i="5" s="1"/>
  <c r="CH14" i="5"/>
  <c r="CG14" i="5" s="1"/>
  <c r="CD14" i="5"/>
  <c r="CF14" i="5" s="1"/>
  <c r="CC14" i="5"/>
  <c r="CA14" i="5"/>
  <c r="BZ14" i="5"/>
  <c r="BY14" i="5"/>
  <c r="BW14" i="5"/>
  <c r="BT14" i="5"/>
  <c r="BS14" i="5" s="1"/>
  <c r="BP14" i="5"/>
  <c r="BR14" i="5" s="1"/>
  <c r="BM14" i="5"/>
  <c r="BL14" i="5"/>
  <c r="BI14" i="5"/>
  <c r="BO14" i="5" s="1"/>
  <c r="BF14" i="5"/>
  <c r="BE14" i="5" s="1"/>
  <c r="BB14" i="5"/>
  <c r="BD14" i="5" s="1"/>
  <c r="AY14" i="5"/>
  <c r="AX14" i="5" s="1"/>
  <c r="AU14" i="5"/>
  <c r="BA14" i="5" s="1"/>
  <c r="AR14" i="5"/>
  <c r="AQ14" i="5"/>
  <c r="AP14" i="5"/>
  <c r="AO14" i="5" s="1"/>
  <c r="AN14" i="5"/>
  <c r="AT14" i="5" s="1"/>
  <c r="AK14" i="5"/>
  <c r="AJ14" i="5"/>
  <c r="AG14" i="5"/>
  <c r="AM14" i="5" s="1"/>
  <c r="AE14" i="5"/>
  <c r="AB14" i="5"/>
  <c r="AA14" i="5" s="1"/>
  <c r="Z14" i="5"/>
  <c r="X14" i="5"/>
  <c r="J14" i="5" s="1"/>
  <c r="W14" i="5"/>
  <c r="S14" i="5"/>
  <c r="U14" i="5" s="1"/>
  <c r="Q14" i="5"/>
  <c r="P14" i="5" s="1"/>
  <c r="L14" i="5"/>
  <c r="R14" i="5" s="1"/>
  <c r="CQ13" i="5"/>
  <c r="CO13" i="5"/>
  <c r="CN13" i="5"/>
  <c r="CK13" i="5"/>
  <c r="CH13" i="5"/>
  <c r="CG13" i="5" s="1"/>
  <c r="CF13" i="5"/>
  <c r="CE13" i="5"/>
  <c r="CD13" i="5"/>
  <c r="CJ13" i="5" s="1"/>
  <c r="CA13" i="5"/>
  <c r="BZ13" i="5" s="1"/>
  <c r="BW13" i="5"/>
  <c r="BY13" i="5" s="1"/>
  <c r="BT13" i="5"/>
  <c r="BS13" i="5"/>
  <c r="BP13" i="5"/>
  <c r="BV13" i="5" s="1"/>
  <c r="BM13" i="5"/>
  <c r="BL13" i="5"/>
  <c r="BI13" i="5"/>
  <c r="BK13" i="5" s="1"/>
  <c r="BF13" i="5"/>
  <c r="BE13" i="5" s="1"/>
  <c r="BB13" i="5"/>
  <c r="BH13" i="5" s="1"/>
  <c r="BA13" i="5"/>
  <c r="AY13" i="5"/>
  <c r="AX13" i="5" s="1"/>
  <c r="AW13" i="5"/>
  <c r="AV13" i="5" s="1"/>
  <c r="AU13" i="5"/>
  <c r="AR13" i="5"/>
  <c r="AQ13" i="5"/>
  <c r="AP13" i="5"/>
  <c r="AO13" i="5" s="1"/>
  <c r="AN13" i="5"/>
  <c r="AT13" i="5" s="1"/>
  <c r="AL13" i="5"/>
  <c r="AK13" i="5"/>
  <c r="AI13" i="5"/>
  <c r="AG13" i="5"/>
  <c r="AM13" i="5" s="1"/>
  <c r="AE13" i="5"/>
  <c r="AD13" i="5" s="1"/>
  <c r="Z13" i="5"/>
  <c r="AB13" i="5" s="1"/>
  <c r="X13" i="5"/>
  <c r="S13" i="5"/>
  <c r="U13" i="5" s="1"/>
  <c r="R13" i="5"/>
  <c r="P13" i="5"/>
  <c r="L13" i="5"/>
  <c r="N13" i="5" s="1"/>
  <c r="E13" i="5"/>
  <c r="CO12" i="5"/>
  <c r="CN12" i="5"/>
  <c r="CK12" i="5"/>
  <c r="CQ12" i="5" s="1"/>
  <c r="CH12" i="5"/>
  <c r="CG12" i="5" s="1"/>
  <c r="CD12" i="5"/>
  <c r="CJ12" i="5" s="1"/>
  <c r="CA12" i="5"/>
  <c r="BZ12" i="5" s="1"/>
  <c r="BY12" i="5"/>
  <c r="BX12" i="5" s="1"/>
  <c r="BW12" i="5"/>
  <c r="CC12" i="5" s="1"/>
  <c r="BT12" i="5"/>
  <c r="BS12" i="5"/>
  <c r="BR12" i="5"/>
  <c r="BP12" i="5"/>
  <c r="BM12" i="5"/>
  <c r="BL12" i="5" s="1"/>
  <c r="BI12" i="5"/>
  <c r="BK12" i="5" s="1"/>
  <c r="BF12" i="5"/>
  <c r="BE12" i="5" s="1"/>
  <c r="BB12" i="5"/>
  <c r="BH12" i="5" s="1"/>
  <c r="AY12" i="5"/>
  <c r="AX12" i="5" s="1"/>
  <c r="AW12" i="5"/>
  <c r="AV12" i="5" s="1"/>
  <c r="AU12" i="5"/>
  <c r="BA12" i="5" s="1"/>
  <c r="AR12" i="5"/>
  <c r="AQ12" i="5" s="1"/>
  <c r="AP12" i="5"/>
  <c r="AN12" i="5"/>
  <c r="AT12" i="5" s="1"/>
  <c r="AL12" i="5"/>
  <c r="AM12" i="5" s="1"/>
  <c r="AI12" i="5"/>
  <c r="AH12" i="5" s="1"/>
  <c r="AG12" i="5"/>
  <c r="AE12" i="5"/>
  <c r="AD12" i="5" s="1"/>
  <c r="Z12" i="5"/>
  <c r="AF12" i="5" s="1"/>
  <c r="W12" i="5"/>
  <c r="V12" i="5" s="1"/>
  <c r="S12" i="5"/>
  <c r="Y12" i="5" s="1"/>
  <c r="Q12" i="5"/>
  <c r="P12" i="5" s="1"/>
  <c r="L12" i="5"/>
  <c r="N12" i="5" s="1"/>
  <c r="CO11" i="5"/>
  <c r="CN11" i="5"/>
  <c r="CK11" i="5"/>
  <c r="CQ11" i="5" s="1"/>
  <c r="CJ11" i="5"/>
  <c r="CH11" i="5"/>
  <c r="CG11" i="5" s="1"/>
  <c r="CD11" i="5"/>
  <c r="CF11" i="5" s="1"/>
  <c r="CC11" i="5"/>
  <c r="CA11" i="5"/>
  <c r="BZ11" i="5" s="1"/>
  <c r="BY11" i="5"/>
  <c r="BX11" i="5"/>
  <c r="BW11" i="5"/>
  <c r="BT11" i="5"/>
  <c r="BS11" i="5" s="1"/>
  <c r="BP11" i="5"/>
  <c r="BR11" i="5" s="1"/>
  <c r="BM11" i="5"/>
  <c r="BL11" i="5"/>
  <c r="BI11" i="5"/>
  <c r="BO11" i="5" s="1"/>
  <c r="BF11" i="5"/>
  <c r="BE11" i="5"/>
  <c r="BB11" i="5"/>
  <c r="BD11" i="5" s="1"/>
  <c r="AY11" i="5"/>
  <c r="AX11" i="5" s="1"/>
  <c r="AW11" i="5"/>
  <c r="AU11" i="5"/>
  <c r="BA11" i="5" s="1"/>
  <c r="AT11" i="5"/>
  <c r="AR11" i="5"/>
  <c r="AQ11" i="5" s="1"/>
  <c r="AN11" i="5"/>
  <c r="AP11" i="5" s="1"/>
  <c r="AO11" i="5" s="1"/>
  <c r="AM11" i="5"/>
  <c r="AL11" i="5"/>
  <c r="AK11" i="5"/>
  <c r="AJ11" i="5"/>
  <c r="AI11" i="5"/>
  <c r="AH11" i="5" s="1"/>
  <c r="AG11" i="5"/>
  <c r="AE11" i="5"/>
  <c r="AD11" i="5" s="1"/>
  <c r="Z11" i="5"/>
  <c r="AF11" i="5" s="1"/>
  <c r="X11" i="5"/>
  <c r="W11" i="5" s="1"/>
  <c r="I11" i="5" s="1"/>
  <c r="U11" i="5"/>
  <c r="S11" i="5"/>
  <c r="Y11" i="5" s="1"/>
  <c r="P11" i="5"/>
  <c r="O11" i="5" s="1"/>
  <c r="L11" i="5"/>
  <c r="R11" i="5" s="1"/>
  <c r="B11" i="5"/>
  <c r="CQ10" i="5"/>
  <c r="CO10" i="5"/>
  <c r="CN10" i="5"/>
  <c r="CM10" i="5"/>
  <c r="CK10" i="5"/>
  <c r="CH10" i="5"/>
  <c r="CG10" i="5"/>
  <c r="CF10" i="5"/>
  <c r="CD10" i="5"/>
  <c r="CJ10" i="5" s="1"/>
  <c r="CA10" i="5"/>
  <c r="BZ10" i="5" s="1"/>
  <c r="BW10" i="5"/>
  <c r="CC10" i="5" s="1"/>
  <c r="BT10" i="5"/>
  <c r="BS10" i="5" s="1"/>
  <c r="BP10" i="5"/>
  <c r="BV10" i="5" s="1"/>
  <c r="BM10" i="5"/>
  <c r="BL10" i="5"/>
  <c r="BK10" i="5"/>
  <c r="BI10" i="5"/>
  <c r="BF10" i="5"/>
  <c r="BE10" i="5" s="1"/>
  <c r="BB10" i="5"/>
  <c r="BD10" i="5" s="1"/>
  <c r="AY10" i="5"/>
  <c r="AX10" i="5" s="1"/>
  <c r="AU10" i="5"/>
  <c r="BA10" i="5" s="1"/>
  <c r="AR10" i="5"/>
  <c r="AQ10" i="5" s="1"/>
  <c r="AP10" i="5"/>
  <c r="AO10" i="5" s="1"/>
  <c r="AN10" i="5"/>
  <c r="AT10" i="5" s="1"/>
  <c r="AL10" i="5"/>
  <c r="AK10" i="5" s="1"/>
  <c r="AG10" i="5"/>
  <c r="AI10" i="5" s="1"/>
  <c r="AE10" i="5"/>
  <c r="AC10" i="5" s="1"/>
  <c r="AD10" i="5"/>
  <c r="Z10" i="5"/>
  <c r="AF10" i="5" s="1"/>
  <c r="X10" i="5"/>
  <c r="J10" i="5" s="1"/>
  <c r="U10" i="5"/>
  <c r="T10" i="5" s="1"/>
  <c r="S10" i="5"/>
  <c r="Q10" i="5"/>
  <c r="P10" i="5"/>
  <c r="N10" i="5"/>
  <c r="L10" i="5"/>
  <c r="R10" i="5" s="1"/>
  <c r="CO9" i="5"/>
  <c r="CN9" i="5" s="1"/>
  <c r="CM9" i="5"/>
  <c r="CK9" i="5"/>
  <c r="CQ9" i="5" s="1"/>
  <c r="CH9" i="5"/>
  <c r="CG9" i="5" s="1"/>
  <c r="CF9" i="5"/>
  <c r="CE9" i="5" s="1"/>
  <c r="CD9" i="5"/>
  <c r="CJ9" i="5" s="1"/>
  <c r="CA9" i="5"/>
  <c r="BZ9" i="5" s="1"/>
  <c r="BW9" i="5"/>
  <c r="BY9" i="5" s="1"/>
  <c r="BT9" i="5"/>
  <c r="BS9" i="5"/>
  <c r="BP9" i="5"/>
  <c r="BV9" i="5" s="1"/>
  <c r="BM9" i="5"/>
  <c r="BL9" i="5" s="1"/>
  <c r="BK9" i="5"/>
  <c r="BJ9" i="5" s="1"/>
  <c r="BI9" i="5"/>
  <c r="BO9" i="5" s="1"/>
  <c r="BF9" i="5"/>
  <c r="BE9" i="5" s="1"/>
  <c r="BB9" i="5"/>
  <c r="BH9" i="5" s="1"/>
  <c r="AY9" i="5"/>
  <c r="AX9" i="5" s="1"/>
  <c r="AU9" i="5"/>
  <c r="AW9" i="5" s="1"/>
  <c r="AT9" i="5"/>
  <c r="AR9" i="5"/>
  <c r="AQ9" i="5"/>
  <c r="AN9" i="5"/>
  <c r="AP9" i="5" s="1"/>
  <c r="AO9" i="5" s="1"/>
  <c r="AL9" i="5"/>
  <c r="AK9" i="5" s="1"/>
  <c r="AI9" i="5"/>
  <c r="AH9" i="5" s="1"/>
  <c r="AG9" i="5"/>
  <c r="AM9" i="5" s="1"/>
  <c r="AD9" i="5"/>
  <c r="AC9" i="5"/>
  <c r="AB9" i="5"/>
  <c r="Z9" i="5"/>
  <c r="AF9" i="5" s="1"/>
  <c r="X9" i="5"/>
  <c r="W9" i="5" s="1"/>
  <c r="S9" i="5"/>
  <c r="Y9" i="5" s="1"/>
  <c r="Q9" i="5"/>
  <c r="P9" i="5" s="1"/>
  <c r="L9" i="5"/>
  <c r="N9" i="5" s="1"/>
  <c r="CO8" i="5"/>
  <c r="CN8" i="5" s="1"/>
  <c r="CK8" i="5"/>
  <c r="CM8" i="5" s="1"/>
  <c r="CL8" i="5" s="1"/>
  <c r="CH8" i="5"/>
  <c r="CG8" i="5" s="1"/>
  <c r="CF8" i="5"/>
  <c r="CE8" i="5" s="1"/>
  <c r="CD8" i="5"/>
  <c r="CJ8" i="5" s="1"/>
  <c r="CC8" i="5"/>
  <c r="CA8" i="5"/>
  <c r="BZ8" i="5" s="1"/>
  <c r="BY8" i="5"/>
  <c r="BX8" i="5" s="1"/>
  <c r="BW8" i="5"/>
  <c r="BT8" i="5"/>
  <c r="BS8" i="5"/>
  <c r="BR8" i="5"/>
  <c r="BP8" i="5"/>
  <c r="BV8" i="5" s="1"/>
  <c r="BM8" i="5"/>
  <c r="BL8" i="5" s="1"/>
  <c r="BI8" i="5"/>
  <c r="BK8" i="5" s="1"/>
  <c r="BJ8" i="5" s="1"/>
  <c r="BF8" i="5"/>
  <c r="BE8" i="5" s="1"/>
  <c r="BB8" i="5"/>
  <c r="BA8" i="5"/>
  <c r="AY8" i="5"/>
  <c r="AX8" i="5" s="1"/>
  <c r="AW8" i="5"/>
  <c r="AV8" i="5" s="1"/>
  <c r="AU8" i="5"/>
  <c r="AR8" i="5"/>
  <c r="AQ8" i="5"/>
  <c r="AN8" i="5"/>
  <c r="AT8" i="5" s="1"/>
  <c r="AK8" i="5"/>
  <c r="AJ8" i="5" s="1"/>
  <c r="AG8" i="5"/>
  <c r="AI8" i="5" s="1"/>
  <c r="AF8" i="5"/>
  <c r="AD8" i="5"/>
  <c r="AC8" i="5" s="1"/>
  <c r="AB8" i="5"/>
  <c r="Z8" i="5"/>
  <c r="W8" i="5"/>
  <c r="I8" i="5" s="1"/>
  <c r="U8" i="5"/>
  <c r="T8" i="5" s="1"/>
  <c r="S8" i="5"/>
  <c r="Y8" i="5" s="1"/>
  <c r="P8" i="5"/>
  <c r="O8" i="5"/>
  <c r="N8" i="5"/>
  <c r="L8" i="5"/>
  <c r="J8" i="5"/>
  <c r="CO7" i="5"/>
  <c r="CN7" i="5"/>
  <c r="CK7" i="5"/>
  <c r="CQ7" i="5" s="1"/>
  <c r="CH7" i="5"/>
  <c r="CG7" i="5" s="1"/>
  <c r="CD7" i="5"/>
  <c r="CF7" i="5" s="1"/>
  <c r="CE7" i="5" s="1"/>
  <c r="CA7" i="5"/>
  <c r="BZ7" i="5" s="1"/>
  <c r="BW7" i="5"/>
  <c r="CC7" i="5" s="1"/>
  <c r="BV7" i="5"/>
  <c r="BT7" i="5"/>
  <c r="BS7" i="5" s="1"/>
  <c r="BR7" i="5"/>
  <c r="BQ7" i="5" s="1"/>
  <c r="BP7" i="5"/>
  <c r="BM7" i="5"/>
  <c r="BL7" i="5"/>
  <c r="BI7" i="5"/>
  <c r="BO7" i="5" s="1"/>
  <c r="BF7" i="5"/>
  <c r="BE7" i="5" s="1"/>
  <c r="BB7" i="5"/>
  <c r="BD7" i="5" s="1"/>
  <c r="BC7" i="5" s="1"/>
  <c r="BA7" i="5"/>
  <c r="AY7" i="5"/>
  <c r="AX7" i="5" s="1"/>
  <c r="AW7" i="5"/>
  <c r="AU7" i="5"/>
  <c r="AR7" i="5"/>
  <c r="AQ7" i="5" s="1"/>
  <c r="AN7" i="5"/>
  <c r="AT7" i="5" s="1"/>
  <c r="AL7" i="5"/>
  <c r="AK7" i="5"/>
  <c r="AJ7" i="5" s="1"/>
  <c r="AI7" i="5"/>
  <c r="AH7" i="5" s="1"/>
  <c r="AG7" i="5"/>
  <c r="AM7" i="5" s="1"/>
  <c r="AD7" i="5"/>
  <c r="AC7" i="5" s="1"/>
  <c r="Z7" i="5"/>
  <c r="AF7" i="5" s="1"/>
  <c r="X7" i="5"/>
  <c r="W7" i="5" s="1"/>
  <c r="S7" i="5"/>
  <c r="R7" i="5"/>
  <c r="P7" i="5"/>
  <c r="I7" i="5" s="1"/>
  <c r="L7" i="5"/>
  <c r="N7" i="5" s="1"/>
  <c r="J7" i="5"/>
  <c r="CQ6" i="5"/>
  <c r="CO6" i="5"/>
  <c r="CN6" i="5" s="1"/>
  <c r="CK6" i="5"/>
  <c r="CM6" i="5" s="1"/>
  <c r="CJ6" i="5"/>
  <c r="CH6" i="5"/>
  <c r="CG6" i="5" s="1"/>
  <c r="CD6" i="5"/>
  <c r="CF6" i="5" s="1"/>
  <c r="CE6" i="5" s="1"/>
  <c r="CA6" i="5"/>
  <c r="BZ6" i="5"/>
  <c r="BW6" i="5"/>
  <c r="CC6" i="5" s="1"/>
  <c r="BT6" i="5"/>
  <c r="BS6" i="5" s="1"/>
  <c r="BP6" i="5"/>
  <c r="BR6" i="5" s="1"/>
  <c r="BM6" i="5"/>
  <c r="BL6" i="5" s="1"/>
  <c r="BI6" i="5"/>
  <c r="BK6" i="5" s="1"/>
  <c r="BH6" i="5"/>
  <c r="BF6" i="5"/>
  <c r="BE6" i="5" s="1"/>
  <c r="BD6" i="5"/>
  <c r="BC6" i="5" s="1"/>
  <c r="BB6" i="5"/>
  <c r="AY6" i="5"/>
  <c r="AX6" i="5"/>
  <c r="AU6" i="5"/>
  <c r="BA6" i="5" s="1"/>
  <c r="AR6" i="5"/>
  <c r="AQ6" i="5"/>
  <c r="AN6" i="5"/>
  <c r="AP6" i="5" s="1"/>
  <c r="AL6" i="5"/>
  <c r="AG6" i="5"/>
  <c r="AI6" i="5" s="1"/>
  <c r="AD6" i="5"/>
  <c r="AC6" i="5"/>
  <c r="AB6" i="5"/>
  <c r="Z6" i="5"/>
  <c r="W6" i="5"/>
  <c r="V6" i="5"/>
  <c r="U6" i="5"/>
  <c r="S6" i="5"/>
  <c r="Y6" i="5" s="1"/>
  <c r="P6" i="5"/>
  <c r="O6" i="5"/>
  <c r="N6" i="5"/>
  <c r="M6" i="5"/>
  <c r="L6" i="5"/>
  <c r="R6" i="5" s="1"/>
  <c r="CO5" i="5"/>
  <c r="CN5" i="5"/>
  <c r="CM5" i="5"/>
  <c r="CL5" i="5"/>
  <c r="CK5" i="5"/>
  <c r="CQ5" i="5" s="1"/>
  <c r="CH5" i="5"/>
  <c r="CG5" i="5" s="1"/>
  <c r="CD5" i="5"/>
  <c r="CF5" i="5" s="1"/>
  <c r="CA5" i="5"/>
  <c r="BZ5" i="5"/>
  <c r="BW5" i="5"/>
  <c r="BT5" i="5"/>
  <c r="BS5" i="5"/>
  <c r="BR5" i="5"/>
  <c r="BQ5" i="5" s="1"/>
  <c r="BP5" i="5"/>
  <c r="BV5" i="5" s="1"/>
  <c r="BM5" i="5"/>
  <c r="BL5" i="5"/>
  <c r="BK5" i="5"/>
  <c r="BI5" i="5"/>
  <c r="BO5" i="5" s="1"/>
  <c r="BF5" i="5"/>
  <c r="BE5" i="5" s="1"/>
  <c r="BB5" i="5"/>
  <c r="BD5" i="5" s="1"/>
  <c r="AY5" i="5"/>
  <c r="AX5" i="5"/>
  <c r="AW5" i="5"/>
  <c r="AU5" i="5"/>
  <c r="AR5" i="5"/>
  <c r="AQ5" i="5"/>
  <c r="AP5" i="5"/>
  <c r="AN5" i="5"/>
  <c r="AT5" i="5" s="1"/>
  <c r="AL5" i="5"/>
  <c r="AK5" i="5"/>
  <c r="AJ5" i="5"/>
  <c r="AI5" i="5"/>
  <c r="AG5" i="5"/>
  <c r="AM5" i="5" s="1"/>
  <c r="AE5" i="5"/>
  <c r="AD5" i="5"/>
  <c r="AC5" i="5"/>
  <c r="AB5" i="5"/>
  <c r="AA5" i="5"/>
  <c r="Z5" i="5"/>
  <c r="AF5" i="5" s="1"/>
  <c r="X5" i="5"/>
  <c r="W5" i="5" s="1"/>
  <c r="S5" i="5"/>
  <c r="U5" i="5" s="1"/>
  <c r="Q5" i="5"/>
  <c r="L5" i="5"/>
  <c r="N5" i="5" s="1"/>
  <c r="CO4" i="5"/>
  <c r="CK4" i="5"/>
  <c r="CJ4" i="5"/>
  <c r="CH4" i="5"/>
  <c r="CH55" i="5" s="1"/>
  <c r="CH58" i="5" s="1"/>
  <c r="CG4" i="5"/>
  <c r="CF4" i="5"/>
  <c r="CD4" i="5"/>
  <c r="CA4" i="5"/>
  <c r="CA55" i="5" s="1"/>
  <c r="CA58" i="5" s="1"/>
  <c r="BW4" i="5"/>
  <c r="BY4" i="5" s="1"/>
  <c r="BT4" i="5"/>
  <c r="BS4" i="5"/>
  <c r="BR4" i="5"/>
  <c r="BP4" i="5"/>
  <c r="BM4" i="5"/>
  <c r="BI4" i="5"/>
  <c r="BH4" i="5"/>
  <c r="BF4" i="5"/>
  <c r="BF55" i="5" s="1"/>
  <c r="BF58" i="5" s="1"/>
  <c r="BB4" i="5"/>
  <c r="BD4" i="5" s="1"/>
  <c r="AY4" i="5"/>
  <c r="AW4" i="5"/>
  <c r="AV4" i="5" s="1"/>
  <c r="AU4" i="5"/>
  <c r="AR4" i="5"/>
  <c r="AQ4" i="5"/>
  <c r="AN4" i="5"/>
  <c r="AG4" i="5"/>
  <c r="AF4" i="5"/>
  <c r="AE4" i="5"/>
  <c r="AD4" i="5" s="1"/>
  <c r="Z4" i="5"/>
  <c r="X4" i="5"/>
  <c r="S4" i="5"/>
  <c r="Q4" i="5"/>
  <c r="P4" i="5"/>
  <c r="L4" i="5"/>
  <c r="B4" i="5" s="1"/>
  <c r="CQ83" i="4"/>
  <c r="CJ83" i="4"/>
  <c r="CC83" i="4"/>
  <c r="BV83" i="4"/>
  <c r="BO83" i="4"/>
  <c r="BH83" i="4"/>
  <c r="BA83" i="4"/>
  <c r="AT83" i="4"/>
  <c r="AF80" i="4"/>
  <c r="Y79" i="4"/>
  <c r="Y78" i="4"/>
  <c r="AM77" i="4"/>
  <c r="Y77" i="4"/>
  <c r="R77" i="4"/>
  <c r="AM76" i="4"/>
  <c r="AM75" i="4"/>
  <c r="Y75" i="4"/>
  <c r="R75" i="4"/>
  <c r="AM74" i="4"/>
  <c r="AF74" i="4"/>
  <c r="R74" i="4"/>
  <c r="AF73" i="4"/>
  <c r="R73" i="4"/>
  <c r="R72" i="4"/>
  <c r="Y71" i="4"/>
  <c r="R71" i="4"/>
  <c r="AF70" i="4"/>
  <c r="Y69" i="4"/>
  <c r="AM68" i="4"/>
  <c r="Y68" i="4"/>
  <c r="R68" i="4"/>
  <c r="AF67" i="4"/>
  <c r="Y67" i="4"/>
  <c r="R67" i="4"/>
  <c r="R66" i="4"/>
  <c r="AM65" i="4"/>
  <c r="Y65" i="4"/>
  <c r="R65" i="4"/>
  <c r="Y64" i="4"/>
  <c r="R64" i="4"/>
  <c r="AM63" i="4"/>
  <c r="AF63" i="4"/>
  <c r="Y63" i="4"/>
  <c r="AM62" i="4"/>
  <c r="Y62" i="4"/>
  <c r="R62" i="4"/>
  <c r="R83" i="4" s="1"/>
  <c r="AM61" i="4"/>
  <c r="AF61" i="4"/>
  <c r="AF83" i="4" s="1"/>
  <c r="AE49" i="4" s="1"/>
  <c r="Y61" i="4"/>
  <c r="R61" i="4"/>
  <c r="AZ59" i="4"/>
  <c r="CP58" i="4"/>
  <c r="CI58" i="4"/>
  <c r="BU58" i="4"/>
  <c r="AZ58" i="4"/>
  <c r="CO57" i="4"/>
  <c r="CN57" i="4"/>
  <c r="CK57" i="4"/>
  <c r="CH57" i="4"/>
  <c r="CG57" i="4"/>
  <c r="CD57" i="4"/>
  <c r="CC57" i="4"/>
  <c r="CA57" i="4"/>
  <c r="BZ57" i="4" s="1"/>
  <c r="BW57" i="4"/>
  <c r="BY57" i="4" s="1"/>
  <c r="BX57" i="4" s="1"/>
  <c r="BV57" i="4"/>
  <c r="BT57" i="4"/>
  <c r="BS57" i="4" s="1"/>
  <c r="BP57" i="4"/>
  <c r="BR57" i="4" s="1"/>
  <c r="BQ57" i="4" s="1"/>
  <c r="BM57" i="4"/>
  <c r="BL57" i="4"/>
  <c r="BI57" i="4"/>
  <c r="BF57" i="4"/>
  <c r="BE57" i="4"/>
  <c r="BB57" i="4"/>
  <c r="AY57" i="4"/>
  <c r="AX57" i="4" s="1"/>
  <c r="AU57" i="4"/>
  <c r="AW57" i="4" s="1"/>
  <c r="AT57" i="4"/>
  <c r="AR57" i="4"/>
  <c r="AQ57" i="4" s="1"/>
  <c r="AP57" i="4"/>
  <c r="AO57" i="4" s="1"/>
  <c r="AN57" i="4"/>
  <c r="AK57" i="4"/>
  <c r="AJ57" i="4"/>
  <c r="AG57" i="4"/>
  <c r="AD57" i="4"/>
  <c r="AC57" i="4"/>
  <c r="Z57" i="4"/>
  <c r="W57" i="4"/>
  <c r="V57" i="4" s="1"/>
  <c r="H57" i="4" s="1"/>
  <c r="S57" i="4"/>
  <c r="U57" i="4" s="1"/>
  <c r="R57" i="4"/>
  <c r="P57" i="4"/>
  <c r="O57" i="4" s="1"/>
  <c r="N57" i="4"/>
  <c r="L57" i="4"/>
  <c r="J57" i="4"/>
  <c r="CO56" i="4"/>
  <c r="CN56" i="4" s="1"/>
  <c r="CK56" i="4"/>
  <c r="CQ56" i="4" s="1"/>
  <c r="CJ56" i="4"/>
  <c r="CH56" i="4"/>
  <c r="CG56" i="4"/>
  <c r="CD56" i="4"/>
  <c r="CA56" i="4"/>
  <c r="BZ56" i="4"/>
  <c r="BW56" i="4"/>
  <c r="BV56" i="4"/>
  <c r="BT56" i="4"/>
  <c r="BS56" i="4" s="1"/>
  <c r="BP56" i="4"/>
  <c r="BR56" i="4" s="1"/>
  <c r="BQ56" i="4" s="1"/>
  <c r="BM56" i="4"/>
  <c r="BL56" i="4" s="1"/>
  <c r="BK56" i="4"/>
  <c r="BJ56" i="4" s="1"/>
  <c r="BI56" i="4"/>
  <c r="BO56" i="4" s="1"/>
  <c r="BF56" i="4"/>
  <c r="BE56" i="4"/>
  <c r="BB56" i="4"/>
  <c r="AY56" i="4"/>
  <c r="AX56" i="4"/>
  <c r="AU56" i="4"/>
  <c r="AR56" i="4"/>
  <c r="AQ56" i="4" s="1"/>
  <c r="AN56" i="4"/>
  <c r="AP56" i="4" s="1"/>
  <c r="AO56" i="4" s="1"/>
  <c r="AL56" i="4"/>
  <c r="AK56" i="4" s="1"/>
  <c r="AG56" i="4"/>
  <c r="AE56" i="4"/>
  <c r="AD56" i="4"/>
  <c r="Z56" i="4"/>
  <c r="AB56" i="4" s="1"/>
  <c r="AA56" i="4" s="1"/>
  <c r="W56" i="4"/>
  <c r="I56" i="4" s="1"/>
  <c r="V56" i="4"/>
  <c r="S56" i="4"/>
  <c r="Y56" i="4" s="1"/>
  <c r="P56" i="4"/>
  <c r="O56" i="4"/>
  <c r="L56" i="4"/>
  <c r="J56" i="4"/>
  <c r="CP55" i="4"/>
  <c r="CI55" i="4"/>
  <c r="CB55" i="4"/>
  <c r="BU55" i="4"/>
  <c r="BN55" i="4"/>
  <c r="BG55" i="4"/>
  <c r="AZ55" i="4"/>
  <c r="AS55" i="4"/>
  <c r="CO54" i="4"/>
  <c r="CN54" i="4" s="1"/>
  <c r="CL54" i="4"/>
  <c r="CK54" i="4"/>
  <c r="CM54" i="4" s="1"/>
  <c r="CJ54" i="4"/>
  <c r="CH54" i="4"/>
  <c r="CG54" i="4" s="1"/>
  <c r="CD54" i="4"/>
  <c r="CF54" i="4" s="1"/>
  <c r="CE54" i="4" s="1"/>
  <c r="CA54" i="4"/>
  <c r="BZ54" i="4"/>
  <c r="BW54" i="4"/>
  <c r="CC54" i="4" s="1"/>
  <c r="BT54" i="4"/>
  <c r="BS54" i="4"/>
  <c r="BP54" i="4"/>
  <c r="BM54" i="4"/>
  <c r="BL54" i="4" s="1"/>
  <c r="BI54" i="4"/>
  <c r="BK54" i="4" s="1"/>
  <c r="BH54" i="4"/>
  <c r="BF54" i="4"/>
  <c r="BE54" i="4" s="1"/>
  <c r="BB54" i="4"/>
  <c r="BD54" i="4" s="1"/>
  <c r="BC54" i="4" s="1"/>
  <c r="AY54" i="4"/>
  <c r="AX54" i="4"/>
  <c r="AW54" i="4"/>
  <c r="AU54" i="4"/>
  <c r="BA54" i="4" s="1"/>
  <c r="AR54" i="4"/>
  <c r="AQ54" i="4"/>
  <c r="AN54" i="4"/>
  <c r="AK54" i="4"/>
  <c r="AJ54" i="4" s="1"/>
  <c r="AG54" i="4"/>
  <c r="AI54" i="4" s="1"/>
  <c r="AF54" i="4"/>
  <c r="AD54" i="4"/>
  <c r="AC54" i="4" s="1"/>
  <c r="AB54" i="4"/>
  <c r="AA54" i="4" s="1"/>
  <c r="Z54" i="4"/>
  <c r="W54" i="4"/>
  <c r="I54" i="4" s="1"/>
  <c r="V54" i="4"/>
  <c r="S54" i="4"/>
  <c r="Y54" i="4" s="1"/>
  <c r="P54" i="4"/>
  <c r="O54" i="4"/>
  <c r="L54" i="4"/>
  <c r="J54" i="4"/>
  <c r="CO53" i="4"/>
  <c r="CN53" i="4"/>
  <c r="CK53" i="4"/>
  <c r="CJ53" i="4"/>
  <c r="CH53" i="4"/>
  <c r="CG53" i="4" s="1"/>
  <c r="CE53" i="4"/>
  <c r="CD53" i="4"/>
  <c r="CF53" i="4" s="1"/>
  <c r="CA53" i="4"/>
  <c r="BZ53" i="4"/>
  <c r="BW53" i="4"/>
  <c r="CC53" i="4" s="1"/>
  <c r="BT53" i="4"/>
  <c r="BS53" i="4" s="1"/>
  <c r="BP53" i="4"/>
  <c r="BM53" i="4"/>
  <c r="BL53" i="4"/>
  <c r="BK53" i="4"/>
  <c r="BJ53" i="4" s="1"/>
  <c r="BI53" i="4"/>
  <c r="BO53" i="4" s="1"/>
  <c r="BF53" i="4"/>
  <c r="BE53" i="4" s="1"/>
  <c r="BB53" i="4"/>
  <c r="BA53" i="4"/>
  <c r="AY53" i="4"/>
  <c r="AX53" i="4" s="1"/>
  <c r="AU53" i="4"/>
  <c r="AW53" i="4" s="1"/>
  <c r="AV53" i="4" s="1"/>
  <c r="AR53" i="4"/>
  <c r="AQ53" i="4"/>
  <c r="AP53" i="4"/>
  <c r="AO53" i="4" s="1"/>
  <c r="AN53" i="4"/>
  <c r="AT53" i="4" s="1"/>
  <c r="AL53" i="4"/>
  <c r="AK53" i="4"/>
  <c r="AJ53" i="4"/>
  <c r="AG53" i="4"/>
  <c r="AM53" i="4" s="1"/>
  <c r="AE53" i="4"/>
  <c r="AD53" i="4" s="1"/>
  <c r="AC53" i="4" s="1"/>
  <c r="Z53" i="4"/>
  <c r="X53" i="4"/>
  <c r="S53" i="4"/>
  <c r="U53" i="4" s="1"/>
  <c r="T53" i="4" s="1"/>
  <c r="P53" i="4"/>
  <c r="O53" i="4"/>
  <c r="L53" i="4"/>
  <c r="CO52" i="4"/>
  <c r="CN52" i="4" s="1"/>
  <c r="CK52" i="4"/>
  <c r="CQ52" i="4" s="1"/>
  <c r="CJ52" i="4"/>
  <c r="CH52" i="4"/>
  <c r="CG52" i="4"/>
  <c r="CD52" i="4"/>
  <c r="CF52" i="4" s="1"/>
  <c r="CE52" i="4" s="1"/>
  <c r="CA52" i="4"/>
  <c r="BZ52" i="4" s="1"/>
  <c r="BW52" i="4"/>
  <c r="BV52" i="4"/>
  <c r="BT52" i="4"/>
  <c r="BS52" i="4" s="1"/>
  <c r="BP52" i="4"/>
  <c r="BR52" i="4" s="1"/>
  <c r="BQ52" i="4" s="1"/>
  <c r="BM52" i="4"/>
  <c r="BL52" i="4"/>
  <c r="BI52" i="4"/>
  <c r="BH52" i="4"/>
  <c r="BF52" i="4"/>
  <c r="BE52" i="4" s="1"/>
  <c r="BD52" i="4"/>
  <c r="BB52" i="4"/>
  <c r="BC52" i="4" s="1"/>
  <c r="AY52" i="4"/>
  <c r="AX52" i="4"/>
  <c r="AU52" i="4"/>
  <c r="BA52" i="4" s="1"/>
  <c r="AR52" i="4"/>
  <c r="AQ52" i="4" s="1"/>
  <c r="AN52" i="4"/>
  <c r="AT52" i="4" s="1"/>
  <c r="AL52" i="4"/>
  <c r="AG52" i="4"/>
  <c r="AI52" i="4" s="1"/>
  <c r="AE52" i="4"/>
  <c r="AD52" i="4"/>
  <c r="AC52" i="4"/>
  <c r="Z52" i="4"/>
  <c r="AF52" i="4" s="1"/>
  <c r="X52" i="4"/>
  <c r="X55" i="4" s="1"/>
  <c r="W52" i="4"/>
  <c r="V52" i="4"/>
  <c r="S52" i="4"/>
  <c r="Y52" i="4" s="1"/>
  <c r="R52" i="4"/>
  <c r="Q52" i="4"/>
  <c r="P52" i="4" s="1"/>
  <c r="L52" i="4"/>
  <c r="N52" i="4" s="1"/>
  <c r="J52" i="4"/>
  <c r="CQ51" i="4"/>
  <c r="CO51" i="4"/>
  <c r="CN51" i="4"/>
  <c r="CM51" i="4"/>
  <c r="CL51" i="4" s="1"/>
  <c r="CK51" i="4"/>
  <c r="CH51" i="4"/>
  <c r="CG51" i="4"/>
  <c r="CD51" i="4"/>
  <c r="CJ51" i="4" s="1"/>
  <c r="CA51" i="4"/>
  <c r="BZ51" i="4" s="1"/>
  <c r="BW51" i="4"/>
  <c r="BV51" i="4"/>
  <c r="BT51" i="4"/>
  <c r="BS51" i="4" s="1"/>
  <c r="BP51" i="4"/>
  <c r="BM51" i="4"/>
  <c r="BL51" i="4"/>
  <c r="BK51" i="4"/>
  <c r="BJ51" i="4"/>
  <c r="BI51" i="4"/>
  <c r="BO51" i="4" s="1"/>
  <c r="BF51" i="4"/>
  <c r="BE51" i="4" s="1"/>
  <c r="BB51" i="4"/>
  <c r="BH51" i="4" s="1"/>
  <c r="AY51" i="4"/>
  <c r="AX51" i="4" s="1"/>
  <c r="AU51" i="4"/>
  <c r="BA51" i="4" s="1"/>
  <c r="AR51" i="4"/>
  <c r="AQ51" i="4"/>
  <c r="AN51" i="4"/>
  <c r="AL51" i="4"/>
  <c r="AK51" i="4"/>
  <c r="AG51" i="4"/>
  <c r="AI51" i="4" s="1"/>
  <c r="AH51" i="4" s="1"/>
  <c r="AE51" i="4"/>
  <c r="AF51" i="4" s="1"/>
  <c r="Z51" i="4"/>
  <c r="AB51" i="4" s="1"/>
  <c r="AA51" i="4" s="1"/>
  <c r="X51" i="4"/>
  <c r="W51" i="4"/>
  <c r="V51" i="4"/>
  <c r="S51" i="4"/>
  <c r="Y51" i="4" s="1"/>
  <c r="Q51" i="4"/>
  <c r="P51" i="4"/>
  <c r="O51" i="4" s="1"/>
  <c r="L51" i="4"/>
  <c r="CO50" i="4"/>
  <c r="CN50" i="4"/>
  <c r="CM50" i="4"/>
  <c r="CL50" i="4" s="1"/>
  <c r="CK50" i="4"/>
  <c r="CQ50" i="4" s="1"/>
  <c r="CH50" i="4"/>
  <c r="CG50" i="4" s="1"/>
  <c r="CF50" i="4"/>
  <c r="CD50" i="4"/>
  <c r="CJ50" i="4" s="1"/>
  <c r="CA50" i="4"/>
  <c r="BZ50" i="4" s="1"/>
  <c r="BW50" i="4"/>
  <c r="BT50" i="4"/>
  <c r="BS50" i="4"/>
  <c r="BP50" i="4"/>
  <c r="BM50" i="4"/>
  <c r="BL50" i="4"/>
  <c r="BI50" i="4"/>
  <c r="BO50" i="4" s="1"/>
  <c r="BF50" i="4"/>
  <c r="BE50" i="4" s="1"/>
  <c r="BB50" i="4"/>
  <c r="AY50" i="4"/>
  <c r="AX50" i="4"/>
  <c r="AU50" i="4"/>
  <c r="BA50" i="4" s="1"/>
  <c r="AR50" i="4"/>
  <c r="AQ50" i="4"/>
  <c r="AP50" i="4"/>
  <c r="AN50" i="4"/>
  <c r="AT50" i="4" s="1"/>
  <c r="AL50" i="4"/>
  <c r="AK50" i="4" s="1"/>
  <c r="AG50" i="4"/>
  <c r="AF50" i="4"/>
  <c r="AE50" i="4"/>
  <c r="AD50" i="4"/>
  <c r="AC50" i="4" s="1"/>
  <c r="Z50" i="4"/>
  <c r="X50" i="4"/>
  <c r="W50" i="4" s="1"/>
  <c r="V50" i="4"/>
  <c r="S50" i="4"/>
  <c r="Q50" i="4"/>
  <c r="P50" i="4" s="1"/>
  <c r="I50" i="4" s="1"/>
  <c r="N50" i="4"/>
  <c r="L50" i="4"/>
  <c r="M50" i="4" s="1"/>
  <c r="CO49" i="4"/>
  <c r="CN49" i="4" s="1"/>
  <c r="CK49" i="4"/>
  <c r="CQ49" i="4" s="1"/>
  <c r="CJ49" i="4"/>
  <c r="CH49" i="4"/>
  <c r="CG49" i="4" s="1"/>
  <c r="CD49" i="4"/>
  <c r="CA49" i="4"/>
  <c r="BZ49" i="4" s="1"/>
  <c r="BY49" i="4"/>
  <c r="BX49" i="4" s="1"/>
  <c r="BW49" i="4"/>
  <c r="CC49" i="4" s="1"/>
  <c r="BT49" i="4"/>
  <c r="BS49" i="4"/>
  <c r="BR49" i="4"/>
  <c r="BQ49" i="4"/>
  <c r="BP49" i="4"/>
  <c r="BV49" i="4" s="1"/>
  <c r="BM49" i="4"/>
  <c r="BL49" i="4" s="1"/>
  <c r="BI49" i="4"/>
  <c r="BK49" i="4" s="1"/>
  <c r="BH49" i="4"/>
  <c r="BF49" i="4"/>
  <c r="BE49" i="4"/>
  <c r="BD49" i="4"/>
  <c r="BB49" i="4"/>
  <c r="AY49" i="4"/>
  <c r="AX49" i="4"/>
  <c r="AU49" i="4"/>
  <c r="BA49" i="4" s="1"/>
  <c r="AR49" i="4"/>
  <c r="AQ49" i="4" s="1"/>
  <c r="AN49" i="4"/>
  <c r="AT49" i="4" s="1"/>
  <c r="AG49" i="4"/>
  <c r="AI49" i="4" s="1"/>
  <c r="AH49" i="4" s="1"/>
  <c r="AD49" i="4"/>
  <c r="Z49" i="4"/>
  <c r="AF49" i="4" s="1"/>
  <c r="S49" i="4"/>
  <c r="Q49" i="4"/>
  <c r="L49" i="4"/>
  <c r="CQ48" i="4"/>
  <c r="CO48" i="4"/>
  <c r="CN48" i="4"/>
  <c r="CM48" i="4"/>
  <c r="CK48" i="4"/>
  <c r="CH48" i="4"/>
  <c r="CG48" i="4"/>
  <c r="CD48" i="4"/>
  <c r="CJ48" i="4" s="1"/>
  <c r="CA48" i="4"/>
  <c r="BZ48" i="4" s="1"/>
  <c r="BW48" i="4"/>
  <c r="BT48" i="4"/>
  <c r="BS48" i="4" s="1"/>
  <c r="BP48" i="4"/>
  <c r="BV48" i="4" s="1"/>
  <c r="BO48" i="4"/>
  <c r="BM48" i="4"/>
  <c r="BL48" i="4"/>
  <c r="BK48" i="4"/>
  <c r="BI48" i="4"/>
  <c r="BJ48" i="4" s="1"/>
  <c r="BF48" i="4"/>
  <c r="BE48" i="4"/>
  <c r="BB48" i="4"/>
  <c r="BH48" i="4" s="1"/>
  <c r="BA48" i="4"/>
  <c r="AY48" i="4"/>
  <c r="AX48" i="4"/>
  <c r="AU48" i="4"/>
  <c r="AR48" i="4"/>
  <c r="AQ48" i="4"/>
  <c r="AN48" i="4"/>
  <c r="AT48" i="4" s="1"/>
  <c r="AL48" i="4"/>
  <c r="AJ48" i="4" s="1"/>
  <c r="AK48" i="4"/>
  <c r="AI48" i="4"/>
  <c r="AG48" i="4"/>
  <c r="AE48" i="4"/>
  <c r="AD48" i="4"/>
  <c r="AC48" i="4"/>
  <c r="AB48" i="4"/>
  <c r="AA48" i="4"/>
  <c r="Z48" i="4"/>
  <c r="X48" i="4"/>
  <c r="W48" i="4"/>
  <c r="V48" i="4"/>
  <c r="S48" i="4"/>
  <c r="Y48" i="4" s="1"/>
  <c r="Q48" i="4"/>
  <c r="P48" i="4"/>
  <c r="O48" i="4"/>
  <c r="L48" i="4"/>
  <c r="E48" i="4"/>
  <c r="CO47" i="4"/>
  <c r="CN47" i="4"/>
  <c r="CK47" i="4"/>
  <c r="CQ47" i="4" s="1"/>
  <c r="CH47" i="4"/>
  <c r="CG47" i="4" s="1"/>
  <c r="CD47" i="4"/>
  <c r="CJ47" i="4" s="1"/>
  <c r="CC47" i="4"/>
  <c r="CA47" i="4"/>
  <c r="BZ47" i="4"/>
  <c r="BW47" i="4"/>
  <c r="BT47" i="4"/>
  <c r="BS47" i="4"/>
  <c r="BP47" i="4"/>
  <c r="BV47" i="4" s="1"/>
  <c r="BM47" i="4"/>
  <c r="BL47" i="4"/>
  <c r="BI47" i="4"/>
  <c r="BH47" i="4"/>
  <c r="BF47" i="4"/>
  <c r="BE47" i="4" s="1"/>
  <c r="BB47" i="4"/>
  <c r="AY47" i="4"/>
  <c r="AX47" i="4"/>
  <c r="AU47" i="4"/>
  <c r="BA47" i="4" s="1"/>
  <c r="AR47" i="4"/>
  <c r="AQ47" i="4" s="1"/>
  <c r="AP47" i="4"/>
  <c r="AO47" i="4"/>
  <c r="AN47" i="4"/>
  <c r="AT47" i="4" s="1"/>
  <c r="AK47" i="4"/>
  <c r="AJ47" i="4" s="1"/>
  <c r="AI47" i="4"/>
  <c r="AG47" i="4"/>
  <c r="AF47" i="4"/>
  <c r="AD47" i="4"/>
  <c r="AC47" i="4" s="1"/>
  <c r="Z47" i="4"/>
  <c r="W47" i="4"/>
  <c r="V47" i="4"/>
  <c r="S47" i="4"/>
  <c r="Y47" i="4" s="1"/>
  <c r="P47" i="4"/>
  <c r="N47" i="4"/>
  <c r="L47" i="4"/>
  <c r="R47" i="4" s="1"/>
  <c r="J47" i="4"/>
  <c r="CO46" i="4"/>
  <c r="CN46" i="4"/>
  <c r="CM46" i="4"/>
  <c r="CK46" i="4"/>
  <c r="CQ46" i="4" s="1"/>
  <c r="CH46" i="4"/>
  <c r="CG46" i="4" s="1"/>
  <c r="CD46" i="4"/>
  <c r="CJ46" i="4" s="1"/>
  <c r="CA46" i="4"/>
  <c r="BZ46" i="4" s="1"/>
  <c r="BW46" i="4"/>
  <c r="BV46" i="4"/>
  <c r="BT46" i="4"/>
  <c r="BS46" i="4"/>
  <c r="BP46" i="4"/>
  <c r="BM46" i="4"/>
  <c r="BL46" i="4"/>
  <c r="BK46" i="4"/>
  <c r="BJ46" i="4"/>
  <c r="BI46" i="4"/>
  <c r="BO46" i="4" s="1"/>
  <c r="BF46" i="4"/>
  <c r="BE46" i="4"/>
  <c r="BB46" i="4"/>
  <c r="BH46" i="4" s="1"/>
  <c r="AY46" i="4"/>
  <c r="AX46" i="4" s="1"/>
  <c r="AU46" i="4"/>
  <c r="BA46" i="4" s="1"/>
  <c r="AT46" i="4"/>
  <c r="AR46" i="4"/>
  <c r="AQ46" i="4" s="1"/>
  <c r="AN46" i="4"/>
  <c r="AK46" i="4"/>
  <c r="AJ46" i="4"/>
  <c r="H46" i="4" s="1"/>
  <c r="AG46" i="4"/>
  <c r="AM46" i="4" s="1"/>
  <c r="AD46" i="4"/>
  <c r="AC46" i="4"/>
  <c r="Z46" i="4"/>
  <c r="W46" i="4"/>
  <c r="V46" i="4" s="1"/>
  <c r="S46" i="4"/>
  <c r="Y46" i="4" s="1"/>
  <c r="P46" i="4"/>
  <c r="O46" i="4"/>
  <c r="L46" i="4"/>
  <c r="R46" i="4" s="1"/>
  <c r="J46" i="4"/>
  <c r="I46" i="4"/>
  <c r="CO45" i="4"/>
  <c r="CN45" i="4"/>
  <c r="CK45" i="4"/>
  <c r="CQ45" i="4" s="1"/>
  <c r="CJ45" i="4"/>
  <c r="CH45" i="4"/>
  <c r="CG45" i="4" s="1"/>
  <c r="CF45" i="4"/>
  <c r="CD45" i="4"/>
  <c r="CE45" i="4" s="1"/>
  <c r="CA45" i="4"/>
  <c r="BZ45" i="4"/>
  <c r="BY45" i="4"/>
  <c r="BX45" i="4"/>
  <c r="BW45" i="4"/>
  <c r="CC45" i="4" s="1"/>
  <c r="BT45" i="4"/>
  <c r="BS45" i="4" s="1"/>
  <c r="BP45" i="4"/>
  <c r="BM45" i="4"/>
  <c r="BL45" i="4" s="1"/>
  <c r="BI45" i="4"/>
  <c r="BK45" i="4" s="1"/>
  <c r="BF45" i="4"/>
  <c r="BE45" i="4"/>
  <c r="BD45" i="4"/>
  <c r="BB45" i="4"/>
  <c r="BH45" i="4" s="1"/>
  <c r="AY45" i="4"/>
  <c r="AX45" i="4"/>
  <c r="AU45" i="4"/>
  <c r="BA45" i="4" s="1"/>
  <c r="AR45" i="4"/>
  <c r="AQ45" i="4" s="1"/>
  <c r="AN45" i="4"/>
  <c r="AM45" i="4"/>
  <c r="AK45" i="4"/>
  <c r="AJ45" i="4" s="1"/>
  <c r="AI45" i="4"/>
  <c r="AG45" i="4"/>
  <c r="AD45" i="4"/>
  <c r="I45" i="4" s="1"/>
  <c r="AC45" i="4"/>
  <c r="Z45" i="4"/>
  <c r="AF45" i="4" s="1"/>
  <c r="W45" i="4"/>
  <c r="V45" i="4"/>
  <c r="S45" i="4"/>
  <c r="P45" i="4"/>
  <c r="O45" i="4" s="1"/>
  <c r="L45" i="4"/>
  <c r="J45" i="4"/>
  <c r="CQ44" i="4"/>
  <c r="CO44" i="4"/>
  <c r="CN44" i="4" s="1"/>
  <c r="CK44" i="4"/>
  <c r="CH44" i="4"/>
  <c r="CG44" i="4"/>
  <c r="CD44" i="4"/>
  <c r="CA44" i="4"/>
  <c r="BZ44" i="4"/>
  <c r="BW44" i="4"/>
  <c r="CC44" i="4" s="1"/>
  <c r="BT44" i="4"/>
  <c r="BS44" i="4"/>
  <c r="BP44" i="4"/>
  <c r="BV44" i="4" s="1"/>
  <c r="BO44" i="4"/>
  <c r="BM44" i="4"/>
  <c r="BL44" i="4" s="1"/>
  <c r="BI44" i="4"/>
  <c r="BH44" i="4"/>
  <c r="BF44" i="4"/>
  <c r="BE44" i="4" s="1"/>
  <c r="BD44" i="4"/>
  <c r="BB44" i="4"/>
  <c r="AY44" i="4"/>
  <c r="AX44" i="4" s="1"/>
  <c r="AW44" i="4"/>
  <c r="AU44" i="4"/>
  <c r="BA44" i="4" s="1"/>
  <c r="AR44" i="4"/>
  <c r="AQ44" i="4"/>
  <c r="AP44" i="4"/>
  <c r="AO44" i="4" s="1"/>
  <c r="AN44" i="4"/>
  <c r="AT44" i="4" s="1"/>
  <c r="AK44" i="4"/>
  <c r="AJ44" i="4" s="1"/>
  <c r="AG44" i="4"/>
  <c r="AF44" i="4"/>
  <c r="AD44" i="4"/>
  <c r="AC44" i="4" s="1"/>
  <c r="Z44" i="4"/>
  <c r="W44" i="4"/>
  <c r="V44" i="4"/>
  <c r="S44" i="4"/>
  <c r="Y44" i="4" s="1"/>
  <c r="P44" i="4"/>
  <c r="O44" i="4"/>
  <c r="L44" i="4"/>
  <c r="J44" i="4"/>
  <c r="CO43" i="4"/>
  <c r="CN43" i="4"/>
  <c r="CK43" i="4"/>
  <c r="CQ43" i="4" s="1"/>
  <c r="CJ43" i="4"/>
  <c r="CH43" i="4"/>
  <c r="CG43" i="4" s="1"/>
  <c r="CD43" i="4"/>
  <c r="CA43" i="4"/>
  <c r="BZ43" i="4"/>
  <c r="BW43" i="4"/>
  <c r="BT43" i="4"/>
  <c r="BS43" i="4" s="1"/>
  <c r="BR43" i="4"/>
  <c r="BQ43" i="4"/>
  <c r="BP43" i="4"/>
  <c r="BV43" i="4" s="1"/>
  <c r="BM43" i="4"/>
  <c r="BL43" i="4"/>
  <c r="BI43" i="4"/>
  <c r="BO43" i="4" s="1"/>
  <c r="BF43" i="4"/>
  <c r="BE43" i="4" s="1"/>
  <c r="BB43" i="4"/>
  <c r="BA43" i="4"/>
  <c r="AY43" i="4"/>
  <c r="AX43" i="4" s="1"/>
  <c r="AW43" i="4"/>
  <c r="AU43" i="4"/>
  <c r="AR43" i="4"/>
  <c r="AQ43" i="4"/>
  <c r="AP43" i="4"/>
  <c r="AO43" i="4"/>
  <c r="AN43" i="4"/>
  <c r="AT43" i="4" s="1"/>
  <c r="AL43" i="4"/>
  <c r="AK43" i="4"/>
  <c r="AJ43" i="4"/>
  <c r="AG43" i="4"/>
  <c r="AM43" i="4" s="1"/>
  <c r="AE43" i="4"/>
  <c r="AD43" i="4"/>
  <c r="AC43" i="4"/>
  <c r="AB43" i="4"/>
  <c r="AA43" i="4" s="1"/>
  <c r="Z43" i="4"/>
  <c r="AF43" i="4" s="1"/>
  <c r="X43" i="4"/>
  <c r="W43" i="4" s="1"/>
  <c r="S43" i="4"/>
  <c r="Q43" i="4"/>
  <c r="L43" i="4"/>
  <c r="R43" i="4" s="1"/>
  <c r="CQ42" i="4"/>
  <c r="CO42" i="4"/>
  <c r="CN42" i="4" s="1"/>
  <c r="CK42" i="4"/>
  <c r="CH42" i="4"/>
  <c r="CG42" i="4"/>
  <c r="CF42" i="4"/>
  <c r="CD42" i="4"/>
  <c r="CC42" i="4"/>
  <c r="CA42" i="4"/>
  <c r="BZ42" i="4" s="1"/>
  <c r="BW42" i="4"/>
  <c r="BY42" i="4" s="1"/>
  <c r="BX42" i="4" s="1"/>
  <c r="BT42" i="4"/>
  <c r="BS42" i="4"/>
  <c r="BP42" i="4"/>
  <c r="BV42" i="4" s="1"/>
  <c r="BM42" i="4"/>
  <c r="BL42" i="4" s="1"/>
  <c r="BI42" i="4"/>
  <c r="BF42" i="4"/>
  <c r="BE42" i="4" s="1"/>
  <c r="BB42" i="4"/>
  <c r="BD42" i="4" s="1"/>
  <c r="AY42" i="4"/>
  <c r="AX42" i="4"/>
  <c r="AU42" i="4"/>
  <c r="BA42" i="4" s="1"/>
  <c r="AR42" i="4"/>
  <c r="AQ42" i="4"/>
  <c r="AN42" i="4"/>
  <c r="AM42" i="4"/>
  <c r="AK42" i="4"/>
  <c r="AJ42" i="4" s="1"/>
  <c r="AH42" i="4"/>
  <c r="AG42" i="4"/>
  <c r="AI42" i="4" s="1"/>
  <c r="AE42" i="4"/>
  <c r="AD42" i="4"/>
  <c r="AC42" i="4"/>
  <c r="Z42" i="4"/>
  <c r="Y42" i="4"/>
  <c r="X42" i="4"/>
  <c r="J42" i="4" s="1"/>
  <c r="U42" i="4"/>
  <c r="S42" i="4"/>
  <c r="P42" i="4"/>
  <c r="O42" i="4"/>
  <c r="L42" i="4"/>
  <c r="R42" i="4" s="1"/>
  <c r="CO41" i="4"/>
  <c r="CN41" i="4"/>
  <c r="CK41" i="4"/>
  <c r="CQ41" i="4" s="1"/>
  <c r="CH41" i="4"/>
  <c r="CG41" i="4"/>
  <c r="CD41" i="4"/>
  <c r="CJ41" i="4" s="1"/>
  <c r="CA41" i="4"/>
  <c r="BZ41" i="4" s="1"/>
  <c r="BW41" i="4"/>
  <c r="BY41" i="4" s="1"/>
  <c r="BV41" i="4"/>
  <c r="BT41" i="4"/>
  <c r="BS41" i="4"/>
  <c r="BR41" i="4"/>
  <c r="BP41" i="4"/>
  <c r="BO41" i="4"/>
  <c r="BM41" i="4"/>
  <c r="BL41" i="4"/>
  <c r="BK41" i="4"/>
  <c r="BI41" i="4"/>
  <c r="BF41" i="4"/>
  <c r="BE41" i="4"/>
  <c r="BB41" i="4"/>
  <c r="BH41" i="4" s="1"/>
  <c r="AY41" i="4"/>
  <c r="AX41" i="4" s="1"/>
  <c r="AU41" i="4"/>
  <c r="AW41" i="4" s="1"/>
  <c r="AT41" i="4"/>
  <c r="AR41" i="4"/>
  <c r="AQ41" i="4" s="1"/>
  <c r="AN41" i="4"/>
  <c r="AP41" i="4" s="1"/>
  <c r="AK41" i="4"/>
  <c r="AJ41" i="4"/>
  <c r="AI41" i="4"/>
  <c r="AG41" i="4"/>
  <c r="AM41" i="4" s="1"/>
  <c r="AD41" i="4"/>
  <c r="AC41" i="4"/>
  <c r="Z41" i="4"/>
  <c r="AF41" i="4" s="1"/>
  <c r="W41" i="4"/>
  <c r="V41" i="4" s="1"/>
  <c r="S41" i="4"/>
  <c r="U41" i="4" s="1"/>
  <c r="R41" i="4"/>
  <c r="P41" i="4"/>
  <c r="O41" i="4"/>
  <c r="N41" i="4"/>
  <c r="L41" i="4"/>
  <c r="M41" i="4" s="1"/>
  <c r="J41" i="4"/>
  <c r="CO40" i="4"/>
  <c r="CN40" i="4"/>
  <c r="CK40" i="4"/>
  <c r="CQ40" i="4" s="1"/>
  <c r="CH40" i="4"/>
  <c r="CG40" i="4"/>
  <c r="CF40" i="4"/>
  <c r="CD40" i="4"/>
  <c r="CJ40" i="4" s="1"/>
  <c r="CA40" i="4"/>
  <c r="BZ40" i="4"/>
  <c r="BW40" i="4"/>
  <c r="BV40" i="4"/>
  <c r="BT40" i="4"/>
  <c r="BS40" i="4" s="1"/>
  <c r="BP40" i="4"/>
  <c r="BR40" i="4" s="1"/>
  <c r="BM40" i="4"/>
  <c r="BL40" i="4"/>
  <c r="BI40" i="4"/>
  <c r="BH40" i="4"/>
  <c r="BF40" i="4"/>
  <c r="BE40" i="4" s="1"/>
  <c r="BB40" i="4"/>
  <c r="BD40" i="4" s="1"/>
  <c r="AY40" i="4"/>
  <c r="AX40" i="4"/>
  <c r="AU40" i="4"/>
  <c r="BA40" i="4" s="1"/>
  <c r="AR40" i="4"/>
  <c r="AQ40" i="4" s="1"/>
  <c r="AN40" i="4"/>
  <c r="AL40" i="4"/>
  <c r="AG40" i="4"/>
  <c r="AI40" i="4" s="1"/>
  <c r="AE40" i="4"/>
  <c r="J40" i="4" s="1"/>
  <c r="Z40" i="4"/>
  <c r="AB40" i="4" s="1"/>
  <c r="X40" i="4"/>
  <c r="Y40" i="4" s="1"/>
  <c r="W40" i="4"/>
  <c r="V40" i="4"/>
  <c r="S40" i="4"/>
  <c r="U40" i="4" s="1"/>
  <c r="T40" i="4" s="1"/>
  <c r="Q40" i="4"/>
  <c r="P40" i="4"/>
  <c r="O40" i="4"/>
  <c r="L40" i="4"/>
  <c r="R40" i="4" s="1"/>
  <c r="CO39" i="4"/>
  <c r="CN39" i="4"/>
  <c r="CK39" i="4"/>
  <c r="CH39" i="4"/>
  <c r="CG39" i="4"/>
  <c r="CD39" i="4"/>
  <c r="CJ39" i="4" s="1"/>
  <c r="CA39" i="4"/>
  <c r="BZ39" i="4" s="1"/>
  <c r="BW39" i="4"/>
  <c r="CC39" i="4" s="1"/>
  <c r="BT39" i="4"/>
  <c r="BS39" i="4"/>
  <c r="BP39" i="4"/>
  <c r="BM39" i="4"/>
  <c r="BL39" i="4" s="1"/>
  <c r="BI39" i="4"/>
  <c r="BF39" i="4"/>
  <c r="BE39" i="4"/>
  <c r="BB39" i="4"/>
  <c r="BH39" i="4" s="1"/>
  <c r="AY39" i="4"/>
  <c r="AX39" i="4" s="1"/>
  <c r="AU39" i="4"/>
  <c r="AT39" i="4"/>
  <c r="AR39" i="4"/>
  <c r="AQ39" i="4"/>
  <c r="AP39" i="4"/>
  <c r="AN39" i="4"/>
  <c r="AL39" i="4"/>
  <c r="AK39" i="4"/>
  <c r="AJ39" i="4"/>
  <c r="AG39" i="4"/>
  <c r="AI39" i="4" s="1"/>
  <c r="AH39" i="4" s="1"/>
  <c r="AD39" i="4"/>
  <c r="AC39" i="4"/>
  <c r="Z39" i="4"/>
  <c r="AF39" i="4" s="1"/>
  <c r="W39" i="4"/>
  <c r="V39" i="4"/>
  <c r="S39" i="4"/>
  <c r="Y39" i="4" s="1"/>
  <c r="Q39" i="4"/>
  <c r="P39" i="4" s="1"/>
  <c r="I39" i="4" s="1"/>
  <c r="L39" i="4"/>
  <c r="J39" i="4"/>
  <c r="CO38" i="4"/>
  <c r="CN38" i="4" s="1"/>
  <c r="CK38" i="4"/>
  <c r="CQ38" i="4" s="1"/>
  <c r="CH38" i="4"/>
  <c r="CG38" i="4"/>
  <c r="CD38" i="4"/>
  <c r="CC38" i="4"/>
  <c r="CA38" i="4"/>
  <c r="BZ38" i="4" s="1"/>
  <c r="BW38" i="4"/>
  <c r="BY38" i="4" s="1"/>
  <c r="BT38" i="4"/>
  <c r="BS38" i="4"/>
  <c r="BP38" i="4"/>
  <c r="BV38" i="4" s="1"/>
  <c r="BM38" i="4"/>
  <c r="BL38" i="4" s="1"/>
  <c r="BI38" i="4"/>
  <c r="BF38" i="4"/>
  <c r="BE38" i="4" s="1"/>
  <c r="BB38" i="4"/>
  <c r="BH38" i="4" s="1"/>
  <c r="AY38" i="4"/>
  <c r="AX38" i="4"/>
  <c r="AW38" i="4"/>
  <c r="AU38" i="4"/>
  <c r="BA38" i="4" s="1"/>
  <c r="AR38" i="4"/>
  <c r="AQ38" i="4"/>
  <c r="AN38" i="4"/>
  <c r="AM38" i="4"/>
  <c r="AL38" i="4"/>
  <c r="AG38" i="4"/>
  <c r="AI38" i="4" s="1"/>
  <c r="AE38" i="4"/>
  <c r="AD38" i="4"/>
  <c r="Z38" i="4"/>
  <c r="AF38" i="4" s="1"/>
  <c r="X38" i="4"/>
  <c r="W38" i="4"/>
  <c r="V38" i="4"/>
  <c r="S38" i="4"/>
  <c r="Q38" i="4"/>
  <c r="P38" i="4"/>
  <c r="O38" i="4"/>
  <c r="L38" i="4"/>
  <c r="N38" i="4" s="1"/>
  <c r="J38" i="4"/>
  <c r="CQ37" i="4"/>
  <c r="CO37" i="4"/>
  <c r="CN37" i="4" s="1"/>
  <c r="CK37" i="4"/>
  <c r="CH37" i="4"/>
  <c r="CG37" i="4" s="1"/>
  <c r="CD37" i="4"/>
  <c r="CF37" i="4" s="1"/>
  <c r="CE37" i="4" s="1"/>
  <c r="CA37" i="4"/>
  <c r="BZ37" i="4"/>
  <c r="BW37" i="4"/>
  <c r="CC37" i="4" s="1"/>
  <c r="BV37" i="4"/>
  <c r="BT37" i="4"/>
  <c r="BS37" i="4" s="1"/>
  <c r="BP37" i="4"/>
  <c r="BR37" i="4" s="1"/>
  <c r="BM37" i="4"/>
  <c r="BL37" i="4" s="1"/>
  <c r="BI37" i="4"/>
  <c r="BO37" i="4" s="1"/>
  <c r="BF37" i="4"/>
  <c r="BE37" i="4"/>
  <c r="BD37" i="4"/>
  <c r="BB37" i="4"/>
  <c r="BH37" i="4" s="1"/>
  <c r="AY37" i="4"/>
  <c r="AX37" i="4" s="1"/>
  <c r="AU37" i="4"/>
  <c r="BA37" i="4" s="1"/>
  <c r="AT37" i="4"/>
  <c r="AR37" i="4"/>
  <c r="AQ37" i="4" s="1"/>
  <c r="AP37" i="4"/>
  <c r="AO37" i="4" s="1"/>
  <c r="AN37" i="4"/>
  <c r="AG37" i="4"/>
  <c r="Z37" i="4"/>
  <c r="AB37" i="4" s="1"/>
  <c r="S37" i="4"/>
  <c r="L37" i="4"/>
  <c r="N37" i="4" s="1"/>
  <c r="CQ36" i="4"/>
  <c r="CO36" i="4"/>
  <c r="CN36" i="4" s="1"/>
  <c r="CK36" i="4"/>
  <c r="CM36" i="4" s="1"/>
  <c r="CH36" i="4"/>
  <c r="CG36" i="4"/>
  <c r="CD36" i="4"/>
  <c r="CJ36" i="4" s="1"/>
  <c r="CA36" i="4"/>
  <c r="BZ36" i="4"/>
  <c r="BY36" i="4"/>
  <c r="BX36" i="4" s="1"/>
  <c r="BW36" i="4"/>
  <c r="CC36" i="4" s="1"/>
  <c r="BT36" i="4"/>
  <c r="BS36" i="4"/>
  <c r="BP36" i="4"/>
  <c r="BO36" i="4"/>
  <c r="BM36" i="4"/>
  <c r="BL36" i="4" s="1"/>
  <c r="BI36" i="4"/>
  <c r="BK36" i="4" s="1"/>
  <c r="BH36" i="4"/>
  <c r="BF36" i="4"/>
  <c r="BE36" i="4" s="1"/>
  <c r="BD36" i="4"/>
  <c r="BC36" i="4" s="1"/>
  <c r="BB36" i="4"/>
  <c r="AY36" i="4"/>
  <c r="AX36" i="4"/>
  <c r="AU36" i="4"/>
  <c r="BA36" i="4" s="1"/>
  <c r="AR36" i="4"/>
  <c r="AQ36" i="4"/>
  <c r="AN36" i="4"/>
  <c r="AL36" i="4"/>
  <c r="AG36" i="4"/>
  <c r="AM36" i="4" s="1"/>
  <c r="AE36" i="4"/>
  <c r="AD36" i="4"/>
  <c r="Z36" i="4"/>
  <c r="AB36" i="4" s="1"/>
  <c r="X36" i="4"/>
  <c r="X37" i="4" s="1"/>
  <c r="U36" i="4"/>
  <c r="S36" i="4"/>
  <c r="Q36" i="4"/>
  <c r="O36" i="4" s="1"/>
  <c r="P36" i="4"/>
  <c r="L36" i="4"/>
  <c r="N36" i="4" s="1"/>
  <c r="CO35" i="4"/>
  <c r="CN35" i="4"/>
  <c r="CK35" i="4"/>
  <c r="CQ35" i="4" s="1"/>
  <c r="CH35" i="4"/>
  <c r="CG35" i="4"/>
  <c r="CF35" i="4"/>
  <c r="CD35" i="4"/>
  <c r="CJ35" i="4" s="1"/>
  <c r="CA35" i="4"/>
  <c r="BZ35" i="4"/>
  <c r="BW35" i="4"/>
  <c r="BV35" i="4"/>
  <c r="BT35" i="4"/>
  <c r="BS35" i="4" s="1"/>
  <c r="BP35" i="4"/>
  <c r="BR35" i="4" s="1"/>
  <c r="BO35" i="4"/>
  <c r="BM35" i="4"/>
  <c r="BL35" i="4" s="1"/>
  <c r="BK35" i="4"/>
  <c r="BJ35" i="4" s="1"/>
  <c r="BI35" i="4"/>
  <c r="BF35" i="4"/>
  <c r="BE35" i="4"/>
  <c r="BB35" i="4"/>
  <c r="BH35" i="4" s="1"/>
  <c r="AY35" i="4"/>
  <c r="AX35" i="4"/>
  <c r="AU35" i="4"/>
  <c r="AR35" i="4"/>
  <c r="AQ35" i="4" s="1"/>
  <c r="AN35" i="4"/>
  <c r="AP35" i="4" s="1"/>
  <c r="AM35" i="4"/>
  <c r="AK35" i="4"/>
  <c r="AJ35" i="4" s="1"/>
  <c r="AG35" i="4"/>
  <c r="AI35" i="4" s="1"/>
  <c r="AH35" i="4" s="1"/>
  <c r="AD35" i="4"/>
  <c r="AC35" i="4"/>
  <c r="Z35" i="4"/>
  <c r="AF35" i="4" s="1"/>
  <c r="W35" i="4"/>
  <c r="V35" i="4"/>
  <c r="S35" i="4"/>
  <c r="P35" i="4"/>
  <c r="O35" i="4" s="1"/>
  <c r="H35" i="4" s="1"/>
  <c r="L35" i="4"/>
  <c r="N35" i="4" s="1"/>
  <c r="J35" i="4"/>
  <c r="CQ34" i="4"/>
  <c r="CO34" i="4"/>
  <c r="CN34" i="4" s="1"/>
  <c r="CK34" i="4"/>
  <c r="CM34" i="4" s="1"/>
  <c r="CH34" i="4"/>
  <c r="CG34" i="4"/>
  <c r="CD34" i="4"/>
  <c r="CJ34" i="4" s="1"/>
  <c r="CA34" i="4"/>
  <c r="BZ34" i="4"/>
  <c r="BY34" i="4"/>
  <c r="BW34" i="4"/>
  <c r="CC34" i="4" s="1"/>
  <c r="BT34" i="4"/>
  <c r="BS34" i="4"/>
  <c r="BP34" i="4"/>
  <c r="BO34" i="4"/>
  <c r="BM34" i="4"/>
  <c r="BL34" i="4" s="1"/>
  <c r="BI34" i="4"/>
  <c r="BK34" i="4" s="1"/>
  <c r="BF34" i="4"/>
  <c r="BE34" i="4"/>
  <c r="BB34" i="4"/>
  <c r="BH34" i="4" s="1"/>
  <c r="AY34" i="4"/>
  <c r="AX34" i="4"/>
  <c r="AU34" i="4"/>
  <c r="BA34" i="4" s="1"/>
  <c r="AR34" i="4"/>
  <c r="AQ34" i="4"/>
  <c r="AN34" i="4"/>
  <c r="AP34" i="4" s="1"/>
  <c r="AM34" i="4"/>
  <c r="AK34" i="4"/>
  <c r="AJ34" i="4"/>
  <c r="AG34" i="4"/>
  <c r="AI34" i="4" s="1"/>
  <c r="AD34" i="4"/>
  <c r="AC34" i="4"/>
  <c r="Z34" i="4"/>
  <c r="AF34" i="4" s="1"/>
  <c r="W34" i="4"/>
  <c r="V34" i="4"/>
  <c r="U34" i="4"/>
  <c r="T34" i="4" s="1"/>
  <c r="S34" i="4"/>
  <c r="Y34" i="4" s="1"/>
  <c r="P34" i="4"/>
  <c r="O34" i="4"/>
  <c r="L34" i="4"/>
  <c r="J34" i="4"/>
  <c r="I34" i="4"/>
  <c r="CQ33" i="4"/>
  <c r="CO33" i="4"/>
  <c r="CN33" i="4"/>
  <c r="CM33" i="4"/>
  <c r="CK33" i="4"/>
  <c r="CH33" i="4"/>
  <c r="CG33" i="4"/>
  <c r="CD33" i="4"/>
  <c r="CC33" i="4"/>
  <c r="CA33" i="4"/>
  <c r="BZ33" i="4" s="1"/>
  <c r="BY33" i="4"/>
  <c r="BX33" i="4" s="1"/>
  <c r="BW33" i="4"/>
  <c r="BT33" i="4"/>
  <c r="BS33" i="4" s="1"/>
  <c r="BP33" i="4"/>
  <c r="BV33" i="4" s="1"/>
  <c r="BM33" i="4"/>
  <c r="BL33" i="4"/>
  <c r="BI33" i="4"/>
  <c r="BO33" i="4" s="1"/>
  <c r="BF33" i="4"/>
  <c r="BE33" i="4"/>
  <c r="BB33" i="4"/>
  <c r="BH33" i="4" s="1"/>
  <c r="BA33" i="4"/>
  <c r="AY33" i="4"/>
  <c r="AX33" i="4"/>
  <c r="AU33" i="4"/>
  <c r="AW33" i="4" s="1"/>
  <c r="AV33" i="4" s="1"/>
  <c r="AR33" i="4"/>
  <c r="AQ33" i="4" s="1"/>
  <c r="AN33" i="4"/>
  <c r="AT33" i="4" s="1"/>
  <c r="AK33" i="4"/>
  <c r="AJ33" i="4"/>
  <c r="AG33" i="4"/>
  <c r="AF33" i="4"/>
  <c r="AD33" i="4"/>
  <c r="AC33" i="4" s="1"/>
  <c r="Z33" i="4"/>
  <c r="X33" i="4"/>
  <c r="S33" i="4"/>
  <c r="U33" i="4" s="1"/>
  <c r="R33" i="4"/>
  <c r="Q33" i="4"/>
  <c r="P33" i="4" s="1"/>
  <c r="N33" i="4"/>
  <c r="M33" i="4" s="1"/>
  <c r="L33" i="4"/>
  <c r="J33" i="4"/>
  <c r="CO32" i="4"/>
  <c r="CN32" i="4" s="1"/>
  <c r="CK32" i="4"/>
  <c r="CQ32" i="4" s="1"/>
  <c r="CH32" i="4"/>
  <c r="CG32" i="4"/>
  <c r="CD32" i="4"/>
  <c r="CJ32" i="4" s="1"/>
  <c r="CA32" i="4"/>
  <c r="BZ32" i="4"/>
  <c r="BW32" i="4"/>
  <c r="BV32" i="4"/>
  <c r="BT32" i="4"/>
  <c r="BS32" i="4" s="1"/>
  <c r="BP32" i="4"/>
  <c r="BM32" i="4"/>
  <c r="BL32" i="4"/>
  <c r="BK32" i="4"/>
  <c r="BJ32" i="4"/>
  <c r="BI32" i="4"/>
  <c r="BO32" i="4" s="1"/>
  <c r="BF32" i="4"/>
  <c r="BE32" i="4" s="1"/>
  <c r="BB32" i="4"/>
  <c r="AY32" i="4"/>
  <c r="AX32" i="4"/>
  <c r="AU32" i="4"/>
  <c r="AR32" i="4"/>
  <c r="AQ32" i="4" s="1"/>
  <c r="AN32" i="4"/>
  <c r="AL32" i="4"/>
  <c r="AK32" i="4" s="1"/>
  <c r="AG32" i="4"/>
  <c r="AE32" i="4"/>
  <c r="AD32" i="4" s="1"/>
  <c r="AB32" i="4"/>
  <c r="Z32" i="4"/>
  <c r="AA32" i="4" s="1"/>
  <c r="X32" i="4"/>
  <c r="W32" i="4" s="1"/>
  <c r="V32" i="4" s="1"/>
  <c r="S32" i="4"/>
  <c r="U32" i="4" s="1"/>
  <c r="T32" i="4" s="1"/>
  <c r="Q32" i="4"/>
  <c r="P32" i="4"/>
  <c r="O32" i="4"/>
  <c r="L32" i="4"/>
  <c r="E32" i="4" s="1"/>
  <c r="CO31" i="4"/>
  <c r="CN31" i="4" s="1"/>
  <c r="CK31" i="4"/>
  <c r="CQ31" i="4" s="1"/>
  <c r="CJ31" i="4"/>
  <c r="CH31" i="4"/>
  <c r="CG31" i="4"/>
  <c r="CF31" i="4"/>
  <c r="CE31" i="4" s="1"/>
  <c r="CD31" i="4"/>
  <c r="CA31" i="4"/>
  <c r="BZ31" i="4"/>
  <c r="BW31" i="4"/>
  <c r="BV31" i="4"/>
  <c r="BT31" i="4"/>
  <c r="BS31" i="4" s="1"/>
  <c r="BR31" i="4"/>
  <c r="BQ31" i="4"/>
  <c r="BP31" i="4"/>
  <c r="BM31" i="4"/>
  <c r="BL31" i="4" s="1"/>
  <c r="BI31" i="4"/>
  <c r="BO31" i="4" s="1"/>
  <c r="BF31" i="4"/>
  <c r="BE31" i="4"/>
  <c r="BD31" i="4"/>
  <c r="BB31" i="4"/>
  <c r="BH31" i="4" s="1"/>
  <c r="AY31" i="4"/>
  <c r="AX31" i="4" s="1"/>
  <c r="AU31" i="4"/>
  <c r="BA31" i="4" s="1"/>
  <c r="AT31" i="4"/>
  <c r="AR31" i="4"/>
  <c r="AQ31" i="4" s="1"/>
  <c r="AP31" i="4"/>
  <c r="AO31" i="4" s="1"/>
  <c r="AN31" i="4"/>
  <c r="AL31" i="4"/>
  <c r="AK31" i="4"/>
  <c r="AJ31" i="4" s="1"/>
  <c r="AG31" i="4"/>
  <c r="AM31" i="4" s="1"/>
  <c r="AE31" i="4"/>
  <c r="AD31" i="4"/>
  <c r="AC31" i="4" s="1"/>
  <c r="Z31" i="4"/>
  <c r="X31" i="4"/>
  <c r="W31" i="4"/>
  <c r="V31" i="4"/>
  <c r="S31" i="4"/>
  <c r="U31" i="4" s="1"/>
  <c r="R31" i="4"/>
  <c r="Q31" i="4"/>
  <c r="N31" i="4"/>
  <c r="M31" i="4"/>
  <c r="L31" i="4"/>
  <c r="E31" i="4" s="1"/>
  <c r="CO30" i="4"/>
  <c r="CN30" i="4"/>
  <c r="CK30" i="4"/>
  <c r="CQ30" i="4" s="1"/>
  <c r="CJ30" i="4"/>
  <c r="CH30" i="4"/>
  <c r="CG30" i="4" s="1"/>
  <c r="CD30" i="4"/>
  <c r="CA30" i="4"/>
  <c r="BZ30" i="4"/>
  <c r="BY30" i="4"/>
  <c r="BW30" i="4"/>
  <c r="CC30" i="4" s="1"/>
  <c r="BT30" i="4"/>
  <c r="BS30" i="4"/>
  <c r="BP30" i="4"/>
  <c r="BM30" i="4"/>
  <c r="BL30" i="4"/>
  <c r="BI30" i="4"/>
  <c r="BK30" i="4" s="1"/>
  <c r="BH30" i="4"/>
  <c r="BF30" i="4"/>
  <c r="BE30" i="4" s="1"/>
  <c r="BB30" i="4"/>
  <c r="AY30" i="4"/>
  <c r="AX30" i="4"/>
  <c r="AW30" i="4"/>
  <c r="AU30" i="4"/>
  <c r="BA30" i="4" s="1"/>
  <c r="AR30" i="4"/>
  <c r="AQ30" i="4" s="1"/>
  <c r="AP30" i="4"/>
  <c r="AN30" i="4"/>
  <c r="AT30" i="4" s="1"/>
  <c r="AL30" i="4"/>
  <c r="AK30" i="4"/>
  <c r="AJ30" i="4"/>
  <c r="AI30" i="4"/>
  <c r="AH30" i="4" s="1"/>
  <c r="AG30" i="4"/>
  <c r="AM30" i="4" s="1"/>
  <c r="AD30" i="4"/>
  <c r="AC30" i="4" s="1"/>
  <c r="Z30" i="4"/>
  <c r="W30" i="4"/>
  <c r="V30" i="4" s="1"/>
  <c r="U30" i="4"/>
  <c r="S30" i="4"/>
  <c r="P30" i="4"/>
  <c r="O30" i="4"/>
  <c r="N30" i="4"/>
  <c r="M30" i="4" s="1"/>
  <c r="L30" i="4"/>
  <c r="J30" i="4"/>
  <c r="CO29" i="4"/>
  <c r="CN29" i="4"/>
  <c r="CK29" i="4"/>
  <c r="CH29" i="4"/>
  <c r="CG29" i="4"/>
  <c r="CF29" i="4"/>
  <c r="CD29" i="4"/>
  <c r="CJ29" i="4" s="1"/>
  <c r="CA29" i="4"/>
  <c r="BZ29" i="4" s="1"/>
  <c r="BW29" i="4"/>
  <c r="BV29" i="4"/>
  <c r="BT29" i="4"/>
  <c r="BS29" i="4" s="1"/>
  <c r="BP29" i="4"/>
  <c r="BM29" i="4"/>
  <c r="BL29" i="4"/>
  <c r="BK29" i="4"/>
  <c r="BJ29" i="4" s="1"/>
  <c r="BI29" i="4"/>
  <c r="BO29" i="4" s="1"/>
  <c r="BF29" i="4"/>
  <c r="BE29" i="4"/>
  <c r="BB29" i="4"/>
  <c r="BH29" i="4" s="1"/>
  <c r="AY29" i="4"/>
  <c r="AX29" i="4" s="1"/>
  <c r="AU29" i="4"/>
  <c r="AW29" i="4" s="1"/>
  <c r="AT29" i="4"/>
  <c r="AR29" i="4"/>
  <c r="AQ29" i="4" s="1"/>
  <c r="AP29" i="4"/>
  <c r="AN29" i="4"/>
  <c r="AK29" i="4"/>
  <c r="AJ29" i="4"/>
  <c r="AG29" i="4"/>
  <c r="AD29" i="4"/>
  <c r="AC29" i="4"/>
  <c r="Z29" i="4"/>
  <c r="AF29" i="4" s="1"/>
  <c r="W29" i="4"/>
  <c r="V29" i="4" s="1"/>
  <c r="S29" i="4"/>
  <c r="P29" i="4"/>
  <c r="O29" i="4" s="1"/>
  <c r="L29" i="4"/>
  <c r="R29" i="4" s="1"/>
  <c r="J29" i="4"/>
  <c r="I29" i="4"/>
  <c r="CQ28" i="4"/>
  <c r="CO28" i="4"/>
  <c r="CN28" i="4" s="1"/>
  <c r="CM28" i="4"/>
  <c r="CK28" i="4"/>
  <c r="CH28" i="4"/>
  <c r="CG28" i="4"/>
  <c r="CF28" i="4"/>
  <c r="CE28" i="4" s="1"/>
  <c r="CD28" i="4"/>
  <c r="CJ28" i="4" s="1"/>
  <c r="CA28" i="4"/>
  <c r="BZ28" i="4"/>
  <c r="BW28" i="4"/>
  <c r="CC28" i="4" s="1"/>
  <c r="BT28" i="4"/>
  <c r="BS28" i="4" s="1"/>
  <c r="BP28" i="4"/>
  <c r="BR28" i="4" s="1"/>
  <c r="BO28" i="4"/>
  <c r="BM28" i="4"/>
  <c r="BL28" i="4"/>
  <c r="BK28" i="4"/>
  <c r="BI28" i="4"/>
  <c r="BH28" i="4"/>
  <c r="BF28" i="4"/>
  <c r="BE28" i="4"/>
  <c r="BD28" i="4"/>
  <c r="BB28" i="4"/>
  <c r="AY28" i="4"/>
  <c r="AX28" i="4"/>
  <c r="AU28" i="4"/>
  <c r="BA28" i="4" s="1"/>
  <c r="AR28" i="4"/>
  <c r="AQ28" i="4" s="1"/>
  <c r="AN28" i="4"/>
  <c r="AP28" i="4" s="1"/>
  <c r="AM28" i="4"/>
  <c r="AK28" i="4"/>
  <c r="AJ28" i="4" s="1"/>
  <c r="AI28" i="4"/>
  <c r="AG28" i="4"/>
  <c r="AD28" i="4"/>
  <c r="AC28" i="4"/>
  <c r="Z28" i="4"/>
  <c r="AF28" i="4" s="1"/>
  <c r="W28" i="4"/>
  <c r="V28" i="4"/>
  <c r="S28" i="4"/>
  <c r="Y28" i="4" s="1"/>
  <c r="Q28" i="4"/>
  <c r="L28" i="4"/>
  <c r="N28" i="4" s="1"/>
  <c r="CO27" i="4"/>
  <c r="CN27" i="4"/>
  <c r="CM27" i="4"/>
  <c r="CL27" i="4" s="1"/>
  <c r="CK27" i="4"/>
  <c r="CQ27" i="4" s="1"/>
  <c r="CH27" i="4"/>
  <c r="CG27" i="4"/>
  <c r="CD27" i="4"/>
  <c r="CC27" i="4"/>
  <c r="CA27" i="4"/>
  <c r="BZ27" i="4" s="1"/>
  <c r="BY27" i="4"/>
  <c r="BX27" i="4" s="1"/>
  <c r="BW27" i="4"/>
  <c r="BV27" i="4"/>
  <c r="BT27" i="4"/>
  <c r="BS27" i="4"/>
  <c r="BR27" i="4"/>
  <c r="BQ27" i="4" s="1"/>
  <c r="BP27" i="4"/>
  <c r="BM27" i="4"/>
  <c r="BL27" i="4"/>
  <c r="BI27" i="4"/>
  <c r="BO27" i="4" s="1"/>
  <c r="BF27" i="4"/>
  <c r="BE27" i="4"/>
  <c r="BB27" i="4"/>
  <c r="AY27" i="4"/>
  <c r="AX27" i="4"/>
  <c r="AU27" i="4"/>
  <c r="BA27" i="4" s="1"/>
  <c r="AR27" i="4"/>
  <c r="AQ27" i="4" s="1"/>
  <c r="AP27" i="4"/>
  <c r="AN27" i="4"/>
  <c r="AT27" i="4" s="1"/>
  <c r="AL27" i="4"/>
  <c r="AK27" i="4"/>
  <c r="AJ27" i="4"/>
  <c r="AI27" i="4"/>
  <c r="AH27" i="4" s="1"/>
  <c r="AG27" i="4"/>
  <c r="AM27" i="4" s="1"/>
  <c r="AD27" i="4"/>
  <c r="AC27" i="4" s="1"/>
  <c r="Z27" i="4"/>
  <c r="W27" i="4"/>
  <c r="V27" i="4" s="1"/>
  <c r="S27" i="4"/>
  <c r="Y27" i="4" s="1"/>
  <c r="Q27" i="4"/>
  <c r="R27" i="4" s="1"/>
  <c r="P27" i="4"/>
  <c r="O27" i="4" s="1"/>
  <c r="H27" i="4" s="1"/>
  <c r="N27" i="4"/>
  <c r="L27" i="4"/>
  <c r="M27" i="4" s="1"/>
  <c r="CO26" i="4"/>
  <c r="CN26" i="4"/>
  <c r="CM26" i="4"/>
  <c r="CL26" i="4" s="1"/>
  <c r="CK26" i="4"/>
  <c r="CQ26" i="4" s="1"/>
  <c r="CH26" i="4"/>
  <c r="CG26" i="4"/>
  <c r="CD26" i="4"/>
  <c r="CA26" i="4"/>
  <c r="BZ26" i="4"/>
  <c r="BW26" i="4"/>
  <c r="BY26" i="4" s="1"/>
  <c r="BV26" i="4"/>
  <c r="BT26" i="4"/>
  <c r="BS26" i="4" s="1"/>
  <c r="BQ26" i="4"/>
  <c r="BP26" i="4"/>
  <c r="BR26" i="4" s="1"/>
  <c r="BO26" i="4"/>
  <c r="BM26" i="4"/>
  <c r="BL26" i="4"/>
  <c r="BK26" i="4"/>
  <c r="BJ26" i="4" s="1"/>
  <c r="BI26" i="4"/>
  <c r="BF26" i="4"/>
  <c r="BE26" i="4" s="1"/>
  <c r="BB26" i="4"/>
  <c r="BH26" i="4" s="1"/>
  <c r="BA26" i="4"/>
  <c r="AY26" i="4"/>
  <c r="AX26" i="4"/>
  <c r="AW26" i="4"/>
  <c r="AU26" i="4"/>
  <c r="AR26" i="4"/>
  <c r="AQ26" i="4"/>
  <c r="AN26" i="4"/>
  <c r="AM26" i="4"/>
  <c r="AK26" i="4"/>
  <c r="AJ26" i="4"/>
  <c r="AI26" i="4"/>
  <c r="AH26" i="4"/>
  <c r="AG26" i="4"/>
  <c r="AE26" i="4"/>
  <c r="Z26" i="4"/>
  <c r="X26" i="4"/>
  <c r="W26" i="4"/>
  <c r="V26" i="4" s="1"/>
  <c r="U26" i="4"/>
  <c r="S26" i="4"/>
  <c r="Q26" i="4"/>
  <c r="P26" i="4"/>
  <c r="L26" i="4"/>
  <c r="R26" i="4" s="1"/>
  <c r="CO25" i="4"/>
  <c r="CN25" i="4"/>
  <c r="CK25" i="4"/>
  <c r="CQ25" i="4" s="1"/>
  <c r="CH25" i="4"/>
  <c r="CG25" i="4" s="1"/>
  <c r="CD25" i="4"/>
  <c r="CA25" i="4"/>
  <c r="BZ25" i="4" s="1"/>
  <c r="BY25" i="4"/>
  <c r="BW25" i="4"/>
  <c r="CC25" i="4" s="1"/>
  <c r="BT25" i="4"/>
  <c r="BS25" i="4"/>
  <c r="BP25" i="4"/>
  <c r="BV25" i="4" s="1"/>
  <c r="BM25" i="4"/>
  <c r="BL25" i="4" s="1"/>
  <c r="BI25" i="4"/>
  <c r="BH25" i="4"/>
  <c r="BF25" i="4"/>
  <c r="BE25" i="4"/>
  <c r="BD25" i="4"/>
  <c r="BB25" i="4"/>
  <c r="AY25" i="4"/>
  <c r="AX25" i="4" s="1"/>
  <c r="AW25" i="4"/>
  <c r="AV25" i="4" s="1"/>
  <c r="AU25" i="4"/>
  <c r="BA25" i="4" s="1"/>
  <c r="AR25" i="4"/>
  <c r="AQ25" i="4"/>
  <c r="AP25" i="4"/>
  <c r="AO25" i="4" s="1"/>
  <c r="AN25" i="4"/>
  <c r="AT25" i="4" s="1"/>
  <c r="AL25" i="4"/>
  <c r="AK25" i="4" s="1"/>
  <c r="AG25" i="4"/>
  <c r="AI25" i="4" s="1"/>
  <c r="AF25" i="4"/>
  <c r="AD25" i="4"/>
  <c r="AC25" i="4" s="1"/>
  <c r="Z25" i="4"/>
  <c r="AB25" i="4" s="1"/>
  <c r="Y25" i="4"/>
  <c r="W25" i="4"/>
  <c r="V25" i="4" s="1"/>
  <c r="U25" i="4"/>
  <c r="T25" i="4" s="1"/>
  <c r="S25" i="4"/>
  <c r="Q25" i="4"/>
  <c r="J25" i="4" s="1"/>
  <c r="P25" i="4"/>
  <c r="O25" i="4" s="1"/>
  <c r="N25" i="4"/>
  <c r="G25" i="4" s="1"/>
  <c r="L25" i="4"/>
  <c r="R25" i="4" s="1"/>
  <c r="CO24" i="4"/>
  <c r="CN24" i="4"/>
  <c r="CM24" i="4"/>
  <c r="CL24" i="4" s="1"/>
  <c r="CK24" i="4"/>
  <c r="CQ24" i="4" s="1"/>
  <c r="CH24" i="4"/>
  <c r="CG24" i="4"/>
  <c r="CF24" i="4"/>
  <c r="CD24" i="4"/>
  <c r="CJ24" i="4" s="1"/>
  <c r="CA24" i="4"/>
  <c r="BZ24" i="4" s="1"/>
  <c r="BW24" i="4"/>
  <c r="BV24" i="4"/>
  <c r="BT24" i="4"/>
  <c r="BS24" i="4" s="1"/>
  <c r="BR24" i="4"/>
  <c r="BP24" i="4"/>
  <c r="BM24" i="4"/>
  <c r="BL24" i="4"/>
  <c r="BK24" i="4"/>
  <c r="BJ24" i="4" s="1"/>
  <c r="BI24" i="4"/>
  <c r="BO24" i="4" s="1"/>
  <c r="BF24" i="4"/>
  <c r="BE24" i="4"/>
  <c r="BB24" i="4"/>
  <c r="BH24" i="4" s="1"/>
  <c r="AY24" i="4"/>
  <c r="AX24" i="4" s="1"/>
  <c r="AU24" i="4"/>
  <c r="BA24" i="4" s="1"/>
  <c r="AT24" i="4"/>
  <c r="AR24" i="4"/>
  <c r="AQ24" i="4" s="1"/>
  <c r="AN24" i="4"/>
  <c r="AK24" i="4"/>
  <c r="AJ24" i="4" s="1"/>
  <c r="AG24" i="4"/>
  <c r="AM24" i="4" s="1"/>
  <c r="AD24" i="4"/>
  <c r="AC24" i="4"/>
  <c r="AB24" i="4"/>
  <c r="AA24" i="4" s="1"/>
  <c r="Z24" i="4"/>
  <c r="AF24" i="4" s="1"/>
  <c r="W24" i="4"/>
  <c r="V24" i="4" s="1"/>
  <c r="S24" i="4"/>
  <c r="Q24" i="4"/>
  <c r="P24" i="4" s="1"/>
  <c r="I24" i="4" s="1"/>
  <c r="L24" i="4"/>
  <c r="N24" i="4" s="1"/>
  <c r="CQ23" i="4"/>
  <c r="CO23" i="4"/>
  <c r="CN23" i="4" s="1"/>
  <c r="CK23" i="4"/>
  <c r="CM23" i="4" s="1"/>
  <c r="CH23" i="4"/>
  <c r="CG23" i="4" s="1"/>
  <c r="CF23" i="4"/>
  <c r="CE23" i="4" s="1"/>
  <c r="CD23" i="4"/>
  <c r="CJ23" i="4" s="1"/>
  <c r="CA23" i="4"/>
  <c r="BZ23" i="4"/>
  <c r="BY23" i="4"/>
  <c r="BW23" i="4"/>
  <c r="CC23" i="4" s="1"/>
  <c r="BT23" i="4"/>
  <c r="BS23" i="4"/>
  <c r="BP23" i="4"/>
  <c r="BO23" i="4"/>
  <c r="BM23" i="4"/>
  <c r="BL23" i="4" s="1"/>
  <c r="BI23" i="4"/>
  <c r="BK23" i="4" s="1"/>
  <c r="BF23" i="4"/>
  <c r="BE23" i="4"/>
  <c r="BD23" i="4"/>
  <c r="BC23" i="4" s="1"/>
  <c r="BB23" i="4"/>
  <c r="BH23" i="4" s="1"/>
  <c r="AY23" i="4"/>
  <c r="AX23" i="4"/>
  <c r="AU23" i="4"/>
  <c r="BA23" i="4" s="1"/>
  <c r="AR23" i="4"/>
  <c r="AQ23" i="4"/>
  <c r="AN23" i="4"/>
  <c r="AM23" i="4"/>
  <c r="AK23" i="4"/>
  <c r="AJ23" i="4" s="1"/>
  <c r="AG23" i="4"/>
  <c r="AI23" i="4" s="1"/>
  <c r="AD23" i="4"/>
  <c r="AC23" i="4"/>
  <c r="Z23" i="4"/>
  <c r="AF23" i="4" s="1"/>
  <c r="W23" i="4"/>
  <c r="V23" i="4"/>
  <c r="S23" i="4"/>
  <c r="Y23" i="4" s="1"/>
  <c r="P23" i="4"/>
  <c r="O23" i="4"/>
  <c r="L23" i="4"/>
  <c r="J23" i="4"/>
  <c r="CO22" i="4"/>
  <c r="CN22" i="4"/>
  <c r="CK22" i="4"/>
  <c r="CJ22" i="4"/>
  <c r="CH22" i="4"/>
  <c r="CG22" i="4" s="1"/>
  <c r="CD22" i="4"/>
  <c r="CF22" i="4" s="1"/>
  <c r="CA22" i="4"/>
  <c r="BZ22" i="4" s="1"/>
  <c r="BW22" i="4"/>
  <c r="CC22" i="4" s="1"/>
  <c r="BT22" i="4"/>
  <c r="BS22" i="4"/>
  <c r="BP22" i="4"/>
  <c r="BV22" i="4" s="1"/>
  <c r="BM22" i="4"/>
  <c r="BL22" i="4"/>
  <c r="BI22" i="4"/>
  <c r="BO22" i="4" s="1"/>
  <c r="BH22" i="4"/>
  <c r="BF22" i="4"/>
  <c r="BE22" i="4" s="1"/>
  <c r="BB22" i="4"/>
  <c r="AY22" i="4"/>
  <c r="AX22" i="4"/>
  <c r="AU22" i="4"/>
  <c r="BA22" i="4" s="1"/>
  <c r="AR22" i="4"/>
  <c r="AQ22" i="4" s="1"/>
  <c r="AP22" i="4"/>
  <c r="AO22" i="4" s="1"/>
  <c r="AN22" i="4"/>
  <c r="AT22" i="4" s="1"/>
  <c r="AL22" i="4"/>
  <c r="AK22" i="4"/>
  <c r="AJ22" i="4"/>
  <c r="AG22" i="4"/>
  <c r="AM22" i="4" s="1"/>
  <c r="AE22" i="4"/>
  <c r="AD22" i="4" s="1"/>
  <c r="Z22" i="4"/>
  <c r="AB22" i="4" s="1"/>
  <c r="Y22" i="4"/>
  <c r="X22" i="4"/>
  <c r="T22" i="4"/>
  <c r="S22" i="4"/>
  <c r="U22" i="4" s="1"/>
  <c r="Q22" i="4"/>
  <c r="P22" i="4" s="1"/>
  <c r="L22" i="4"/>
  <c r="J22" i="4"/>
  <c r="CQ21" i="4"/>
  <c r="CO21" i="4"/>
  <c r="CN21" i="4" s="1"/>
  <c r="CK21" i="4"/>
  <c r="CH21" i="4"/>
  <c r="CG21" i="4" s="1"/>
  <c r="CD21" i="4"/>
  <c r="CJ21" i="4" s="1"/>
  <c r="CA21" i="4"/>
  <c r="BZ21" i="4"/>
  <c r="BY21" i="4"/>
  <c r="BW21" i="4"/>
  <c r="CC21" i="4" s="1"/>
  <c r="BT21" i="4"/>
  <c r="BS21" i="4"/>
  <c r="BP21" i="4"/>
  <c r="BV21" i="4" s="1"/>
  <c r="BO21" i="4"/>
  <c r="BM21" i="4"/>
  <c r="BL21" i="4" s="1"/>
  <c r="BI21" i="4"/>
  <c r="BF21" i="4"/>
  <c r="BE21" i="4"/>
  <c r="BD21" i="4"/>
  <c r="BC21" i="4" s="1"/>
  <c r="BB21" i="4"/>
  <c r="BH21" i="4" s="1"/>
  <c r="AY21" i="4"/>
  <c r="AX21" i="4"/>
  <c r="AU21" i="4"/>
  <c r="BA21" i="4" s="1"/>
  <c r="AR21" i="4"/>
  <c r="AQ21" i="4"/>
  <c r="AN21" i="4"/>
  <c r="AP21" i="4" s="1"/>
  <c r="AO21" i="4" s="1"/>
  <c r="AM21" i="4"/>
  <c r="AK21" i="4"/>
  <c r="AJ21" i="4" s="1"/>
  <c r="AG21" i="4"/>
  <c r="AD21" i="4"/>
  <c r="AC21" i="4"/>
  <c r="AB21" i="4"/>
  <c r="AA21" i="4" s="1"/>
  <c r="Z21" i="4"/>
  <c r="AF21" i="4" s="1"/>
  <c r="W21" i="4"/>
  <c r="V21" i="4"/>
  <c r="U21" i="4"/>
  <c r="S21" i="4"/>
  <c r="Y21" i="4" s="1"/>
  <c r="R21" i="4"/>
  <c r="Q21" i="4"/>
  <c r="P21" i="4"/>
  <c r="I21" i="4" s="1"/>
  <c r="O21" i="4"/>
  <c r="L21" i="4"/>
  <c r="N21" i="4" s="1"/>
  <c r="M21" i="4" s="1"/>
  <c r="J21" i="4"/>
  <c r="CO20" i="4"/>
  <c r="CN20" i="4"/>
  <c r="CM20" i="4"/>
  <c r="CL20" i="4" s="1"/>
  <c r="CK20" i="4"/>
  <c r="CQ20" i="4" s="1"/>
  <c r="CJ20" i="4"/>
  <c r="CH20" i="4"/>
  <c r="CG20" i="4" s="1"/>
  <c r="CD20" i="4"/>
  <c r="CF20" i="4" s="1"/>
  <c r="CA20" i="4"/>
  <c r="BZ20" i="4"/>
  <c r="BY20" i="4"/>
  <c r="BW20" i="4"/>
  <c r="BT20" i="4"/>
  <c r="BS20" i="4"/>
  <c r="BP20" i="4"/>
  <c r="BR20" i="4" s="1"/>
  <c r="BM20" i="4"/>
  <c r="BL20" i="4"/>
  <c r="BK20" i="4"/>
  <c r="BI20" i="4"/>
  <c r="BO20" i="4" s="1"/>
  <c r="BF20" i="4"/>
  <c r="BE20" i="4" s="1"/>
  <c r="BB20" i="4"/>
  <c r="BD20" i="4" s="1"/>
  <c r="AY20" i="4"/>
  <c r="AX20" i="4" s="1"/>
  <c r="AU20" i="4"/>
  <c r="AT20" i="4"/>
  <c r="AR20" i="4"/>
  <c r="AQ20" i="4" s="1"/>
  <c r="AN20" i="4"/>
  <c r="AP20" i="4" s="1"/>
  <c r="AO20" i="4" s="1"/>
  <c r="AL20" i="4"/>
  <c r="AK20" i="4"/>
  <c r="AJ20" i="4"/>
  <c r="AI20" i="4"/>
  <c r="AG20" i="4"/>
  <c r="AM20" i="4" s="1"/>
  <c r="AE20" i="4"/>
  <c r="AD20" i="4"/>
  <c r="AC20" i="4"/>
  <c r="Z20" i="4"/>
  <c r="AF20" i="4" s="1"/>
  <c r="Y20" i="4"/>
  <c r="X20" i="4"/>
  <c r="S20" i="4"/>
  <c r="U20" i="4" s="1"/>
  <c r="P20" i="4"/>
  <c r="L20" i="4"/>
  <c r="R20" i="4" s="1"/>
  <c r="CO19" i="4"/>
  <c r="CN19" i="4"/>
  <c r="CK19" i="4"/>
  <c r="CQ19" i="4" s="1"/>
  <c r="CJ19" i="4"/>
  <c r="CH19" i="4"/>
  <c r="CG19" i="4" s="1"/>
  <c r="CF19" i="4"/>
  <c r="CE19" i="4" s="1"/>
  <c r="CD19" i="4"/>
  <c r="CA19" i="4"/>
  <c r="BZ19" i="4"/>
  <c r="BY19" i="4"/>
  <c r="BX19" i="4" s="1"/>
  <c r="BW19" i="4"/>
  <c r="CC19" i="4" s="1"/>
  <c r="BT19" i="4"/>
  <c r="BS19" i="4"/>
  <c r="BP19" i="4"/>
  <c r="BR19" i="4" s="1"/>
  <c r="BM19" i="4"/>
  <c r="BL19" i="4"/>
  <c r="BI19" i="4"/>
  <c r="BO19" i="4" s="1"/>
  <c r="BH19" i="4"/>
  <c r="BF19" i="4"/>
  <c r="BE19" i="4"/>
  <c r="BB19" i="4"/>
  <c r="BD19" i="4" s="1"/>
  <c r="AY19" i="4"/>
  <c r="AX19" i="4" s="1"/>
  <c r="AU19" i="4"/>
  <c r="BA19" i="4" s="1"/>
  <c r="AT19" i="4"/>
  <c r="AR19" i="4"/>
  <c r="AQ19" i="4"/>
  <c r="AP19" i="4"/>
  <c r="AO19" i="4" s="1"/>
  <c r="AN19" i="4"/>
  <c r="AK19" i="4"/>
  <c r="AJ19" i="4"/>
  <c r="AG19" i="4"/>
  <c r="AF19" i="4"/>
  <c r="AD19" i="4"/>
  <c r="AC19" i="4" s="1"/>
  <c r="AB19" i="4"/>
  <c r="AA19" i="4" s="1"/>
  <c r="Z19" i="4"/>
  <c r="W19" i="4"/>
  <c r="I19" i="4" s="1"/>
  <c r="V19" i="4"/>
  <c r="U19" i="4"/>
  <c r="T19" i="4" s="1"/>
  <c r="S19" i="4"/>
  <c r="Y19" i="4" s="1"/>
  <c r="P19" i="4"/>
  <c r="O19" i="4"/>
  <c r="L19" i="4"/>
  <c r="R19" i="4" s="1"/>
  <c r="J19" i="4"/>
  <c r="CO18" i="4"/>
  <c r="CN18" i="4"/>
  <c r="CK18" i="4"/>
  <c r="CM18" i="4" s="1"/>
  <c r="CH18" i="4"/>
  <c r="CG18" i="4"/>
  <c r="CD18" i="4"/>
  <c r="CJ18" i="4" s="1"/>
  <c r="CC18" i="4"/>
  <c r="CA18" i="4"/>
  <c r="BZ18" i="4"/>
  <c r="BY18" i="4"/>
  <c r="BX18" i="4" s="1"/>
  <c r="BW18" i="4"/>
  <c r="BT18" i="4"/>
  <c r="BS18" i="4" s="1"/>
  <c r="BP18" i="4"/>
  <c r="BV18" i="4" s="1"/>
  <c r="BO18" i="4"/>
  <c r="BM18" i="4"/>
  <c r="BL18" i="4"/>
  <c r="BK18" i="4"/>
  <c r="BJ18" i="4" s="1"/>
  <c r="BI18" i="4"/>
  <c r="BF18" i="4"/>
  <c r="BE18" i="4"/>
  <c r="BB18" i="4"/>
  <c r="BA18" i="4"/>
  <c r="AY18" i="4"/>
  <c r="AX18" i="4" s="1"/>
  <c r="AU18" i="4"/>
  <c r="AW18" i="4" s="1"/>
  <c r="AV18" i="4" s="1"/>
  <c r="AR18" i="4"/>
  <c r="AQ18" i="4"/>
  <c r="AP18" i="4"/>
  <c r="AO18" i="4" s="1"/>
  <c r="AN18" i="4"/>
  <c r="AT18" i="4" s="1"/>
  <c r="AK18" i="4"/>
  <c r="AJ18" i="4"/>
  <c r="AG18" i="4"/>
  <c r="AM18" i="4" s="1"/>
  <c r="AF18" i="4"/>
  <c r="AD18" i="4"/>
  <c r="AC18" i="4" s="1"/>
  <c r="Z18" i="4"/>
  <c r="AB18" i="4" s="1"/>
  <c r="Y18" i="4"/>
  <c r="W18" i="4"/>
  <c r="V18" i="4" s="1"/>
  <c r="U18" i="4"/>
  <c r="T18" i="4" s="1"/>
  <c r="S18" i="4"/>
  <c r="P18" i="4"/>
  <c r="I18" i="4" s="1"/>
  <c r="O18" i="4"/>
  <c r="N18" i="4"/>
  <c r="L18" i="4"/>
  <c r="J18" i="4"/>
  <c r="CO17" i="4"/>
  <c r="CN17" i="4"/>
  <c r="CK17" i="4"/>
  <c r="CQ17" i="4" s="1"/>
  <c r="CH17" i="4"/>
  <c r="CG17" i="4"/>
  <c r="CD17" i="4"/>
  <c r="CF17" i="4" s="1"/>
  <c r="CA17" i="4"/>
  <c r="BZ17" i="4"/>
  <c r="BW17" i="4"/>
  <c r="BY17" i="4" s="1"/>
  <c r="BV17" i="4"/>
  <c r="BT17" i="4"/>
  <c r="BS17" i="4"/>
  <c r="BR17" i="4"/>
  <c r="BQ17" i="4" s="1"/>
  <c r="BP17" i="4"/>
  <c r="BM17" i="4"/>
  <c r="BL17" i="4"/>
  <c r="BI17" i="4"/>
  <c r="BK17" i="4" s="1"/>
  <c r="BH17" i="4"/>
  <c r="BF17" i="4"/>
  <c r="BE17" i="4"/>
  <c r="BB17" i="4"/>
  <c r="BD17" i="4" s="1"/>
  <c r="AY17" i="4"/>
  <c r="AX17" i="4" s="1"/>
  <c r="AU17" i="4"/>
  <c r="AW17" i="4" s="1"/>
  <c r="AT17" i="4"/>
  <c r="AR17" i="4"/>
  <c r="AQ17" i="4"/>
  <c r="AP17" i="4"/>
  <c r="AO17" i="4" s="1"/>
  <c r="AN17" i="4"/>
  <c r="AK17" i="4"/>
  <c r="AJ17" i="4" s="1"/>
  <c r="AG17" i="4"/>
  <c r="AI17" i="4" s="1"/>
  <c r="AF17" i="4"/>
  <c r="AD17" i="4"/>
  <c r="AC17" i="4"/>
  <c r="AB17" i="4"/>
  <c r="Z17" i="4"/>
  <c r="W17" i="4"/>
  <c r="I17" i="4" s="1"/>
  <c r="V17" i="4"/>
  <c r="S17" i="4"/>
  <c r="U17" i="4" s="1"/>
  <c r="Q17" i="4"/>
  <c r="P17" i="4"/>
  <c r="O17" i="4"/>
  <c r="L17" i="4"/>
  <c r="J17" i="4"/>
  <c r="CO16" i="4"/>
  <c r="CN16" i="4" s="1"/>
  <c r="CK16" i="4"/>
  <c r="CQ16" i="4" s="1"/>
  <c r="CJ16" i="4"/>
  <c r="CH16" i="4"/>
  <c r="CG16" i="4" s="1"/>
  <c r="CD16" i="4"/>
  <c r="CF16" i="4" s="1"/>
  <c r="CE16" i="4" s="1"/>
  <c r="CA16" i="4"/>
  <c r="BZ16" i="4"/>
  <c r="BW16" i="4"/>
  <c r="CC16" i="4" s="1"/>
  <c r="BV16" i="4"/>
  <c r="BT16" i="4"/>
  <c r="BS16" i="4" s="1"/>
  <c r="BP16" i="4"/>
  <c r="BR16" i="4" s="1"/>
  <c r="BM16" i="4"/>
  <c r="BL16" i="4" s="1"/>
  <c r="BI16" i="4"/>
  <c r="BO16" i="4" s="1"/>
  <c r="BF16" i="4"/>
  <c r="BE16" i="4"/>
  <c r="BB16" i="4"/>
  <c r="BH16" i="4" s="1"/>
  <c r="AY16" i="4"/>
  <c r="AX16" i="4" s="1"/>
  <c r="AU16" i="4"/>
  <c r="BA16" i="4" s="1"/>
  <c r="AT16" i="4"/>
  <c r="AR16" i="4"/>
  <c r="AQ16" i="4" s="1"/>
  <c r="AP16" i="4"/>
  <c r="AN16" i="4"/>
  <c r="AO16" i="4" s="1"/>
  <c r="AL16" i="4"/>
  <c r="AK16" i="4"/>
  <c r="AJ16" i="4"/>
  <c r="AH16" i="4"/>
  <c r="AG16" i="4"/>
  <c r="AI16" i="4" s="1"/>
  <c r="AE16" i="4"/>
  <c r="AD16" i="4" s="1"/>
  <c r="Z16" i="4"/>
  <c r="AF16" i="4" s="1"/>
  <c r="X16" i="4"/>
  <c r="V16" i="4" s="1"/>
  <c r="W16" i="4"/>
  <c r="S16" i="4"/>
  <c r="Y16" i="4" s="1"/>
  <c r="Q16" i="4"/>
  <c r="J16" i="4" s="1"/>
  <c r="L16" i="4"/>
  <c r="CO15" i="4"/>
  <c r="CN15" i="4"/>
  <c r="CK15" i="4"/>
  <c r="CQ15" i="4" s="1"/>
  <c r="CH15" i="4"/>
  <c r="CG15" i="4"/>
  <c r="CD15" i="4"/>
  <c r="CJ15" i="4" s="1"/>
  <c r="CA15" i="4"/>
  <c r="BZ15" i="4" s="1"/>
  <c r="BW15" i="4"/>
  <c r="BT15" i="4"/>
  <c r="BS15" i="4"/>
  <c r="BP15" i="4"/>
  <c r="BM15" i="4"/>
  <c r="BL15" i="4"/>
  <c r="BI15" i="4"/>
  <c r="BK15" i="4" s="1"/>
  <c r="BF15" i="4"/>
  <c r="BE15" i="4"/>
  <c r="BD15" i="4"/>
  <c r="BB15" i="4"/>
  <c r="BH15" i="4" s="1"/>
  <c r="AY15" i="4"/>
  <c r="AX15" i="4" s="1"/>
  <c r="AW15" i="4"/>
  <c r="AU15" i="4"/>
  <c r="BA15" i="4" s="1"/>
  <c r="AR15" i="4"/>
  <c r="AQ15" i="4"/>
  <c r="AN15" i="4"/>
  <c r="AT15" i="4" s="1"/>
  <c r="AM15" i="4"/>
  <c r="AL15" i="4"/>
  <c r="AJ15" i="4" s="1"/>
  <c r="AK15" i="4"/>
  <c r="AI15" i="4"/>
  <c r="AH15" i="4" s="1"/>
  <c r="AG15" i="4"/>
  <c r="AE15" i="4"/>
  <c r="AB15" i="4"/>
  <c r="Z15" i="4"/>
  <c r="X15" i="4"/>
  <c r="J15" i="4" s="1"/>
  <c r="W15" i="4"/>
  <c r="V15" i="4"/>
  <c r="S15" i="4"/>
  <c r="Y15" i="4" s="1"/>
  <c r="Q15" i="4"/>
  <c r="P15" i="4"/>
  <c r="O15" i="4"/>
  <c r="L15" i="4"/>
  <c r="R15" i="4" s="1"/>
  <c r="CO14" i="4"/>
  <c r="CN14" i="4"/>
  <c r="CK14" i="4"/>
  <c r="CQ14" i="4" s="1"/>
  <c r="CJ14" i="4"/>
  <c r="CH14" i="4"/>
  <c r="CG14" i="4" s="1"/>
  <c r="CD14" i="4"/>
  <c r="CA14" i="4"/>
  <c r="BZ14" i="4"/>
  <c r="BW14" i="4"/>
  <c r="BT14" i="4"/>
  <c r="BS14" i="4"/>
  <c r="BP14" i="4"/>
  <c r="BR14" i="4" s="1"/>
  <c r="BM14" i="4"/>
  <c r="BL14" i="4"/>
  <c r="BK14" i="4"/>
  <c r="BI14" i="4"/>
  <c r="BO14" i="4" s="1"/>
  <c r="BF14" i="4"/>
  <c r="BE14" i="4" s="1"/>
  <c r="BD14" i="4"/>
  <c r="BB14" i="4"/>
  <c r="BH14" i="4" s="1"/>
  <c r="AY14" i="4"/>
  <c r="AX14" i="4"/>
  <c r="AU14" i="4"/>
  <c r="BA14" i="4" s="1"/>
  <c r="AR14" i="4"/>
  <c r="AQ14" i="4"/>
  <c r="AP14" i="4"/>
  <c r="AN14" i="4"/>
  <c r="AK14" i="4"/>
  <c r="AJ14" i="4"/>
  <c r="AI14" i="4"/>
  <c r="AG14" i="4"/>
  <c r="AM14" i="4" s="1"/>
  <c r="AE14" i="4"/>
  <c r="AD14" i="4" s="1"/>
  <c r="AC14" i="4"/>
  <c r="Z14" i="4"/>
  <c r="AB14" i="4" s="1"/>
  <c r="X14" i="4"/>
  <c r="W14" i="4" s="1"/>
  <c r="S14" i="4"/>
  <c r="U14" i="4" s="1"/>
  <c r="Q14" i="4"/>
  <c r="J14" i="4" s="1"/>
  <c r="M14" i="4"/>
  <c r="L14" i="4"/>
  <c r="N14" i="4" s="1"/>
  <c r="CO13" i="4"/>
  <c r="CN13" i="4"/>
  <c r="CK13" i="4"/>
  <c r="CM13" i="4" s="1"/>
  <c r="CJ13" i="4"/>
  <c r="CH13" i="4"/>
  <c r="CG13" i="4"/>
  <c r="CF13" i="4"/>
  <c r="CE13" i="4" s="1"/>
  <c r="CD13" i="4"/>
  <c r="CA13" i="4"/>
  <c r="BZ13" i="4" s="1"/>
  <c r="BW13" i="4"/>
  <c r="BY13" i="4" s="1"/>
  <c r="BV13" i="4"/>
  <c r="BT13" i="4"/>
  <c r="BS13" i="4"/>
  <c r="BR13" i="4"/>
  <c r="BQ13" i="4" s="1"/>
  <c r="BP13" i="4"/>
  <c r="BM13" i="4"/>
  <c r="BL13" i="4"/>
  <c r="BJ13" i="4"/>
  <c r="BI13" i="4"/>
  <c r="BK13" i="4" s="1"/>
  <c r="BF13" i="4"/>
  <c r="BE13" i="4" s="1"/>
  <c r="BB13" i="4"/>
  <c r="BH13" i="4" s="1"/>
  <c r="BA13" i="4"/>
  <c r="AY13" i="4"/>
  <c r="AX13" i="4"/>
  <c r="AU13" i="4"/>
  <c r="AR13" i="4"/>
  <c r="AQ13" i="4"/>
  <c r="AP13" i="4"/>
  <c r="AO13" i="4" s="1"/>
  <c r="AN13" i="4"/>
  <c r="AT13" i="4" s="1"/>
  <c r="AK13" i="4"/>
  <c r="AJ13" i="4"/>
  <c r="AG13" i="4"/>
  <c r="AI13" i="4" s="1"/>
  <c r="AD13" i="4"/>
  <c r="AC13" i="4" s="1"/>
  <c r="AB13" i="4"/>
  <c r="AA13" i="4" s="1"/>
  <c r="Z13" i="4"/>
  <c r="AF13" i="4" s="1"/>
  <c r="Y13" i="4"/>
  <c r="X13" i="4"/>
  <c r="W13" i="4" s="1"/>
  <c r="U13" i="4"/>
  <c r="S13" i="4"/>
  <c r="Q13" i="4"/>
  <c r="P13" i="4"/>
  <c r="I13" i="4" s="1"/>
  <c r="O13" i="4"/>
  <c r="N13" i="4"/>
  <c r="L13" i="4"/>
  <c r="R13" i="4" s="1"/>
  <c r="CO12" i="4"/>
  <c r="CN12" i="4"/>
  <c r="CK12" i="4"/>
  <c r="CQ12" i="4" s="1"/>
  <c r="CH12" i="4"/>
  <c r="CG12" i="4"/>
  <c r="CD12" i="4"/>
  <c r="CF12" i="4" s="1"/>
  <c r="CC12" i="4"/>
  <c r="CA12" i="4"/>
  <c r="BZ12" i="4" s="1"/>
  <c r="BW12" i="4"/>
  <c r="BY12" i="4" s="1"/>
  <c r="BT12" i="4"/>
  <c r="BS12" i="4" s="1"/>
  <c r="BR12" i="4"/>
  <c r="BQ12" i="4" s="1"/>
  <c r="BP12" i="4"/>
  <c r="BV12" i="4" s="1"/>
  <c r="BM12" i="4"/>
  <c r="BL12" i="4"/>
  <c r="BK12" i="4"/>
  <c r="BI12" i="4"/>
  <c r="BO12" i="4" s="1"/>
  <c r="BF12" i="4"/>
  <c r="BE12" i="4"/>
  <c r="BB12" i="4"/>
  <c r="BD12" i="4" s="1"/>
  <c r="BA12" i="4"/>
  <c r="AY12" i="4"/>
  <c r="AX12" i="4" s="1"/>
  <c r="AU12" i="4"/>
  <c r="AW12" i="4" s="1"/>
  <c r="AR12" i="4"/>
  <c r="AQ12" i="4" s="1"/>
  <c r="AN12" i="4"/>
  <c r="AT12" i="4" s="1"/>
  <c r="AL12" i="4"/>
  <c r="AK12" i="4"/>
  <c r="AJ12" i="4"/>
  <c r="AI12" i="4"/>
  <c r="AH12" i="4" s="1"/>
  <c r="AG12" i="4"/>
  <c r="AM12" i="4" s="1"/>
  <c r="AE12" i="4"/>
  <c r="AD12" i="4"/>
  <c r="AC12" i="4"/>
  <c r="AB12" i="4"/>
  <c r="Z12" i="4"/>
  <c r="AF12" i="4" s="1"/>
  <c r="W12" i="4"/>
  <c r="V12" i="4"/>
  <c r="S12" i="4"/>
  <c r="U12" i="4" s="1"/>
  <c r="Q12" i="4"/>
  <c r="L12" i="4"/>
  <c r="N12" i="4" s="1"/>
  <c r="CO11" i="4"/>
  <c r="CN11" i="4" s="1"/>
  <c r="CK11" i="4"/>
  <c r="CM11" i="4" s="1"/>
  <c r="CH11" i="4"/>
  <c r="CG11" i="4"/>
  <c r="CD11" i="4"/>
  <c r="CA11" i="4"/>
  <c r="BZ11" i="4"/>
  <c r="BY11" i="4"/>
  <c r="BW11" i="4"/>
  <c r="CC11" i="4" s="1"/>
  <c r="BT11" i="4"/>
  <c r="BS11" i="4"/>
  <c r="BP11" i="4"/>
  <c r="BV11" i="4" s="1"/>
  <c r="BM11" i="4"/>
  <c r="BL11" i="4" s="1"/>
  <c r="BI11" i="4"/>
  <c r="BK11" i="4" s="1"/>
  <c r="BF11" i="4"/>
  <c r="BE11" i="4"/>
  <c r="BB11" i="4"/>
  <c r="BA11" i="4"/>
  <c r="AY11" i="4"/>
  <c r="AX11" i="4"/>
  <c r="AW11" i="4"/>
  <c r="AV11" i="4" s="1"/>
  <c r="AU11" i="4"/>
  <c r="AR11" i="4"/>
  <c r="AQ11" i="4"/>
  <c r="AP11" i="4"/>
  <c r="AO11" i="4" s="1"/>
  <c r="AN11" i="4"/>
  <c r="AT11" i="4" s="1"/>
  <c r="AL11" i="4"/>
  <c r="AK11" i="4" s="1"/>
  <c r="AG11" i="4"/>
  <c r="AI11" i="4" s="1"/>
  <c r="AD11" i="4"/>
  <c r="AC11" i="4" s="1"/>
  <c r="Z11" i="4"/>
  <c r="AB11" i="4" s="1"/>
  <c r="Y11" i="4"/>
  <c r="W11" i="4"/>
  <c r="V11" i="4" s="1"/>
  <c r="S11" i="4"/>
  <c r="U11" i="4" s="1"/>
  <c r="T11" i="4" s="1"/>
  <c r="P11" i="4"/>
  <c r="I11" i="4" s="1"/>
  <c r="O11" i="4"/>
  <c r="L11" i="4"/>
  <c r="B11" i="4" s="1"/>
  <c r="CO10" i="4"/>
  <c r="CN10" i="4"/>
  <c r="CK10" i="4"/>
  <c r="CQ10" i="4" s="1"/>
  <c r="CH10" i="4"/>
  <c r="CG10" i="4"/>
  <c r="CD10" i="4"/>
  <c r="CF10" i="4" s="1"/>
  <c r="CC10" i="4"/>
  <c r="CA10" i="4"/>
  <c r="BZ10" i="4" s="1"/>
  <c r="BW10" i="4"/>
  <c r="BY10" i="4" s="1"/>
  <c r="BV10" i="4"/>
  <c r="BT10" i="4"/>
  <c r="BS10" i="4" s="1"/>
  <c r="BR10" i="4"/>
  <c r="BQ10" i="4" s="1"/>
  <c r="BP10" i="4"/>
  <c r="BM10" i="4"/>
  <c r="BL10" i="4"/>
  <c r="BK10" i="4"/>
  <c r="BI10" i="4"/>
  <c r="BO10" i="4" s="1"/>
  <c r="BF10" i="4"/>
  <c r="BE10" i="4"/>
  <c r="BB10" i="4"/>
  <c r="BD10" i="4" s="1"/>
  <c r="AY10" i="4"/>
  <c r="AX10" i="4" s="1"/>
  <c r="AU10" i="4"/>
  <c r="AW10" i="4" s="1"/>
  <c r="AT10" i="4"/>
  <c r="AR10" i="4"/>
  <c r="AQ10" i="4" s="1"/>
  <c r="AN10" i="4"/>
  <c r="AP10" i="4" s="1"/>
  <c r="AO10" i="4" s="1"/>
  <c r="AL10" i="4"/>
  <c r="AK10" i="4"/>
  <c r="AJ10" i="4"/>
  <c r="AI10" i="4"/>
  <c r="AH10" i="4" s="1"/>
  <c r="AG10" i="4"/>
  <c r="AM10" i="4" s="1"/>
  <c r="AE10" i="4"/>
  <c r="AD10" i="4"/>
  <c r="AC10" i="4"/>
  <c r="AB10" i="4"/>
  <c r="Z10" i="4"/>
  <c r="AF10" i="4" s="1"/>
  <c r="X10" i="4"/>
  <c r="W10" i="4"/>
  <c r="V10" i="4"/>
  <c r="U10" i="4"/>
  <c r="S10" i="4"/>
  <c r="Y10" i="4" s="1"/>
  <c r="Q10" i="4"/>
  <c r="P10" i="4" s="1"/>
  <c r="I10" i="4" s="1"/>
  <c r="L10" i="4"/>
  <c r="J10" i="4"/>
  <c r="CO9" i="4"/>
  <c r="CN9" i="4"/>
  <c r="CK9" i="4"/>
  <c r="CH9" i="4"/>
  <c r="CG9" i="4" s="1"/>
  <c r="CD9" i="4"/>
  <c r="CF9" i="4" s="1"/>
  <c r="CA9" i="4"/>
  <c r="BZ9" i="4" s="1"/>
  <c r="BY9" i="4"/>
  <c r="BX9" i="4" s="1"/>
  <c r="BW9" i="4"/>
  <c r="CC9" i="4" s="1"/>
  <c r="BT9" i="4"/>
  <c r="BS9" i="4"/>
  <c r="BR9" i="4"/>
  <c r="BP9" i="4"/>
  <c r="BV9" i="4" s="1"/>
  <c r="BM9" i="4"/>
  <c r="BL9" i="4"/>
  <c r="BI9" i="4"/>
  <c r="BH9" i="4"/>
  <c r="BF9" i="4"/>
  <c r="BE9" i="4" s="1"/>
  <c r="BB9" i="4"/>
  <c r="BD9" i="4" s="1"/>
  <c r="AY9" i="4"/>
  <c r="AX9" i="4" s="1"/>
  <c r="AU9" i="4"/>
  <c r="BA9" i="4" s="1"/>
  <c r="AR9" i="4"/>
  <c r="AQ9" i="4"/>
  <c r="AP9" i="4"/>
  <c r="AN9" i="4"/>
  <c r="AT9" i="4" s="1"/>
  <c r="AL9" i="4"/>
  <c r="AK9" i="4"/>
  <c r="AJ9" i="4"/>
  <c r="AG9" i="4"/>
  <c r="AM9" i="4" s="1"/>
  <c r="AE9" i="4"/>
  <c r="AD9" i="4" s="1"/>
  <c r="Z9" i="4"/>
  <c r="AB9" i="4" s="1"/>
  <c r="X9" i="4"/>
  <c r="S9" i="4"/>
  <c r="Y9" i="4" s="1"/>
  <c r="Q9" i="4"/>
  <c r="P9" i="4" s="1"/>
  <c r="L9" i="4"/>
  <c r="N9" i="4" s="1"/>
  <c r="J9" i="4"/>
  <c r="CQ8" i="4"/>
  <c r="CO8" i="4"/>
  <c r="CN8" i="4" s="1"/>
  <c r="CK8" i="4"/>
  <c r="CM8" i="4" s="1"/>
  <c r="CH8" i="4"/>
  <c r="CG8" i="4"/>
  <c r="CD8" i="4"/>
  <c r="CJ8" i="4" s="1"/>
  <c r="CA8" i="4"/>
  <c r="BZ8" i="4"/>
  <c r="BW8" i="4"/>
  <c r="CC8" i="4" s="1"/>
  <c r="BT8" i="4"/>
  <c r="BS8" i="4"/>
  <c r="BP8" i="4"/>
  <c r="BO8" i="4"/>
  <c r="BM8" i="4"/>
  <c r="BL8" i="4" s="1"/>
  <c r="BI8" i="4"/>
  <c r="BK8" i="4" s="1"/>
  <c r="BF8" i="4"/>
  <c r="BE8" i="4"/>
  <c r="BB8" i="4"/>
  <c r="BH8" i="4" s="1"/>
  <c r="AY8" i="4"/>
  <c r="AX8" i="4"/>
  <c r="AU8" i="4"/>
  <c r="BA8" i="4" s="1"/>
  <c r="AR8" i="4"/>
  <c r="AQ8" i="4"/>
  <c r="AN8" i="4"/>
  <c r="AM8" i="4"/>
  <c r="AK8" i="4"/>
  <c r="AJ8" i="4" s="1"/>
  <c r="AG8" i="4"/>
  <c r="AI8" i="4" s="1"/>
  <c r="AD8" i="4"/>
  <c r="AC8" i="4"/>
  <c r="Z8" i="4"/>
  <c r="AF8" i="4" s="1"/>
  <c r="W8" i="4"/>
  <c r="V8" i="4"/>
  <c r="S8" i="4"/>
  <c r="Y8" i="4" s="1"/>
  <c r="P8" i="4"/>
  <c r="O8" i="4"/>
  <c r="L8" i="4"/>
  <c r="J8" i="4"/>
  <c r="CO7" i="4"/>
  <c r="CN7" i="4"/>
  <c r="CK7" i="4"/>
  <c r="CJ7" i="4"/>
  <c r="CH7" i="4"/>
  <c r="CG7" i="4" s="1"/>
  <c r="CD7" i="4"/>
  <c r="CF7" i="4" s="1"/>
  <c r="CA7" i="4"/>
  <c r="BZ7" i="4"/>
  <c r="BY7" i="4"/>
  <c r="BX7" i="4" s="1"/>
  <c r="BW7" i="4"/>
  <c r="CC7" i="4" s="1"/>
  <c r="BT7" i="4"/>
  <c r="BS7" i="4"/>
  <c r="BP7" i="4"/>
  <c r="BV7" i="4" s="1"/>
  <c r="BM7" i="4"/>
  <c r="BL7" i="4"/>
  <c r="BI7" i="4"/>
  <c r="BH7" i="4"/>
  <c r="BF7" i="4"/>
  <c r="BE7" i="4" s="1"/>
  <c r="BB7" i="4"/>
  <c r="BD7" i="4" s="1"/>
  <c r="AY7" i="4"/>
  <c r="AX7" i="4"/>
  <c r="AU7" i="4"/>
  <c r="BA7" i="4" s="1"/>
  <c r="AR7" i="4"/>
  <c r="AQ7" i="4"/>
  <c r="AN7" i="4"/>
  <c r="AT7" i="4" s="1"/>
  <c r="AK7" i="4"/>
  <c r="AJ7" i="4"/>
  <c r="AG7" i="4"/>
  <c r="AD7" i="4"/>
  <c r="AC7" i="4" s="1"/>
  <c r="Z7" i="4"/>
  <c r="AB7" i="4" s="1"/>
  <c r="Y7" i="4"/>
  <c r="W7" i="4"/>
  <c r="V7" i="4" s="1"/>
  <c r="S7" i="4"/>
  <c r="U7" i="4" s="1"/>
  <c r="T7" i="4" s="1"/>
  <c r="Q7" i="4"/>
  <c r="J7" i="4" s="1"/>
  <c r="P7" i="4"/>
  <c r="O7" i="4"/>
  <c r="H7" i="4" s="1"/>
  <c r="N7" i="4"/>
  <c r="M7" i="4" s="1"/>
  <c r="L7" i="4"/>
  <c r="R7" i="4" s="1"/>
  <c r="CO6" i="4"/>
  <c r="CN6" i="4"/>
  <c r="CK6" i="4"/>
  <c r="CQ6" i="4" s="1"/>
  <c r="CH6" i="4"/>
  <c r="CG6" i="4"/>
  <c r="CD6" i="4"/>
  <c r="CJ6" i="4" s="1"/>
  <c r="CA6" i="4"/>
  <c r="BZ6" i="4" s="1"/>
  <c r="BW6" i="4"/>
  <c r="BT6" i="4"/>
  <c r="BS6" i="4"/>
  <c r="BR6" i="4"/>
  <c r="BP6" i="4"/>
  <c r="BM6" i="4"/>
  <c r="BL6" i="4"/>
  <c r="BI6" i="4"/>
  <c r="BO6" i="4" s="1"/>
  <c r="BF6" i="4"/>
  <c r="BE6" i="4"/>
  <c r="BB6" i="4"/>
  <c r="BH6" i="4" s="1"/>
  <c r="AY6" i="4"/>
  <c r="AX6" i="4" s="1"/>
  <c r="AU6" i="4"/>
  <c r="AR6" i="4"/>
  <c r="AQ6" i="4" s="1"/>
  <c r="AN6" i="4"/>
  <c r="AL6" i="4"/>
  <c r="AM6" i="4" s="1"/>
  <c r="AI6" i="4"/>
  <c r="AH6" i="4" s="1"/>
  <c r="AG6" i="4"/>
  <c r="AD6" i="4"/>
  <c r="AC6" i="4"/>
  <c r="Z6" i="4"/>
  <c r="AF6" i="4" s="1"/>
  <c r="W6" i="4"/>
  <c r="V6" i="4"/>
  <c r="S6" i="4"/>
  <c r="Q6" i="4"/>
  <c r="L6" i="4"/>
  <c r="J6" i="4"/>
  <c r="CO5" i="4"/>
  <c r="CN5" i="4" s="1"/>
  <c r="CK5" i="4"/>
  <c r="CQ5" i="4" s="1"/>
  <c r="CJ5" i="4"/>
  <c r="CH5" i="4"/>
  <c r="CG5" i="4"/>
  <c r="CF5" i="4"/>
  <c r="CD5" i="4"/>
  <c r="CC5" i="4"/>
  <c r="CA5" i="4"/>
  <c r="BZ5" i="4" s="1"/>
  <c r="BY5" i="4"/>
  <c r="BX5" i="4" s="1"/>
  <c r="BW5" i="4"/>
  <c r="BT5" i="4"/>
  <c r="BS5" i="4"/>
  <c r="BP5" i="4"/>
  <c r="BM5" i="4"/>
  <c r="BL5" i="4" s="1"/>
  <c r="BI5" i="4"/>
  <c r="BF5" i="4"/>
  <c r="BE5" i="4"/>
  <c r="BB5" i="4"/>
  <c r="BA5" i="4"/>
  <c r="AY5" i="4"/>
  <c r="AX5" i="4"/>
  <c r="AU5" i="4"/>
  <c r="AW5" i="4" s="1"/>
  <c r="AR5" i="4"/>
  <c r="AQ5" i="4"/>
  <c r="AN5" i="4"/>
  <c r="AT5" i="4" s="1"/>
  <c r="AL5" i="4"/>
  <c r="AK5" i="4" s="1"/>
  <c r="AG5" i="4"/>
  <c r="AI5" i="4" s="1"/>
  <c r="AE5" i="4"/>
  <c r="Z5" i="4"/>
  <c r="AF5" i="4" s="1"/>
  <c r="X5" i="4"/>
  <c r="W5" i="4"/>
  <c r="S5" i="4"/>
  <c r="U5" i="4" s="1"/>
  <c r="R5" i="4"/>
  <c r="Q5" i="4"/>
  <c r="P5" i="4"/>
  <c r="O5" i="4"/>
  <c r="L5" i="4"/>
  <c r="CO4" i="4"/>
  <c r="CO55" i="4" s="1"/>
  <c r="CO58" i="4" s="1"/>
  <c r="CM4" i="4"/>
  <c r="CK4" i="4"/>
  <c r="CQ4" i="4" s="1"/>
  <c r="CH4" i="4"/>
  <c r="CG4" i="4"/>
  <c r="CD4" i="4"/>
  <c r="CA4" i="4"/>
  <c r="BZ4" i="4"/>
  <c r="BW4" i="4"/>
  <c r="BT4" i="4"/>
  <c r="BP4" i="4"/>
  <c r="BV4" i="4" s="1"/>
  <c r="BO4" i="4"/>
  <c r="BM4" i="4"/>
  <c r="BL4" i="4"/>
  <c r="BK4" i="4"/>
  <c r="BI4" i="4"/>
  <c r="BF4" i="4"/>
  <c r="BF55" i="4" s="1"/>
  <c r="BF58" i="4" s="1"/>
  <c r="BB4" i="4"/>
  <c r="AY4" i="4"/>
  <c r="AX4" i="4"/>
  <c r="AU4" i="4"/>
  <c r="AW4" i="4" s="1"/>
  <c r="AR4" i="4"/>
  <c r="AN4" i="4"/>
  <c r="AL4" i="4"/>
  <c r="AK4" i="4"/>
  <c r="AG4" i="4"/>
  <c r="Z4" i="4"/>
  <c r="AB4" i="4" s="1"/>
  <c r="X4" i="4"/>
  <c r="W4" i="4"/>
  <c r="S4" i="4"/>
  <c r="N4" i="4"/>
  <c r="M4" i="4" s="1"/>
  <c r="L4" i="4"/>
  <c r="CQ88" i="3"/>
  <c r="CJ88" i="3"/>
  <c r="CC88" i="3"/>
  <c r="BV88" i="3"/>
  <c r="BO88" i="3"/>
  <c r="BH88" i="3"/>
  <c r="BA88" i="3"/>
  <c r="AT88" i="3"/>
  <c r="AM86" i="3"/>
  <c r="AM85" i="3"/>
  <c r="AF84" i="3"/>
  <c r="Y83" i="3"/>
  <c r="Y82" i="3"/>
  <c r="R81" i="3"/>
  <c r="AM80" i="3"/>
  <c r="AF80" i="3"/>
  <c r="Y80" i="3"/>
  <c r="R80" i="3"/>
  <c r="AM79" i="3"/>
  <c r="AF79" i="3"/>
  <c r="Y79" i="3"/>
  <c r="AF78" i="3"/>
  <c r="Y78" i="3"/>
  <c r="R78" i="3"/>
  <c r="R77" i="3"/>
  <c r="AM76" i="3"/>
  <c r="AF76" i="3"/>
  <c r="R76" i="3"/>
  <c r="R75" i="3"/>
  <c r="Y74" i="3"/>
  <c r="R74" i="3"/>
  <c r="AM73" i="3"/>
  <c r="R73" i="3"/>
  <c r="AM72" i="3"/>
  <c r="AF72" i="3"/>
  <c r="Y72" i="3"/>
  <c r="R72" i="3"/>
  <c r="Y71" i="3"/>
  <c r="R71" i="3"/>
  <c r="AM70" i="3"/>
  <c r="AF70" i="3"/>
  <c r="Y70" i="3"/>
  <c r="AM69" i="3"/>
  <c r="AF69" i="3"/>
  <c r="Y69" i="3"/>
  <c r="R69" i="3"/>
  <c r="AM68" i="3"/>
  <c r="Y68" i="3"/>
  <c r="R68" i="3"/>
  <c r="AM67" i="3"/>
  <c r="AF67" i="3"/>
  <c r="R67" i="3"/>
  <c r="AM66" i="3"/>
  <c r="AF66" i="3"/>
  <c r="Y66" i="3"/>
  <c r="R66" i="3"/>
  <c r="Y65" i="3"/>
  <c r="R65" i="3"/>
  <c r="AM64" i="3"/>
  <c r="AF64" i="3"/>
  <c r="Y64" i="3"/>
  <c r="R64" i="3"/>
  <c r="AM63" i="3"/>
  <c r="AF63" i="3"/>
  <c r="Y63" i="3"/>
  <c r="R63" i="3"/>
  <c r="Y62" i="3"/>
  <c r="R62" i="3"/>
  <c r="AM61" i="3"/>
  <c r="AF61" i="3"/>
  <c r="Y61" i="3"/>
  <c r="R61" i="3"/>
  <c r="R88" i="3" s="1"/>
  <c r="Q49" i="3" s="1"/>
  <c r="BN58" i="3"/>
  <c r="BG58" i="3"/>
  <c r="AZ58" i="3"/>
  <c r="CO57" i="3"/>
  <c r="CN57" i="3" s="1"/>
  <c r="CJ57" i="3"/>
  <c r="CH57" i="3"/>
  <c r="CG57" i="3" s="1"/>
  <c r="CF57" i="3"/>
  <c r="CC57" i="3"/>
  <c r="CA57" i="3"/>
  <c r="BZ57" i="3" s="1"/>
  <c r="BY57" i="3"/>
  <c r="BX57" i="3"/>
  <c r="BT57" i="3"/>
  <c r="BS57" i="3"/>
  <c r="BR57" i="3"/>
  <c r="BQ57" i="3" s="1"/>
  <c r="BV57" i="3"/>
  <c r="BM57" i="3"/>
  <c r="BL57" i="3" s="1"/>
  <c r="BH57" i="3"/>
  <c r="BF57" i="3"/>
  <c r="BE57" i="3" s="1"/>
  <c r="BD57" i="3"/>
  <c r="BA57" i="3"/>
  <c r="AY57" i="3"/>
  <c r="AX57" i="3" s="1"/>
  <c r="AW57" i="3"/>
  <c r="AV57" i="3"/>
  <c r="AR57" i="3"/>
  <c r="AQ57" i="3"/>
  <c r="AP57" i="3"/>
  <c r="AO57" i="3" s="1"/>
  <c r="AT57" i="3"/>
  <c r="AK57" i="3"/>
  <c r="AJ57" i="3" s="1"/>
  <c r="AF57" i="3"/>
  <c r="AD57" i="3"/>
  <c r="AC57" i="3" s="1"/>
  <c r="AB57" i="3"/>
  <c r="Y57" i="3"/>
  <c r="W57" i="3"/>
  <c r="V57" i="3" s="1"/>
  <c r="U57" i="3"/>
  <c r="T57" i="3"/>
  <c r="P57" i="3"/>
  <c r="O57" i="3"/>
  <c r="N57" i="3"/>
  <c r="J57" i="3"/>
  <c r="E57" i="3"/>
  <c r="K57" i="3" s="1"/>
  <c r="CO56" i="3"/>
  <c r="CN56" i="3"/>
  <c r="CM56" i="3"/>
  <c r="CQ56" i="3"/>
  <c r="CH56" i="3"/>
  <c r="CG56" i="3" s="1"/>
  <c r="CC56" i="3"/>
  <c r="CA56" i="3"/>
  <c r="BZ56" i="3" s="1"/>
  <c r="BY56" i="3"/>
  <c r="BX56" i="3"/>
  <c r="BV56" i="3"/>
  <c r="BT56" i="3"/>
  <c r="BS56" i="3"/>
  <c r="BR56" i="3"/>
  <c r="BM56" i="3"/>
  <c r="BL56" i="3"/>
  <c r="BO56" i="3"/>
  <c r="BF56" i="3"/>
  <c r="BE56" i="3" s="1"/>
  <c r="BA56" i="3"/>
  <c r="AY56" i="3"/>
  <c r="AX56" i="3" s="1"/>
  <c r="AW56" i="3"/>
  <c r="AV56" i="3"/>
  <c r="AT56" i="3"/>
  <c r="AR56" i="3"/>
  <c r="I56" i="3" s="1"/>
  <c r="AQ56" i="3"/>
  <c r="AP56" i="3"/>
  <c r="AL56" i="3"/>
  <c r="AK56" i="3"/>
  <c r="AJ56" i="3"/>
  <c r="AI56" i="3"/>
  <c r="AH56" i="3"/>
  <c r="AM56" i="3"/>
  <c r="AD56" i="3"/>
  <c r="AC56" i="3"/>
  <c r="AB56" i="3"/>
  <c r="AF56" i="3"/>
  <c r="W56" i="3"/>
  <c r="V56" i="3"/>
  <c r="R56" i="3"/>
  <c r="P56" i="3"/>
  <c r="O56" i="3" s="1"/>
  <c r="H56" i="3" s="1"/>
  <c r="N56" i="3"/>
  <c r="M56" i="3"/>
  <c r="J56" i="3"/>
  <c r="CP55" i="3"/>
  <c r="CP58" i="3" s="1"/>
  <c r="CI55" i="3"/>
  <c r="CI58" i="3" s="1"/>
  <c r="CB55" i="3"/>
  <c r="BU55" i="3"/>
  <c r="BN55" i="3"/>
  <c r="BG55" i="3"/>
  <c r="AZ55" i="3"/>
  <c r="AS55" i="3"/>
  <c r="AS58" i="3" s="1"/>
  <c r="CO54" i="3"/>
  <c r="CN54" i="3" s="1"/>
  <c r="CM54" i="3"/>
  <c r="CL54" i="3" s="1"/>
  <c r="CQ54" i="3"/>
  <c r="CH54" i="3"/>
  <c r="CG54" i="3" s="1"/>
  <c r="CC54" i="3"/>
  <c r="CA54" i="3"/>
  <c r="BZ54" i="3" s="1"/>
  <c r="BV54" i="3"/>
  <c r="BT54" i="3"/>
  <c r="BS54" i="3"/>
  <c r="BM54" i="3"/>
  <c r="BL54" i="3" s="1"/>
  <c r="BK54" i="3"/>
  <c r="BJ54" i="3" s="1"/>
  <c r="BO54" i="3"/>
  <c r="BF54" i="3"/>
  <c r="BE54" i="3" s="1"/>
  <c r="BA54" i="3"/>
  <c r="AY54" i="3"/>
  <c r="AX54" i="3"/>
  <c r="AT54" i="3"/>
  <c r="AR54" i="3"/>
  <c r="AQ54" i="3"/>
  <c r="AP54" i="3"/>
  <c r="AO54" i="3" s="1"/>
  <c r="AK54" i="3"/>
  <c r="AJ54" i="3" s="1"/>
  <c r="AI54" i="3"/>
  <c r="AH54" i="3" s="1"/>
  <c r="AM54" i="3"/>
  <c r="AD54" i="3"/>
  <c r="AC54" i="3"/>
  <c r="X54" i="3"/>
  <c r="V54" i="3" s="1"/>
  <c r="W54" i="3"/>
  <c r="Q54" i="3"/>
  <c r="CQ53" i="3"/>
  <c r="CO53" i="3"/>
  <c r="CN53" i="3" s="1"/>
  <c r="CJ53" i="3"/>
  <c r="CH53" i="3"/>
  <c r="CG53" i="3"/>
  <c r="CA53" i="3"/>
  <c r="BZ53" i="3"/>
  <c r="BY53" i="3"/>
  <c r="BX53" i="3" s="1"/>
  <c r="CC53" i="3"/>
  <c r="BT53" i="3"/>
  <c r="BS53" i="3" s="1"/>
  <c r="BO53" i="3"/>
  <c r="BM53" i="3"/>
  <c r="BL53" i="3" s="1"/>
  <c r="BH53" i="3"/>
  <c r="BF53" i="3"/>
  <c r="BE53" i="3"/>
  <c r="AY53" i="3"/>
  <c r="AX53" i="3"/>
  <c r="AW53" i="3"/>
  <c r="AV53" i="3" s="1"/>
  <c r="BA53" i="3"/>
  <c r="AR53" i="3"/>
  <c r="AQ53" i="3" s="1"/>
  <c r="AM53" i="3"/>
  <c r="AL53" i="3"/>
  <c r="AK53" i="3" s="1"/>
  <c r="AJ53" i="3" s="1"/>
  <c r="AH53" i="3"/>
  <c r="AI53" i="3"/>
  <c r="AE53" i="3"/>
  <c r="Y53" i="3"/>
  <c r="X53" i="3"/>
  <c r="W53" i="3"/>
  <c r="U53" i="3"/>
  <c r="R53" i="3"/>
  <c r="P53" i="3"/>
  <c r="O53" i="3"/>
  <c r="N53" i="3"/>
  <c r="CQ52" i="3"/>
  <c r="CO52" i="3"/>
  <c r="CN52" i="3"/>
  <c r="CM52" i="3"/>
  <c r="CL52" i="3" s="1"/>
  <c r="CH52" i="3"/>
  <c r="CG52" i="3"/>
  <c r="CJ52" i="3"/>
  <c r="CA52" i="3"/>
  <c r="BZ52" i="3" s="1"/>
  <c r="BV52" i="3"/>
  <c r="BT52" i="3"/>
  <c r="BS52" i="3" s="1"/>
  <c r="BR52" i="3"/>
  <c r="BO52" i="3"/>
  <c r="BM52" i="3"/>
  <c r="BL52" i="3"/>
  <c r="BK52" i="3"/>
  <c r="BF52" i="3"/>
  <c r="BE52" i="3"/>
  <c r="BH52" i="3"/>
  <c r="AY52" i="3"/>
  <c r="AX52" i="3" s="1"/>
  <c r="AT52" i="3"/>
  <c r="AR52" i="3"/>
  <c r="AQ52" i="3" s="1"/>
  <c r="AP52" i="3"/>
  <c r="AL52" i="3"/>
  <c r="AM52" i="3" s="1"/>
  <c r="AK52" i="3"/>
  <c r="AJ52" i="3" s="1"/>
  <c r="AI52" i="3"/>
  <c r="AH52" i="3" s="1"/>
  <c r="AE52" i="3"/>
  <c r="J52" i="3" s="1"/>
  <c r="AB52" i="3"/>
  <c r="AF52" i="3"/>
  <c r="X52" i="3"/>
  <c r="W52" i="3"/>
  <c r="V52" i="3" s="1"/>
  <c r="U52" i="3"/>
  <c r="T52" i="3" s="1"/>
  <c r="Y52" i="3"/>
  <c r="Q52" i="3"/>
  <c r="P52" i="3" s="1"/>
  <c r="O52" i="3"/>
  <c r="N52" i="3"/>
  <c r="CO51" i="3"/>
  <c r="CN51" i="3"/>
  <c r="CM51" i="3"/>
  <c r="CL51" i="3"/>
  <c r="CQ51" i="3"/>
  <c r="CH51" i="3"/>
  <c r="CG51" i="3"/>
  <c r="CC51" i="3"/>
  <c r="CA51" i="3"/>
  <c r="BZ51" i="3" s="1"/>
  <c r="BY51" i="3"/>
  <c r="BX51" i="3" s="1"/>
  <c r="BV51" i="3"/>
  <c r="BT51" i="3"/>
  <c r="BS51" i="3"/>
  <c r="BR51" i="3"/>
  <c r="BQ51" i="3"/>
  <c r="BM51" i="3"/>
  <c r="BL51" i="3"/>
  <c r="BK51" i="3"/>
  <c r="BJ51" i="3" s="1"/>
  <c r="BO51" i="3"/>
  <c r="BF51" i="3"/>
  <c r="BE51" i="3"/>
  <c r="BA51" i="3"/>
  <c r="AY51" i="3"/>
  <c r="AX51" i="3" s="1"/>
  <c r="AW51" i="3"/>
  <c r="AV51" i="3" s="1"/>
  <c r="AT51" i="3"/>
  <c r="AR51" i="3"/>
  <c r="AQ51" i="3"/>
  <c r="AP51" i="3"/>
  <c r="AO51" i="3"/>
  <c r="AM51" i="3"/>
  <c r="AL51" i="3"/>
  <c r="AK51" i="3"/>
  <c r="AJ51" i="3" s="1"/>
  <c r="AI51" i="3"/>
  <c r="AH51" i="3"/>
  <c r="AE51" i="3"/>
  <c r="AD51" i="3" s="1"/>
  <c r="AC51" i="3"/>
  <c r="AB51" i="3"/>
  <c r="AA51" i="3" s="1"/>
  <c r="AF51" i="3"/>
  <c r="X51" i="3"/>
  <c r="V51" i="3" s="1"/>
  <c r="W51" i="3"/>
  <c r="U51" i="3"/>
  <c r="T51" i="3"/>
  <c r="Y51" i="3"/>
  <c r="Q51" i="3"/>
  <c r="P51" i="3"/>
  <c r="O51" i="3"/>
  <c r="J51" i="3"/>
  <c r="CO50" i="3"/>
  <c r="CN50" i="3"/>
  <c r="CJ50" i="3"/>
  <c r="CH50" i="3"/>
  <c r="CG50" i="3" s="1"/>
  <c r="CF50" i="3"/>
  <c r="CE50" i="3" s="1"/>
  <c r="CC50" i="3"/>
  <c r="CA50" i="3"/>
  <c r="BZ50" i="3"/>
  <c r="BY50" i="3"/>
  <c r="BX50" i="3"/>
  <c r="BT50" i="3"/>
  <c r="BS50" i="3"/>
  <c r="BV50" i="3"/>
  <c r="BM50" i="3"/>
  <c r="BL50" i="3"/>
  <c r="BH50" i="3"/>
  <c r="BF50" i="3"/>
  <c r="BE50" i="3" s="1"/>
  <c r="BD50" i="3"/>
  <c r="BC50" i="3"/>
  <c r="BA50" i="3"/>
  <c r="AY50" i="3"/>
  <c r="AX50" i="3"/>
  <c r="AW50" i="3"/>
  <c r="AR50" i="3"/>
  <c r="AQ50" i="3"/>
  <c r="AP50" i="3"/>
  <c r="AO50" i="3"/>
  <c r="AT50" i="3"/>
  <c r="AK50" i="3"/>
  <c r="AJ50" i="3"/>
  <c r="AE50" i="3"/>
  <c r="X50" i="3"/>
  <c r="T50" i="3"/>
  <c r="U50" i="3"/>
  <c r="Q50" i="3"/>
  <c r="P50" i="3"/>
  <c r="O50" i="3" s="1"/>
  <c r="CQ49" i="3"/>
  <c r="CO49" i="3"/>
  <c r="CN49" i="3" s="1"/>
  <c r="CJ49" i="3"/>
  <c r="CH49" i="3"/>
  <c r="CG49" i="3"/>
  <c r="CF49" i="3"/>
  <c r="CE49" i="3"/>
  <c r="CA49" i="3"/>
  <c r="BZ49" i="3" s="1"/>
  <c r="BV49" i="3"/>
  <c r="BT49" i="3"/>
  <c r="BS49" i="3"/>
  <c r="BR49" i="3"/>
  <c r="BO49" i="3"/>
  <c r="BM49" i="3"/>
  <c r="BL49" i="3"/>
  <c r="BJ49" i="3"/>
  <c r="BK49" i="3"/>
  <c r="BH49" i="3"/>
  <c r="BF49" i="3"/>
  <c r="BE49" i="3"/>
  <c r="BD49" i="3"/>
  <c r="BC49" i="3"/>
  <c r="AY49" i="3"/>
  <c r="AX49" i="3" s="1"/>
  <c r="AT49" i="3"/>
  <c r="AR49" i="3"/>
  <c r="AQ49" i="3"/>
  <c r="AP49" i="3"/>
  <c r="AO49" i="3" s="1"/>
  <c r="AI49" i="3"/>
  <c r="AH49" i="3" s="1"/>
  <c r="R49" i="3"/>
  <c r="N49" i="3"/>
  <c r="CQ48" i="3"/>
  <c r="CO48" i="3"/>
  <c r="CN48" i="3" s="1"/>
  <c r="CM48" i="3"/>
  <c r="CJ48" i="3"/>
  <c r="CH48" i="3"/>
  <c r="CG48" i="3"/>
  <c r="CF48" i="3"/>
  <c r="CE48" i="3" s="1"/>
  <c r="CA48" i="3"/>
  <c r="BZ48" i="3"/>
  <c r="BT48" i="3"/>
  <c r="BS48" i="3" s="1"/>
  <c r="BO48" i="3"/>
  <c r="BM48" i="3"/>
  <c r="BL48" i="3" s="1"/>
  <c r="BK48" i="3"/>
  <c r="BH48" i="3"/>
  <c r="BF48" i="3"/>
  <c r="BE48" i="3" s="1"/>
  <c r="BD48" i="3"/>
  <c r="BC48" i="3" s="1"/>
  <c r="AY48" i="3"/>
  <c r="AX48" i="3"/>
  <c r="AR48" i="3"/>
  <c r="AQ48" i="3" s="1"/>
  <c r="AM48" i="3"/>
  <c r="AK48" i="3"/>
  <c r="AJ48" i="3" s="1"/>
  <c r="AI48" i="3"/>
  <c r="AE48" i="3"/>
  <c r="AF48" i="3" s="1"/>
  <c r="AB48" i="3"/>
  <c r="AA48" i="3" s="1"/>
  <c r="X48" i="3"/>
  <c r="Y48" i="3" s="1"/>
  <c r="W48" i="3"/>
  <c r="V48" i="3"/>
  <c r="U48" i="3"/>
  <c r="T48" i="3" s="1"/>
  <c r="Q48" i="3"/>
  <c r="P48" i="3"/>
  <c r="O48" i="3"/>
  <c r="N48" i="3"/>
  <c r="M48" i="3"/>
  <c r="R48" i="3"/>
  <c r="E48" i="3"/>
  <c r="CO47" i="3"/>
  <c r="CN47" i="3" s="1"/>
  <c r="CM47" i="3"/>
  <c r="CL47" i="3"/>
  <c r="CQ47" i="3"/>
  <c r="CH47" i="3"/>
  <c r="CG47" i="3"/>
  <c r="CJ47" i="3"/>
  <c r="CA47" i="3"/>
  <c r="BZ47" i="3" s="1"/>
  <c r="BV47" i="3"/>
  <c r="BT47" i="3"/>
  <c r="BS47" i="3" s="1"/>
  <c r="BR47" i="3"/>
  <c r="BQ47" i="3" s="1"/>
  <c r="BM47" i="3"/>
  <c r="BL47" i="3"/>
  <c r="BK47" i="3"/>
  <c r="BJ47" i="3" s="1"/>
  <c r="BO47" i="3"/>
  <c r="BF47" i="3"/>
  <c r="BE47" i="3"/>
  <c r="BA47" i="3"/>
  <c r="AY47" i="3"/>
  <c r="AX47" i="3" s="1"/>
  <c r="AT47" i="3"/>
  <c r="AR47" i="3"/>
  <c r="AQ47" i="3" s="1"/>
  <c r="AP47" i="3"/>
  <c r="AO47" i="3" s="1"/>
  <c r="AK47" i="3"/>
  <c r="AJ47" i="3" s="1"/>
  <c r="AI47" i="3"/>
  <c r="AM47" i="3"/>
  <c r="AD47" i="3"/>
  <c r="AC47" i="3"/>
  <c r="AF47" i="3"/>
  <c r="Y47" i="3"/>
  <c r="W47" i="3"/>
  <c r="V47" i="3" s="1"/>
  <c r="R47" i="3"/>
  <c r="P47" i="3"/>
  <c r="O47" i="3"/>
  <c r="N47" i="3"/>
  <c r="J47" i="3"/>
  <c r="CQ46" i="3"/>
  <c r="CO46" i="3"/>
  <c r="CN46" i="3"/>
  <c r="CM46" i="3"/>
  <c r="CL46" i="3" s="1"/>
  <c r="CH46" i="3"/>
  <c r="CG46" i="3"/>
  <c r="CF46" i="3"/>
  <c r="CE46" i="3" s="1"/>
  <c r="CJ46" i="3"/>
  <c r="CA46" i="3"/>
  <c r="BZ46" i="3"/>
  <c r="CC46" i="3"/>
  <c r="BV46" i="3"/>
  <c r="BT46" i="3"/>
  <c r="BS46" i="3" s="1"/>
  <c r="BO46" i="3"/>
  <c r="BM46" i="3"/>
  <c r="BL46" i="3"/>
  <c r="BK46" i="3"/>
  <c r="BJ46" i="3" s="1"/>
  <c r="BF46" i="3"/>
  <c r="BE46" i="3" s="1"/>
  <c r="BD46" i="3"/>
  <c r="BC46" i="3" s="1"/>
  <c r="BH46" i="3"/>
  <c r="AY46" i="3"/>
  <c r="AX46" i="3"/>
  <c r="AT46" i="3"/>
  <c r="AR46" i="3"/>
  <c r="AQ46" i="3" s="1"/>
  <c r="AM46" i="3"/>
  <c r="AK46" i="3"/>
  <c r="AJ46" i="3"/>
  <c r="AI46" i="3"/>
  <c r="AH46" i="3" s="1"/>
  <c r="AD46" i="3"/>
  <c r="I46" i="3" s="1"/>
  <c r="AF46" i="3"/>
  <c r="W46" i="3"/>
  <c r="V46" i="3"/>
  <c r="P46" i="3"/>
  <c r="O46" i="3" s="1"/>
  <c r="J46" i="3"/>
  <c r="CO45" i="3"/>
  <c r="CN45" i="3" s="1"/>
  <c r="CJ45" i="3"/>
  <c r="CH45" i="3"/>
  <c r="CG45" i="3" s="1"/>
  <c r="CF45" i="3"/>
  <c r="CE45" i="3" s="1"/>
  <c r="CA45" i="3"/>
  <c r="BZ45" i="3"/>
  <c r="BY45" i="3"/>
  <c r="CC45" i="3"/>
  <c r="BT45" i="3"/>
  <c r="BS45" i="3"/>
  <c r="BV45" i="3"/>
  <c r="BM45" i="3"/>
  <c r="BL45" i="3" s="1"/>
  <c r="BJ45" i="3"/>
  <c r="BK45" i="3"/>
  <c r="BH45" i="3"/>
  <c r="BF45" i="3"/>
  <c r="BE45" i="3" s="1"/>
  <c r="BD45" i="3"/>
  <c r="BC45" i="3" s="1"/>
  <c r="BA45" i="3"/>
  <c r="AY45" i="3"/>
  <c r="AX45" i="3"/>
  <c r="AW45" i="3"/>
  <c r="AV45" i="3" s="1"/>
  <c r="AR45" i="3"/>
  <c r="AQ45" i="3"/>
  <c r="AT45" i="3"/>
  <c r="AK45" i="3"/>
  <c r="AJ45" i="3" s="1"/>
  <c r="AI45" i="3"/>
  <c r="AF45" i="3"/>
  <c r="AD45" i="3"/>
  <c r="AC45" i="3" s="1"/>
  <c r="AB45" i="3"/>
  <c r="AA45" i="3" s="1"/>
  <c r="W45" i="3"/>
  <c r="V45" i="3"/>
  <c r="U45" i="3"/>
  <c r="T45" i="3" s="1"/>
  <c r="P45" i="3"/>
  <c r="O45" i="3"/>
  <c r="R45" i="3"/>
  <c r="J45" i="3"/>
  <c r="CO44" i="3"/>
  <c r="CN44" i="3"/>
  <c r="CM44" i="3"/>
  <c r="CL44" i="3" s="1"/>
  <c r="CQ44" i="3"/>
  <c r="CH44" i="3"/>
  <c r="CG44" i="3" s="1"/>
  <c r="CC44" i="3"/>
  <c r="CA44" i="3"/>
  <c r="BZ44" i="3" s="1"/>
  <c r="BY44" i="3"/>
  <c r="BX44" i="3" s="1"/>
  <c r="BT44" i="3"/>
  <c r="BS44" i="3"/>
  <c r="BR44" i="3"/>
  <c r="BQ44" i="3" s="1"/>
  <c r="BV44" i="3"/>
  <c r="BM44" i="3"/>
  <c r="BL44" i="3"/>
  <c r="BH44" i="3"/>
  <c r="BF44" i="3"/>
  <c r="BE44" i="3" s="1"/>
  <c r="BC44" i="3"/>
  <c r="BD44" i="3"/>
  <c r="BA44" i="3"/>
  <c r="AY44" i="3"/>
  <c r="AX44" i="3"/>
  <c r="AW44" i="3"/>
  <c r="AV44" i="3"/>
  <c r="AT44" i="3"/>
  <c r="AR44" i="3"/>
  <c r="AQ44" i="3" s="1"/>
  <c r="AP44" i="3"/>
  <c r="AM44" i="3"/>
  <c r="AK44" i="3"/>
  <c r="AJ44" i="3"/>
  <c r="AI44" i="3"/>
  <c r="AH44" i="3"/>
  <c r="AD44" i="3"/>
  <c r="AC44" i="3"/>
  <c r="AB44" i="3"/>
  <c r="AA44" i="3"/>
  <c r="AF44" i="3"/>
  <c r="W44" i="3"/>
  <c r="V44" i="3"/>
  <c r="R44" i="3"/>
  <c r="P44" i="3"/>
  <c r="O44" i="3" s="1"/>
  <c r="N44" i="3"/>
  <c r="J44" i="3"/>
  <c r="B44" i="3"/>
  <c r="CQ43" i="3"/>
  <c r="CO43" i="3"/>
  <c r="CN43" i="3" s="1"/>
  <c r="CM43" i="3"/>
  <c r="CJ43" i="3"/>
  <c r="CH43" i="3"/>
  <c r="CG43" i="3"/>
  <c r="CF43" i="3"/>
  <c r="CE43" i="3"/>
  <c r="CA43" i="3"/>
  <c r="BZ43" i="3"/>
  <c r="BY43" i="3"/>
  <c r="BX43" i="3" s="1"/>
  <c r="CC43" i="3"/>
  <c r="BT43" i="3"/>
  <c r="BS43" i="3"/>
  <c r="BO43" i="3"/>
  <c r="BM43" i="3"/>
  <c r="BL43" i="3" s="1"/>
  <c r="BK43" i="3"/>
  <c r="BH43" i="3"/>
  <c r="BF43" i="3"/>
  <c r="BE43" i="3"/>
  <c r="BD43" i="3"/>
  <c r="AY43" i="3"/>
  <c r="AX43" i="3"/>
  <c r="BA43" i="3"/>
  <c r="AR43" i="3"/>
  <c r="AQ43" i="3" s="1"/>
  <c r="AM43" i="3"/>
  <c r="AL43" i="3"/>
  <c r="AE43" i="3"/>
  <c r="AD43" i="3"/>
  <c r="AB43" i="3"/>
  <c r="X43" i="3"/>
  <c r="U43" i="3"/>
  <c r="Q43" i="3"/>
  <c r="P43" i="3"/>
  <c r="O43" i="3"/>
  <c r="N43" i="3"/>
  <c r="M43" i="3"/>
  <c r="CQ42" i="3"/>
  <c r="CO42" i="3"/>
  <c r="CN42" i="3" s="1"/>
  <c r="CM42" i="3"/>
  <c r="CH42" i="3"/>
  <c r="CG42" i="3"/>
  <c r="CJ42" i="3"/>
  <c r="CA42" i="3"/>
  <c r="BZ42" i="3"/>
  <c r="BV42" i="3"/>
  <c r="BT42" i="3"/>
  <c r="BS42" i="3" s="1"/>
  <c r="BR42" i="3"/>
  <c r="BO42" i="3"/>
  <c r="BM42" i="3"/>
  <c r="BL42" i="3"/>
  <c r="BK42" i="3"/>
  <c r="BF42" i="3"/>
  <c r="BE42" i="3"/>
  <c r="BH42" i="3"/>
  <c r="AY42" i="3"/>
  <c r="AX42" i="3"/>
  <c r="AT42" i="3"/>
  <c r="AR42" i="3"/>
  <c r="AQ42" i="3" s="1"/>
  <c r="AP42" i="3"/>
  <c r="AM42" i="3"/>
  <c r="AK42" i="3"/>
  <c r="AJ42" i="3" s="1"/>
  <c r="AI42" i="3"/>
  <c r="AH42" i="3"/>
  <c r="AD42" i="3"/>
  <c r="AC42" i="3"/>
  <c r="AB42" i="3"/>
  <c r="AA42" i="3" s="1"/>
  <c r="AF42" i="3"/>
  <c r="W42" i="3"/>
  <c r="V42" i="3" s="1"/>
  <c r="R42" i="3"/>
  <c r="P42" i="3"/>
  <c r="O42" i="3" s="1"/>
  <c r="N42" i="3"/>
  <c r="J42" i="3"/>
  <c r="CQ41" i="3"/>
  <c r="CO41" i="3"/>
  <c r="CN41" i="3" s="1"/>
  <c r="CM41" i="3"/>
  <c r="CJ41" i="3"/>
  <c r="CH41" i="3"/>
  <c r="CG41" i="3" s="1"/>
  <c r="CF41" i="3"/>
  <c r="CE41" i="3"/>
  <c r="CA41" i="3"/>
  <c r="BZ41" i="3"/>
  <c r="BY41" i="3"/>
  <c r="BX41" i="3"/>
  <c r="CC41" i="3"/>
  <c r="BT41" i="3"/>
  <c r="BS41" i="3" s="1"/>
  <c r="BO41" i="3"/>
  <c r="BM41" i="3"/>
  <c r="BL41" i="3" s="1"/>
  <c r="BK41" i="3"/>
  <c r="BH41" i="3"/>
  <c r="BF41" i="3"/>
  <c r="BE41" i="3" s="1"/>
  <c r="BD41" i="3"/>
  <c r="BC41" i="3"/>
  <c r="AY41" i="3"/>
  <c r="AX41" i="3"/>
  <c r="AW41" i="3"/>
  <c r="AV41" i="3"/>
  <c r="BA41" i="3"/>
  <c r="AR41" i="3"/>
  <c r="AQ41" i="3" s="1"/>
  <c r="AM41" i="3"/>
  <c r="AK41" i="3"/>
  <c r="AJ41" i="3" s="1"/>
  <c r="AI41" i="3"/>
  <c r="AF41" i="3"/>
  <c r="AD41" i="3"/>
  <c r="AC41" i="3" s="1"/>
  <c r="AB41" i="3"/>
  <c r="AA41" i="3"/>
  <c r="W41" i="3"/>
  <c r="V41" i="3"/>
  <c r="U41" i="3"/>
  <c r="T41" i="3"/>
  <c r="Y41" i="3"/>
  <c r="P41" i="3"/>
  <c r="J41" i="3"/>
  <c r="E41" i="3"/>
  <c r="K41" i="3" s="1"/>
  <c r="CO40" i="3"/>
  <c r="CN40" i="3" s="1"/>
  <c r="CJ40" i="3"/>
  <c r="CH40" i="3"/>
  <c r="CG40" i="3" s="1"/>
  <c r="CF40" i="3"/>
  <c r="CC40" i="3"/>
  <c r="CA40" i="3"/>
  <c r="BZ40" i="3" s="1"/>
  <c r="BY40" i="3"/>
  <c r="BX40" i="3"/>
  <c r="BT40" i="3"/>
  <c r="BS40" i="3"/>
  <c r="BR40" i="3"/>
  <c r="BQ40" i="3" s="1"/>
  <c r="BV40" i="3"/>
  <c r="BM40" i="3"/>
  <c r="BL40" i="3" s="1"/>
  <c r="BH40" i="3"/>
  <c r="BF40" i="3"/>
  <c r="BE40" i="3" s="1"/>
  <c r="BD40" i="3"/>
  <c r="BA40" i="3"/>
  <c r="AY40" i="3"/>
  <c r="AX40" i="3" s="1"/>
  <c r="AW40" i="3"/>
  <c r="AV40" i="3"/>
  <c r="AR40" i="3"/>
  <c r="AQ40" i="3"/>
  <c r="AP40" i="3"/>
  <c r="AO40" i="3" s="1"/>
  <c r="AT40" i="3"/>
  <c r="AK40" i="3"/>
  <c r="AJ40" i="3"/>
  <c r="AF40" i="3"/>
  <c r="AE40" i="3"/>
  <c r="Y40" i="3"/>
  <c r="X40" i="3"/>
  <c r="W40" i="3"/>
  <c r="U40" i="3"/>
  <c r="R40" i="3"/>
  <c r="Q40" i="3"/>
  <c r="J40" i="3" s="1"/>
  <c r="N40" i="3"/>
  <c r="CQ39" i="3"/>
  <c r="CO39" i="3"/>
  <c r="CN39" i="3" s="1"/>
  <c r="CM39" i="3"/>
  <c r="CJ39" i="3"/>
  <c r="CH39" i="3"/>
  <c r="CG39" i="3"/>
  <c r="CF39" i="3"/>
  <c r="CE39" i="3" s="1"/>
  <c r="CA39" i="3"/>
  <c r="BZ39" i="3"/>
  <c r="BV39" i="3"/>
  <c r="BT39" i="3"/>
  <c r="BS39" i="3"/>
  <c r="BO39" i="3"/>
  <c r="BM39" i="3"/>
  <c r="BL39" i="3"/>
  <c r="BK39" i="3"/>
  <c r="BJ39" i="3" s="1"/>
  <c r="BH39" i="3"/>
  <c r="BF39" i="3"/>
  <c r="BE39" i="3" s="1"/>
  <c r="BD39" i="3"/>
  <c r="BC39" i="3" s="1"/>
  <c r="AY39" i="3"/>
  <c r="AX39" i="3"/>
  <c r="AW39" i="3"/>
  <c r="AV39" i="3" s="1"/>
  <c r="BA39" i="3"/>
  <c r="AR39" i="3"/>
  <c r="AQ39" i="3"/>
  <c r="AM39" i="3"/>
  <c r="AL39" i="3"/>
  <c r="AK39" i="3" s="1"/>
  <c r="AI39" i="3"/>
  <c r="AF39" i="3"/>
  <c r="AE39" i="3"/>
  <c r="AD39" i="3"/>
  <c r="AC39" i="3"/>
  <c r="AB39" i="3"/>
  <c r="Y39" i="3"/>
  <c r="W39" i="3"/>
  <c r="V39" i="3" s="1"/>
  <c r="U39" i="3"/>
  <c r="T39" i="3" s="1"/>
  <c r="Q39" i="3"/>
  <c r="J39" i="3" s="1"/>
  <c r="P39" i="3"/>
  <c r="O39" i="3"/>
  <c r="N39" i="3"/>
  <c r="G39" i="3" s="1"/>
  <c r="E39" i="3"/>
  <c r="K39" i="3" s="1"/>
  <c r="CO38" i="3"/>
  <c r="CN38" i="3"/>
  <c r="CM38" i="3"/>
  <c r="CL38" i="3" s="1"/>
  <c r="CQ38" i="3"/>
  <c r="CH38" i="3"/>
  <c r="CG38" i="3"/>
  <c r="CC38" i="3"/>
  <c r="CA38" i="3"/>
  <c r="BZ38" i="3" s="1"/>
  <c r="BY38" i="3"/>
  <c r="BV38" i="3"/>
  <c r="BT38" i="3"/>
  <c r="BS38" i="3"/>
  <c r="BR38" i="3"/>
  <c r="BM38" i="3"/>
  <c r="BL38" i="3"/>
  <c r="BO38" i="3"/>
  <c r="BF38" i="3"/>
  <c r="BE38" i="3" s="1"/>
  <c r="BA38" i="3"/>
  <c r="AY38" i="3"/>
  <c r="AX38" i="3" s="1"/>
  <c r="AW38" i="3"/>
  <c r="AT38" i="3"/>
  <c r="AR38" i="3"/>
  <c r="AQ38" i="3"/>
  <c r="AP38" i="3"/>
  <c r="AO38" i="3"/>
  <c r="AK38" i="3"/>
  <c r="AJ38" i="3"/>
  <c r="AM38" i="3"/>
  <c r="AE38" i="3"/>
  <c r="AD38" i="3" s="1"/>
  <c r="AC38" i="3" s="1"/>
  <c r="AB38" i="3"/>
  <c r="AF38" i="3"/>
  <c r="X38" i="3"/>
  <c r="W38" i="3"/>
  <c r="V38" i="3"/>
  <c r="R38" i="3"/>
  <c r="P38" i="3"/>
  <c r="N38" i="3"/>
  <c r="J38" i="3"/>
  <c r="CQ37" i="3"/>
  <c r="CO37" i="3"/>
  <c r="CN37" i="3" s="1"/>
  <c r="CJ37" i="3"/>
  <c r="CH37" i="3"/>
  <c r="CG37" i="3"/>
  <c r="CF37" i="3"/>
  <c r="CA37" i="3"/>
  <c r="BZ37" i="3" s="1"/>
  <c r="CC37" i="3"/>
  <c r="BT37" i="3"/>
  <c r="BS37" i="3"/>
  <c r="BR37" i="3"/>
  <c r="BQ37" i="3"/>
  <c r="BV37" i="3"/>
  <c r="BM37" i="3"/>
  <c r="BL37" i="3" s="1"/>
  <c r="BH37" i="3"/>
  <c r="BF37" i="3"/>
  <c r="BE37" i="3"/>
  <c r="BD37" i="3"/>
  <c r="AY37" i="3"/>
  <c r="AX37" i="3" s="1"/>
  <c r="AR37" i="3"/>
  <c r="AQ37" i="3"/>
  <c r="AP37" i="3"/>
  <c r="AO37" i="3" s="1"/>
  <c r="AT37" i="3"/>
  <c r="AL37" i="3"/>
  <c r="AK37" i="3" s="1"/>
  <c r="AI37" i="3"/>
  <c r="AH37" i="3"/>
  <c r="Q37" i="3"/>
  <c r="P37" i="3" s="1"/>
  <c r="N37" i="3"/>
  <c r="CQ36" i="3"/>
  <c r="CO36" i="3"/>
  <c r="CN36" i="3" s="1"/>
  <c r="CM36" i="3"/>
  <c r="CH36" i="3"/>
  <c r="CG36" i="3"/>
  <c r="CF36" i="3"/>
  <c r="CE36" i="3" s="1"/>
  <c r="CJ36" i="3"/>
  <c r="CA36" i="3"/>
  <c r="BZ36" i="3" s="1"/>
  <c r="CC36" i="3"/>
  <c r="BV36" i="3"/>
  <c r="BT36" i="3"/>
  <c r="BS36" i="3" s="1"/>
  <c r="BR36" i="3"/>
  <c r="BQ36" i="3" s="1"/>
  <c r="BM36" i="3"/>
  <c r="BL36" i="3"/>
  <c r="BK36" i="3"/>
  <c r="BH36" i="3"/>
  <c r="BF36" i="3"/>
  <c r="BE36" i="3" s="1"/>
  <c r="BD36" i="3"/>
  <c r="AY36" i="3"/>
  <c r="AX36" i="3" s="1"/>
  <c r="AW36" i="3"/>
  <c r="AV36" i="3"/>
  <c r="BA36" i="3"/>
  <c r="AR36" i="3"/>
  <c r="AQ36" i="3" s="1"/>
  <c r="AM36" i="3"/>
  <c r="AL36" i="3"/>
  <c r="AI36" i="3"/>
  <c r="AE36" i="3"/>
  <c r="AE37" i="3" s="1"/>
  <c r="AD36" i="3"/>
  <c r="AC36" i="3" s="1"/>
  <c r="AB36" i="3"/>
  <c r="X36" i="3"/>
  <c r="Y36" i="3" s="1"/>
  <c r="W36" i="3"/>
  <c r="V36" i="3"/>
  <c r="U36" i="3"/>
  <c r="T36" i="3"/>
  <c r="Q36" i="3"/>
  <c r="P36" i="3"/>
  <c r="O36" i="3"/>
  <c r="R36" i="3"/>
  <c r="E36" i="3"/>
  <c r="B36" i="3"/>
  <c r="CO35" i="3"/>
  <c r="CN35" i="3"/>
  <c r="CH35" i="3"/>
  <c r="CG35" i="3"/>
  <c r="CF35" i="3"/>
  <c r="CJ35" i="3"/>
  <c r="CA35" i="3"/>
  <c r="BZ35" i="3" s="1"/>
  <c r="CC35" i="3"/>
  <c r="BT35" i="3"/>
  <c r="BS35" i="3"/>
  <c r="BO35" i="3"/>
  <c r="BM35" i="3"/>
  <c r="BL35" i="3" s="1"/>
  <c r="BK35" i="3"/>
  <c r="BJ35" i="3"/>
  <c r="BF35" i="3"/>
  <c r="BE35" i="3"/>
  <c r="BD35" i="3"/>
  <c r="BC35" i="3"/>
  <c r="BH35" i="3"/>
  <c r="AY35" i="3"/>
  <c r="AX35" i="3" s="1"/>
  <c r="AT35" i="3"/>
  <c r="AR35" i="3"/>
  <c r="AQ35" i="3"/>
  <c r="AP35" i="3"/>
  <c r="AK35" i="3"/>
  <c r="AJ35" i="3"/>
  <c r="AM35" i="3"/>
  <c r="AD35" i="3"/>
  <c r="AC35" i="3" s="1"/>
  <c r="Y35" i="3"/>
  <c r="W35" i="3"/>
  <c r="V35" i="3" s="1"/>
  <c r="U35" i="3"/>
  <c r="T35" i="3"/>
  <c r="Q35" i="3"/>
  <c r="P35" i="3" s="1"/>
  <c r="I35" i="3" s="1"/>
  <c r="N35" i="3"/>
  <c r="CQ34" i="3"/>
  <c r="CO34" i="3"/>
  <c r="CN34" i="3" s="1"/>
  <c r="CM34" i="3"/>
  <c r="CL34" i="3" s="1"/>
  <c r="CH34" i="3"/>
  <c r="CG34" i="3"/>
  <c r="CF34" i="3"/>
  <c r="CE34" i="3" s="1"/>
  <c r="CJ34" i="3"/>
  <c r="CA34" i="3"/>
  <c r="BZ34" i="3"/>
  <c r="BV34" i="3"/>
  <c r="BT34" i="3"/>
  <c r="BS34" i="3" s="1"/>
  <c r="BR34" i="3"/>
  <c r="BO34" i="3"/>
  <c r="BM34" i="3"/>
  <c r="BL34" i="3" s="1"/>
  <c r="BK34" i="3"/>
  <c r="BJ34" i="3" s="1"/>
  <c r="BF34" i="3"/>
  <c r="BE34" i="3"/>
  <c r="BD34" i="3"/>
  <c r="BC34" i="3" s="1"/>
  <c r="BH34" i="3"/>
  <c r="AY34" i="3"/>
  <c r="AX34" i="3"/>
  <c r="AT34" i="3"/>
  <c r="AR34" i="3"/>
  <c r="AQ34" i="3" s="1"/>
  <c r="AP34" i="3"/>
  <c r="AM34" i="3"/>
  <c r="AK34" i="3"/>
  <c r="AJ34" i="3" s="1"/>
  <c r="AI34" i="3"/>
  <c r="AH34" i="3" s="1"/>
  <c r="AD34" i="3"/>
  <c r="AC34" i="3"/>
  <c r="AB34" i="3"/>
  <c r="AA34" i="3" s="1"/>
  <c r="AF34" i="3"/>
  <c r="W34" i="3"/>
  <c r="V34" i="3"/>
  <c r="R34" i="3"/>
  <c r="Q34" i="3"/>
  <c r="B34" i="3"/>
  <c r="CQ33" i="3"/>
  <c r="CO33" i="3"/>
  <c r="CN33" i="3" s="1"/>
  <c r="CJ33" i="3"/>
  <c r="CH33" i="3"/>
  <c r="CG33" i="3"/>
  <c r="CF33" i="3"/>
  <c r="CE33" i="3"/>
  <c r="CC33" i="3"/>
  <c r="CA33" i="3"/>
  <c r="BZ33" i="3" s="1"/>
  <c r="BY33" i="3"/>
  <c r="BX33" i="3"/>
  <c r="BT33" i="3"/>
  <c r="BS33" i="3"/>
  <c r="BR33" i="3"/>
  <c r="BQ33" i="3" s="1"/>
  <c r="BV33" i="3"/>
  <c r="BM33" i="3"/>
  <c r="BL33" i="3" s="1"/>
  <c r="BH33" i="3"/>
  <c r="BF33" i="3"/>
  <c r="BE33" i="3" s="1"/>
  <c r="BD33" i="3"/>
  <c r="BC33" i="3"/>
  <c r="BA33" i="3"/>
  <c r="AY33" i="3"/>
  <c r="AX33" i="3"/>
  <c r="AW33" i="3"/>
  <c r="AV33" i="3"/>
  <c r="AR33" i="3"/>
  <c r="AQ33" i="3"/>
  <c r="AT33" i="3"/>
  <c r="AK33" i="3"/>
  <c r="AJ33" i="3" s="1"/>
  <c r="AF33" i="3"/>
  <c r="AD33" i="3"/>
  <c r="AC33" i="3" s="1"/>
  <c r="Y33" i="3"/>
  <c r="W33" i="3"/>
  <c r="V33" i="3"/>
  <c r="U33" i="3"/>
  <c r="T33" i="3" s="1"/>
  <c r="Q33" i="3"/>
  <c r="J33" i="3" s="1"/>
  <c r="P33" i="3"/>
  <c r="O33" i="3"/>
  <c r="CO32" i="3"/>
  <c r="CN32" i="3"/>
  <c r="CM32" i="3"/>
  <c r="CQ32" i="3"/>
  <c r="CH32" i="3"/>
  <c r="CG32" i="3" s="1"/>
  <c r="CC32" i="3"/>
  <c r="CA32" i="3"/>
  <c r="BZ32" i="3" s="1"/>
  <c r="BY32" i="3"/>
  <c r="BV32" i="3"/>
  <c r="BT32" i="3"/>
  <c r="BS32" i="3" s="1"/>
  <c r="BR32" i="3"/>
  <c r="BQ32" i="3"/>
  <c r="BM32" i="3"/>
  <c r="BL32" i="3"/>
  <c r="BO32" i="3"/>
  <c r="BF32" i="3"/>
  <c r="BE32" i="3" s="1"/>
  <c r="BA32" i="3"/>
  <c r="AY32" i="3"/>
  <c r="AX32" i="3" s="1"/>
  <c r="AW32" i="3"/>
  <c r="AT32" i="3"/>
  <c r="AR32" i="3"/>
  <c r="AQ32" i="3" s="1"/>
  <c r="AP32" i="3"/>
  <c r="AO32" i="3"/>
  <c r="AL32" i="3"/>
  <c r="AK32" i="3"/>
  <c r="AJ32" i="3" s="1"/>
  <c r="AI32" i="3"/>
  <c r="AH32" i="3" s="1"/>
  <c r="AM32" i="3"/>
  <c r="AE32" i="3"/>
  <c r="AD32" i="3"/>
  <c r="AC32" i="3"/>
  <c r="AF32" i="3"/>
  <c r="X32" i="3"/>
  <c r="W32" i="3" s="1"/>
  <c r="V32" i="3" s="1"/>
  <c r="U32" i="3"/>
  <c r="Y32" i="3"/>
  <c r="Q32" i="3"/>
  <c r="P32" i="3" s="1"/>
  <c r="I32" i="3" s="1"/>
  <c r="N32" i="3"/>
  <c r="J32" i="3"/>
  <c r="B32" i="3"/>
  <c r="CO31" i="3"/>
  <c r="CN31" i="3" s="1"/>
  <c r="CJ31" i="3"/>
  <c r="CH31" i="3"/>
  <c r="CG31" i="3" s="1"/>
  <c r="CF31" i="3"/>
  <c r="CC31" i="3"/>
  <c r="CA31" i="3"/>
  <c r="BZ31" i="3" s="1"/>
  <c r="BY31" i="3"/>
  <c r="BT31" i="3"/>
  <c r="BS31" i="3"/>
  <c r="BV31" i="3"/>
  <c r="BM31" i="3"/>
  <c r="BL31" i="3" s="1"/>
  <c r="BH31" i="3"/>
  <c r="BF31" i="3"/>
  <c r="BE31" i="3" s="1"/>
  <c r="BD31" i="3"/>
  <c r="BA31" i="3"/>
  <c r="AY31" i="3"/>
  <c r="AX31" i="3" s="1"/>
  <c r="AW31" i="3"/>
  <c r="AR31" i="3"/>
  <c r="AQ31" i="3"/>
  <c r="AT31" i="3"/>
  <c r="AL31" i="3"/>
  <c r="AK31" i="3" s="1"/>
  <c r="AJ31" i="3" s="1"/>
  <c r="AI31" i="3"/>
  <c r="AH31" i="3" s="1"/>
  <c r="AM31" i="3"/>
  <c r="AE31" i="3"/>
  <c r="AC31" i="3" s="1"/>
  <c r="AD31" i="3"/>
  <c r="AB31" i="3"/>
  <c r="X31" i="3"/>
  <c r="Q31" i="3"/>
  <c r="P31" i="3" s="1"/>
  <c r="N31" i="3"/>
  <c r="J31" i="3"/>
  <c r="CQ30" i="3"/>
  <c r="CO30" i="3"/>
  <c r="CN30" i="3" s="1"/>
  <c r="CM30" i="3"/>
  <c r="CJ30" i="3"/>
  <c r="CH30" i="3"/>
  <c r="CG30" i="3" s="1"/>
  <c r="CF30" i="3"/>
  <c r="CE30" i="3"/>
  <c r="CA30" i="3"/>
  <c r="BZ30" i="3"/>
  <c r="BY30" i="3"/>
  <c r="CC30" i="3"/>
  <c r="BT30" i="3"/>
  <c r="BS30" i="3" s="1"/>
  <c r="BO30" i="3"/>
  <c r="BM30" i="3"/>
  <c r="BL30" i="3" s="1"/>
  <c r="BK30" i="3"/>
  <c r="BH30" i="3"/>
  <c r="BF30" i="3"/>
  <c r="BE30" i="3" s="1"/>
  <c r="BD30" i="3"/>
  <c r="BC30" i="3"/>
  <c r="AY30" i="3"/>
  <c r="AX30" i="3"/>
  <c r="BA30" i="3"/>
  <c r="AR30" i="3"/>
  <c r="AQ30" i="3" s="1"/>
  <c r="AT30" i="3"/>
  <c r="AK30" i="3"/>
  <c r="AJ30" i="3" s="1"/>
  <c r="AF30" i="3"/>
  <c r="AE30" i="3"/>
  <c r="J30" i="3" s="1"/>
  <c r="AB30" i="3"/>
  <c r="AA30" i="3" s="1"/>
  <c r="Y30" i="3"/>
  <c r="W30" i="3"/>
  <c r="V30" i="3" s="1"/>
  <c r="U30" i="3"/>
  <c r="T30" i="3" s="1"/>
  <c r="Q30" i="3"/>
  <c r="P30" i="3"/>
  <c r="O30" i="3"/>
  <c r="N30" i="3"/>
  <c r="E30" i="3"/>
  <c r="K30" i="3" s="1"/>
  <c r="CO29" i="3"/>
  <c r="CN29" i="3" s="1"/>
  <c r="CM29" i="3"/>
  <c r="CQ29" i="3"/>
  <c r="CH29" i="3"/>
  <c r="CG29" i="3" s="1"/>
  <c r="CJ29" i="3"/>
  <c r="CA29" i="3"/>
  <c r="BZ29" i="3"/>
  <c r="BY29" i="3"/>
  <c r="BX29" i="3" s="1"/>
  <c r="BV29" i="3"/>
  <c r="BT29" i="3"/>
  <c r="BS29" i="3" s="1"/>
  <c r="BR29" i="3"/>
  <c r="BO29" i="3"/>
  <c r="BM29" i="3"/>
  <c r="BL29" i="3" s="1"/>
  <c r="BK29" i="3"/>
  <c r="BJ29" i="3" s="1"/>
  <c r="BF29" i="3"/>
  <c r="BE29" i="3"/>
  <c r="BH29" i="3"/>
  <c r="AY29" i="3"/>
  <c r="AX29" i="3"/>
  <c r="AT29" i="3"/>
  <c r="AR29" i="3"/>
  <c r="AQ29" i="3" s="1"/>
  <c r="AP29" i="3"/>
  <c r="AM29" i="3"/>
  <c r="AK29" i="3"/>
  <c r="AJ29" i="3" s="1"/>
  <c r="AI29" i="3"/>
  <c r="AH29" i="3" s="1"/>
  <c r="AD29" i="3"/>
  <c r="AC29" i="3"/>
  <c r="AF29" i="3"/>
  <c r="W29" i="3"/>
  <c r="V29" i="3"/>
  <c r="B29" i="3"/>
  <c r="R29" i="3"/>
  <c r="P29" i="3"/>
  <c r="O29" i="3" s="1"/>
  <c r="N29" i="3"/>
  <c r="J29" i="3"/>
  <c r="CQ28" i="3"/>
  <c r="CO28" i="3"/>
  <c r="CN28" i="3" s="1"/>
  <c r="CM28" i="3"/>
  <c r="CJ28" i="3"/>
  <c r="CH28" i="3"/>
  <c r="CG28" i="3"/>
  <c r="CF28" i="3"/>
  <c r="CE28" i="3" s="1"/>
  <c r="CA28" i="3"/>
  <c r="BZ28" i="3"/>
  <c r="BY28" i="3"/>
  <c r="CC28" i="3"/>
  <c r="BT28" i="3"/>
  <c r="BS28" i="3"/>
  <c r="BO28" i="3"/>
  <c r="BM28" i="3"/>
  <c r="BL28" i="3" s="1"/>
  <c r="BK28" i="3"/>
  <c r="BH28" i="3"/>
  <c r="BF28" i="3"/>
  <c r="BE28" i="3"/>
  <c r="BD28" i="3"/>
  <c r="BC28" i="3" s="1"/>
  <c r="AY28" i="3"/>
  <c r="AX28" i="3"/>
  <c r="BA28" i="3"/>
  <c r="AR28" i="3"/>
  <c r="AQ28" i="3"/>
  <c r="AM28" i="3"/>
  <c r="AK28" i="3"/>
  <c r="AJ28" i="3" s="1"/>
  <c r="AI28" i="3"/>
  <c r="AF28" i="3"/>
  <c r="AD28" i="3"/>
  <c r="AC28" i="3" s="1"/>
  <c r="AB28" i="3"/>
  <c r="AA28" i="3" s="1"/>
  <c r="X28" i="3"/>
  <c r="W28" i="3"/>
  <c r="V28" i="3"/>
  <c r="U28" i="3"/>
  <c r="T28" i="3"/>
  <c r="Y28" i="3"/>
  <c r="Q28" i="3"/>
  <c r="J28" i="3" s="1"/>
  <c r="P28" i="3"/>
  <c r="I28" i="3" s="1"/>
  <c r="O28" i="3"/>
  <c r="E28" i="3"/>
  <c r="K28" i="3" s="1"/>
  <c r="CO27" i="3"/>
  <c r="CN27" i="3"/>
  <c r="CQ27" i="3"/>
  <c r="CH27" i="3"/>
  <c r="CG27" i="3"/>
  <c r="CC27" i="3"/>
  <c r="CA27" i="3"/>
  <c r="BZ27" i="3" s="1"/>
  <c r="BY27" i="3"/>
  <c r="BV27" i="3"/>
  <c r="BT27" i="3"/>
  <c r="BS27" i="3"/>
  <c r="BR27" i="3"/>
  <c r="BQ27" i="3" s="1"/>
  <c r="BM27" i="3"/>
  <c r="BL27" i="3"/>
  <c r="BO27" i="3"/>
  <c r="BF27" i="3"/>
  <c r="BE27" i="3"/>
  <c r="BA27" i="3"/>
  <c r="AY27" i="3"/>
  <c r="AX27" i="3" s="1"/>
  <c r="AW27" i="3"/>
  <c r="AT27" i="3"/>
  <c r="AR27" i="3"/>
  <c r="AQ27" i="3" s="1"/>
  <c r="AP27" i="3"/>
  <c r="AO27" i="3" s="1"/>
  <c r="AK27" i="3"/>
  <c r="AJ27" i="3"/>
  <c r="AI27" i="3"/>
  <c r="AM27" i="3"/>
  <c r="AD27" i="3"/>
  <c r="AC27" i="3"/>
  <c r="Y27" i="3"/>
  <c r="W27" i="3"/>
  <c r="V27" i="3" s="1"/>
  <c r="U27" i="3"/>
  <c r="R27" i="3"/>
  <c r="Q27" i="3"/>
  <c r="O27" i="3" s="1"/>
  <c r="P27" i="3"/>
  <c r="I27" i="3" s="1"/>
  <c r="N27" i="3"/>
  <c r="M27" i="3"/>
  <c r="J27" i="3"/>
  <c r="B27" i="3"/>
  <c r="CQ26" i="3"/>
  <c r="CO26" i="3"/>
  <c r="CN26" i="3"/>
  <c r="CM26" i="3"/>
  <c r="CL26" i="3"/>
  <c r="CH26" i="3"/>
  <c r="CG26" i="3" s="1"/>
  <c r="CF26" i="3"/>
  <c r="CE26" i="3" s="1"/>
  <c r="CJ26" i="3"/>
  <c r="CA26" i="3"/>
  <c r="BZ26" i="3"/>
  <c r="CC26" i="3"/>
  <c r="BV26" i="3"/>
  <c r="BT26" i="3"/>
  <c r="BS26" i="3" s="1"/>
  <c r="BO26" i="3"/>
  <c r="BM26" i="3"/>
  <c r="BL26" i="3" s="1"/>
  <c r="BK26" i="3"/>
  <c r="BJ26" i="3"/>
  <c r="BF26" i="3"/>
  <c r="BE26" i="3" s="1"/>
  <c r="BD26" i="3"/>
  <c r="BC26" i="3" s="1"/>
  <c r="BH26" i="3"/>
  <c r="AY26" i="3"/>
  <c r="AX26" i="3" s="1"/>
  <c r="BA26" i="3"/>
  <c r="AR26" i="3"/>
  <c r="AQ26" i="3" s="1"/>
  <c r="AM26" i="3"/>
  <c r="AK26" i="3"/>
  <c r="AJ26" i="3"/>
  <c r="AI26" i="3"/>
  <c r="AH26" i="3"/>
  <c r="AE26" i="3"/>
  <c r="AF26" i="3" s="1"/>
  <c r="AD26" i="3"/>
  <c r="AC26" i="3"/>
  <c r="AB26" i="3"/>
  <c r="AA26" i="3" s="1"/>
  <c r="X26" i="3"/>
  <c r="W26" i="3"/>
  <c r="V26" i="3"/>
  <c r="U26" i="3"/>
  <c r="T26" i="3"/>
  <c r="Y26" i="3"/>
  <c r="Q26" i="3"/>
  <c r="J26" i="3" s="1"/>
  <c r="P26" i="3"/>
  <c r="O26" i="3"/>
  <c r="N26" i="3"/>
  <c r="G26" i="3" s="1"/>
  <c r="M26" i="3"/>
  <c r="E26" i="3"/>
  <c r="K26" i="3" s="1"/>
  <c r="CO25" i="3"/>
  <c r="CN25" i="3"/>
  <c r="CM25" i="3"/>
  <c r="CQ25" i="3"/>
  <c r="CH25" i="3"/>
  <c r="CG25" i="3"/>
  <c r="CC25" i="3"/>
  <c r="CA25" i="3"/>
  <c r="BZ25" i="3" s="1"/>
  <c r="BY25" i="3"/>
  <c r="BV25" i="3"/>
  <c r="BT25" i="3"/>
  <c r="BS25" i="3"/>
  <c r="BR25" i="3"/>
  <c r="BQ25" i="3" s="1"/>
  <c r="BM25" i="3"/>
  <c r="BL25" i="3"/>
  <c r="BO25" i="3"/>
  <c r="BF25" i="3"/>
  <c r="BE25" i="3"/>
  <c r="BA25" i="3"/>
  <c r="AY25" i="3"/>
  <c r="AX25" i="3" s="1"/>
  <c r="AW25" i="3"/>
  <c r="AT25" i="3"/>
  <c r="AR25" i="3"/>
  <c r="AQ25" i="3" s="1"/>
  <c r="AP25" i="3"/>
  <c r="AO25" i="3" s="1"/>
  <c r="AK25" i="3"/>
  <c r="AJ25" i="3"/>
  <c r="AM25" i="3"/>
  <c r="AD25" i="3"/>
  <c r="AC25" i="3"/>
  <c r="X25" i="3"/>
  <c r="R25" i="3"/>
  <c r="Q25" i="3"/>
  <c r="P25" i="3"/>
  <c r="N25" i="3"/>
  <c r="CQ24" i="3"/>
  <c r="CO24" i="3"/>
  <c r="CN24" i="3" s="1"/>
  <c r="CM24" i="3"/>
  <c r="CJ24" i="3"/>
  <c r="CH24" i="3"/>
  <c r="CG24" i="3" s="1"/>
  <c r="CF24" i="3"/>
  <c r="CE24" i="3" s="1"/>
  <c r="CA24" i="3"/>
  <c r="BZ24" i="3"/>
  <c r="BY24" i="3"/>
  <c r="CC24" i="3"/>
  <c r="BT24" i="3"/>
  <c r="BS24" i="3"/>
  <c r="BO24" i="3"/>
  <c r="BM24" i="3"/>
  <c r="BL24" i="3" s="1"/>
  <c r="BK24" i="3"/>
  <c r="BH24" i="3"/>
  <c r="BF24" i="3"/>
  <c r="BE24" i="3"/>
  <c r="BD24" i="3"/>
  <c r="BC24" i="3" s="1"/>
  <c r="AY24" i="3"/>
  <c r="AX24" i="3"/>
  <c r="BA24" i="3"/>
  <c r="AR24" i="3"/>
  <c r="AQ24" i="3"/>
  <c r="AM24" i="3"/>
  <c r="AK24" i="3"/>
  <c r="AJ24" i="3" s="1"/>
  <c r="AI24" i="3"/>
  <c r="AF24" i="3"/>
  <c r="AD24" i="3"/>
  <c r="AC24" i="3" s="1"/>
  <c r="AB24" i="3"/>
  <c r="AA24" i="3" s="1"/>
  <c r="X24" i="3"/>
  <c r="W24" i="3"/>
  <c r="V24" i="3"/>
  <c r="U24" i="3"/>
  <c r="T24" i="3"/>
  <c r="Y24" i="3"/>
  <c r="Q24" i="3"/>
  <c r="J24" i="3" s="1"/>
  <c r="P24" i="3"/>
  <c r="I24" i="3" s="1"/>
  <c r="O24" i="3"/>
  <c r="E24" i="3"/>
  <c r="K24" i="3" s="1"/>
  <c r="CO23" i="3"/>
  <c r="CN23" i="3"/>
  <c r="CQ23" i="3"/>
  <c r="CH23" i="3"/>
  <c r="CG23" i="3"/>
  <c r="CC23" i="3"/>
  <c r="CA23" i="3"/>
  <c r="BZ23" i="3" s="1"/>
  <c r="BY23" i="3"/>
  <c r="BV23" i="3"/>
  <c r="BT23" i="3"/>
  <c r="BS23" i="3"/>
  <c r="BR23" i="3"/>
  <c r="BQ23" i="3" s="1"/>
  <c r="BM23" i="3"/>
  <c r="BL23" i="3"/>
  <c r="BO23" i="3"/>
  <c r="BF23" i="3"/>
  <c r="BE23" i="3"/>
  <c r="BA23" i="3"/>
  <c r="AY23" i="3"/>
  <c r="AX23" i="3" s="1"/>
  <c r="AW23" i="3"/>
  <c r="AT23" i="3"/>
  <c r="AR23" i="3"/>
  <c r="I23" i="3" s="1"/>
  <c r="AP23" i="3"/>
  <c r="AO23" i="3" s="1"/>
  <c r="AK23" i="3"/>
  <c r="AJ23" i="3"/>
  <c r="AI23" i="3"/>
  <c r="AM23" i="3"/>
  <c r="AE23" i="3"/>
  <c r="AD23" i="3"/>
  <c r="AC23" i="3"/>
  <c r="AF23" i="3"/>
  <c r="W23" i="3"/>
  <c r="V23" i="3" s="1"/>
  <c r="R23" i="3"/>
  <c r="P23" i="3"/>
  <c r="O23" i="3"/>
  <c r="J23" i="3"/>
  <c r="B23" i="3"/>
  <c r="CQ22" i="3"/>
  <c r="CO22" i="3"/>
  <c r="CN22" i="3" s="1"/>
  <c r="CH22" i="3"/>
  <c r="CG22" i="3"/>
  <c r="CF22" i="3"/>
  <c r="CE22" i="3"/>
  <c r="CJ22" i="3"/>
  <c r="CA22" i="3"/>
  <c r="BZ22" i="3" s="1"/>
  <c r="CC22" i="3"/>
  <c r="BT22" i="3"/>
  <c r="BS22" i="3" s="1"/>
  <c r="BO22" i="3"/>
  <c r="BM22" i="3"/>
  <c r="BL22" i="3" s="1"/>
  <c r="BF22" i="3"/>
  <c r="BE22" i="3"/>
  <c r="BD22" i="3"/>
  <c r="BC22" i="3"/>
  <c r="BH22" i="3"/>
  <c r="AY22" i="3"/>
  <c r="AX22" i="3"/>
  <c r="AW22" i="3"/>
  <c r="AT22" i="3"/>
  <c r="AR22" i="3"/>
  <c r="AQ22" i="3" s="1"/>
  <c r="AM22" i="3"/>
  <c r="AK22" i="3"/>
  <c r="AJ22" i="3"/>
  <c r="AE22" i="3"/>
  <c r="AF22" i="3" s="1"/>
  <c r="AD22" i="3"/>
  <c r="AC22" i="3" s="1"/>
  <c r="AB22" i="3"/>
  <c r="AA22" i="3" s="1"/>
  <c r="X22" i="3"/>
  <c r="W22" i="3"/>
  <c r="V22" i="3" s="1"/>
  <c r="U22" i="3"/>
  <c r="T22" i="3" s="1"/>
  <c r="Y22" i="3"/>
  <c r="Q22" i="3"/>
  <c r="P22" i="3"/>
  <c r="O22" i="3"/>
  <c r="CO21" i="3"/>
  <c r="CN21" i="3"/>
  <c r="CH21" i="3"/>
  <c r="CG21" i="3"/>
  <c r="CC21" i="3"/>
  <c r="CA21" i="3"/>
  <c r="BZ21" i="3" s="1"/>
  <c r="BY21" i="3"/>
  <c r="BV21" i="3"/>
  <c r="BT21" i="3"/>
  <c r="BS21" i="3" s="1"/>
  <c r="BR21" i="3"/>
  <c r="BQ21" i="3" s="1"/>
  <c r="BM21" i="3"/>
  <c r="BL21" i="3"/>
  <c r="BO21" i="3"/>
  <c r="BF21" i="3"/>
  <c r="BE21" i="3"/>
  <c r="BA21" i="3"/>
  <c r="AY21" i="3"/>
  <c r="AX21" i="3" s="1"/>
  <c r="AW21" i="3"/>
  <c r="AT21" i="3"/>
  <c r="AR21" i="3"/>
  <c r="AQ21" i="3"/>
  <c r="AP21" i="3"/>
  <c r="AO21" i="3" s="1"/>
  <c r="AK21" i="3"/>
  <c r="AJ21" i="3"/>
  <c r="AI21" i="3"/>
  <c r="AH21" i="3"/>
  <c r="AM21" i="3"/>
  <c r="AD21" i="3"/>
  <c r="AC21" i="3"/>
  <c r="Y21" i="3"/>
  <c r="W21" i="3"/>
  <c r="V21" i="3" s="1"/>
  <c r="U21" i="3"/>
  <c r="Q21" i="3"/>
  <c r="R21" i="3" s="1"/>
  <c r="P21" i="3"/>
  <c r="O21" i="3"/>
  <c r="H21" i="3" s="1"/>
  <c r="J21" i="3"/>
  <c r="CQ20" i="3"/>
  <c r="CO20" i="3"/>
  <c r="CN20" i="3" s="1"/>
  <c r="CJ20" i="3"/>
  <c r="CH20" i="3"/>
  <c r="CG20" i="3" s="1"/>
  <c r="CF20" i="3"/>
  <c r="CE20" i="3" s="1"/>
  <c r="CA20" i="3"/>
  <c r="BZ20" i="3"/>
  <c r="BY20" i="3"/>
  <c r="BX20" i="3" s="1"/>
  <c r="CC20" i="3"/>
  <c r="BT20" i="3"/>
  <c r="BS20" i="3" s="1"/>
  <c r="BO20" i="3"/>
  <c r="BM20" i="3"/>
  <c r="BL20" i="3" s="1"/>
  <c r="BH20" i="3"/>
  <c r="BF20" i="3"/>
  <c r="BE20" i="3" s="1"/>
  <c r="BD20" i="3"/>
  <c r="BC20" i="3" s="1"/>
  <c r="AY20" i="3"/>
  <c r="AX20" i="3"/>
  <c r="BA20" i="3"/>
  <c r="AT20" i="3"/>
  <c r="AR20" i="3"/>
  <c r="AQ20" i="3" s="1"/>
  <c r="AM20" i="3"/>
  <c r="AK20" i="3"/>
  <c r="AJ20" i="3" s="1"/>
  <c r="AF20" i="3"/>
  <c r="AD20" i="3"/>
  <c r="AC20" i="3" s="1"/>
  <c r="AB20" i="3"/>
  <c r="AA20" i="3" s="1"/>
  <c r="X20" i="3"/>
  <c r="W20" i="3"/>
  <c r="V20" i="3"/>
  <c r="P20" i="3"/>
  <c r="O20" i="3"/>
  <c r="J20" i="3"/>
  <c r="CO19" i="3"/>
  <c r="CN19" i="3"/>
  <c r="CJ19" i="3"/>
  <c r="CH19" i="3"/>
  <c r="CG19" i="3" s="1"/>
  <c r="CF19" i="3"/>
  <c r="CC19" i="3"/>
  <c r="CA19" i="3"/>
  <c r="BZ19" i="3"/>
  <c r="BY19" i="3"/>
  <c r="BX19" i="3" s="1"/>
  <c r="BT19" i="3"/>
  <c r="BS19" i="3"/>
  <c r="BR19" i="3"/>
  <c r="BQ19" i="3" s="1"/>
  <c r="BV19" i="3"/>
  <c r="BM19" i="3"/>
  <c r="BL19" i="3"/>
  <c r="BH19" i="3"/>
  <c r="BF19" i="3"/>
  <c r="BE19" i="3" s="1"/>
  <c r="BD19" i="3"/>
  <c r="BA19" i="3"/>
  <c r="AY19" i="3"/>
  <c r="AX19" i="3" s="1"/>
  <c r="AW19" i="3"/>
  <c r="AV19" i="3" s="1"/>
  <c r="AR19" i="3"/>
  <c r="AQ19" i="3"/>
  <c r="AP19" i="3"/>
  <c r="AT19" i="3"/>
  <c r="AK19" i="3"/>
  <c r="AJ19" i="3"/>
  <c r="AF19" i="3"/>
  <c r="AD19" i="3"/>
  <c r="AC19" i="3" s="1"/>
  <c r="AB19" i="3"/>
  <c r="Y19" i="3"/>
  <c r="X19" i="3"/>
  <c r="J19" i="3" s="1"/>
  <c r="W19" i="3"/>
  <c r="R19" i="3"/>
  <c r="P19" i="3"/>
  <c r="N19" i="3"/>
  <c r="M19" i="3"/>
  <c r="CQ18" i="3"/>
  <c r="CO18" i="3"/>
  <c r="CN18" i="3"/>
  <c r="CM18" i="3"/>
  <c r="CL18" i="3" s="1"/>
  <c r="CH18" i="3"/>
  <c r="CG18" i="3"/>
  <c r="CJ18" i="3"/>
  <c r="CA18" i="3"/>
  <c r="BZ18" i="3" s="1"/>
  <c r="BV18" i="3"/>
  <c r="BT18" i="3"/>
  <c r="BS18" i="3" s="1"/>
  <c r="BO18" i="3"/>
  <c r="BM18" i="3"/>
  <c r="BL18" i="3" s="1"/>
  <c r="BK18" i="3"/>
  <c r="BJ18" i="3" s="1"/>
  <c r="BF18" i="3"/>
  <c r="BE18" i="3"/>
  <c r="BD18" i="3"/>
  <c r="BC18" i="3"/>
  <c r="BH18" i="3"/>
  <c r="BA18" i="3"/>
  <c r="AY18" i="3"/>
  <c r="AX18" i="3" s="1"/>
  <c r="AT18" i="3"/>
  <c r="AR18" i="3"/>
  <c r="AQ18" i="3"/>
  <c r="AM18" i="3"/>
  <c r="AK18" i="3"/>
  <c r="AJ18" i="3" s="1"/>
  <c r="AI18" i="3"/>
  <c r="AH18" i="3" s="1"/>
  <c r="AD18" i="3"/>
  <c r="AC18" i="3"/>
  <c r="Y18" i="3"/>
  <c r="W18" i="3"/>
  <c r="V18" i="3" s="1"/>
  <c r="R18" i="3"/>
  <c r="P18" i="3"/>
  <c r="O18" i="3" s="1"/>
  <c r="J18" i="3"/>
  <c r="CQ17" i="3"/>
  <c r="CO17" i="3"/>
  <c r="CN17" i="3"/>
  <c r="CJ17" i="3"/>
  <c r="CH17" i="3"/>
  <c r="CG17" i="3"/>
  <c r="CF17" i="3"/>
  <c r="CE17" i="3"/>
  <c r="CA17" i="3"/>
  <c r="BZ17" i="3"/>
  <c r="BY17" i="3"/>
  <c r="CC17" i="3"/>
  <c r="BV17" i="3"/>
  <c r="BT17" i="3"/>
  <c r="BS17" i="3" s="1"/>
  <c r="BO17" i="3"/>
  <c r="BM17" i="3"/>
  <c r="BL17" i="3" s="1"/>
  <c r="BH17" i="3"/>
  <c r="BF17" i="3"/>
  <c r="BE17" i="3"/>
  <c r="BD17" i="3"/>
  <c r="BC17" i="3"/>
  <c r="AY17" i="3"/>
  <c r="AX17" i="3"/>
  <c r="AR17" i="3"/>
  <c r="AQ17" i="3" s="1"/>
  <c r="AM17" i="3"/>
  <c r="AK17" i="3"/>
  <c r="AJ17" i="3"/>
  <c r="AF17" i="3"/>
  <c r="AD17" i="3"/>
  <c r="AC17" i="3"/>
  <c r="AB17" i="3"/>
  <c r="AA17" i="3"/>
  <c r="X17" i="3"/>
  <c r="W17" i="3"/>
  <c r="V17" i="3"/>
  <c r="Q17" i="3"/>
  <c r="P17" i="3"/>
  <c r="O17" i="3"/>
  <c r="J17" i="3"/>
  <c r="CO16" i="3"/>
  <c r="CN16" i="3"/>
  <c r="CM16" i="3"/>
  <c r="CL16" i="3" s="1"/>
  <c r="CQ16" i="3"/>
  <c r="CH16" i="3"/>
  <c r="CG16" i="3" s="1"/>
  <c r="CC16" i="3"/>
  <c r="CA16" i="3"/>
  <c r="BZ16" i="3"/>
  <c r="BV16" i="3"/>
  <c r="BT16" i="3"/>
  <c r="BS16" i="3"/>
  <c r="BR16" i="3"/>
  <c r="BQ16" i="3"/>
  <c r="BM16" i="3"/>
  <c r="BL16" i="3"/>
  <c r="BK16" i="3"/>
  <c r="BO16" i="3"/>
  <c r="BF16" i="3"/>
  <c r="BE16" i="3" s="1"/>
  <c r="BA16" i="3"/>
  <c r="AY16" i="3"/>
  <c r="AX16" i="3"/>
  <c r="AW16" i="3"/>
  <c r="AV16" i="3"/>
  <c r="AT16" i="3"/>
  <c r="AR16" i="3"/>
  <c r="AQ16" i="3" s="1"/>
  <c r="AP16" i="3"/>
  <c r="AO16" i="3"/>
  <c r="AL16" i="3"/>
  <c r="AK16" i="3"/>
  <c r="AJ16" i="3"/>
  <c r="AI16" i="3"/>
  <c r="AE16" i="3"/>
  <c r="AD16" i="3"/>
  <c r="AC16" i="3"/>
  <c r="X16" i="3"/>
  <c r="W16" i="3" s="1"/>
  <c r="Q16" i="3"/>
  <c r="J16" i="3"/>
  <c r="CO15" i="3"/>
  <c r="CN15" i="3" s="1"/>
  <c r="CJ15" i="3"/>
  <c r="CH15" i="3"/>
  <c r="CG15" i="3" s="1"/>
  <c r="CF15" i="3"/>
  <c r="CE15" i="3"/>
  <c r="CC15" i="3"/>
  <c r="CA15" i="3"/>
  <c r="BZ15" i="3"/>
  <c r="BY15" i="3"/>
  <c r="BX15" i="3"/>
  <c r="BT15" i="3"/>
  <c r="BS15" i="3"/>
  <c r="BM15" i="3"/>
  <c r="BL15" i="3" s="1"/>
  <c r="BH15" i="3"/>
  <c r="BF15" i="3"/>
  <c r="BE15" i="3"/>
  <c r="BA15" i="3"/>
  <c r="AY15" i="3"/>
  <c r="AX15" i="3" s="1"/>
  <c r="AW15" i="3"/>
  <c r="AV15" i="3" s="1"/>
  <c r="AR15" i="3"/>
  <c r="AQ15" i="3"/>
  <c r="AM15" i="3"/>
  <c r="AL15" i="3"/>
  <c r="AK15" i="3" s="1"/>
  <c r="AJ15" i="3"/>
  <c r="AH15" i="3"/>
  <c r="AI15" i="3"/>
  <c r="AE15" i="3"/>
  <c r="AD15" i="3" s="1"/>
  <c r="AB15" i="3"/>
  <c r="Y15" i="3"/>
  <c r="X15" i="3"/>
  <c r="W15" i="3"/>
  <c r="V15" i="3" s="1"/>
  <c r="T15" i="3"/>
  <c r="U15" i="3"/>
  <c r="Q15" i="3"/>
  <c r="J15" i="3" s="1"/>
  <c r="P15" i="3"/>
  <c r="N15" i="3"/>
  <c r="G15" i="3" s="1"/>
  <c r="B15" i="3"/>
  <c r="CO14" i="3"/>
  <c r="CN14" i="3"/>
  <c r="CM14" i="3"/>
  <c r="CJ14" i="3"/>
  <c r="CH14" i="3"/>
  <c r="CG14" i="3" s="1"/>
  <c r="CF14" i="3"/>
  <c r="CA14" i="3"/>
  <c r="BZ14" i="3" s="1"/>
  <c r="BY14" i="3"/>
  <c r="CC14" i="3"/>
  <c r="BT14" i="3"/>
  <c r="BS14" i="3" s="1"/>
  <c r="BV14" i="3"/>
  <c r="BO14" i="3"/>
  <c r="BM14" i="3"/>
  <c r="BL14" i="3" s="1"/>
  <c r="BF14" i="3"/>
  <c r="BE14" i="3" s="1"/>
  <c r="BH14" i="3"/>
  <c r="AY14" i="3"/>
  <c r="AX14" i="3"/>
  <c r="AW14" i="3"/>
  <c r="AV14" i="3"/>
  <c r="BA14" i="3"/>
  <c r="AT14" i="3"/>
  <c r="AR14" i="3"/>
  <c r="AQ14" i="3" s="1"/>
  <c r="AP14" i="3"/>
  <c r="AO14" i="3"/>
  <c r="AL14" i="3"/>
  <c r="AK14" i="3" s="1"/>
  <c r="AE14" i="3"/>
  <c r="AD14" i="3"/>
  <c r="AC14" i="3"/>
  <c r="Y14" i="3"/>
  <c r="X14" i="3"/>
  <c r="U14" i="3"/>
  <c r="T14" i="3"/>
  <c r="Q14" i="3"/>
  <c r="P14" i="3"/>
  <c r="R14" i="3"/>
  <c r="CQ13" i="3"/>
  <c r="CO13" i="3"/>
  <c r="CN13" i="3"/>
  <c r="CM13" i="3"/>
  <c r="CH13" i="3"/>
  <c r="CG13" i="3"/>
  <c r="CA13" i="3"/>
  <c r="BZ13" i="3" s="1"/>
  <c r="BV13" i="3"/>
  <c r="BT13" i="3"/>
  <c r="BS13" i="3"/>
  <c r="BR13" i="3"/>
  <c r="BM13" i="3"/>
  <c r="BL13" i="3"/>
  <c r="BF13" i="3"/>
  <c r="BE13" i="3" s="1"/>
  <c r="BA13" i="3"/>
  <c r="AY13" i="3"/>
  <c r="AX13" i="3" s="1"/>
  <c r="AW13" i="3"/>
  <c r="AV13" i="3" s="1"/>
  <c r="AR13" i="3"/>
  <c r="AQ13" i="3"/>
  <c r="AK13" i="3"/>
  <c r="AJ13" i="3" s="1"/>
  <c r="AE13" i="3"/>
  <c r="AD13" i="3"/>
  <c r="AC13" i="3" s="1"/>
  <c r="AB13" i="3"/>
  <c r="W13" i="3"/>
  <c r="V13" i="3"/>
  <c r="U13" i="3"/>
  <c r="Y13" i="3"/>
  <c r="P13" i="3"/>
  <c r="O13" i="3"/>
  <c r="M13" i="3"/>
  <c r="N13" i="3"/>
  <c r="J13" i="3"/>
  <c r="I13" i="3"/>
  <c r="CQ12" i="3"/>
  <c r="CO12" i="3"/>
  <c r="CN12" i="3" s="1"/>
  <c r="CM12" i="3"/>
  <c r="CJ12" i="3"/>
  <c r="CH12" i="3"/>
  <c r="CG12" i="3"/>
  <c r="CF12" i="3"/>
  <c r="CE12" i="3" s="1"/>
  <c r="CA12" i="3"/>
  <c r="BZ12" i="3"/>
  <c r="BV12" i="3"/>
  <c r="BT12" i="3"/>
  <c r="BS12" i="3"/>
  <c r="BR12" i="3"/>
  <c r="BQ12" i="3"/>
  <c r="BO12" i="3"/>
  <c r="BM12" i="3"/>
  <c r="BL12" i="3" s="1"/>
  <c r="BK12" i="3"/>
  <c r="BH12" i="3"/>
  <c r="BF12" i="3"/>
  <c r="BE12" i="3" s="1"/>
  <c r="BD12" i="3"/>
  <c r="BC12" i="3" s="1"/>
  <c r="AY12" i="3"/>
  <c r="AX12" i="3"/>
  <c r="AW12" i="3"/>
  <c r="AR12" i="3"/>
  <c r="AQ12" i="3"/>
  <c r="AL12" i="3"/>
  <c r="AK12" i="3" s="1"/>
  <c r="AI12" i="3"/>
  <c r="AE12" i="3"/>
  <c r="AD12" i="3" s="1"/>
  <c r="AC12" i="3"/>
  <c r="X12" i="3"/>
  <c r="W12" i="3"/>
  <c r="V12" i="3"/>
  <c r="Q12" i="3"/>
  <c r="N12" i="3"/>
  <c r="M12" i="3"/>
  <c r="CQ11" i="3"/>
  <c r="CO11" i="3"/>
  <c r="CN11" i="3" s="1"/>
  <c r="CM11" i="3"/>
  <c r="CL11" i="3"/>
  <c r="CJ11" i="3"/>
  <c r="CH11" i="3"/>
  <c r="CG11" i="3"/>
  <c r="CF11" i="3"/>
  <c r="CE11" i="3"/>
  <c r="CA11" i="3"/>
  <c r="BZ11" i="3"/>
  <c r="BY11" i="3"/>
  <c r="BX11" i="3" s="1"/>
  <c r="CC11" i="3"/>
  <c r="BT11" i="3"/>
  <c r="BS11" i="3"/>
  <c r="BQ11" i="3"/>
  <c r="BR11" i="3"/>
  <c r="BO11" i="3"/>
  <c r="BM11" i="3"/>
  <c r="BL11" i="3" s="1"/>
  <c r="BK11" i="3"/>
  <c r="BJ11" i="3"/>
  <c r="BH11" i="3"/>
  <c r="BF11" i="3"/>
  <c r="BE11" i="3"/>
  <c r="BD11" i="3"/>
  <c r="BC11" i="3" s="1"/>
  <c r="AY11" i="3"/>
  <c r="AX11" i="3"/>
  <c r="B11" i="3"/>
  <c r="AT11" i="3"/>
  <c r="AR11" i="3"/>
  <c r="AQ11" i="3"/>
  <c r="AM11" i="3"/>
  <c r="AK11" i="3"/>
  <c r="AJ11" i="3"/>
  <c r="AI11" i="3"/>
  <c r="AH11" i="3" s="1"/>
  <c r="AF11" i="3"/>
  <c r="AE11" i="3"/>
  <c r="AB11" i="3"/>
  <c r="AA11" i="3" s="1"/>
  <c r="W11" i="3"/>
  <c r="V11" i="3"/>
  <c r="U11" i="3"/>
  <c r="R11" i="3"/>
  <c r="P11" i="3"/>
  <c r="O11" i="3" s="1"/>
  <c r="N11" i="3"/>
  <c r="CQ10" i="3"/>
  <c r="CO10" i="3"/>
  <c r="CN10" i="3" s="1"/>
  <c r="CM10" i="3"/>
  <c r="CL10" i="3"/>
  <c r="CH10" i="3"/>
  <c r="CG10" i="3" s="1"/>
  <c r="CF10" i="3"/>
  <c r="CE10" i="3" s="1"/>
  <c r="CJ10" i="3"/>
  <c r="CA10" i="3"/>
  <c r="BZ10" i="3"/>
  <c r="BY10" i="3"/>
  <c r="BV10" i="3"/>
  <c r="BT10" i="3"/>
  <c r="BS10" i="3" s="1"/>
  <c r="BO10" i="3"/>
  <c r="BM10" i="3"/>
  <c r="BL10" i="3" s="1"/>
  <c r="BK10" i="3"/>
  <c r="BJ10" i="3"/>
  <c r="BF10" i="3"/>
  <c r="BE10" i="3" s="1"/>
  <c r="BD10" i="3"/>
  <c r="BC10" i="3" s="1"/>
  <c r="BH10" i="3"/>
  <c r="AY10" i="3"/>
  <c r="AX10" i="3"/>
  <c r="AW10" i="3"/>
  <c r="AT10" i="3"/>
  <c r="AR10" i="3"/>
  <c r="AQ10" i="3" s="1"/>
  <c r="AL10" i="3"/>
  <c r="AM10" i="3" s="1"/>
  <c r="AK10" i="3"/>
  <c r="AJ10" i="3" s="1"/>
  <c r="AI10" i="3"/>
  <c r="AF10" i="3"/>
  <c r="AD10" i="3"/>
  <c r="AC10" i="3"/>
  <c r="AB10" i="3"/>
  <c r="AA10" i="3" s="1"/>
  <c r="X10" i="3"/>
  <c r="W10" i="3"/>
  <c r="V10" i="3" s="1"/>
  <c r="U10" i="3"/>
  <c r="T10" i="3" s="1"/>
  <c r="Y10" i="3"/>
  <c r="Q10" i="3"/>
  <c r="J10" i="3" s="1"/>
  <c r="P10" i="3"/>
  <c r="O10" i="3"/>
  <c r="K10" i="3"/>
  <c r="E10" i="3"/>
  <c r="CO9" i="3"/>
  <c r="CN9" i="3"/>
  <c r="CJ9" i="3"/>
  <c r="CH9" i="3"/>
  <c r="CG9" i="3"/>
  <c r="CF9" i="3"/>
  <c r="CE9" i="3" s="1"/>
  <c r="CC9" i="3"/>
  <c r="CA9" i="3"/>
  <c r="BZ9" i="3"/>
  <c r="BY9" i="3"/>
  <c r="BV9" i="3"/>
  <c r="BT9" i="3"/>
  <c r="BS9" i="3"/>
  <c r="BR9" i="3"/>
  <c r="BQ9" i="3" s="1"/>
  <c r="BM9" i="3"/>
  <c r="BL9" i="3"/>
  <c r="BH9" i="3"/>
  <c r="BF9" i="3"/>
  <c r="BE9" i="3"/>
  <c r="BD9" i="3"/>
  <c r="BC9" i="3" s="1"/>
  <c r="BA9" i="3"/>
  <c r="AY9" i="3"/>
  <c r="AX9" i="3" s="1"/>
  <c r="AW9" i="3"/>
  <c r="AT9" i="3"/>
  <c r="AR9" i="3"/>
  <c r="AQ9" i="3"/>
  <c r="AP9" i="3"/>
  <c r="AO9" i="3"/>
  <c r="AK9" i="3"/>
  <c r="AJ9" i="3"/>
  <c r="AF9" i="3"/>
  <c r="AE9" i="3"/>
  <c r="AD9" i="3"/>
  <c r="AC9" i="3"/>
  <c r="AB9" i="3"/>
  <c r="Y9" i="3"/>
  <c r="X9" i="3"/>
  <c r="U9" i="3"/>
  <c r="T9" i="3" s="1"/>
  <c r="R9" i="3"/>
  <c r="Q9" i="3"/>
  <c r="P9" i="3" s="1"/>
  <c r="B9" i="3"/>
  <c r="CQ8" i="3"/>
  <c r="CO8" i="3"/>
  <c r="CN8" i="3" s="1"/>
  <c r="CJ8" i="3"/>
  <c r="CH8" i="3"/>
  <c r="CG8" i="3"/>
  <c r="CF8" i="3"/>
  <c r="CE8" i="3"/>
  <c r="CA8" i="3"/>
  <c r="BZ8" i="3" s="1"/>
  <c r="BY8" i="3"/>
  <c r="CC8" i="3"/>
  <c r="BT8" i="3"/>
  <c r="BS8" i="3"/>
  <c r="BV8" i="3"/>
  <c r="BO8" i="3"/>
  <c r="BM8" i="3"/>
  <c r="BL8" i="3" s="1"/>
  <c r="BJ8" i="3"/>
  <c r="BK8" i="3"/>
  <c r="BH8" i="3"/>
  <c r="BF8" i="3"/>
  <c r="BE8" i="3"/>
  <c r="BD8" i="3"/>
  <c r="AY8" i="3"/>
  <c r="AX8" i="3" s="1"/>
  <c r="BA8" i="3"/>
  <c r="AR8" i="3"/>
  <c r="AQ8" i="3"/>
  <c r="AT8" i="3"/>
  <c r="AK8" i="3"/>
  <c r="AJ8" i="3" s="1"/>
  <c r="AI8" i="3"/>
  <c r="AF8" i="3"/>
  <c r="AD8" i="3"/>
  <c r="AC8" i="3"/>
  <c r="AB8" i="3"/>
  <c r="AA8" i="3"/>
  <c r="Y8" i="3"/>
  <c r="W8" i="3"/>
  <c r="V8" i="3"/>
  <c r="U8" i="3"/>
  <c r="T8" i="3"/>
  <c r="P8" i="3"/>
  <c r="O8" i="3"/>
  <c r="R8" i="3"/>
  <c r="J8" i="3"/>
  <c r="B8" i="3"/>
  <c r="CO7" i="3"/>
  <c r="CN7" i="3"/>
  <c r="CQ7" i="3"/>
  <c r="CJ7" i="3"/>
  <c r="CH7" i="3"/>
  <c r="CG7" i="3" s="1"/>
  <c r="CE7" i="3"/>
  <c r="CF7" i="3"/>
  <c r="CC7" i="3"/>
  <c r="CA7" i="3"/>
  <c r="BZ7" i="3" s="1"/>
  <c r="BY7" i="3"/>
  <c r="BX7" i="3"/>
  <c r="BV7" i="3"/>
  <c r="BT7" i="3"/>
  <c r="BS7" i="3" s="1"/>
  <c r="BR7" i="3"/>
  <c r="BQ7" i="3" s="1"/>
  <c r="BM7" i="3"/>
  <c r="BL7" i="3"/>
  <c r="BK7" i="3"/>
  <c r="BJ7" i="3"/>
  <c r="BO7" i="3"/>
  <c r="BF7" i="3"/>
  <c r="BE7" i="3" s="1"/>
  <c r="BD7" i="3"/>
  <c r="BA7" i="3"/>
  <c r="AY7" i="3"/>
  <c r="AX7" i="3"/>
  <c r="AW7" i="3"/>
  <c r="AR7" i="3"/>
  <c r="AQ7" i="3"/>
  <c r="AT7" i="3"/>
  <c r="AK7" i="3"/>
  <c r="AJ7" i="3"/>
  <c r="AM7" i="3"/>
  <c r="AF7" i="3"/>
  <c r="AD7" i="3"/>
  <c r="AC7" i="3" s="1"/>
  <c r="AA7" i="3"/>
  <c r="AB7" i="3"/>
  <c r="X7" i="3"/>
  <c r="W7" i="3" s="1"/>
  <c r="V7" i="3" s="1"/>
  <c r="R7" i="3"/>
  <c r="P7" i="3"/>
  <c r="I7" i="3" s="1"/>
  <c r="N7" i="3"/>
  <c r="M7" i="3"/>
  <c r="J7" i="3"/>
  <c r="CQ6" i="3"/>
  <c r="CO6" i="3"/>
  <c r="CN6" i="3"/>
  <c r="CM6" i="3"/>
  <c r="CL6" i="3" s="1"/>
  <c r="CH6" i="3"/>
  <c r="CG6" i="3"/>
  <c r="CJ6" i="3"/>
  <c r="CC6" i="3"/>
  <c r="CA6" i="3"/>
  <c r="BZ6" i="3"/>
  <c r="BY6" i="3"/>
  <c r="BX6" i="3" s="1"/>
  <c r="BT6" i="3"/>
  <c r="BS6" i="3"/>
  <c r="BV6" i="3"/>
  <c r="BO6" i="3"/>
  <c r="BM6" i="3"/>
  <c r="BL6" i="3"/>
  <c r="BK6" i="3"/>
  <c r="BJ6" i="3"/>
  <c r="BF6" i="3"/>
  <c r="BE6" i="3" s="1"/>
  <c r="BD6" i="3"/>
  <c r="BH6" i="3"/>
  <c r="AY6" i="3"/>
  <c r="AX6" i="3"/>
  <c r="AW6" i="3"/>
  <c r="AV6" i="3"/>
  <c r="BA6" i="3"/>
  <c r="AR6" i="3"/>
  <c r="AQ6" i="3" s="1"/>
  <c r="AM6" i="3"/>
  <c r="AK6" i="3"/>
  <c r="AJ6" i="3" s="1"/>
  <c r="AI6" i="3"/>
  <c r="AH6" i="3" s="1"/>
  <c r="AD6" i="3"/>
  <c r="AC6" i="3"/>
  <c r="AF6" i="3"/>
  <c r="W6" i="3"/>
  <c r="V6" i="3"/>
  <c r="B6" i="3"/>
  <c r="R6" i="3"/>
  <c r="P6" i="3"/>
  <c r="I6" i="3" s="1"/>
  <c r="J6" i="3"/>
  <c r="CO5" i="3"/>
  <c r="CN5" i="3"/>
  <c r="CJ5" i="3"/>
  <c r="CH5" i="3"/>
  <c r="CG5" i="3" s="1"/>
  <c r="CF5" i="3"/>
  <c r="CE5" i="3"/>
  <c r="CA5" i="3"/>
  <c r="BZ5" i="3"/>
  <c r="BY5" i="3"/>
  <c r="BX5" i="3"/>
  <c r="CC5" i="3"/>
  <c r="BT5" i="3"/>
  <c r="BS5" i="3"/>
  <c r="BV5" i="3"/>
  <c r="BO5" i="3"/>
  <c r="BM5" i="3"/>
  <c r="BL5" i="3" s="1"/>
  <c r="BH5" i="3"/>
  <c r="BF5" i="3"/>
  <c r="BE5" i="3"/>
  <c r="BD5" i="3"/>
  <c r="BC5" i="3"/>
  <c r="AY5" i="3"/>
  <c r="AX5" i="3"/>
  <c r="BA5" i="3"/>
  <c r="AT5" i="3"/>
  <c r="AR5" i="3"/>
  <c r="AQ5" i="3"/>
  <c r="AP5" i="3"/>
  <c r="AO5" i="3" s="1"/>
  <c r="AL5" i="3"/>
  <c r="AL4" i="3" s="1"/>
  <c r="AK5" i="3"/>
  <c r="AH5" i="3"/>
  <c r="AI5" i="3"/>
  <c r="AE5" i="3"/>
  <c r="AD5" i="3" s="1"/>
  <c r="AC5" i="3" s="1"/>
  <c r="E5" i="3"/>
  <c r="K5" i="3" s="1"/>
  <c r="X5" i="3"/>
  <c r="U5" i="3"/>
  <c r="Q5" i="3"/>
  <c r="J5" i="3" s="1"/>
  <c r="P5" i="3"/>
  <c r="O5" i="3"/>
  <c r="N5" i="3"/>
  <c r="CQ4" i="3"/>
  <c r="CO4" i="3"/>
  <c r="CN4" i="3"/>
  <c r="CM4" i="3"/>
  <c r="CL4" i="3"/>
  <c r="CH4" i="3"/>
  <c r="CC4" i="3"/>
  <c r="CA4" i="3"/>
  <c r="BZ4" i="3"/>
  <c r="BY4" i="3"/>
  <c r="BT4" i="3"/>
  <c r="BS4" i="3"/>
  <c r="BO4" i="3"/>
  <c r="BM4" i="3"/>
  <c r="BL4" i="3"/>
  <c r="BK4" i="3"/>
  <c r="BJ4" i="3"/>
  <c r="BH4" i="3"/>
  <c r="BF4" i="3"/>
  <c r="BF55" i="3" s="1"/>
  <c r="BF58" i="3" s="1"/>
  <c r="BA4" i="3"/>
  <c r="AY4" i="3"/>
  <c r="AX4" i="3"/>
  <c r="AW4" i="3"/>
  <c r="AV4" i="3" s="1"/>
  <c r="AR4" i="3"/>
  <c r="AQ4" i="3"/>
  <c r="AE4" i="3"/>
  <c r="AC4" i="3" s="1"/>
  <c r="AD4" i="3"/>
  <c r="AB4" i="3"/>
  <c r="AA4" i="3"/>
  <c r="U4" i="3"/>
  <c r="N4" i="3"/>
  <c r="E4" i="3"/>
  <c r="CM58" i="2"/>
  <c r="CL58" i="2"/>
  <c r="CF58" i="2"/>
  <c r="CE58" i="2"/>
  <c r="BY58" i="2"/>
  <c r="BX58" i="2"/>
  <c r="BR58" i="2"/>
  <c r="BQ58" i="2"/>
  <c r="BK58" i="2"/>
  <c r="BJ58" i="2"/>
  <c r="BD58" i="2"/>
  <c r="BC58" i="2"/>
  <c r="AW58" i="2"/>
  <c r="AV58" i="2"/>
  <c r="AP58" i="2"/>
  <c r="AI58" i="2"/>
  <c r="N55" i="2"/>
  <c r="N58" i="2" s="1"/>
  <c r="CM55" i="2"/>
  <c r="CL55" i="2"/>
  <c r="CF55" i="2"/>
  <c r="CE55" i="2"/>
  <c r="BY55" i="2"/>
  <c r="BX55" i="2"/>
  <c r="BR55" i="2"/>
  <c r="BQ55" i="2"/>
  <c r="BK55" i="2"/>
  <c r="BJ55" i="2"/>
  <c r="BD55" i="2"/>
  <c r="BC55" i="2"/>
  <c r="AW55" i="2"/>
  <c r="AV55" i="2"/>
  <c r="AQ55" i="2"/>
  <c r="AP55" i="2"/>
  <c r="AO55" i="2"/>
  <c r="AI55" i="2"/>
  <c r="AH55" i="2"/>
  <c r="AB58" i="2"/>
  <c r="AB55" i="2"/>
  <c r="U58" i="2"/>
  <c r="U55" i="2"/>
  <c r="AF37" i="13" l="1"/>
  <c r="H23" i="14"/>
  <c r="CQ7" i="13"/>
  <c r="H10" i="15"/>
  <c r="CC9" i="13"/>
  <c r="BH12" i="13"/>
  <c r="BA31" i="13"/>
  <c r="CQ36" i="13"/>
  <c r="CC37" i="13"/>
  <c r="Y43" i="13"/>
  <c r="J19" i="14"/>
  <c r="I56" i="15"/>
  <c r="I51" i="15"/>
  <c r="I8" i="15"/>
  <c r="AT12" i="13"/>
  <c r="BL14" i="13"/>
  <c r="AF43" i="13"/>
  <c r="AT52" i="13"/>
  <c r="K36" i="15"/>
  <c r="BV52" i="13"/>
  <c r="H18" i="14"/>
  <c r="I33" i="14"/>
  <c r="BH38" i="13"/>
  <c r="I32" i="14"/>
  <c r="J33" i="14"/>
  <c r="AT5" i="13"/>
  <c r="H17" i="14"/>
  <c r="J28" i="14"/>
  <c r="I49" i="15"/>
  <c r="I38" i="15"/>
  <c r="I14" i="15"/>
  <c r="H8" i="13"/>
  <c r="BH6" i="13"/>
  <c r="BS6" i="13"/>
  <c r="AM9" i="13"/>
  <c r="J11" i="13"/>
  <c r="CQ30" i="13"/>
  <c r="AM40" i="13"/>
  <c r="H19" i="14"/>
  <c r="BZ40" i="13"/>
  <c r="AJ54" i="13"/>
  <c r="CC57" i="13"/>
  <c r="H25" i="14"/>
  <c r="H26" i="14"/>
  <c r="I27" i="14"/>
  <c r="I34" i="14"/>
  <c r="I11" i="15"/>
  <c r="I25" i="14"/>
  <c r="K48" i="15"/>
  <c r="BO4" i="13"/>
  <c r="BO6" i="13"/>
  <c r="CN14" i="13"/>
  <c r="BA36" i="13"/>
  <c r="BS39" i="13"/>
  <c r="CQ49" i="13"/>
  <c r="AT54" i="13"/>
  <c r="I26" i="14"/>
  <c r="J27" i="14"/>
  <c r="I29" i="14"/>
  <c r="I54" i="15"/>
  <c r="H53" i="15"/>
  <c r="I46" i="15"/>
  <c r="H44" i="15"/>
  <c r="BE40" i="15"/>
  <c r="I7" i="15"/>
  <c r="J20" i="14"/>
  <c r="H57" i="15"/>
  <c r="AM10" i="13"/>
  <c r="CQ15" i="13"/>
  <c r="AF48" i="13"/>
  <c r="CQ52" i="13"/>
  <c r="BL56" i="13"/>
  <c r="I17" i="14"/>
  <c r="I24" i="14"/>
  <c r="I35" i="14"/>
  <c r="J42" i="14"/>
  <c r="I53" i="15"/>
  <c r="I45" i="15"/>
  <c r="O12" i="15"/>
  <c r="H12" i="15" s="1"/>
  <c r="AF6" i="13"/>
  <c r="V10" i="13"/>
  <c r="BV10" i="13"/>
  <c r="AM30" i="13"/>
  <c r="BV31" i="13"/>
  <c r="BA56" i="13"/>
  <c r="J17" i="14"/>
  <c r="J24" i="14"/>
  <c r="CN5" i="13"/>
  <c r="AF7" i="13"/>
  <c r="BS15" i="13"/>
  <c r="AF31" i="13"/>
  <c r="AM53" i="13"/>
  <c r="I19" i="14"/>
  <c r="I28" i="14"/>
  <c r="B71" i="14"/>
  <c r="B73" i="14" s="1"/>
  <c r="BL44" i="15"/>
  <c r="BE5" i="15"/>
  <c r="I15" i="15"/>
  <c r="H5" i="15"/>
  <c r="I13" i="15"/>
  <c r="I4" i="15"/>
  <c r="BH4" i="4"/>
  <c r="BD4" i="4"/>
  <c r="BC4" i="4" s="1"/>
  <c r="BV5" i="4"/>
  <c r="BQ5" i="4"/>
  <c r="BR5" i="4"/>
  <c r="AM57" i="4"/>
  <c r="AI57" i="4"/>
  <c r="M13" i="5"/>
  <c r="G13" i="5"/>
  <c r="E4" i="4"/>
  <c r="U4" i="4"/>
  <c r="CJ4" i="4"/>
  <c r="CF4" i="4"/>
  <c r="CE4" i="4"/>
  <c r="BQ6" i="4"/>
  <c r="BX20" i="4"/>
  <c r="M25" i="4"/>
  <c r="E7" i="5"/>
  <c r="K7" i="5" s="1"/>
  <c r="AA23" i="5"/>
  <c r="R28" i="5"/>
  <c r="CQ30" i="5"/>
  <c r="AF38" i="5"/>
  <c r="AO47" i="5"/>
  <c r="E51" i="5"/>
  <c r="AA6" i="6"/>
  <c r="BO7" i="6"/>
  <c r="BX12" i="6"/>
  <c r="AH23" i="6"/>
  <c r="AI23" i="6"/>
  <c r="AF25" i="6"/>
  <c r="AB25" i="6"/>
  <c r="R32" i="6"/>
  <c r="N32" i="6"/>
  <c r="BV34" i="6"/>
  <c r="BR34" i="6"/>
  <c r="BQ34" i="6" s="1"/>
  <c r="CQ39" i="6"/>
  <c r="CM39" i="6"/>
  <c r="AF44" i="6"/>
  <c r="AB44" i="6"/>
  <c r="AA44" i="6" s="1"/>
  <c r="N45" i="6"/>
  <c r="M45" i="6" s="1"/>
  <c r="R45" i="6"/>
  <c r="AM47" i="6"/>
  <c r="AI47" i="6"/>
  <c r="AO50" i="6"/>
  <c r="CE53" i="6"/>
  <c r="CJ53" i="6"/>
  <c r="CF53" i="6"/>
  <c r="Y56" i="6"/>
  <c r="U56" i="6"/>
  <c r="T56" i="6" s="1"/>
  <c r="CJ15" i="7"/>
  <c r="CF15" i="7"/>
  <c r="CE15" i="7" s="1"/>
  <c r="AF21" i="7"/>
  <c r="AB21" i="7"/>
  <c r="BH33" i="7"/>
  <c r="BD33" i="7"/>
  <c r="BC33" i="7" s="1"/>
  <c r="Y36" i="7"/>
  <c r="B36" i="7"/>
  <c r="Y8" i="8"/>
  <c r="U8" i="8"/>
  <c r="E8" i="8"/>
  <c r="K8" i="8" s="1"/>
  <c r="AO14" i="4"/>
  <c r="AA15" i="4"/>
  <c r="B19" i="4"/>
  <c r="E26" i="4"/>
  <c r="E28" i="4"/>
  <c r="AB28" i="4"/>
  <c r="AB29" i="4"/>
  <c r="T30" i="4"/>
  <c r="AV30" i="4"/>
  <c r="BX30" i="4"/>
  <c r="AW32" i="4"/>
  <c r="AV32" i="4" s="1"/>
  <c r="CM32" i="4"/>
  <c r="CL32" i="4" s="1"/>
  <c r="BD35" i="4"/>
  <c r="AW36" i="4"/>
  <c r="BK37" i="4"/>
  <c r="BR38" i="4"/>
  <c r="BQ38" i="4" s="1"/>
  <c r="N39" i="4"/>
  <c r="M39" i="4" s="1"/>
  <c r="CM40" i="4"/>
  <c r="AH41" i="4"/>
  <c r="E42" i="4"/>
  <c r="K42" i="4" s="1"/>
  <c r="BR42" i="4"/>
  <c r="BQ42" i="4" s="1"/>
  <c r="CE42" i="4"/>
  <c r="AV44" i="4"/>
  <c r="AB45" i="4"/>
  <c r="AA45" i="4" s="1"/>
  <c r="CL46" i="4"/>
  <c r="AW50" i="4"/>
  <c r="BY54" i="4"/>
  <c r="U56" i="4"/>
  <c r="N4" i="5"/>
  <c r="AG55" i="5"/>
  <c r="AG58" i="5" s="1"/>
  <c r="AV5" i="5"/>
  <c r="BJ5" i="5"/>
  <c r="AA6" i="5"/>
  <c r="BY6" i="5"/>
  <c r="M10" i="5"/>
  <c r="AB10" i="5"/>
  <c r="AV11" i="5"/>
  <c r="BK11" i="5"/>
  <c r="BJ11" i="5" s="1"/>
  <c r="CM11" i="5"/>
  <c r="CL11" i="5" s="1"/>
  <c r="U12" i="5"/>
  <c r="T12" i="5" s="1"/>
  <c r="BD12" i="5"/>
  <c r="BC12" i="5" s="1"/>
  <c r="BK14" i="5"/>
  <c r="BJ14" i="5" s="1"/>
  <c r="N18" i="5"/>
  <c r="AA18" i="5"/>
  <c r="CL18" i="5"/>
  <c r="U19" i="5"/>
  <c r="T19" i="5" s="1"/>
  <c r="AH19" i="5"/>
  <c r="AV19" i="5"/>
  <c r="BJ19" i="5"/>
  <c r="AI20" i="5"/>
  <c r="AH20" i="5" s="1"/>
  <c r="AA21" i="5"/>
  <c r="BD21" i="5"/>
  <c r="BC21" i="5" s="1"/>
  <c r="AI22" i="5"/>
  <c r="AH22" i="5" s="1"/>
  <c r="AV22" i="5"/>
  <c r="BJ22" i="5"/>
  <c r="BX22" i="5"/>
  <c r="N23" i="5"/>
  <c r="M23" i="5" s="1"/>
  <c r="AB23" i="5"/>
  <c r="CL24" i="5"/>
  <c r="AI25" i="5"/>
  <c r="AH25" i="5" s="1"/>
  <c r="B27" i="5"/>
  <c r="BK28" i="5"/>
  <c r="BJ28" i="5" s="1"/>
  <c r="U29" i="5"/>
  <c r="BR30" i="5"/>
  <c r="BQ30" i="5" s="1"/>
  <c r="E31" i="5"/>
  <c r="K31" i="5" s="1"/>
  <c r="BD35" i="5"/>
  <c r="BC35" i="5" s="1"/>
  <c r="AW37" i="5"/>
  <c r="AV37" i="5" s="1"/>
  <c r="BY37" i="5"/>
  <c r="BX37" i="5" s="1"/>
  <c r="BR40" i="5"/>
  <c r="BQ40" i="5" s="1"/>
  <c r="AV41" i="5"/>
  <c r="AA42" i="5"/>
  <c r="BD42" i="5"/>
  <c r="BC42" i="5" s="1"/>
  <c r="BX43" i="5"/>
  <c r="M47" i="5"/>
  <c r="AP47" i="5"/>
  <c r="AW49" i="5"/>
  <c r="CE50" i="5"/>
  <c r="BQ53" i="5"/>
  <c r="BK54" i="5"/>
  <c r="BK57" i="5"/>
  <c r="BJ57" i="5" s="1"/>
  <c r="AH7" i="6"/>
  <c r="AH9" i="6"/>
  <c r="AM9" i="6"/>
  <c r="CC11" i="6"/>
  <c r="BY11" i="6"/>
  <c r="BX11" i="6" s="1"/>
  <c r="E19" i="6"/>
  <c r="K19" i="6" s="1"/>
  <c r="CE19" i="6"/>
  <c r="AO22" i="6"/>
  <c r="CQ22" i="6"/>
  <c r="CM22" i="6"/>
  <c r="CL22" i="6" s="1"/>
  <c r="AI24" i="6"/>
  <c r="AH24" i="6" s="1"/>
  <c r="N25" i="6"/>
  <c r="R25" i="6"/>
  <c r="U30" i="6"/>
  <c r="T30" i="6" s="1"/>
  <c r="Y30" i="6"/>
  <c r="CC50" i="6"/>
  <c r="BY50" i="6"/>
  <c r="BX50" i="6" s="1"/>
  <c r="BD51" i="6"/>
  <c r="BH51" i="6"/>
  <c r="BQ56" i="6"/>
  <c r="AI10" i="7"/>
  <c r="AH10" i="7" s="1"/>
  <c r="BJ10" i="7"/>
  <c r="E14" i="7"/>
  <c r="AP19" i="7"/>
  <c r="AO19" i="7" s="1"/>
  <c r="AP20" i="7"/>
  <c r="AO20" i="7" s="1"/>
  <c r="BY20" i="7"/>
  <c r="AH23" i="7"/>
  <c r="AM23" i="7"/>
  <c r="AI23" i="7"/>
  <c r="U24" i="7"/>
  <c r="T24" i="7" s="1"/>
  <c r="BY26" i="7"/>
  <c r="BX26" i="7" s="1"/>
  <c r="CM26" i="7"/>
  <c r="CL26" i="7" s="1"/>
  <c r="M30" i="7"/>
  <c r="CL35" i="7"/>
  <c r="CQ35" i="7"/>
  <c r="CM35" i="7"/>
  <c r="BV40" i="7"/>
  <c r="BR40" i="7"/>
  <c r="AB44" i="7"/>
  <c r="AF44" i="7"/>
  <c r="AA44" i="7"/>
  <c r="CC46" i="7"/>
  <c r="BY46" i="7"/>
  <c r="BX46" i="7" s="1"/>
  <c r="AB49" i="7"/>
  <c r="AA49" i="7" s="1"/>
  <c r="BO52" i="7"/>
  <c r="BK52" i="7"/>
  <c r="BJ52" i="7" s="1"/>
  <c r="CQ53" i="7"/>
  <c r="CM53" i="7"/>
  <c r="BO6" i="8"/>
  <c r="BK6" i="8"/>
  <c r="BJ6" i="8" s="1"/>
  <c r="CJ8" i="8"/>
  <c r="CF8" i="8"/>
  <c r="CE8" i="8" s="1"/>
  <c r="BX15" i="4"/>
  <c r="BR9" i="6"/>
  <c r="BQ9" i="6"/>
  <c r="AW18" i="6"/>
  <c r="AV18" i="6" s="1"/>
  <c r="CQ27" i="6"/>
  <c r="BO35" i="6"/>
  <c r="CM36" i="6"/>
  <c r="AT40" i="6"/>
  <c r="AV43" i="6"/>
  <c r="CC43" i="6"/>
  <c r="BY43" i="6"/>
  <c r="BX43" i="6" s="1"/>
  <c r="CF44" i="6"/>
  <c r="CE44" i="6" s="1"/>
  <c r="BR46" i="6"/>
  <c r="CM47" i="6"/>
  <c r="CL47" i="6" s="1"/>
  <c r="T49" i="6"/>
  <c r="N50" i="6"/>
  <c r="BC51" i="6"/>
  <c r="CM51" i="6"/>
  <c r="CL51" i="6" s="1"/>
  <c r="BK52" i="6"/>
  <c r="BJ52" i="6" s="1"/>
  <c r="BR56" i="6"/>
  <c r="T57" i="6"/>
  <c r="AH57" i="6"/>
  <c r="AM8" i="7"/>
  <c r="AI8" i="7"/>
  <c r="AH8" i="7" s="1"/>
  <c r="BK10" i="7"/>
  <c r="AP16" i="7"/>
  <c r="AO16" i="7" s="1"/>
  <c r="AA20" i="7"/>
  <c r="AT27" i="7"/>
  <c r="AP27" i="7"/>
  <c r="AO27" i="7" s="1"/>
  <c r="AM29" i="7"/>
  <c r="AH29" i="7"/>
  <c r="BH39" i="7"/>
  <c r="BD39" i="7"/>
  <c r="BC39" i="7" s="1"/>
  <c r="T43" i="7"/>
  <c r="U43" i="7"/>
  <c r="CL48" i="7"/>
  <c r="CQ48" i="7"/>
  <c r="BR53" i="7"/>
  <c r="BQ53" i="7"/>
  <c r="R7" i="8"/>
  <c r="N7" i="8"/>
  <c r="M7" i="8"/>
  <c r="CM15" i="4"/>
  <c r="CL15" i="4" s="1"/>
  <c r="CL17" i="4"/>
  <c r="AI24" i="4"/>
  <c r="AH24" i="4" s="1"/>
  <c r="N26" i="4"/>
  <c r="AW27" i="4"/>
  <c r="AV27" i="4" s="1"/>
  <c r="AB34" i="4"/>
  <c r="AA34" i="4" s="1"/>
  <c r="CK55" i="5"/>
  <c r="CK58" i="5" s="1"/>
  <c r="BY5" i="5"/>
  <c r="BX5" i="5" s="1"/>
  <c r="B7" i="5"/>
  <c r="AB7" i="5"/>
  <c r="AA7" i="5" s="1"/>
  <c r="AP7" i="5"/>
  <c r="AO7" i="5" s="1"/>
  <c r="U9" i="5"/>
  <c r="T9" i="5" s="1"/>
  <c r="BR9" i="5"/>
  <c r="BQ9" i="5" s="1"/>
  <c r="AW10" i="5"/>
  <c r="AV10" i="5" s="1"/>
  <c r="AA11" i="5"/>
  <c r="BC13" i="5"/>
  <c r="BR13" i="5"/>
  <c r="BQ13" i="5" s="1"/>
  <c r="AW14" i="5"/>
  <c r="E16" i="5"/>
  <c r="AO16" i="5"/>
  <c r="N17" i="5"/>
  <c r="AA17" i="5"/>
  <c r="AW17" i="5"/>
  <c r="AV17" i="5" s="1"/>
  <c r="AO18" i="5"/>
  <c r="BR18" i="5"/>
  <c r="BQ18" i="5" s="1"/>
  <c r="CQ18" i="5"/>
  <c r="B20" i="5"/>
  <c r="BR20" i="5"/>
  <c r="BQ20" i="5" s="1"/>
  <c r="BY23" i="5"/>
  <c r="BX23" i="5" s="1"/>
  <c r="BQ24" i="5"/>
  <c r="U30" i="5"/>
  <c r="T30" i="5" s="1"/>
  <c r="AV32" i="5"/>
  <c r="N34" i="5"/>
  <c r="M34" i="5" s="1"/>
  <c r="AW34" i="5"/>
  <c r="AV34" i="5" s="1"/>
  <c r="N35" i="5"/>
  <c r="G35" i="5" s="1"/>
  <c r="AB35" i="5"/>
  <c r="B40" i="5"/>
  <c r="AP40" i="5"/>
  <c r="AO40" i="5" s="1"/>
  <c r="U41" i="5"/>
  <c r="T41" i="5" s="1"/>
  <c r="BR41" i="5"/>
  <c r="BQ41" i="5" s="1"/>
  <c r="T43" i="5"/>
  <c r="AW43" i="5"/>
  <c r="AV43" i="5" s="1"/>
  <c r="AP44" i="5"/>
  <c r="B45" i="5"/>
  <c r="BK45" i="5"/>
  <c r="BY45" i="5"/>
  <c r="T46" i="5"/>
  <c r="E48" i="5"/>
  <c r="CF49" i="5"/>
  <c r="CE49" i="5" s="1"/>
  <c r="U50" i="5"/>
  <c r="BK51" i="5"/>
  <c r="CM51" i="5"/>
  <c r="CL51" i="5" s="1"/>
  <c r="AO54" i="5"/>
  <c r="U56" i="5"/>
  <c r="T56" i="5" s="1"/>
  <c r="BK4" i="6"/>
  <c r="BR5" i="6"/>
  <c r="BQ5" i="6" s="1"/>
  <c r="BJ6" i="6"/>
  <c r="CL6" i="6"/>
  <c r="AB8" i="6"/>
  <c r="AA8" i="6" s="1"/>
  <c r="CM8" i="6"/>
  <c r="CL8" i="6" s="1"/>
  <c r="N12" i="6"/>
  <c r="G12" i="6" s="1"/>
  <c r="BA12" i="6"/>
  <c r="AW12" i="6"/>
  <c r="CM14" i="6"/>
  <c r="CL14" i="6"/>
  <c r="AB16" i="6"/>
  <c r="AA16" i="6" s="1"/>
  <c r="BQ17" i="6"/>
  <c r="CJ24" i="6"/>
  <c r="CF24" i="6"/>
  <c r="CE24" i="6" s="1"/>
  <c r="AB27" i="6"/>
  <c r="CM27" i="6"/>
  <c r="CL27" i="6" s="1"/>
  <c r="BK35" i="6"/>
  <c r="BJ35" i="6" s="1"/>
  <c r="BA41" i="6"/>
  <c r="AW41" i="6"/>
  <c r="AV41" i="6" s="1"/>
  <c r="CL41" i="6"/>
  <c r="CM41" i="6"/>
  <c r="CC51" i="6"/>
  <c r="BX51" i="6"/>
  <c r="BJ54" i="6"/>
  <c r="BO54" i="6"/>
  <c r="BK54" i="6"/>
  <c r="CJ10" i="7"/>
  <c r="CF10" i="7"/>
  <c r="CE10" i="7" s="1"/>
  <c r="G12" i="7"/>
  <c r="R20" i="7"/>
  <c r="E20" i="7"/>
  <c r="K20" i="7" s="1"/>
  <c r="AM22" i="7"/>
  <c r="AI22" i="7"/>
  <c r="AH22" i="7" s="1"/>
  <c r="AF24" i="7"/>
  <c r="AB24" i="7"/>
  <c r="AA24" i="7" s="1"/>
  <c r="U29" i="7"/>
  <c r="Y29" i="7"/>
  <c r="U33" i="7"/>
  <c r="T33" i="7" s="1"/>
  <c r="Y33" i="7"/>
  <c r="AI34" i="7"/>
  <c r="AM34" i="7"/>
  <c r="Y37" i="7"/>
  <c r="E37" i="7"/>
  <c r="AW37" i="7"/>
  <c r="BH54" i="7"/>
  <c r="BD54" i="7"/>
  <c r="BC54" i="7" s="1"/>
  <c r="L55" i="8"/>
  <c r="L58" i="8" s="1"/>
  <c r="N4" i="8"/>
  <c r="M4" i="8" s="1"/>
  <c r="E4" i="8"/>
  <c r="BC42" i="4"/>
  <c r="E44" i="4"/>
  <c r="K44" i="4" s="1"/>
  <c r="BC5" i="4"/>
  <c r="AP6" i="4"/>
  <c r="AO6" i="4" s="1"/>
  <c r="BD8" i="4"/>
  <c r="BC8" i="4" s="1"/>
  <c r="CF8" i="4"/>
  <c r="CE8" i="4" s="1"/>
  <c r="N11" i="4"/>
  <c r="BR11" i="4"/>
  <c r="BQ11" i="4" s="1"/>
  <c r="AP12" i="4"/>
  <c r="AO12" i="4" s="1"/>
  <c r="AF15" i="4"/>
  <c r="BY15" i="4"/>
  <c r="BK16" i="4"/>
  <c r="AV17" i="4"/>
  <c r="N29" i="4"/>
  <c r="B34" i="4"/>
  <c r="BA41" i="4"/>
  <c r="N42" i="4"/>
  <c r="BX43" i="4"/>
  <c r="AW45" i="4"/>
  <c r="U50" i="4"/>
  <c r="T50" i="4" s="1"/>
  <c r="BR50" i="4"/>
  <c r="BQ50" i="4" s="1"/>
  <c r="U52" i="4"/>
  <c r="T52" i="4" s="1"/>
  <c r="AW52" i="4"/>
  <c r="AV52" i="4" s="1"/>
  <c r="BY53" i="4"/>
  <c r="BX53" i="4" s="1"/>
  <c r="CM56" i="4"/>
  <c r="CL56" i="4" s="1"/>
  <c r="BX4" i="5"/>
  <c r="BD5" i="4"/>
  <c r="CE5" i="4"/>
  <c r="AB6" i="4"/>
  <c r="BK6" i="4"/>
  <c r="BJ6" i="4" s="1"/>
  <c r="BV6" i="4"/>
  <c r="CM6" i="4"/>
  <c r="CL6" i="4" s="1"/>
  <c r="AF7" i="4"/>
  <c r="AW7" i="4"/>
  <c r="AV7" i="4" s="1"/>
  <c r="AB8" i="4"/>
  <c r="AA8" i="4" s="1"/>
  <c r="AW9" i="4"/>
  <c r="AV9" i="4" s="1"/>
  <c r="BA10" i="4"/>
  <c r="AF11" i="4"/>
  <c r="CF11" i="4"/>
  <c r="CE11" i="4" s="1"/>
  <c r="T13" i="4"/>
  <c r="CM17" i="4"/>
  <c r="N19" i="4"/>
  <c r="BC19" i="4"/>
  <c r="CC20" i="4"/>
  <c r="AT21" i="4"/>
  <c r="CF21" i="4"/>
  <c r="CE21" i="4" s="1"/>
  <c r="AI22" i="4"/>
  <c r="AW22" i="4"/>
  <c r="AV22" i="4" s="1"/>
  <c r="AB23" i="4"/>
  <c r="AA23" i="4" s="1"/>
  <c r="BC25" i="4"/>
  <c r="U27" i="4"/>
  <c r="BK27" i="4"/>
  <c r="AW28" i="4"/>
  <c r="BJ28" i="4"/>
  <c r="Y30" i="4"/>
  <c r="BO30" i="4"/>
  <c r="AI31" i="4"/>
  <c r="BA32" i="4"/>
  <c r="Y33" i="4"/>
  <c r="AP33" i="4"/>
  <c r="CL33" i="4"/>
  <c r="AO34" i="4"/>
  <c r="BD34" i="4"/>
  <c r="BC34" i="4" s="1"/>
  <c r="AT35" i="4"/>
  <c r="CM35" i="4"/>
  <c r="CL35" i="4" s="1"/>
  <c r="T36" i="4"/>
  <c r="AB38" i="4"/>
  <c r="AA38" i="4" s="1"/>
  <c r="CM38" i="4"/>
  <c r="CL38" i="4" s="1"/>
  <c r="CF39" i="4"/>
  <c r="AW40" i="4"/>
  <c r="BQ41" i="4"/>
  <c r="AV43" i="4"/>
  <c r="BK43" i="4"/>
  <c r="BY43" i="4"/>
  <c r="BC44" i="4"/>
  <c r="AH45" i="4"/>
  <c r="AI46" i="4"/>
  <c r="AH46" i="4" s="1"/>
  <c r="U51" i="4"/>
  <c r="AW51" i="4"/>
  <c r="AV51" i="4" s="1"/>
  <c r="AH54" i="4"/>
  <c r="T57" i="4"/>
  <c r="AV57" i="4"/>
  <c r="AW6" i="5"/>
  <c r="BY7" i="5"/>
  <c r="BX7" i="5" s="1"/>
  <c r="AP8" i="5"/>
  <c r="BD8" i="5"/>
  <c r="BC8" i="5" s="1"/>
  <c r="BD9" i="5"/>
  <c r="BC9" i="5" s="1"/>
  <c r="BR10" i="5"/>
  <c r="BQ10" i="5" s="1"/>
  <c r="N11" i="5"/>
  <c r="AB11" i="5"/>
  <c r="AB12" i="5"/>
  <c r="AA12" i="5" s="1"/>
  <c r="BD13" i="5"/>
  <c r="CE14" i="5"/>
  <c r="M15" i="5"/>
  <c r="AV15" i="5"/>
  <c r="BK15" i="5"/>
  <c r="BJ15" i="5" s="1"/>
  <c r="Y16" i="5"/>
  <c r="AB17" i="5"/>
  <c r="AP18" i="5"/>
  <c r="BD18" i="5"/>
  <c r="BC18" i="5" s="1"/>
  <c r="CF18" i="5"/>
  <c r="CE18" i="5" s="1"/>
  <c r="AM19" i="5"/>
  <c r="BO19" i="5"/>
  <c r="CF19" i="5"/>
  <c r="CE19" i="5" s="1"/>
  <c r="AF21" i="5"/>
  <c r="AW21" i="5"/>
  <c r="AV21" i="5" s="1"/>
  <c r="BH21" i="5"/>
  <c r="BY21" i="5"/>
  <c r="BX21" i="5" s="1"/>
  <c r="AB22" i="5"/>
  <c r="AA22" i="5" s="1"/>
  <c r="BA22" i="5"/>
  <c r="AF23" i="5"/>
  <c r="AW23" i="5"/>
  <c r="AV23" i="5" s="1"/>
  <c r="B24" i="5"/>
  <c r="AB24" i="5"/>
  <c r="AA24" i="5" s="1"/>
  <c r="BY25" i="5"/>
  <c r="BX25" i="5" s="1"/>
  <c r="T26" i="5"/>
  <c r="CF27" i="5"/>
  <c r="CE27" i="5" s="1"/>
  <c r="AB29" i="5"/>
  <c r="AA29" i="5" s="1"/>
  <c r="CL30" i="5"/>
  <c r="BK31" i="5"/>
  <c r="BJ31" i="5" s="1"/>
  <c r="CM31" i="5"/>
  <c r="CL31" i="5" s="1"/>
  <c r="E32" i="5"/>
  <c r="AI33" i="5"/>
  <c r="AH33" i="5" s="1"/>
  <c r="AI34" i="5"/>
  <c r="BY35" i="5"/>
  <c r="BX35" i="5" s="1"/>
  <c r="BC37" i="5"/>
  <c r="BO37" i="5"/>
  <c r="AA38" i="5"/>
  <c r="BD39" i="5"/>
  <c r="BC39" i="5" s="1"/>
  <c r="BQ39" i="5"/>
  <c r="CF39" i="5"/>
  <c r="CE39" i="5" s="1"/>
  <c r="BA41" i="5"/>
  <c r="AF42" i="5"/>
  <c r="AV42" i="5"/>
  <c r="BH42" i="5"/>
  <c r="CC43" i="5"/>
  <c r="E44" i="5"/>
  <c r="K44" i="5" s="1"/>
  <c r="BD44" i="5"/>
  <c r="BC44" i="5" s="1"/>
  <c r="BR44" i="5"/>
  <c r="BQ44" i="5" s="1"/>
  <c r="CF44" i="5"/>
  <c r="CE44" i="5" s="1"/>
  <c r="U46" i="5"/>
  <c r="BR46" i="5"/>
  <c r="AF47" i="5"/>
  <c r="AT47" i="5"/>
  <c r="BA48" i="5"/>
  <c r="M49" i="5"/>
  <c r="BY50" i="5"/>
  <c r="T51" i="5"/>
  <c r="AW51" i="5"/>
  <c r="AV51" i="5" s="1"/>
  <c r="BY51" i="5"/>
  <c r="BX51" i="5" s="1"/>
  <c r="AI52" i="5"/>
  <c r="AH52" i="5" s="1"/>
  <c r="AI53" i="5"/>
  <c r="AH53" i="5" s="1"/>
  <c r="BJ53" i="5"/>
  <c r="AP54" i="5"/>
  <c r="BY56" i="5"/>
  <c r="BX56" i="5" s="1"/>
  <c r="AI57" i="5"/>
  <c r="AV4" i="6"/>
  <c r="E5" i="6"/>
  <c r="AP5" i="6"/>
  <c r="AO5" i="6" s="1"/>
  <c r="BJ7" i="6"/>
  <c r="N8" i="6"/>
  <c r="M8" i="6" s="1"/>
  <c r="BV9" i="6"/>
  <c r="AP10" i="6"/>
  <c r="AO10" i="6" s="1"/>
  <c r="AB14" i="6"/>
  <c r="AA14" i="6" s="1"/>
  <c r="BO14" i="6"/>
  <c r="BK14" i="6"/>
  <c r="BJ14" i="6" s="1"/>
  <c r="U15" i="6"/>
  <c r="CQ17" i="6"/>
  <c r="CM17" i="6"/>
  <c r="CL17" i="6" s="1"/>
  <c r="CF18" i="6"/>
  <c r="CE18" i="6" s="1"/>
  <c r="R20" i="6"/>
  <c r="AM20" i="6"/>
  <c r="AI20" i="6"/>
  <c r="N21" i="6"/>
  <c r="M21" i="6" s="1"/>
  <c r="AF21" i="6"/>
  <c r="AB21" i="6"/>
  <c r="AA21" i="6" s="1"/>
  <c r="AW21" i="6"/>
  <c r="AV21" i="6" s="1"/>
  <c r="BA21" i="6"/>
  <c r="BO23" i="6"/>
  <c r="BK23" i="6"/>
  <c r="AM24" i="6"/>
  <c r="BR24" i="6"/>
  <c r="BQ24" i="6" s="1"/>
  <c r="BV24" i="6"/>
  <c r="R26" i="6"/>
  <c r="N26" i="6"/>
  <c r="B26" i="6"/>
  <c r="BK27" i="6"/>
  <c r="BJ27" i="6" s="1"/>
  <c r="AB29" i="6"/>
  <c r="AA29" i="6" s="1"/>
  <c r="BR30" i="6"/>
  <c r="BQ30" i="6" s="1"/>
  <c r="AT34" i="6"/>
  <c r="E35" i="6"/>
  <c r="K35" i="6" s="1"/>
  <c r="T38" i="6"/>
  <c r="Y38" i="6"/>
  <c r="R40" i="6"/>
  <c r="B40" i="6"/>
  <c r="AP42" i="6"/>
  <c r="AO42" i="6" s="1"/>
  <c r="AH44" i="6"/>
  <c r="BY47" i="6"/>
  <c r="CQ49" i="6"/>
  <c r="CM49" i="6"/>
  <c r="BY51" i="6"/>
  <c r="BV56" i="6"/>
  <c r="U4" i="7"/>
  <c r="T4" i="7" s="1"/>
  <c r="AP4" i="7"/>
  <c r="AO4" i="7" s="1"/>
  <c r="BK4" i="7"/>
  <c r="BJ4" i="7" s="1"/>
  <c r="BO5" i="7"/>
  <c r="BK5" i="7"/>
  <c r="BK6" i="7"/>
  <c r="AI7" i="7"/>
  <c r="AH7" i="7" s="1"/>
  <c r="AM7" i="7"/>
  <c r="BR7" i="7"/>
  <c r="BQ7" i="7" s="1"/>
  <c r="CM9" i="7"/>
  <c r="CL9" i="7" s="1"/>
  <c r="AB13" i="7"/>
  <c r="AA13" i="7" s="1"/>
  <c r="BV13" i="7"/>
  <c r="BR13" i="7"/>
  <c r="BQ13" i="7" s="1"/>
  <c r="BK14" i="7"/>
  <c r="BJ14" i="7" s="1"/>
  <c r="BY14" i="7"/>
  <c r="CC14" i="7"/>
  <c r="CJ18" i="7"/>
  <c r="CF18" i="7"/>
  <c r="N20" i="7"/>
  <c r="Y22" i="7"/>
  <c r="U22" i="7"/>
  <c r="CM24" i="7"/>
  <c r="T29" i="7"/>
  <c r="BA30" i="7"/>
  <c r="AW30" i="7"/>
  <c r="AV30" i="7" s="1"/>
  <c r="AW31" i="7"/>
  <c r="AV31" i="7" s="1"/>
  <c r="BA31" i="7"/>
  <c r="AW36" i="7"/>
  <c r="BA36" i="7"/>
  <c r="AT39" i="7"/>
  <c r="AP39" i="7"/>
  <c r="AO39" i="7" s="1"/>
  <c r="CC42" i="7"/>
  <c r="BX42" i="7"/>
  <c r="BR43" i="7"/>
  <c r="CC44" i="7"/>
  <c r="BH45" i="7"/>
  <c r="BD45" i="7"/>
  <c r="CC48" i="7"/>
  <c r="BY48" i="7"/>
  <c r="BX48" i="7" s="1"/>
  <c r="BV49" i="7"/>
  <c r="BR49" i="7"/>
  <c r="BA52" i="7"/>
  <c r="AW52" i="7"/>
  <c r="AV52" i="7" s="1"/>
  <c r="CC7" i="8"/>
  <c r="BY7" i="8"/>
  <c r="BX7" i="8" s="1"/>
  <c r="BC11" i="4"/>
  <c r="AA6" i="4"/>
  <c r="BD11" i="4"/>
  <c r="CM12" i="4"/>
  <c r="U16" i="4"/>
  <c r="T16" i="4" s="1"/>
  <c r="BX17" i="4"/>
  <c r="M19" i="4"/>
  <c r="AW20" i="4"/>
  <c r="AV20" i="4" s="1"/>
  <c r="BR21" i="4"/>
  <c r="BQ21" i="4" s="1"/>
  <c r="BY22" i="4"/>
  <c r="BX22" i="4" s="1"/>
  <c r="CC26" i="4"/>
  <c r="AV28" i="4"/>
  <c r="AI32" i="4"/>
  <c r="AH32" i="4" s="1"/>
  <c r="BR33" i="4"/>
  <c r="BQ33" i="4" s="1"/>
  <c r="AB35" i="4"/>
  <c r="AA35" i="4" s="1"/>
  <c r="AV40" i="4"/>
  <c r="CF44" i="4"/>
  <c r="CE44" i="4" s="1"/>
  <c r="BJ54" i="4"/>
  <c r="Y4" i="4"/>
  <c r="N5" i="4"/>
  <c r="M5" i="4" s="1"/>
  <c r="Y5" i="4"/>
  <c r="AT6" i="4"/>
  <c r="E7" i="4"/>
  <c r="K7" i="4" s="1"/>
  <c r="G13" i="4"/>
  <c r="BD13" i="4"/>
  <c r="BC13" i="4" s="1"/>
  <c r="AT14" i="4"/>
  <c r="E15" i="4"/>
  <c r="K15" i="4" s="1"/>
  <c r="U15" i="4"/>
  <c r="T15" i="4" s="1"/>
  <c r="CC15" i="4"/>
  <c r="AA17" i="4"/>
  <c r="BA17" i="4"/>
  <c r="AI18" i="4"/>
  <c r="G18" i="4" s="1"/>
  <c r="AB20" i="4"/>
  <c r="AA20" i="4" s="1"/>
  <c r="BA20" i="4"/>
  <c r="BR25" i="4"/>
  <c r="BQ25" i="4" s="1"/>
  <c r="E27" i="4"/>
  <c r="BA29" i="4"/>
  <c r="BK31" i="4"/>
  <c r="BJ31" i="4" s="1"/>
  <c r="AM32" i="4"/>
  <c r="CF32" i="4"/>
  <c r="CE32" i="4" s="1"/>
  <c r="R35" i="4"/>
  <c r="CJ37" i="4"/>
  <c r="BO39" i="4"/>
  <c r="BH42" i="4"/>
  <c r="CJ42" i="4"/>
  <c r="E50" i="4"/>
  <c r="AT56" i="4"/>
  <c r="AO5" i="5"/>
  <c r="BA5" i="5"/>
  <c r="T6" i="5"/>
  <c r="AF6" i="5"/>
  <c r="BO6" i="5"/>
  <c r="B8" i="5"/>
  <c r="AA8" i="5"/>
  <c r="CL9" i="5"/>
  <c r="G10" i="5"/>
  <c r="CE11" i="5"/>
  <c r="B12" i="5"/>
  <c r="N15" i="5"/>
  <c r="G15" i="5" s="1"/>
  <c r="AT16" i="5"/>
  <c r="BX16" i="5"/>
  <c r="CL16" i="5"/>
  <c r="BA17" i="5"/>
  <c r="E18" i="5"/>
  <c r="K18" i="5" s="1"/>
  <c r="T18" i="5"/>
  <c r="AF18" i="5"/>
  <c r="AA19" i="5"/>
  <c r="M20" i="5"/>
  <c r="AB20" i="5"/>
  <c r="AA20" i="5" s="1"/>
  <c r="CM20" i="5"/>
  <c r="CL20" i="5" s="1"/>
  <c r="CC22" i="5"/>
  <c r="CE23" i="5"/>
  <c r="CF24" i="5"/>
  <c r="CE24" i="5" s="1"/>
  <c r="AP25" i="5"/>
  <c r="AO25" i="5" s="1"/>
  <c r="BC26" i="5"/>
  <c r="BR26" i="5"/>
  <c r="BQ26" i="5" s="1"/>
  <c r="CM26" i="5"/>
  <c r="CL26" i="5" s="1"/>
  <c r="BQ27" i="5"/>
  <c r="BR28" i="5"/>
  <c r="N29" i="5"/>
  <c r="BY29" i="5"/>
  <c r="BX29" i="5" s="1"/>
  <c r="BX30" i="5"/>
  <c r="T31" i="5"/>
  <c r="BY31" i="5"/>
  <c r="BX31" i="5" s="1"/>
  <c r="BA32" i="5"/>
  <c r="CF32" i="5"/>
  <c r="CE32" i="5" s="1"/>
  <c r="E33" i="5"/>
  <c r="K33" i="5" s="1"/>
  <c r="BR33" i="5"/>
  <c r="AP36" i="5"/>
  <c r="AO36" i="5" s="1"/>
  <c r="M37" i="5"/>
  <c r="AP37" i="5"/>
  <c r="AO37" i="5" s="1"/>
  <c r="BD37" i="5"/>
  <c r="BC38" i="5"/>
  <c r="BK40" i="5"/>
  <c r="BJ40" i="5" s="1"/>
  <c r="AW42" i="5"/>
  <c r="BY42" i="5"/>
  <c r="BX42" i="5" s="1"/>
  <c r="AB44" i="5"/>
  <c r="AA44" i="5" s="1"/>
  <c r="AF45" i="5"/>
  <c r="AV47" i="5"/>
  <c r="CC48" i="5"/>
  <c r="U51" i="5"/>
  <c r="BD52" i="5"/>
  <c r="BC52" i="5" s="1"/>
  <c r="Y53" i="5"/>
  <c r="BK53" i="5"/>
  <c r="BQ54" i="5"/>
  <c r="B56" i="5"/>
  <c r="AM56" i="5"/>
  <c r="BR57" i="5"/>
  <c r="BQ57" i="5" s="1"/>
  <c r="CL57" i="5"/>
  <c r="AW4" i="6"/>
  <c r="AH6" i="6"/>
  <c r="BO6" i="6"/>
  <c r="AM7" i="6"/>
  <c r="CM7" i="6"/>
  <c r="CL7" i="6" s="1"/>
  <c r="BO8" i="6"/>
  <c r="BK8" i="6"/>
  <c r="BJ8" i="6" s="1"/>
  <c r="AF14" i="6"/>
  <c r="CJ15" i="6"/>
  <c r="CE15" i="6"/>
  <c r="M17" i="6"/>
  <c r="AW17" i="6"/>
  <c r="AV17" i="6" s="1"/>
  <c r="BA17" i="6"/>
  <c r="BA18" i="6"/>
  <c r="BV18" i="6"/>
  <c r="BR18" i="6"/>
  <c r="BQ18" i="6" s="1"/>
  <c r="CJ19" i="6"/>
  <c r="CF21" i="6"/>
  <c r="CE21" i="6" s="1"/>
  <c r="CF22" i="6"/>
  <c r="CE22" i="6"/>
  <c r="AA24" i="6"/>
  <c r="AP24" i="6"/>
  <c r="AO24" i="6" s="1"/>
  <c r="AT24" i="6"/>
  <c r="BD24" i="6"/>
  <c r="BC24" i="6" s="1"/>
  <c r="CF26" i="6"/>
  <c r="CE26" i="6" s="1"/>
  <c r="BV28" i="6"/>
  <c r="BR28" i="6"/>
  <c r="AT29" i="6"/>
  <c r="AP30" i="6"/>
  <c r="AO30" i="6" s="1"/>
  <c r="BV32" i="6"/>
  <c r="BR32" i="6"/>
  <c r="BQ32" i="6" s="1"/>
  <c r="B34" i="6"/>
  <c r="AP34" i="6"/>
  <c r="AO34" i="6" s="1"/>
  <c r="E36" i="6"/>
  <c r="B36" i="6"/>
  <c r="N37" i="6"/>
  <c r="M37" i="6" s="1"/>
  <c r="F37" i="6" s="1"/>
  <c r="U38" i="6"/>
  <c r="AM38" i="6"/>
  <c r="BH38" i="6"/>
  <c r="BD38" i="6"/>
  <c r="BC38" i="6" s="1"/>
  <c r="Y39" i="6"/>
  <c r="AT39" i="6"/>
  <c r="AP39" i="6"/>
  <c r="AO39" i="6" s="1"/>
  <c r="CC39" i="6"/>
  <c r="BD44" i="6"/>
  <c r="BC44" i="6" s="1"/>
  <c r="CM44" i="6"/>
  <c r="CL44" i="6" s="1"/>
  <c r="AT46" i="6"/>
  <c r="AP46" i="6"/>
  <c r="AO46" i="6" s="1"/>
  <c r="BK46" i="6"/>
  <c r="BJ46" i="6" s="1"/>
  <c r="Y47" i="6"/>
  <c r="AP47" i="6"/>
  <c r="AO47" i="6" s="1"/>
  <c r="AA49" i="6"/>
  <c r="CC49" i="6"/>
  <c r="BY49" i="6"/>
  <c r="AA51" i="6"/>
  <c r="BA51" i="6"/>
  <c r="AW51" i="6"/>
  <c r="AV51" i="6" s="1"/>
  <c r="CQ51" i="6"/>
  <c r="AP56" i="6"/>
  <c r="BJ5" i="7"/>
  <c r="M6" i="7"/>
  <c r="CF6" i="7"/>
  <c r="CE6" i="7" s="1"/>
  <c r="CJ6" i="7"/>
  <c r="CM7" i="7"/>
  <c r="CL7" i="7" s="1"/>
  <c r="AW14" i="7"/>
  <c r="AV14" i="7" s="1"/>
  <c r="AM16" i="7"/>
  <c r="AI16" i="7"/>
  <c r="AH16" i="7"/>
  <c r="BK17" i="7"/>
  <c r="CE18" i="7"/>
  <c r="CC21" i="7"/>
  <c r="T22" i="7"/>
  <c r="CC22" i="7"/>
  <c r="BX22" i="7"/>
  <c r="BK23" i="7"/>
  <c r="AF25" i="7"/>
  <c r="AB25" i="7"/>
  <c r="AA25" i="7" s="1"/>
  <c r="AM26" i="7"/>
  <c r="AH26" i="7"/>
  <c r="M27" i="7"/>
  <c r="AF27" i="7"/>
  <c r="AB27" i="7"/>
  <c r="G27" i="7" s="1"/>
  <c r="U31" i="7"/>
  <c r="T31" i="7" s="1"/>
  <c r="R35" i="7"/>
  <c r="B41" i="7"/>
  <c r="AV41" i="7"/>
  <c r="BA41" i="7"/>
  <c r="AW41" i="7"/>
  <c r="BY42" i="7"/>
  <c r="BD43" i="7"/>
  <c r="BY44" i="7"/>
  <c r="BX44" i="7" s="1"/>
  <c r="Y45" i="7"/>
  <c r="G47" i="7"/>
  <c r="BQ49" i="7"/>
  <c r="BH51" i="7"/>
  <c r="BD51" i="7"/>
  <c r="BC51" i="7" s="1"/>
  <c r="M29" i="4"/>
  <c r="CC13" i="4"/>
  <c r="BY16" i="4"/>
  <c r="BX16" i="4" s="1"/>
  <c r="BJ27" i="4"/>
  <c r="BV28" i="4"/>
  <c r="AH31" i="4"/>
  <c r="CF34" i="4"/>
  <c r="CE34" i="4" s="1"/>
  <c r="CF36" i="4"/>
  <c r="CE36" i="4" s="1"/>
  <c r="BK39" i="4"/>
  <c r="BJ39" i="4" s="1"/>
  <c r="BJ43" i="4"/>
  <c r="U44" i="4"/>
  <c r="T44" i="4" s="1"/>
  <c r="BJ45" i="4"/>
  <c r="BR47" i="4"/>
  <c r="BQ47" i="4" s="1"/>
  <c r="U54" i="4"/>
  <c r="AV4" i="4"/>
  <c r="AV5" i="4"/>
  <c r="BH11" i="4"/>
  <c r="CE14" i="4"/>
  <c r="M16" i="4"/>
  <c r="B17" i="4"/>
  <c r="CC17" i="4"/>
  <c r="AO24" i="4"/>
  <c r="BQ24" i="4"/>
  <c r="AV26" i="4"/>
  <c r="BQ29" i="4"/>
  <c r="Y31" i="4"/>
  <c r="AM39" i="4"/>
  <c r="BQ40" i="4"/>
  <c r="CJ44" i="4"/>
  <c r="BO45" i="4"/>
  <c r="CF46" i="4"/>
  <c r="CE46" i="4" s="1"/>
  <c r="AF48" i="4"/>
  <c r="AB49" i="4"/>
  <c r="AA49" i="4" s="1"/>
  <c r="BO49" i="4"/>
  <c r="BV50" i="4"/>
  <c r="M52" i="4"/>
  <c r="Y57" i="4"/>
  <c r="BA57" i="4"/>
  <c r="BP55" i="5"/>
  <c r="BP58" i="5" s="1"/>
  <c r="CC5" i="5"/>
  <c r="E6" i="5"/>
  <c r="AV7" i="5"/>
  <c r="BH8" i="5"/>
  <c r="CJ14" i="5"/>
  <c r="BA15" i="5"/>
  <c r="BH18" i="5"/>
  <c r="U23" i="5"/>
  <c r="T23" i="5" s="1"/>
  <c r="BC23" i="5"/>
  <c r="BV24" i="5"/>
  <c r="B26" i="5"/>
  <c r="CL27" i="5"/>
  <c r="AF28" i="5"/>
  <c r="AF39" i="5"/>
  <c r="AT40" i="5"/>
  <c r="Y41" i="5"/>
  <c r="BA43" i="5"/>
  <c r="B47" i="5"/>
  <c r="AH48" i="5"/>
  <c r="AM52" i="5"/>
  <c r="AG55" i="6"/>
  <c r="AG58" i="6" s="1"/>
  <c r="CQ14" i="6"/>
  <c r="E23" i="6"/>
  <c r="K23" i="6" s="1"/>
  <c r="BJ25" i="6"/>
  <c r="BK25" i="6"/>
  <c r="BO30" i="6"/>
  <c r="BJ30" i="6"/>
  <c r="AM32" i="6"/>
  <c r="CJ34" i="6"/>
  <c r="CF34" i="6"/>
  <c r="CJ36" i="6"/>
  <c r="CF36" i="6"/>
  <c r="CE36" i="6" s="1"/>
  <c r="AI41" i="6"/>
  <c r="AH41" i="6" s="1"/>
  <c r="R42" i="6"/>
  <c r="BR43" i="6"/>
  <c r="BQ43" i="6"/>
  <c r="AT44" i="6"/>
  <c r="E47" i="6"/>
  <c r="K47" i="6" s="1"/>
  <c r="CF51" i="6"/>
  <c r="CJ51" i="6"/>
  <c r="B52" i="6"/>
  <c r="BH53" i="6"/>
  <c r="N54" i="6"/>
  <c r="M54" i="6" s="1"/>
  <c r="R54" i="6"/>
  <c r="BO56" i="6"/>
  <c r="Y57" i="6"/>
  <c r="AF4" i="7"/>
  <c r="AB4" i="7"/>
  <c r="CD55" i="7"/>
  <c r="CD58" i="7" s="1"/>
  <c r="N10" i="7"/>
  <c r="B10" i="7"/>
  <c r="AM13" i="7"/>
  <c r="AI13" i="7"/>
  <c r="AH13" i="7" s="1"/>
  <c r="E15" i="7"/>
  <c r="AT15" i="7"/>
  <c r="AW18" i="7"/>
  <c r="AV18" i="7" s="1"/>
  <c r="BA18" i="7"/>
  <c r="CJ21" i="7"/>
  <c r="CF21" i="7"/>
  <c r="BA23" i="7"/>
  <c r="AW23" i="7"/>
  <c r="AV23" i="7" s="1"/>
  <c r="CJ28" i="7"/>
  <c r="CE28" i="7"/>
  <c r="CC29" i="7"/>
  <c r="BY29" i="7"/>
  <c r="BX29" i="7" s="1"/>
  <c r="Y32" i="7"/>
  <c r="U32" i="7"/>
  <c r="Y43" i="7"/>
  <c r="BO44" i="7"/>
  <c r="BJ44" i="7"/>
  <c r="CE45" i="7"/>
  <c r="CJ45" i="7"/>
  <c r="AH46" i="7"/>
  <c r="AM46" i="7"/>
  <c r="AI46" i="7"/>
  <c r="AO49" i="7"/>
  <c r="AT49" i="7"/>
  <c r="R56" i="7"/>
  <c r="N56" i="7"/>
  <c r="M56" i="7" s="1"/>
  <c r="BH5" i="4"/>
  <c r="AW8" i="4"/>
  <c r="BY8" i="4"/>
  <c r="BX8" i="4" s="1"/>
  <c r="AO9" i="4"/>
  <c r="CJ9" i="4"/>
  <c r="T10" i="4"/>
  <c r="CM10" i="4"/>
  <c r="BX11" i="4"/>
  <c r="CJ11" i="4"/>
  <c r="M13" i="4"/>
  <c r="AW13" i="4"/>
  <c r="AV13" i="4" s="1"/>
  <c r="CF14" i="4"/>
  <c r="N15" i="4"/>
  <c r="G15" i="4" s="1"/>
  <c r="N16" i="4"/>
  <c r="BD16" i="4"/>
  <c r="BC16" i="4" s="1"/>
  <c r="BC20" i="4"/>
  <c r="BX21" i="4"/>
  <c r="BR22" i="4"/>
  <c r="B24" i="4"/>
  <c r="AP24" i="4"/>
  <c r="AO27" i="4"/>
  <c r="BC28" i="4"/>
  <c r="BR29" i="4"/>
  <c r="BC31" i="4"/>
  <c r="AT34" i="4"/>
  <c r="CE35" i="4"/>
  <c r="B38" i="4"/>
  <c r="AV38" i="4"/>
  <c r="BD39" i="4"/>
  <c r="BJ41" i="4"/>
  <c r="T42" i="4"/>
  <c r="AW42" i="4"/>
  <c r="AV42" i="4" s="1"/>
  <c r="CC43" i="4"/>
  <c r="AB44" i="4"/>
  <c r="AA44" i="4" s="1"/>
  <c r="BY44" i="4"/>
  <c r="BX44" i="4" s="1"/>
  <c r="BC45" i="4"/>
  <c r="M47" i="4"/>
  <c r="AH48" i="4"/>
  <c r="AM52" i="4"/>
  <c r="E9" i="5"/>
  <c r="CJ18" i="5"/>
  <c r="CL19" i="5"/>
  <c r="CE21" i="5"/>
  <c r="AA26" i="5"/>
  <c r="BJ27" i="5"/>
  <c r="AO30" i="5"/>
  <c r="BQ36" i="5"/>
  <c r="T38" i="5"/>
  <c r="BV39" i="5"/>
  <c r="CE42" i="5"/>
  <c r="B43" i="5"/>
  <c r="AV44" i="5"/>
  <c r="BH44" i="5"/>
  <c r="CJ44" i="5"/>
  <c r="AI48" i="5"/>
  <c r="AM51" i="5"/>
  <c r="BQ51" i="5"/>
  <c r="AB52" i="5"/>
  <c r="AA52" i="5" s="1"/>
  <c r="AI54" i="5"/>
  <c r="AO57" i="5"/>
  <c r="AI4" i="6"/>
  <c r="T5" i="6"/>
  <c r="BK5" i="6"/>
  <c r="BJ5" i="6" s="1"/>
  <c r="CM5" i="6"/>
  <c r="CF6" i="6"/>
  <c r="CE6" i="6" s="1"/>
  <c r="M7" i="6"/>
  <c r="CM11" i="6"/>
  <c r="CL11" i="6" s="1"/>
  <c r="CM20" i="6"/>
  <c r="N23" i="6"/>
  <c r="B24" i="6"/>
  <c r="Y24" i="6"/>
  <c r="E24" i="6"/>
  <c r="BH26" i="6"/>
  <c r="BD26" i="6"/>
  <c r="BC26" i="6" s="1"/>
  <c r="BO27" i="6"/>
  <c r="AP28" i="6"/>
  <c r="AF30" i="6"/>
  <c r="BK30" i="6"/>
  <c r="BJ31" i="6"/>
  <c r="BO31" i="6"/>
  <c r="AI32" i="6"/>
  <c r="AH32" i="6" s="1"/>
  <c r="AH33" i="6"/>
  <c r="CE34" i="6"/>
  <c r="T36" i="6"/>
  <c r="Y36" i="6"/>
  <c r="AH37" i="6"/>
  <c r="N42" i="6"/>
  <c r="M42" i="6" s="1"/>
  <c r="CM43" i="6"/>
  <c r="CL43" i="6" s="1"/>
  <c r="AP44" i="6"/>
  <c r="AO44" i="6" s="1"/>
  <c r="BA45" i="6"/>
  <c r="AW45" i="6"/>
  <c r="AV45" i="6" s="1"/>
  <c r="N47" i="6"/>
  <c r="AP48" i="6"/>
  <c r="AO48" i="6" s="1"/>
  <c r="B50" i="6"/>
  <c r="BD50" i="6"/>
  <c r="CE51" i="6"/>
  <c r="E52" i="6"/>
  <c r="AT52" i="6"/>
  <c r="AP52" i="6"/>
  <c r="AO52" i="6" s="1"/>
  <c r="BQ54" i="6"/>
  <c r="BK56" i="6"/>
  <c r="BJ56" i="6" s="1"/>
  <c r="AM6" i="7"/>
  <c r="AI6" i="7"/>
  <c r="AH6" i="7" s="1"/>
  <c r="B6" i="7"/>
  <c r="U7" i="7"/>
  <c r="G7" i="7" s="1"/>
  <c r="Y7" i="7"/>
  <c r="E7" i="7"/>
  <c r="K7" i="7" s="1"/>
  <c r="AW8" i="7"/>
  <c r="AV8" i="7" s="1"/>
  <c r="B17" i="7"/>
  <c r="BV18" i="7"/>
  <c r="BR18" i="7"/>
  <c r="BK22" i="7"/>
  <c r="BJ22" i="7" s="1"/>
  <c r="BO22" i="7"/>
  <c r="BY24" i="7"/>
  <c r="BX24" i="7" s="1"/>
  <c r="BR27" i="7"/>
  <c r="BQ27" i="7"/>
  <c r="CF28" i="7"/>
  <c r="BO29" i="7"/>
  <c r="BK29" i="7"/>
  <c r="BJ29" i="7" s="1"/>
  <c r="E30" i="7"/>
  <c r="CL34" i="7"/>
  <c r="CQ34" i="7"/>
  <c r="CM34" i="7"/>
  <c r="BV39" i="7"/>
  <c r="BR39" i="7"/>
  <c r="BQ39" i="7" s="1"/>
  <c r="BQ41" i="7"/>
  <c r="CL46" i="7"/>
  <c r="CQ46" i="7"/>
  <c r="AA51" i="7"/>
  <c r="AF51" i="7"/>
  <c r="AB51" i="7"/>
  <c r="M52" i="7"/>
  <c r="R52" i="7"/>
  <c r="N52" i="7"/>
  <c r="B52" i="7"/>
  <c r="BV9" i="8"/>
  <c r="BR9" i="8"/>
  <c r="BQ9" i="8" s="1"/>
  <c r="CQ6" i="8"/>
  <c r="BH24" i="8"/>
  <c r="E53" i="8"/>
  <c r="K53" i="8" s="1"/>
  <c r="CQ56" i="8"/>
  <c r="Y11" i="9"/>
  <c r="U11" i="9"/>
  <c r="BV12" i="9"/>
  <c r="BR12" i="9"/>
  <c r="BY13" i="9"/>
  <c r="CC13" i="9"/>
  <c r="BV15" i="9"/>
  <c r="BR15" i="9"/>
  <c r="BQ15" i="9" s="1"/>
  <c r="AM19" i="9"/>
  <c r="AI19" i="9"/>
  <c r="AH19" i="9" s="1"/>
  <c r="CQ20" i="9"/>
  <c r="CM20" i="9"/>
  <c r="CL20" i="9" s="1"/>
  <c r="AF29" i="9"/>
  <c r="AB29" i="9"/>
  <c r="AA29" i="9" s="1"/>
  <c r="R40" i="9"/>
  <c r="N40" i="9"/>
  <c r="M40" i="9" s="1"/>
  <c r="AK41" i="9"/>
  <c r="BA50" i="9"/>
  <c r="AW50" i="9"/>
  <c r="AV50" i="9" s="1"/>
  <c r="BH56" i="9"/>
  <c r="BD56" i="9"/>
  <c r="BC56" i="9" s="1"/>
  <c r="CQ7" i="9"/>
  <c r="CM7" i="9"/>
  <c r="CL7" i="9" s="1"/>
  <c r="BD9" i="9"/>
  <c r="BC9" i="9" s="1"/>
  <c r="BK13" i="9"/>
  <c r="BR16" i="9"/>
  <c r="BQ16" i="9" s="1"/>
  <c r="N20" i="9"/>
  <c r="M20" i="9" s="1"/>
  <c r="AB22" i="9"/>
  <c r="AF22" i="9"/>
  <c r="AI23" i="9"/>
  <c r="AH23" i="9" s="1"/>
  <c r="BR23" i="9"/>
  <c r="BQ23" i="9" s="1"/>
  <c r="BH25" i="9"/>
  <c r="BD25" i="9"/>
  <c r="CF26" i="9"/>
  <c r="CE26" i="9" s="1"/>
  <c r="CQ34" i="9"/>
  <c r="CM34" i="9"/>
  <c r="CL34" i="9" s="1"/>
  <c r="BA36" i="9"/>
  <c r="AW36" i="9"/>
  <c r="AV36" i="9" s="1"/>
  <c r="CF44" i="9"/>
  <c r="CJ44" i="9"/>
  <c r="AM54" i="9"/>
  <c r="AI54" i="9"/>
  <c r="AH54" i="9" s="1"/>
  <c r="BC27" i="7"/>
  <c r="BQ37" i="7"/>
  <c r="AO43" i="7"/>
  <c r="AV44" i="7"/>
  <c r="BJ46" i="7"/>
  <c r="BJ48" i="7"/>
  <c r="AF56" i="7"/>
  <c r="AB57" i="7"/>
  <c r="AA57" i="7" s="1"/>
  <c r="BK4" i="8"/>
  <c r="BJ4" i="8" s="1"/>
  <c r="N5" i="8"/>
  <c r="M5" i="8" s="1"/>
  <c r="B6" i="8"/>
  <c r="BH7" i="8"/>
  <c r="AI8" i="8"/>
  <c r="AH8" i="8" s="1"/>
  <c r="BD9" i="8"/>
  <c r="BC9" i="8" s="1"/>
  <c r="M10" i="8"/>
  <c r="BK10" i="8"/>
  <c r="BY10" i="8"/>
  <c r="BX10" i="8" s="1"/>
  <c r="T11" i="8"/>
  <c r="M12" i="8"/>
  <c r="AI14" i="8"/>
  <c r="AH17" i="8"/>
  <c r="N18" i="8"/>
  <c r="M18" i="8" s="1"/>
  <c r="N19" i="8"/>
  <c r="U21" i="8"/>
  <c r="T21" i="8" s="1"/>
  <c r="U23" i="8"/>
  <c r="T23" i="8" s="1"/>
  <c r="CF24" i="8"/>
  <c r="CE24" i="8" s="1"/>
  <c r="BJ25" i="8"/>
  <c r="M27" i="8"/>
  <c r="AP28" i="8"/>
  <c r="AO28" i="8" s="1"/>
  <c r="BY30" i="8"/>
  <c r="BX30" i="8" s="1"/>
  <c r="AW31" i="8"/>
  <c r="AV31" i="8" s="1"/>
  <c r="BX31" i="8"/>
  <c r="BY33" i="8"/>
  <c r="BX33" i="8" s="1"/>
  <c r="BY35" i="8"/>
  <c r="BX35" i="8" s="1"/>
  <c r="CF36" i="8"/>
  <c r="CE36" i="8" s="1"/>
  <c r="AB38" i="8"/>
  <c r="AA38" i="8" s="1"/>
  <c r="AW39" i="8"/>
  <c r="AV39" i="8" s="1"/>
  <c r="AI40" i="8"/>
  <c r="AH40" i="8" s="1"/>
  <c r="BR40" i="8"/>
  <c r="BQ40" i="8" s="1"/>
  <c r="U42" i="8"/>
  <c r="T42" i="8" s="1"/>
  <c r="N43" i="8"/>
  <c r="BY44" i="8"/>
  <c r="BX44" i="8" s="1"/>
  <c r="CM44" i="8"/>
  <c r="CL44" i="8" s="1"/>
  <c r="BY45" i="8"/>
  <c r="BX45" i="8" s="1"/>
  <c r="AW46" i="8"/>
  <c r="AV46" i="8" s="1"/>
  <c r="E47" i="8"/>
  <c r="K47" i="8" s="1"/>
  <c r="BY49" i="8"/>
  <c r="BX49" i="8" s="1"/>
  <c r="T52" i="8"/>
  <c r="AH52" i="8"/>
  <c r="AB56" i="8"/>
  <c r="AA56" i="8" s="1"/>
  <c r="BR57" i="8"/>
  <c r="BQ57" i="8" s="1"/>
  <c r="BI55" i="9"/>
  <c r="B5" i="9"/>
  <c r="BY5" i="9"/>
  <c r="AI7" i="9"/>
  <c r="AH7" i="9" s="1"/>
  <c r="AP9" i="9"/>
  <c r="AO9" i="9" s="1"/>
  <c r="AI12" i="9"/>
  <c r="AM12" i="9"/>
  <c r="BA16" i="9"/>
  <c r="AI20" i="9"/>
  <c r="AH20" i="9" s="1"/>
  <c r="BD20" i="9"/>
  <c r="BC20" i="9" s="1"/>
  <c r="Y25" i="9"/>
  <c r="CL25" i="9"/>
  <c r="CL27" i="9"/>
  <c r="AO33" i="9"/>
  <c r="BR35" i="9"/>
  <c r="BQ35" i="9" s="1"/>
  <c r="BV35" i="9"/>
  <c r="CF35" i="9"/>
  <c r="CE35" i="9" s="1"/>
  <c r="AM36" i="9"/>
  <c r="AI36" i="9"/>
  <c r="AH36" i="9" s="1"/>
  <c r="BV42" i="9"/>
  <c r="BR42" i="9"/>
  <c r="BJ43" i="9"/>
  <c r="BO43" i="9"/>
  <c r="Y48" i="9"/>
  <c r="U48" i="9"/>
  <c r="T48" i="9" s="1"/>
  <c r="BD53" i="9"/>
  <c r="BV53" i="9"/>
  <c r="CM53" i="9"/>
  <c r="CL53" i="9" s="1"/>
  <c r="CC54" i="9"/>
  <c r="CM54" i="9"/>
  <c r="CL54" i="9" s="1"/>
  <c r="AB57" i="9"/>
  <c r="AA57" i="9" s="1"/>
  <c r="AT57" i="9"/>
  <c r="BO57" i="9"/>
  <c r="BK57" i="9"/>
  <c r="BJ57" i="9" s="1"/>
  <c r="S55" i="8"/>
  <c r="S58" i="8" s="1"/>
  <c r="BW55" i="8"/>
  <c r="BW58" i="8" s="1"/>
  <c r="CF9" i="8"/>
  <c r="CE9" i="8" s="1"/>
  <c r="U11" i="8"/>
  <c r="AW16" i="8"/>
  <c r="AV16" i="8" s="1"/>
  <c r="CQ16" i="8"/>
  <c r="AI17" i="8"/>
  <c r="BK17" i="8"/>
  <c r="BJ17" i="8" s="1"/>
  <c r="CM17" i="8"/>
  <c r="CL17" i="8" s="1"/>
  <c r="AF18" i="8"/>
  <c r="AF19" i="8"/>
  <c r="BK25" i="8"/>
  <c r="AW26" i="8"/>
  <c r="AV26" i="8" s="1"/>
  <c r="AB27" i="8"/>
  <c r="AA27" i="8" s="1"/>
  <c r="BR28" i="8"/>
  <c r="BQ28" i="8" s="1"/>
  <c r="BY31" i="8"/>
  <c r="BK35" i="8"/>
  <c r="BJ35" i="8" s="1"/>
  <c r="BV38" i="8"/>
  <c r="CJ39" i="8"/>
  <c r="U40" i="8"/>
  <c r="T40" i="8" s="1"/>
  <c r="BA40" i="8"/>
  <c r="CJ41" i="8"/>
  <c r="AI46" i="8"/>
  <c r="AH46" i="8" s="1"/>
  <c r="Y47" i="8"/>
  <c r="CQ50" i="8"/>
  <c r="U52" i="8"/>
  <c r="N53" i="8"/>
  <c r="AP53" i="8"/>
  <c r="AO53" i="8" s="1"/>
  <c r="CJ53" i="8"/>
  <c r="BQ54" i="8"/>
  <c r="CF54" i="8"/>
  <c r="CE54" i="8" s="1"/>
  <c r="AB57" i="8"/>
  <c r="AA57" i="8" s="1"/>
  <c r="BC57" i="8"/>
  <c r="CC7" i="9"/>
  <c r="BY7" i="9"/>
  <c r="BX7" i="9" s="1"/>
  <c r="BV10" i="9"/>
  <c r="BR10" i="9"/>
  <c r="BQ10" i="9" s="1"/>
  <c r="AF16" i="9"/>
  <c r="AB16" i="9"/>
  <c r="AA16" i="9" s="1"/>
  <c r="Y28" i="9"/>
  <c r="U28" i="9"/>
  <c r="T28" i="9" s="1"/>
  <c r="CQ28" i="9"/>
  <c r="CM28" i="9"/>
  <c r="CE29" i="9"/>
  <c r="CJ29" i="9"/>
  <c r="CF29" i="9"/>
  <c r="BO31" i="9"/>
  <c r="BK31" i="9"/>
  <c r="BH37" i="9"/>
  <c r="CC39" i="9"/>
  <c r="BY39" i="9"/>
  <c r="BX39" i="9" s="1"/>
  <c r="BO40" i="9"/>
  <c r="BH49" i="9"/>
  <c r="CC49" i="9"/>
  <c r="BY49" i="9"/>
  <c r="BX49" i="9" s="1"/>
  <c r="BY54" i="9"/>
  <c r="BX54" i="9" s="1"/>
  <c r="AP57" i="9"/>
  <c r="AO57" i="9" s="1"/>
  <c r="T12" i="6"/>
  <c r="G16" i="6"/>
  <c r="AA26" i="6"/>
  <c r="E29" i="6"/>
  <c r="K29" i="6" s="1"/>
  <c r="AH54" i="6"/>
  <c r="L55" i="7"/>
  <c r="L58" i="7" s="1"/>
  <c r="B14" i="7"/>
  <c r="AO21" i="7"/>
  <c r="BH25" i="7"/>
  <c r="R27" i="7"/>
  <c r="AB28" i="7"/>
  <c r="AA28" i="7" s="1"/>
  <c r="AP28" i="7"/>
  <c r="AO28" i="7" s="1"/>
  <c r="BD28" i="7"/>
  <c r="BC28" i="7" s="1"/>
  <c r="E32" i="7"/>
  <c r="U34" i="7"/>
  <c r="T34" i="7" s="1"/>
  <c r="BY34" i="7"/>
  <c r="BX34" i="7" s="1"/>
  <c r="CE35" i="7"/>
  <c r="BO36" i="7"/>
  <c r="CF39" i="7"/>
  <c r="CE39" i="7" s="1"/>
  <c r="AO41" i="7"/>
  <c r="AW42" i="7"/>
  <c r="AV42" i="7" s="1"/>
  <c r="CM42" i="7"/>
  <c r="CL42" i="7" s="1"/>
  <c r="CM43" i="7"/>
  <c r="CL43" i="7" s="1"/>
  <c r="T44" i="7"/>
  <c r="AA45" i="7"/>
  <c r="AW46" i="7"/>
  <c r="AV46" i="7" s="1"/>
  <c r="BO47" i="7"/>
  <c r="AW48" i="7"/>
  <c r="AV48" i="7" s="1"/>
  <c r="AH50" i="7"/>
  <c r="CM51" i="7"/>
  <c r="AA53" i="7"/>
  <c r="AP54" i="7"/>
  <c r="AO54" i="7" s="1"/>
  <c r="CJ54" i="7"/>
  <c r="AI56" i="7"/>
  <c r="AH56" i="7" s="1"/>
  <c r="AW56" i="7"/>
  <c r="AV56" i="7" s="1"/>
  <c r="BY56" i="7"/>
  <c r="BX56" i="7" s="1"/>
  <c r="U4" i="8"/>
  <c r="T4" i="8" s="1"/>
  <c r="CM4" i="8"/>
  <c r="CL4" i="8" s="1"/>
  <c r="BO5" i="8"/>
  <c r="CF5" i="8"/>
  <c r="CE5" i="8" s="1"/>
  <c r="AB6" i="8"/>
  <c r="AA6" i="8" s="1"/>
  <c r="CL6" i="8"/>
  <c r="AW9" i="8"/>
  <c r="AV9" i="8" s="1"/>
  <c r="B11" i="8"/>
  <c r="CF11" i="8"/>
  <c r="CE11" i="8" s="1"/>
  <c r="AP13" i="8"/>
  <c r="AO13" i="8" s="1"/>
  <c r="AA15" i="8"/>
  <c r="AM15" i="8"/>
  <c r="BD15" i="8"/>
  <c r="BC15" i="8" s="1"/>
  <c r="AH16" i="8"/>
  <c r="BK18" i="8"/>
  <c r="BJ18" i="8" s="1"/>
  <c r="AP20" i="8"/>
  <c r="AO20" i="8" s="1"/>
  <c r="AH21" i="8"/>
  <c r="AV21" i="8"/>
  <c r="BK21" i="8"/>
  <c r="BJ21" i="8" s="1"/>
  <c r="CM21" i="8"/>
  <c r="CL21" i="8" s="1"/>
  <c r="BC24" i="8"/>
  <c r="AW25" i="8"/>
  <c r="AV25" i="8" s="1"/>
  <c r="E26" i="8"/>
  <c r="R27" i="8"/>
  <c r="CM28" i="8"/>
  <c r="CL28" i="8" s="1"/>
  <c r="AW29" i="8"/>
  <c r="AV29" i="8" s="1"/>
  <c r="BX29" i="8"/>
  <c r="U30" i="8"/>
  <c r="U31" i="8"/>
  <c r="T31" i="8" s="1"/>
  <c r="AW33" i="8"/>
  <c r="AV33" i="8" s="1"/>
  <c r="AB34" i="8"/>
  <c r="AA34" i="8" s="1"/>
  <c r="BD34" i="8"/>
  <c r="BC34" i="8" s="1"/>
  <c r="AI35" i="8"/>
  <c r="AH35" i="8" s="1"/>
  <c r="AF37" i="8"/>
  <c r="U39" i="8"/>
  <c r="T39" i="8" s="1"/>
  <c r="AI39" i="8"/>
  <c r="AH39" i="8" s="1"/>
  <c r="AI43" i="8"/>
  <c r="AH43" i="8" s="1"/>
  <c r="AI44" i="8"/>
  <c r="AH44" i="8" s="1"/>
  <c r="R45" i="8"/>
  <c r="AP47" i="8"/>
  <c r="AO47" i="8" s="1"/>
  <c r="AW49" i="8"/>
  <c r="AV49" i="8" s="1"/>
  <c r="AM51" i="8"/>
  <c r="BO51" i="8"/>
  <c r="BA52" i="8"/>
  <c r="BR52" i="8"/>
  <c r="BQ52" i="8" s="1"/>
  <c r="AA53" i="8"/>
  <c r="BC54" i="8"/>
  <c r="BR54" i="8"/>
  <c r="N56" i="8"/>
  <c r="CL56" i="8"/>
  <c r="N57" i="8"/>
  <c r="M57" i="8" s="1"/>
  <c r="AT57" i="8"/>
  <c r="CD55" i="9"/>
  <c r="CD58" i="9" s="1"/>
  <c r="U7" i="9"/>
  <c r="Y7" i="9"/>
  <c r="CJ8" i="9"/>
  <c r="CF8" i="9"/>
  <c r="CE8" i="9" s="1"/>
  <c r="BY11" i="9"/>
  <c r="U12" i="9"/>
  <c r="T12" i="9" s="1"/>
  <c r="AM13" i="9"/>
  <c r="AI13" i="9"/>
  <c r="B16" i="9"/>
  <c r="BD17" i="9"/>
  <c r="CQ19" i="9"/>
  <c r="CM19" i="9"/>
  <c r="CL19" i="9" s="1"/>
  <c r="AW21" i="9"/>
  <c r="AV21" i="9" s="1"/>
  <c r="CF21" i="9"/>
  <c r="CE21" i="9" s="1"/>
  <c r="Y23" i="9"/>
  <c r="U23" i="9"/>
  <c r="T23" i="9" s="1"/>
  <c r="AO24" i="9"/>
  <c r="BY24" i="9"/>
  <c r="Y26" i="9"/>
  <c r="BK27" i="9"/>
  <c r="BJ27" i="9" s="1"/>
  <c r="BX28" i="9"/>
  <c r="CC28" i="9"/>
  <c r="CL28" i="9"/>
  <c r="BD30" i="9"/>
  <c r="BC30" i="9" s="1"/>
  <c r="AV31" i="9"/>
  <c r="BA31" i="9"/>
  <c r="BJ31" i="9"/>
  <c r="BD35" i="9"/>
  <c r="BC35" i="9" s="1"/>
  <c r="N37" i="9"/>
  <c r="M37" i="9" s="1"/>
  <c r="AP37" i="9"/>
  <c r="AO37" i="9" s="1"/>
  <c r="BD37" i="9"/>
  <c r="BC37" i="9" s="1"/>
  <c r="CJ43" i="9"/>
  <c r="CF43" i="9"/>
  <c r="CE43" i="9" s="1"/>
  <c r="BD45" i="9"/>
  <c r="BC45" i="9" s="1"/>
  <c r="AB49" i="9"/>
  <c r="AA49" i="9" s="1"/>
  <c r="F49" i="9" s="1"/>
  <c r="BA49" i="9"/>
  <c r="AW49" i="9"/>
  <c r="BD51" i="9"/>
  <c r="BC51" i="9" s="1"/>
  <c r="AB53" i="9"/>
  <c r="AA53" i="9" s="1"/>
  <c r="AP53" i="9"/>
  <c r="AO53" i="9" s="1"/>
  <c r="AT53" i="9"/>
  <c r="BO54" i="9"/>
  <c r="BK54" i="9"/>
  <c r="BH27" i="7"/>
  <c r="BX27" i="7"/>
  <c r="AO33" i="7"/>
  <c r="CQ36" i="7"/>
  <c r="AT43" i="7"/>
  <c r="CC47" i="7"/>
  <c r="E57" i="7"/>
  <c r="BD4" i="8"/>
  <c r="BC4" i="8" s="1"/>
  <c r="CD55" i="8"/>
  <c r="AF5" i="8"/>
  <c r="AF7" i="8"/>
  <c r="R12" i="8"/>
  <c r="Y14" i="8"/>
  <c r="BQ14" i="8"/>
  <c r="AB15" i="8"/>
  <c r="CE16" i="8"/>
  <c r="Y17" i="8"/>
  <c r="BA17" i="8"/>
  <c r="CC17" i="8"/>
  <c r="R18" i="8"/>
  <c r="BK19" i="8"/>
  <c r="BJ19" i="8" s="1"/>
  <c r="AI21" i="8"/>
  <c r="AW21" i="8"/>
  <c r="BR22" i="8"/>
  <c r="BQ22" i="8" s="1"/>
  <c r="BY23" i="8"/>
  <c r="BX23" i="8" s="1"/>
  <c r="AO24" i="8"/>
  <c r="CF25" i="8"/>
  <c r="CE25" i="8" s="1"/>
  <c r="BH28" i="8"/>
  <c r="T29" i="8"/>
  <c r="BY29" i="8"/>
  <c r="BO31" i="8"/>
  <c r="AH32" i="8"/>
  <c r="BK32" i="8"/>
  <c r="BJ32" i="8" s="1"/>
  <c r="T33" i="8"/>
  <c r="N34" i="8"/>
  <c r="U35" i="8"/>
  <c r="T35" i="8" s="1"/>
  <c r="BD36" i="8"/>
  <c r="BC36" i="8" s="1"/>
  <c r="BR37" i="8"/>
  <c r="BQ37" i="8" s="1"/>
  <c r="AT38" i="8"/>
  <c r="E41" i="8"/>
  <c r="K41" i="8" s="1"/>
  <c r="AP42" i="8"/>
  <c r="AO42" i="8" s="1"/>
  <c r="E44" i="8"/>
  <c r="K44" i="8" s="1"/>
  <c r="U44" i="8"/>
  <c r="T44" i="8" s="1"/>
  <c r="CM47" i="8"/>
  <c r="CL47" i="8" s="1"/>
  <c r="AW48" i="8"/>
  <c r="AV48" i="8" s="1"/>
  <c r="BC51" i="8"/>
  <c r="CF51" i="8"/>
  <c r="CE51" i="8" s="1"/>
  <c r="Y52" i="8"/>
  <c r="BH53" i="8"/>
  <c r="AO54" i="8"/>
  <c r="BD54" i="8"/>
  <c r="BJ56" i="8"/>
  <c r="BX56" i="8"/>
  <c r="AF57" i="8"/>
  <c r="BH57" i="8"/>
  <c r="M8" i="9"/>
  <c r="AT11" i="9"/>
  <c r="CM12" i="9"/>
  <c r="CQ12" i="9"/>
  <c r="N13" i="9"/>
  <c r="CC17" i="9"/>
  <c r="BY17" i="9"/>
  <c r="BX17" i="9" s="1"/>
  <c r="BA19" i="9"/>
  <c r="AW19" i="9"/>
  <c r="AV19" i="9" s="1"/>
  <c r="AP24" i="9"/>
  <c r="BY28" i="9"/>
  <c r="BC29" i="9"/>
  <c r="BH29" i="9"/>
  <c r="AW31" i="9"/>
  <c r="AB35" i="9"/>
  <c r="AA35" i="9" s="1"/>
  <c r="BJ38" i="9"/>
  <c r="BO38" i="9"/>
  <c r="AB39" i="9"/>
  <c r="BA39" i="9"/>
  <c r="AW39" i="9"/>
  <c r="AV39" i="9" s="1"/>
  <c r="AV49" i="9"/>
  <c r="BJ54" i="9"/>
  <c r="CF56" i="9"/>
  <c r="CE56" i="9" s="1"/>
  <c r="BQ57" i="9"/>
  <c r="BA10" i="6"/>
  <c r="AW14" i="6"/>
  <c r="AV14" i="6" s="1"/>
  <c r="E28" i="6"/>
  <c r="CL31" i="6"/>
  <c r="AB33" i="6"/>
  <c r="AA33" i="6" s="1"/>
  <c r="AP35" i="6"/>
  <c r="AO35" i="6" s="1"/>
  <c r="AV47" i="6"/>
  <c r="AW54" i="6"/>
  <c r="AV54" i="6" s="1"/>
  <c r="BA56" i="6"/>
  <c r="CM57" i="6"/>
  <c r="CL57" i="6" s="1"/>
  <c r="N4" i="7"/>
  <c r="M4" i="7" s="1"/>
  <c r="AB10" i="7"/>
  <c r="AA10" i="7" s="1"/>
  <c r="AF11" i="7"/>
  <c r="AV16" i="7"/>
  <c r="AB18" i="7"/>
  <c r="AA18" i="7" s="1"/>
  <c r="AV19" i="7"/>
  <c r="U20" i="7"/>
  <c r="T20" i="7" s="1"/>
  <c r="AA23" i="7"/>
  <c r="CJ23" i="7"/>
  <c r="AI27" i="7"/>
  <c r="BY27" i="7"/>
  <c r="AB29" i="7"/>
  <c r="U30" i="7"/>
  <c r="T30" i="7" s="1"/>
  <c r="BC31" i="7"/>
  <c r="AP33" i="7"/>
  <c r="AP36" i="7"/>
  <c r="BD36" i="7"/>
  <c r="BC36" i="7" s="1"/>
  <c r="BQ36" i="7"/>
  <c r="CE36" i="7"/>
  <c r="BH37" i="7"/>
  <c r="BV37" i="7"/>
  <c r="BJ39" i="7"/>
  <c r="BX39" i="7"/>
  <c r="CC43" i="7"/>
  <c r="BA44" i="7"/>
  <c r="CE44" i="7"/>
  <c r="BO46" i="7"/>
  <c r="BR47" i="7"/>
  <c r="BQ47" i="7" s="1"/>
  <c r="BO48" i="7"/>
  <c r="N49" i="7"/>
  <c r="M49" i="7" s="1"/>
  <c r="BK51" i="7"/>
  <c r="BJ51" i="7" s="1"/>
  <c r="CM54" i="7"/>
  <c r="CL54" i="7" s="1"/>
  <c r="BO56" i="7"/>
  <c r="CE4" i="8"/>
  <c r="BR7" i="8"/>
  <c r="B12" i="8"/>
  <c r="BQ12" i="8"/>
  <c r="E14" i="8"/>
  <c r="BD14" i="8"/>
  <c r="CJ14" i="8"/>
  <c r="BR16" i="8"/>
  <c r="BA18" i="8"/>
  <c r="B19" i="8"/>
  <c r="BJ20" i="8"/>
  <c r="CJ22" i="8"/>
  <c r="AP26" i="8"/>
  <c r="AO26" i="8" s="1"/>
  <c r="AT36" i="8"/>
  <c r="AM48" i="8"/>
  <c r="AF49" i="8"/>
  <c r="AF53" i="8"/>
  <c r="BV54" i="8"/>
  <c r="AV56" i="8"/>
  <c r="S55" i="9"/>
  <c r="S58" i="9" s="1"/>
  <c r="B4" i="9"/>
  <c r="R24" i="9"/>
  <c r="E24" i="9"/>
  <c r="K24" i="9" s="1"/>
  <c r="CC25" i="9"/>
  <c r="AP29" i="9"/>
  <c r="AO29" i="9" s="1"/>
  <c r="AM31" i="9"/>
  <c r="AI31" i="9"/>
  <c r="R35" i="9"/>
  <c r="BH36" i="9"/>
  <c r="H41" i="9"/>
  <c r="AI41" i="9"/>
  <c r="AM41" i="9"/>
  <c r="M42" i="9"/>
  <c r="R42" i="9"/>
  <c r="N42" i="9"/>
  <c r="BK46" i="9"/>
  <c r="BJ46" i="9" s="1"/>
  <c r="Y47" i="9"/>
  <c r="AP47" i="9"/>
  <c r="AO47" i="9" s="1"/>
  <c r="E48" i="9"/>
  <c r="AF49" i="9"/>
  <c r="BK52" i="9"/>
  <c r="BJ52" i="9" s="1"/>
  <c r="BR56" i="9"/>
  <c r="BQ56" i="9" s="1"/>
  <c r="BR57" i="9"/>
  <c r="CL9" i="6"/>
  <c r="BO10" i="6"/>
  <c r="R11" i="6"/>
  <c r="Y12" i="6"/>
  <c r="E14" i="6"/>
  <c r="K14" i="6" s="1"/>
  <c r="AO17" i="6"/>
  <c r="BC17" i="6"/>
  <c r="T18" i="6"/>
  <c r="BK18" i="6"/>
  <c r="BJ18" i="6" s="1"/>
  <c r="CL19" i="6"/>
  <c r="T21" i="6"/>
  <c r="BO21" i="6"/>
  <c r="CC21" i="6"/>
  <c r="M24" i="6"/>
  <c r="AH25" i="6"/>
  <c r="AW25" i="6"/>
  <c r="AV25" i="6" s="1"/>
  <c r="AW26" i="6"/>
  <c r="AW29" i="6"/>
  <c r="AO31" i="6"/>
  <c r="CM31" i="6"/>
  <c r="BK34" i="6"/>
  <c r="BJ34" i="6" s="1"/>
  <c r="AH43" i="6"/>
  <c r="BQ45" i="6"/>
  <c r="AW47" i="6"/>
  <c r="N48" i="6"/>
  <c r="AM48" i="6"/>
  <c r="BH52" i="6"/>
  <c r="CM52" i="6"/>
  <c r="AA53" i="6"/>
  <c r="AO53" i="6"/>
  <c r="BH57" i="6"/>
  <c r="BD6" i="7"/>
  <c r="BD12" i="7"/>
  <c r="BC12" i="7" s="1"/>
  <c r="BQ14" i="7"/>
  <c r="T16" i="7"/>
  <c r="BD17" i="7"/>
  <c r="BC17" i="7" s="1"/>
  <c r="AI19" i="7"/>
  <c r="AH21" i="7"/>
  <c r="CL21" i="7"/>
  <c r="CF22" i="7"/>
  <c r="CE22" i="7" s="1"/>
  <c r="M23" i="7"/>
  <c r="AO23" i="7"/>
  <c r="BV23" i="7"/>
  <c r="CL23" i="7"/>
  <c r="BQ25" i="7"/>
  <c r="U28" i="7"/>
  <c r="T28" i="7" s="1"/>
  <c r="Y30" i="7"/>
  <c r="BQ30" i="7"/>
  <c r="BD31" i="7"/>
  <c r="AW32" i="7"/>
  <c r="BX33" i="7"/>
  <c r="AA35" i="7"/>
  <c r="BD35" i="7"/>
  <c r="BC35" i="7" s="1"/>
  <c r="M36" i="7"/>
  <c r="BR36" i="7"/>
  <c r="CF36" i="7"/>
  <c r="BH40" i="7"/>
  <c r="AP42" i="7"/>
  <c r="BO43" i="7"/>
  <c r="AV45" i="7"/>
  <c r="CC45" i="7"/>
  <c r="AO46" i="7"/>
  <c r="BD47" i="7"/>
  <c r="BC47" i="7" s="1"/>
  <c r="CE47" i="7"/>
  <c r="AA48" i="7"/>
  <c r="AO48" i="7"/>
  <c r="CF51" i="7"/>
  <c r="CE51" i="7" s="1"/>
  <c r="AP52" i="7"/>
  <c r="AO52" i="7" s="1"/>
  <c r="AH57" i="7"/>
  <c r="CF4" i="8"/>
  <c r="R6" i="8"/>
  <c r="CE6" i="8"/>
  <c r="CJ7" i="8"/>
  <c r="AF8" i="8"/>
  <c r="AP10" i="8"/>
  <c r="AO10" i="8" s="1"/>
  <c r="BX11" i="8"/>
  <c r="CE12" i="8"/>
  <c r="E16" i="8"/>
  <c r="K16" i="8" s="1"/>
  <c r="CE18" i="8"/>
  <c r="E21" i="8"/>
  <c r="K21" i="8" s="1"/>
  <c r="BY24" i="8"/>
  <c r="BX24" i="8" s="1"/>
  <c r="E27" i="8"/>
  <c r="AM29" i="8"/>
  <c r="BQ29" i="8"/>
  <c r="BC31" i="8"/>
  <c r="AP33" i="8"/>
  <c r="AO33" i="8" s="1"/>
  <c r="AW34" i="8"/>
  <c r="AV34" i="8" s="1"/>
  <c r="BD35" i="8"/>
  <c r="BC35" i="8" s="1"/>
  <c r="AP37" i="8"/>
  <c r="AO37" i="8" s="1"/>
  <c r="CJ37" i="8"/>
  <c r="CF38" i="8"/>
  <c r="CE38" i="8" s="1"/>
  <c r="BH39" i="8"/>
  <c r="CC40" i="8"/>
  <c r="BH41" i="8"/>
  <c r="BK47" i="8"/>
  <c r="BJ47" i="8" s="1"/>
  <c r="BR48" i="8"/>
  <c r="BQ48" i="8" s="1"/>
  <c r="BR49" i="8"/>
  <c r="BQ49" i="8" s="1"/>
  <c r="T50" i="8"/>
  <c r="AW50" i="8"/>
  <c r="AV50" i="8" s="1"/>
  <c r="BK50" i="8"/>
  <c r="BJ50" i="8" s="1"/>
  <c r="CF50" i="8"/>
  <c r="CE50" i="8" s="1"/>
  <c r="CQ52" i="8"/>
  <c r="AB54" i="8"/>
  <c r="AA54" i="8" s="1"/>
  <c r="AW56" i="8"/>
  <c r="BC5" i="9"/>
  <c r="AI6" i="9"/>
  <c r="AH6" i="9" s="1"/>
  <c r="CC6" i="9"/>
  <c r="BY6" i="9"/>
  <c r="CF9" i="9"/>
  <c r="CE9" i="9" s="1"/>
  <c r="BX10" i="9"/>
  <c r="U14" i="9"/>
  <c r="T14" i="9" s="1"/>
  <c r="Y15" i="9"/>
  <c r="E15" i="9"/>
  <c r="CJ21" i="9"/>
  <c r="BD22" i="9"/>
  <c r="BC22" i="9" s="1"/>
  <c r="M24" i="9"/>
  <c r="AI27" i="9"/>
  <c r="AH27" i="9" s="1"/>
  <c r="AV28" i="9"/>
  <c r="BA28" i="9"/>
  <c r="AA30" i="9"/>
  <c r="Y31" i="9"/>
  <c r="E31" i="9"/>
  <c r="K31" i="9" s="1"/>
  <c r="AH31" i="9"/>
  <c r="BR31" i="9"/>
  <c r="BQ31" i="9" s="1"/>
  <c r="BV31" i="9"/>
  <c r="Y32" i="9"/>
  <c r="BQ33" i="9"/>
  <c r="N35" i="9"/>
  <c r="M35" i="9" s="1"/>
  <c r="BY36" i="9"/>
  <c r="BX36" i="9" s="1"/>
  <c r="CF38" i="9"/>
  <c r="E40" i="9"/>
  <c r="K40" i="9" s="1"/>
  <c r="AJ41" i="9"/>
  <c r="CJ42" i="9"/>
  <c r="CF42" i="9"/>
  <c r="CE42" i="9" s="1"/>
  <c r="AF45" i="9"/>
  <c r="AB45" i="9"/>
  <c r="AA45" i="9" s="1"/>
  <c r="CJ46" i="9"/>
  <c r="CF46" i="9"/>
  <c r="U49" i="9"/>
  <c r="T49" i="9" s="1"/>
  <c r="E49" i="9"/>
  <c r="B52" i="9"/>
  <c r="R52" i="9"/>
  <c r="AW52" i="9"/>
  <c r="AV52" i="9" s="1"/>
  <c r="BA54" i="9"/>
  <c r="AW54" i="9"/>
  <c r="AV54" i="9" s="1"/>
  <c r="CM57" i="9"/>
  <c r="CL57" i="9" s="1"/>
  <c r="AT9" i="10"/>
  <c r="AC10" i="10"/>
  <c r="AQ10" i="10"/>
  <c r="BV12" i="10"/>
  <c r="V13" i="10"/>
  <c r="BA24" i="10"/>
  <c r="AW24" i="10"/>
  <c r="AV24" i="10" s="1"/>
  <c r="U31" i="10"/>
  <c r="Y31" i="10"/>
  <c r="AY36" i="10"/>
  <c r="AX36" i="10" s="1"/>
  <c r="BL39" i="10"/>
  <c r="AI45" i="10"/>
  <c r="AM45" i="10"/>
  <c r="AW47" i="10"/>
  <c r="BA47" i="10"/>
  <c r="BT50" i="10"/>
  <c r="BS50" i="10" s="1"/>
  <c r="BA10" i="13"/>
  <c r="AX10" i="13"/>
  <c r="H10" i="13" s="1"/>
  <c r="CF11" i="13"/>
  <c r="CE11" i="13" s="1"/>
  <c r="CJ11" i="13"/>
  <c r="BH6" i="10"/>
  <c r="BS6" i="10"/>
  <c r="CL8" i="10"/>
  <c r="J9" i="10"/>
  <c r="AP9" i="10"/>
  <c r="CL9" i="10"/>
  <c r="CM10" i="10"/>
  <c r="AO11" i="10"/>
  <c r="AJ13" i="10"/>
  <c r="BZ13" i="10"/>
  <c r="AH14" i="10"/>
  <c r="BL14" i="10"/>
  <c r="BZ15" i="10"/>
  <c r="B16" i="10"/>
  <c r="AO17" i="10"/>
  <c r="AT17" i="10"/>
  <c r="BO17" i="10"/>
  <c r="BJ17" i="10"/>
  <c r="Y19" i="10"/>
  <c r="U19" i="10"/>
  <c r="T19" i="10" s="1"/>
  <c r="CC19" i="10"/>
  <c r="BY19" i="10"/>
  <c r="BX19" i="10" s="1"/>
  <c r="CC21" i="10"/>
  <c r="BX21" i="10"/>
  <c r="AB22" i="10"/>
  <c r="AF22" i="10"/>
  <c r="AM24" i="10"/>
  <c r="AI24" i="10"/>
  <c r="AH24" i="10" s="1"/>
  <c r="AI25" i="10"/>
  <c r="AM25" i="10"/>
  <c r="BQ27" i="10"/>
  <c r="BH29" i="10"/>
  <c r="CC29" i="10"/>
  <c r="BX29" i="10"/>
  <c r="AR30" i="10"/>
  <c r="AQ30" i="10"/>
  <c r="AQ31" i="10"/>
  <c r="BD34" i="10"/>
  <c r="BH34" i="10"/>
  <c r="U35" i="10"/>
  <c r="T35" i="10" s="1"/>
  <c r="AX37" i="10"/>
  <c r="Y38" i="10"/>
  <c r="V38" i="10"/>
  <c r="CG40" i="10"/>
  <c r="BK42" i="10"/>
  <c r="BJ42" i="10" s="1"/>
  <c r="AF43" i="10"/>
  <c r="AB43" i="10"/>
  <c r="AA43" i="10" s="1"/>
  <c r="E45" i="10"/>
  <c r="K45" i="10" s="1"/>
  <c r="T45" i="10"/>
  <c r="BE45" i="10"/>
  <c r="CM47" i="10"/>
  <c r="CL47" i="10" s="1"/>
  <c r="BR48" i="10"/>
  <c r="BV48" i="10"/>
  <c r="E53" i="10"/>
  <c r="N53" i="10"/>
  <c r="CF8" i="13"/>
  <c r="CJ8" i="13"/>
  <c r="BE7" i="10"/>
  <c r="BE8" i="10"/>
  <c r="BE9" i="10"/>
  <c r="AP11" i="10"/>
  <c r="CL14" i="10"/>
  <c r="AR15" i="10"/>
  <c r="AQ15" i="10" s="1"/>
  <c r="BH15" i="10"/>
  <c r="BX18" i="10"/>
  <c r="CC18" i="10"/>
  <c r="BY18" i="10"/>
  <c r="BJ26" i="10"/>
  <c r="BO26" i="10"/>
  <c r="BK26" i="10"/>
  <c r="R27" i="10"/>
  <c r="N27" i="10"/>
  <c r="M27" i="10" s="1"/>
  <c r="BR27" i="10"/>
  <c r="BD29" i="10"/>
  <c r="BC29" i="10" s="1"/>
  <c r="BY29" i="10"/>
  <c r="BO30" i="10"/>
  <c r="BM30" i="10"/>
  <c r="BL30" i="10" s="1"/>
  <c r="AT31" i="10"/>
  <c r="BO31" i="10"/>
  <c r="BJ31" i="10"/>
  <c r="BH32" i="10"/>
  <c r="BD32" i="10"/>
  <c r="BC32" i="10" s="1"/>
  <c r="AP35" i="10"/>
  <c r="BD35" i="10"/>
  <c r="BV37" i="10"/>
  <c r="BR37" i="10"/>
  <c r="BQ37" i="10" s="1"/>
  <c r="AA38" i="10"/>
  <c r="AB38" i="10"/>
  <c r="Y40" i="10"/>
  <c r="U40" i="10"/>
  <c r="T40" i="10" s="1"/>
  <c r="AC40" i="10"/>
  <c r="R43" i="10"/>
  <c r="N43" i="10"/>
  <c r="M43" i="10" s="1"/>
  <c r="AY48" i="10"/>
  <c r="AX48" i="10"/>
  <c r="BT48" i="10"/>
  <c r="BS48" i="10"/>
  <c r="AV57" i="10"/>
  <c r="BA57" i="10"/>
  <c r="AW57" i="10"/>
  <c r="V4" i="13"/>
  <c r="J4" i="13"/>
  <c r="AO5" i="10"/>
  <c r="CJ22" i="10"/>
  <c r="CF22" i="10"/>
  <c r="CE22" i="10" s="1"/>
  <c r="BC25" i="10"/>
  <c r="BH25" i="10"/>
  <c r="BD25" i="10"/>
  <c r="BY34" i="10"/>
  <c r="BX34" i="10" s="1"/>
  <c r="BY35" i="10"/>
  <c r="BX35" i="10"/>
  <c r="CN36" i="10"/>
  <c r="BT39" i="10"/>
  <c r="BS39" i="10" s="1"/>
  <c r="R42" i="10"/>
  <c r="N42" i="10"/>
  <c r="M42" i="10" s="1"/>
  <c r="AY43" i="10"/>
  <c r="AX43" i="10"/>
  <c r="AP44" i="10"/>
  <c r="CQ47" i="10"/>
  <c r="BE9" i="13"/>
  <c r="BH9" i="13"/>
  <c r="AG55" i="9"/>
  <c r="AG58" i="9" s="1"/>
  <c r="AO25" i="9"/>
  <c r="BQ25" i="9"/>
  <c r="E26" i="9"/>
  <c r="AA26" i="9"/>
  <c r="CL32" i="9"/>
  <c r="AA43" i="9"/>
  <c r="AF48" i="9"/>
  <c r="AA4" i="10"/>
  <c r="AP5" i="10"/>
  <c r="BJ7" i="10"/>
  <c r="BV7" i="10"/>
  <c r="CQ7" i="10"/>
  <c r="BK8" i="10"/>
  <c r="BJ8" i="10" s="1"/>
  <c r="CQ8" i="10"/>
  <c r="AM9" i="10"/>
  <c r="U10" i="10"/>
  <c r="T10" i="10" s="1"/>
  <c r="BQ10" i="10"/>
  <c r="CF10" i="10"/>
  <c r="CE10" i="10" s="1"/>
  <c r="AI11" i="10"/>
  <c r="AH11" i="10" s="1"/>
  <c r="M13" i="10"/>
  <c r="AX13" i="10"/>
  <c r="BQ13" i="10"/>
  <c r="BV14" i="10"/>
  <c r="B15" i="10"/>
  <c r="AV15" i="10"/>
  <c r="CJ15" i="10"/>
  <c r="CF15" i="10"/>
  <c r="CE15" i="10" s="1"/>
  <c r="CJ16" i="10"/>
  <c r="M17" i="10"/>
  <c r="R17" i="10"/>
  <c r="E19" i="10"/>
  <c r="K19" i="10" s="1"/>
  <c r="Y21" i="10"/>
  <c r="U21" i="10"/>
  <c r="T21" i="10" s="1"/>
  <c r="AT21" i="10"/>
  <c r="AP21" i="10"/>
  <c r="AO21" i="10" s="1"/>
  <c r="BH22" i="10"/>
  <c r="BD22" i="10"/>
  <c r="BC22" i="10" s="1"/>
  <c r="CF23" i="10"/>
  <c r="CE23" i="10" s="1"/>
  <c r="Y24" i="10"/>
  <c r="U24" i="10"/>
  <c r="BV27" i="10"/>
  <c r="J30" i="10"/>
  <c r="AP32" i="10"/>
  <c r="AO32" i="10" s="1"/>
  <c r="N34" i="10"/>
  <c r="Y35" i="10"/>
  <c r="BO42" i="10"/>
  <c r="BH43" i="10"/>
  <c r="BD43" i="10"/>
  <c r="BL43" i="10"/>
  <c r="Y45" i="10"/>
  <c r="BO47" i="10"/>
  <c r="BK47" i="10"/>
  <c r="BJ47" i="10" s="1"/>
  <c r="CC47" i="10"/>
  <c r="BY47" i="10"/>
  <c r="BX47" i="10" s="1"/>
  <c r="AI48" i="10"/>
  <c r="AH48" i="10" s="1"/>
  <c r="AH4" i="9"/>
  <c r="AW5" i="9"/>
  <c r="AV5" i="9" s="1"/>
  <c r="E7" i="9"/>
  <c r="K7" i="9" s="1"/>
  <c r="BC8" i="9"/>
  <c r="BR8" i="9"/>
  <c r="BQ8" i="9" s="1"/>
  <c r="BD12" i="9"/>
  <c r="BC12" i="9" s="1"/>
  <c r="AB15" i="9"/>
  <c r="AA15" i="9" s="1"/>
  <c r="AB32" i="9"/>
  <c r="AA32" i="9" s="1"/>
  <c r="R36" i="9"/>
  <c r="AM38" i="9"/>
  <c r="BD38" i="9"/>
  <c r="BC38" i="9" s="1"/>
  <c r="B39" i="9"/>
  <c r="AA40" i="9"/>
  <c r="AB42" i="9"/>
  <c r="AA42" i="9" s="1"/>
  <c r="AM42" i="9"/>
  <c r="BD42" i="9"/>
  <c r="AB43" i="9"/>
  <c r="AM43" i="9"/>
  <c r="BD43" i="9"/>
  <c r="BY45" i="9"/>
  <c r="BX45" i="9" s="1"/>
  <c r="AH48" i="9"/>
  <c r="Y51" i="9"/>
  <c r="BR52" i="9"/>
  <c r="U54" i="9"/>
  <c r="T54" i="9" s="1"/>
  <c r="AV4" i="10"/>
  <c r="BC5" i="10"/>
  <c r="BC6" i="10"/>
  <c r="BL6" i="10"/>
  <c r="BK7" i="10"/>
  <c r="CL7" i="10"/>
  <c r="T8" i="10"/>
  <c r="AW8" i="10"/>
  <c r="AJ9" i="10"/>
  <c r="CG9" i="10"/>
  <c r="J10" i="10"/>
  <c r="AT10" i="10"/>
  <c r="BA10" i="10"/>
  <c r="CG10" i="10"/>
  <c r="AJ11" i="10"/>
  <c r="U12" i="10"/>
  <c r="T12" i="10" s="1"/>
  <c r="BA12" i="10"/>
  <c r="BS12" i="10"/>
  <c r="CJ12" i="10"/>
  <c r="CN12" i="10"/>
  <c r="BH14" i="10"/>
  <c r="G15" i="10"/>
  <c r="AC15" i="10"/>
  <c r="AW15" i="10"/>
  <c r="BR16" i="10"/>
  <c r="BV16" i="10"/>
  <c r="CQ16" i="10"/>
  <c r="N17" i="10"/>
  <c r="BO21" i="10"/>
  <c r="BK21" i="10"/>
  <c r="BJ21" i="10" s="1"/>
  <c r="CC24" i="10"/>
  <c r="BY24" i="10"/>
  <c r="AM26" i="10"/>
  <c r="AI26" i="10"/>
  <c r="AP27" i="10"/>
  <c r="B29" i="10"/>
  <c r="AB29" i="10"/>
  <c r="AM30" i="10"/>
  <c r="BD30" i="10"/>
  <c r="BC30" i="10" s="1"/>
  <c r="CN30" i="10"/>
  <c r="AV34" i="10"/>
  <c r="AW34" i="10"/>
  <c r="B35" i="10"/>
  <c r="AF35" i="10"/>
  <c r="AB35" i="10"/>
  <c r="AA35" i="10" s="1"/>
  <c r="AW35" i="10"/>
  <c r="AV35" i="10" s="1"/>
  <c r="BX39" i="10"/>
  <c r="Y41" i="10"/>
  <c r="B41" i="10"/>
  <c r="BH41" i="10"/>
  <c r="BC41" i="10"/>
  <c r="BQ42" i="10"/>
  <c r="BV42" i="10"/>
  <c r="BR42" i="10"/>
  <c r="BC43" i="10"/>
  <c r="AC44" i="10"/>
  <c r="BL44" i="10"/>
  <c r="AM46" i="10"/>
  <c r="AH46" i="10"/>
  <c r="BA46" i="10"/>
  <c r="AW46" i="10"/>
  <c r="AV46" i="10" s="1"/>
  <c r="AF47" i="10"/>
  <c r="AB47" i="10"/>
  <c r="AA47" i="10" s="1"/>
  <c r="AT54" i="10"/>
  <c r="AP54" i="10"/>
  <c r="AO54" i="10" s="1"/>
  <c r="L55" i="9"/>
  <c r="L58" i="9" s="1"/>
  <c r="AI4" i="9"/>
  <c r="BB55" i="9"/>
  <c r="AT6" i="9"/>
  <c r="B9" i="9"/>
  <c r="BD10" i="9"/>
  <c r="BC10" i="9" s="1"/>
  <c r="E11" i="9"/>
  <c r="K11" i="9" s="1"/>
  <c r="BA13" i="9"/>
  <c r="AM14" i="9"/>
  <c r="BV14" i="9"/>
  <c r="CM15" i="9"/>
  <c r="CL15" i="9" s="1"/>
  <c r="M16" i="9"/>
  <c r="CM22" i="9"/>
  <c r="CL22" i="9" s="1"/>
  <c r="AW24" i="9"/>
  <c r="AV24" i="9" s="1"/>
  <c r="N26" i="9"/>
  <c r="M26" i="9" s="1"/>
  <c r="AO27" i="9"/>
  <c r="BQ27" i="9"/>
  <c r="BQ28" i="9"/>
  <c r="T29" i="9"/>
  <c r="BX29" i="9"/>
  <c r="AI30" i="9"/>
  <c r="AH30" i="9" s="1"/>
  <c r="BJ30" i="9"/>
  <c r="CL30" i="9"/>
  <c r="BY32" i="9"/>
  <c r="BX32" i="9" s="1"/>
  <c r="CM33" i="9"/>
  <c r="AH34" i="9"/>
  <c r="AV37" i="9"/>
  <c r="CJ37" i="9"/>
  <c r="U39" i="9"/>
  <c r="T39" i="9" s="1"/>
  <c r="CM41" i="9"/>
  <c r="CL41" i="9" s="1"/>
  <c r="AO42" i="9"/>
  <c r="CQ45" i="9"/>
  <c r="CC47" i="9"/>
  <c r="AM49" i="9"/>
  <c r="R50" i="9"/>
  <c r="BE6" i="10"/>
  <c r="BV6" i="10"/>
  <c r="CA6" i="10"/>
  <c r="BH7" i="10"/>
  <c r="BL7" i="10"/>
  <c r="CM7" i="10"/>
  <c r="AM8" i="10"/>
  <c r="BA9" i="10"/>
  <c r="BL9" i="10"/>
  <c r="Y10" i="10"/>
  <c r="V12" i="10"/>
  <c r="R13" i="10"/>
  <c r="BV13" i="10"/>
  <c r="CF13" i="10"/>
  <c r="CE13" i="10" s="1"/>
  <c r="AM14" i="10"/>
  <c r="BO14" i="10"/>
  <c r="BR14" i="10"/>
  <c r="BQ14" i="10" s="1"/>
  <c r="AM15" i="10"/>
  <c r="AI15" i="10"/>
  <c r="AH15" i="10" s="1"/>
  <c r="CG15" i="10"/>
  <c r="CN16" i="10"/>
  <c r="AM17" i="10"/>
  <c r="AI17" i="10"/>
  <c r="AH17" i="10" s="1"/>
  <c r="BA19" i="10"/>
  <c r="AW19" i="10"/>
  <c r="AV19" i="10" s="1"/>
  <c r="BV22" i="10"/>
  <c r="BA23" i="10"/>
  <c r="AF27" i="10"/>
  <c r="AB27" i="10"/>
  <c r="AA27" i="10" s="1"/>
  <c r="BA29" i="10"/>
  <c r="AW29" i="10"/>
  <c r="AV29" i="10" s="1"/>
  <c r="AJ30" i="10"/>
  <c r="BS31" i="10"/>
  <c r="CQ31" i="10"/>
  <c r="CC34" i="10"/>
  <c r="CC35" i="10"/>
  <c r="AD36" i="10"/>
  <c r="AC36" i="10" s="1"/>
  <c r="BS38" i="10"/>
  <c r="BF39" i="10"/>
  <c r="BE39" i="10"/>
  <c r="AM42" i="10"/>
  <c r="AH44" i="10"/>
  <c r="AY45" i="10"/>
  <c r="AX45" i="10"/>
  <c r="O46" i="10"/>
  <c r="AY46" i="10"/>
  <c r="AX46" i="10" s="1"/>
  <c r="BX5" i="13"/>
  <c r="CC5" i="13"/>
  <c r="BY5" i="13"/>
  <c r="J9" i="13"/>
  <c r="BY9" i="9"/>
  <c r="BX9" i="9" s="1"/>
  <c r="B24" i="9"/>
  <c r="AT25" i="9"/>
  <c r="BV25" i="9"/>
  <c r="AF26" i="9"/>
  <c r="CQ26" i="9"/>
  <c r="AB27" i="9"/>
  <c r="AA27" i="9" s="1"/>
  <c r="AW30" i="9"/>
  <c r="AV30" i="9" s="1"/>
  <c r="AF32" i="9"/>
  <c r="AT32" i="9"/>
  <c r="AH40" i="9"/>
  <c r="CL43" i="9"/>
  <c r="BX52" i="9"/>
  <c r="AT5" i="10"/>
  <c r="BZ7" i="10"/>
  <c r="V8" i="10"/>
  <c r="BH8" i="10"/>
  <c r="Y9" i="10"/>
  <c r="BC9" i="10"/>
  <c r="CQ12" i="10"/>
  <c r="AQ13" i="10"/>
  <c r="CQ14" i="10"/>
  <c r="CC15" i="10"/>
  <c r="U18" i="10"/>
  <c r="T18" i="10" s="1"/>
  <c r="AT20" i="10"/>
  <c r="AO20" i="10"/>
  <c r="BV25" i="10"/>
  <c r="BR25" i="10"/>
  <c r="AP31" i="10"/>
  <c r="AO31" i="10"/>
  <c r="CE35" i="10"/>
  <c r="CJ35" i="10"/>
  <c r="CF35" i="10"/>
  <c r="BO36" i="10"/>
  <c r="AR37" i="10"/>
  <c r="AQ37" i="10"/>
  <c r="U38" i="10"/>
  <c r="T38" i="10"/>
  <c r="BE38" i="10"/>
  <c r="BO39" i="10"/>
  <c r="CJ40" i="10"/>
  <c r="CF40" i="10"/>
  <c r="CE40" i="10" s="1"/>
  <c r="AO42" i="10"/>
  <c r="AT42" i="10"/>
  <c r="P44" i="10"/>
  <c r="BV44" i="10"/>
  <c r="BR44" i="10"/>
  <c r="BQ44" i="10" s="1"/>
  <c r="P45" i="10"/>
  <c r="O45" i="10" s="1"/>
  <c r="CQ46" i="10"/>
  <c r="CM46" i="10"/>
  <c r="CL46" i="10" s="1"/>
  <c r="AC47" i="10"/>
  <c r="AB50" i="10"/>
  <c r="AA50" i="10"/>
  <c r="BR50" i="10"/>
  <c r="BV50" i="10"/>
  <c r="R9" i="13"/>
  <c r="N9" i="13"/>
  <c r="M9" i="13" s="1"/>
  <c r="AM14" i="13"/>
  <c r="BA14" i="13"/>
  <c r="BS14" i="13"/>
  <c r="CJ23" i="13"/>
  <c r="CF23" i="13"/>
  <c r="CE23" i="13" s="1"/>
  <c r="AP30" i="13"/>
  <c r="AO30" i="13"/>
  <c r="Y31" i="13"/>
  <c r="V31" i="13"/>
  <c r="BR32" i="13"/>
  <c r="BQ32" i="13"/>
  <c r="AF34" i="13"/>
  <c r="AF38" i="13"/>
  <c r="AB38" i="13"/>
  <c r="Y44" i="13"/>
  <c r="U44" i="13"/>
  <c r="T44" i="13" s="1"/>
  <c r="CC50" i="13"/>
  <c r="BY50" i="13"/>
  <c r="BX50" i="13"/>
  <c r="AQ49" i="10"/>
  <c r="CO49" i="10"/>
  <c r="CN49" i="10" s="1"/>
  <c r="CN50" i="10"/>
  <c r="BT51" i="10"/>
  <c r="BS51" i="10" s="1"/>
  <c r="BH54" i="10"/>
  <c r="BQ54" i="10"/>
  <c r="J56" i="10"/>
  <c r="G5" i="13"/>
  <c r="BA5" i="13"/>
  <c r="BD10" i="13"/>
  <c r="BH10" i="13"/>
  <c r="N12" i="13"/>
  <c r="E12" i="13"/>
  <c r="J12" i="13"/>
  <c r="R14" i="13"/>
  <c r="CM15" i="13"/>
  <c r="AT16" i="13"/>
  <c r="AQ16" i="13"/>
  <c r="BK19" i="13"/>
  <c r="BA26" i="13"/>
  <c r="AW26" i="13"/>
  <c r="AV26" i="13"/>
  <c r="BV28" i="13"/>
  <c r="BR28" i="13"/>
  <c r="BQ28" i="13" s="1"/>
  <c r="BO30" i="13"/>
  <c r="CL31" i="13"/>
  <c r="BH32" i="13"/>
  <c r="BD32" i="13"/>
  <c r="BC32" i="13" s="1"/>
  <c r="AB34" i="13"/>
  <c r="AA34" i="13" s="1"/>
  <c r="CQ37" i="13"/>
  <c r="CN37" i="13"/>
  <c r="CN55" i="13" s="1"/>
  <c r="BZ48" i="10"/>
  <c r="CN51" i="10"/>
  <c r="AQ54" i="10"/>
  <c r="BE54" i="10"/>
  <c r="AH5" i="13"/>
  <c r="AW5" i="13"/>
  <c r="BJ5" i="13"/>
  <c r="BC7" i="13"/>
  <c r="AP8" i="13"/>
  <c r="AO10" i="13"/>
  <c r="BC10" i="13"/>
  <c r="AA13" i="13"/>
  <c r="BD13" i="13"/>
  <c r="BC13" i="13" s="1"/>
  <c r="N14" i="13"/>
  <c r="M14" i="13" s="1"/>
  <c r="CJ17" i="13"/>
  <c r="CF17" i="13"/>
  <c r="CE17" i="13" s="1"/>
  <c r="AP18" i="13"/>
  <c r="BV18" i="13"/>
  <c r="BR18" i="13"/>
  <c r="BQ18" i="13" s="1"/>
  <c r="AP20" i="13"/>
  <c r="AO20" i="13" s="1"/>
  <c r="AP23" i="13"/>
  <c r="AO23" i="13" s="1"/>
  <c r="AM25" i="13"/>
  <c r="AI25" i="13"/>
  <c r="AF28" i="13"/>
  <c r="AB28" i="13"/>
  <c r="AA28" i="13" s="1"/>
  <c r="BV32" i="13"/>
  <c r="H32" i="13"/>
  <c r="BY33" i="13"/>
  <c r="BX33" i="13" s="1"/>
  <c r="BJ34" i="13"/>
  <c r="N35" i="13"/>
  <c r="R35" i="13"/>
  <c r="M35" i="13"/>
  <c r="BV35" i="13"/>
  <c r="BR35" i="13"/>
  <c r="BH39" i="13"/>
  <c r="BE39" i="13"/>
  <c r="BR49" i="13"/>
  <c r="BQ49" i="13"/>
  <c r="Y51" i="13"/>
  <c r="B51" i="13"/>
  <c r="U51" i="13"/>
  <c r="T51" i="13"/>
  <c r="AV18" i="10"/>
  <c r="AA20" i="10"/>
  <c r="AA30" i="10"/>
  <c r="BO33" i="10"/>
  <c r="E34" i="10"/>
  <c r="K34" i="10" s="1"/>
  <c r="BO37" i="10"/>
  <c r="CL41" i="10"/>
  <c r="CC48" i="10"/>
  <c r="AH50" i="10"/>
  <c r="AX51" i="10"/>
  <c r="BQ52" i="10"/>
  <c r="AI53" i="10"/>
  <c r="AH53" i="10" s="1"/>
  <c r="BS54" i="10"/>
  <c r="AX56" i="10"/>
  <c r="BQ56" i="10"/>
  <c r="AE55" i="13"/>
  <c r="AE58" i="13" s="1"/>
  <c r="BK4" i="13"/>
  <c r="B5" i="13"/>
  <c r="AA6" i="13"/>
  <c r="AQ6" i="13"/>
  <c r="H6" i="13" s="1"/>
  <c r="BD7" i="13"/>
  <c r="BS7" i="13"/>
  <c r="H7" i="13" s="1"/>
  <c r="N8" i="13"/>
  <c r="BX8" i="13"/>
  <c r="BX10" i="13"/>
  <c r="BD11" i="13"/>
  <c r="BC11" i="13" s="1"/>
  <c r="R12" i="13"/>
  <c r="BO12" i="13"/>
  <c r="AB13" i="13"/>
  <c r="BZ14" i="13"/>
  <c r="BZ55" i="13" s="1"/>
  <c r="BZ58" i="13" s="1"/>
  <c r="H15" i="13"/>
  <c r="AX16" i="13"/>
  <c r="AV19" i="13"/>
  <c r="BA19" i="13"/>
  <c r="R22" i="13"/>
  <c r="N22" i="13"/>
  <c r="M22" i="13" s="1"/>
  <c r="AI26" i="13"/>
  <c r="AB29" i="13"/>
  <c r="AA29" i="13" s="1"/>
  <c r="BH29" i="13"/>
  <c r="BD29" i="13"/>
  <c r="AB31" i="13"/>
  <c r="AA31" i="13" s="1"/>
  <c r="CC31" i="13"/>
  <c r="CQ31" i="13"/>
  <c r="CE34" i="13"/>
  <c r="CJ34" i="13"/>
  <c r="BC35" i="13"/>
  <c r="BQ35" i="13"/>
  <c r="AH36" i="13"/>
  <c r="AM36" i="13"/>
  <c r="R37" i="13"/>
  <c r="N37" i="13"/>
  <c r="AF5" i="13"/>
  <c r="J5" i="13"/>
  <c r="CJ6" i="13"/>
  <c r="BX11" i="13"/>
  <c r="BR12" i="13"/>
  <c r="BV12" i="13"/>
  <c r="J13" i="13"/>
  <c r="BY15" i="13"/>
  <c r="BX15" i="13"/>
  <c r="BV17" i="13"/>
  <c r="BR17" i="13"/>
  <c r="BQ17" i="13" s="1"/>
  <c r="AW18" i="13"/>
  <c r="AV18" i="13" s="1"/>
  <c r="BA18" i="13"/>
  <c r="R28" i="13"/>
  <c r="N28" i="13"/>
  <c r="N29" i="13"/>
  <c r="R29" i="13"/>
  <c r="CJ31" i="13"/>
  <c r="CF31" i="13"/>
  <c r="CE31" i="13" s="1"/>
  <c r="H33" i="13"/>
  <c r="J37" i="13"/>
  <c r="AJ37" i="13"/>
  <c r="AM38" i="13"/>
  <c r="AJ38" i="13"/>
  <c r="H38" i="13" s="1"/>
  <c r="CC43" i="13"/>
  <c r="BZ43" i="13"/>
  <c r="H43" i="13" s="1"/>
  <c r="J45" i="13"/>
  <c r="V45" i="13"/>
  <c r="H45" i="13" s="1"/>
  <c r="BO50" i="13"/>
  <c r="BK50" i="13"/>
  <c r="BJ50" i="13" s="1"/>
  <c r="CC14" i="10"/>
  <c r="BJ16" i="10"/>
  <c r="CM17" i="10"/>
  <c r="CL17" i="10" s="1"/>
  <c r="CQ21" i="10"/>
  <c r="CE31" i="10"/>
  <c r="AJ36" i="10"/>
  <c r="BV39" i="10"/>
  <c r="CE39" i="10"/>
  <c r="AC43" i="10"/>
  <c r="BA43" i="10"/>
  <c r="AJ44" i="10"/>
  <c r="V45" i="10"/>
  <c r="BY45" i="10"/>
  <c r="BX45" i="10" s="1"/>
  <c r="CN45" i="10"/>
  <c r="AJ46" i="10"/>
  <c r="BH49" i="10"/>
  <c r="AM51" i="10"/>
  <c r="BA51" i="10"/>
  <c r="BO52" i="10"/>
  <c r="Y53" i="10"/>
  <c r="BZ53" i="10"/>
  <c r="BV54" i="10"/>
  <c r="CM54" i="10"/>
  <c r="CL54" i="10" s="1"/>
  <c r="BZ57" i="10"/>
  <c r="CN57" i="10"/>
  <c r="N6" i="13"/>
  <c r="M6" i="13" s="1"/>
  <c r="CE6" i="13"/>
  <c r="R8" i="13"/>
  <c r="AF8" i="13"/>
  <c r="BR9" i="13"/>
  <c r="BQ9" i="13" s="1"/>
  <c r="J10" i="13"/>
  <c r="AV10" i="13"/>
  <c r="BH11" i="13"/>
  <c r="BY11" i="13"/>
  <c r="CL11" i="13"/>
  <c r="AT13" i="13"/>
  <c r="BH13" i="13"/>
  <c r="AH14" i="13"/>
  <c r="J15" i="13"/>
  <c r="AT15" i="13"/>
  <c r="E16" i="13"/>
  <c r="AF16" i="13"/>
  <c r="AW17" i="13"/>
  <c r="AV17" i="13" s="1"/>
  <c r="AF23" i="13"/>
  <c r="AB23" i="13"/>
  <c r="AA23" i="13" s="1"/>
  <c r="CF25" i="13"/>
  <c r="CE25" i="13" s="1"/>
  <c r="M29" i="13"/>
  <c r="N31" i="13"/>
  <c r="Y36" i="13"/>
  <c r="U36" i="13"/>
  <c r="AP38" i="13"/>
  <c r="AO38" i="13" s="1"/>
  <c r="CC45" i="13"/>
  <c r="BY45" i="13"/>
  <c r="BX45" i="13"/>
  <c r="B50" i="13"/>
  <c r="CJ14" i="10"/>
  <c r="AX15" i="10"/>
  <c r="BA16" i="10"/>
  <c r="BA18" i="10"/>
  <c r="CE19" i="10"/>
  <c r="AF20" i="10"/>
  <c r="AO24" i="10"/>
  <c r="E33" i="10"/>
  <c r="K33" i="10" s="1"/>
  <c r="CM33" i="10"/>
  <c r="CL33" i="10" s="1"/>
  <c r="T34" i="10"/>
  <c r="CQ36" i="10"/>
  <c r="M37" i="10"/>
  <c r="CC38" i="10"/>
  <c r="CF39" i="10"/>
  <c r="CC40" i="10"/>
  <c r="CQ40" i="10"/>
  <c r="BJ41" i="10"/>
  <c r="AW43" i="10"/>
  <c r="BC45" i="10"/>
  <c r="BQ51" i="10"/>
  <c r="BQ53" i="10"/>
  <c r="Y56" i="10"/>
  <c r="AO56" i="10"/>
  <c r="BV56" i="10"/>
  <c r="N5" i="13"/>
  <c r="M5" i="13" s="1"/>
  <c r="AB5" i="13"/>
  <c r="AA5" i="13" s="1"/>
  <c r="BC5" i="13"/>
  <c r="AV6" i="13"/>
  <c r="BQ6" i="13"/>
  <c r="CF6" i="13"/>
  <c r="BH7" i="13"/>
  <c r="T8" i="13"/>
  <c r="BA9" i="13"/>
  <c r="CF9" i="13"/>
  <c r="CE9" i="13" s="1"/>
  <c r="R10" i="13"/>
  <c r="AW10" i="13"/>
  <c r="CC10" i="13"/>
  <c r="CJ14" i="13"/>
  <c r="BQ20" i="13"/>
  <c r="BO21" i="13"/>
  <c r="B24" i="13"/>
  <c r="BK26" i="13"/>
  <c r="BJ26" i="13" s="1"/>
  <c r="CJ27" i="13"/>
  <c r="CF27" i="13"/>
  <c r="CE27" i="13" s="1"/>
  <c r="CF28" i="13"/>
  <c r="CE28" i="13" s="1"/>
  <c r="Y30" i="13"/>
  <c r="E30" i="13"/>
  <c r="AI30" i="13"/>
  <c r="AH30" i="13" s="1"/>
  <c r="BR31" i="13"/>
  <c r="BQ31" i="13" s="1"/>
  <c r="BO33" i="13"/>
  <c r="AT34" i="13"/>
  <c r="AP34" i="13"/>
  <c r="AO34" i="13" s="1"/>
  <c r="BC34" i="13"/>
  <c r="BH34" i="13"/>
  <c r="BD34" i="13"/>
  <c r="J35" i="13"/>
  <c r="T36" i="13"/>
  <c r="Y37" i="13"/>
  <c r="V37" i="13"/>
  <c r="BK37" i="13"/>
  <c r="BJ37" i="13"/>
  <c r="BO37" i="13"/>
  <c r="U38" i="13"/>
  <c r="B38" i="13"/>
  <c r="BQ17" i="10"/>
  <c r="AA19" i="10"/>
  <c r="BC19" i="10"/>
  <c r="AP24" i="10"/>
  <c r="BR24" i="10"/>
  <c r="BQ24" i="10" s="1"/>
  <c r="N25" i="10"/>
  <c r="CQ25" i="10"/>
  <c r="BK27" i="10"/>
  <c r="BJ27" i="10" s="1"/>
  <c r="AT28" i="10"/>
  <c r="BX28" i="10"/>
  <c r="BQ34" i="10"/>
  <c r="BO35" i="10"/>
  <c r="N37" i="10"/>
  <c r="CJ39" i="10"/>
  <c r="AF40" i="10"/>
  <c r="AO40" i="10"/>
  <c r="BX40" i="10"/>
  <c r="AH41" i="10"/>
  <c r="AW41" i="10"/>
  <c r="AV41" i="10" s="1"/>
  <c r="CQ41" i="10"/>
  <c r="AT52" i="10"/>
  <c r="J54" i="10"/>
  <c r="CC7" i="13"/>
  <c r="CC8" i="13"/>
  <c r="BV9" i="13"/>
  <c r="T10" i="13"/>
  <c r="CC11" i="13"/>
  <c r="CQ11" i="13"/>
  <c r="CQ13" i="13"/>
  <c r="CJ16" i="13"/>
  <c r="CE22" i="13"/>
  <c r="CJ22" i="13"/>
  <c r="CF22" i="13"/>
  <c r="AH32" i="13"/>
  <c r="AF35" i="13"/>
  <c r="AB35" i="13"/>
  <c r="AA35" i="13" s="1"/>
  <c r="BO36" i="13"/>
  <c r="BL36" i="13"/>
  <c r="BA50" i="13"/>
  <c r="AW50" i="13"/>
  <c r="AV50" i="13" s="1"/>
  <c r="AM39" i="13"/>
  <c r="AV40" i="13"/>
  <c r="AO41" i="13"/>
  <c r="BC42" i="13"/>
  <c r="BH43" i="13"/>
  <c r="AM49" i="13"/>
  <c r="J54" i="13"/>
  <c r="K54" i="13" s="1"/>
  <c r="CE36" i="13"/>
  <c r="T40" i="13"/>
  <c r="AX40" i="13"/>
  <c r="BH41" i="13"/>
  <c r="J43" i="13"/>
  <c r="J44" i="13"/>
  <c r="BH44" i="13"/>
  <c r="AP45" i="13"/>
  <c r="AO45" i="13" s="1"/>
  <c r="BC48" i="13"/>
  <c r="CM50" i="13"/>
  <c r="CL50" i="13" s="1"/>
  <c r="BJ51" i="13"/>
  <c r="BY51" i="13"/>
  <c r="BX51" i="13" s="1"/>
  <c r="U52" i="13"/>
  <c r="CE52" i="13"/>
  <c r="Y54" i="13"/>
  <c r="AW56" i="13"/>
  <c r="BA57" i="13"/>
  <c r="B41" i="13"/>
  <c r="BR52" i="13"/>
  <c r="AM57" i="13"/>
  <c r="CL57" i="13"/>
  <c r="CC30" i="13"/>
  <c r="BV36" i="13"/>
  <c r="BO38" i="13"/>
  <c r="CF42" i="13"/>
  <c r="AI44" i="13"/>
  <c r="AH44" i="13" s="1"/>
  <c r="AW44" i="13"/>
  <c r="AV44" i="13" s="1"/>
  <c r="CJ44" i="13"/>
  <c r="BK45" i="13"/>
  <c r="BJ45" i="13" s="1"/>
  <c r="AB46" i="13"/>
  <c r="AA46" i="13" s="1"/>
  <c r="BD46" i="13"/>
  <c r="BC46" i="13" s="1"/>
  <c r="BR46" i="13"/>
  <c r="CF46" i="13"/>
  <c r="CE46" i="13" s="1"/>
  <c r="AI47" i="13"/>
  <c r="AH47" i="13" s="1"/>
  <c r="Y48" i="13"/>
  <c r="BV48" i="13"/>
  <c r="CM49" i="13"/>
  <c r="CL49" i="13" s="1"/>
  <c r="AI50" i="13"/>
  <c r="AH50" i="13" s="1"/>
  <c r="BA51" i="13"/>
  <c r="BO51" i="13"/>
  <c r="BC52" i="13"/>
  <c r="AI53" i="13"/>
  <c r="AH53" i="13" s="1"/>
  <c r="N54" i="13"/>
  <c r="G54" i="13" s="1"/>
  <c r="CQ56" i="13"/>
  <c r="AM15" i="13"/>
  <c r="AA16" i="13"/>
  <c r="AO16" i="13"/>
  <c r="BV16" i="13"/>
  <c r="BC17" i="13"/>
  <c r="N18" i="13"/>
  <c r="M18" i="13" s="1"/>
  <c r="AI18" i="13"/>
  <c r="AH18" i="13" s="1"/>
  <c r="CM18" i="13"/>
  <c r="U19" i="13"/>
  <c r="AH19" i="13"/>
  <c r="BK20" i="13"/>
  <c r="BJ20" i="13" s="1"/>
  <c r="B21" i="13"/>
  <c r="BC21" i="13"/>
  <c r="CM21" i="13"/>
  <c r="CL21" i="13" s="1"/>
  <c r="BQ22" i="13"/>
  <c r="AV23" i="13"/>
  <c r="BX25" i="13"/>
  <c r="CE26" i="13"/>
  <c r="AI27" i="13"/>
  <c r="BQ27" i="13"/>
  <c r="CE32" i="13"/>
  <c r="AA36" i="13"/>
  <c r="CC36" i="13"/>
  <c r="CL36" i="13"/>
  <c r="BX37" i="13"/>
  <c r="M38" i="13"/>
  <c r="BJ38" i="13"/>
  <c r="CQ38" i="13"/>
  <c r="AO39" i="13"/>
  <c r="BR40" i="13"/>
  <c r="BQ40" i="13" s="1"/>
  <c r="CE40" i="13"/>
  <c r="N42" i="13"/>
  <c r="AT42" i="13"/>
  <c r="N43" i="13"/>
  <c r="BJ43" i="13"/>
  <c r="BY44" i="13"/>
  <c r="BX44" i="13" s="1"/>
  <c r="AV45" i="13"/>
  <c r="N48" i="13"/>
  <c r="M48" i="13" s="1"/>
  <c r="BH48" i="13"/>
  <c r="AO49" i="13"/>
  <c r="BO49" i="13"/>
  <c r="U50" i="13"/>
  <c r="T50" i="13" s="1"/>
  <c r="AP52" i="13"/>
  <c r="CJ52" i="13"/>
  <c r="BJ54" i="13"/>
  <c r="AM56" i="13"/>
  <c r="CC56" i="13"/>
  <c r="T11" i="13"/>
  <c r="CJ12" i="13"/>
  <c r="AH13" i="13"/>
  <c r="BJ13" i="13"/>
  <c r="J14" i="13"/>
  <c r="BX14" i="13"/>
  <c r="AI15" i="13"/>
  <c r="BO15" i="13"/>
  <c r="AB16" i="13"/>
  <c r="AI22" i="13"/>
  <c r="AH22" i="13" s="1"/>
  <c r="AW23" i="13"/>
  <c r="BA24" i="13"/>
  <c r="CM24" i="13"/>
  <c r="CL24" i="13" s="1"/>
  <c r="Y25" i="13"/>
  <c r="BY25" i="13"/>
  <c r="CM25" i="13"/>
  <c r="CL25" i="13" s="1"/>
  <c r="BR27" i="13"/>
  <c r="BJ30" i="13"/>
  <c r="BY30" i="13"/>
  <c r="BX30" i="13" s="1"/>
  <c r="AW31" i="13"/>
  <c r="AV31" i="13" s="1"/>
  <c r="M32" i="13"/>
  <c r="J33" i="13"/>
  <c r="BR33" i="13"/>
  <c r="BQ33" i="13" s="1"/>
  <c r="AB36" i="13"/>
  <c r="AO36" i="13"/>
  <c r="BJ36" i="13"/>
  <c r="CM36" i="13"/>
  <c r="CL37" i="13"/>
  <c r="AT38" i="13"/>
  <c r="BK38" i="13"/>
  <c r="CJ38" i="13"/>
  <c r="BC39" i="13"/>
  <c r="M40" i="13"/>
  <c r="Y40" i="13"/>
  <c r="BH40" i="13"/>
  <c r="AI41" i="13"/>
  <c r="AH41" i="13" s="1"/>
  <c r="AW41" i="13"/>
  <c r="AV41" i="13" s="1"/>
  <c r="CJ41" i="13"/>
  <c r="AH42" i="13"/>
  <c r="BX43" i="13"/>
  <c r="BQ44" i="13"/>
  <c r="CL44" i="13"/>
  <c r="T45" i="13"/>
  <c r="AI45" i="13"/>
  <c r="AH45" i="13" s="1"/>
  <c r="CL47" i="13"/>
  <c r="AT48" i="13"/>
  <c r="BO48" i="13"/>
  <c r="AA49" i="13"/>
  <c r="BK49" i="13"/>
  <c r="BJ49" i="13" s="1"/>
  <c r="BR50" i="13"/>
  <c r="BQ50" i="13" s="1"/>
  <c r="AO51" i="13"/>
  <c r="BR51" i="13"/>
  <c r="BQ51" i="13" s="1"/>
  <c r="M52" i="13"/>
  <c r="AA52" i="13"/>
  <c r="BQ53" i="13"/>
  <c r="BY57" i="13"/>
  <c r="BX57" i="13" s="1"/>
  <c r="CQ57" i="13"/>
  <c r="BH15" i="13"/>
  <c r="BQ15" i="13"/>
  <c r="BH16" i="13"/>
  <c r="AM18" i="13"/>
  <c r="AM19" i="13"/>
  <c r="T21" i="13"/>
  <c r="BJ25" i="13"/>
  <c r="CJ26" i="13"/>
  <c r="J32" i="13"/>
  <c r="BY36" i="13"/>
  <c r="BX36" i="13" s="1"/>
  <c r="BH37" i="13"/>
  <c r="BO40" i="13"/>
  <c r="BX40" i="13"/>
  <c r="CQ40" i="13"/>
  <c r="AM44" i="13"/>
  <c r="BA45" i="13"/>
  <c r="AT46" i="13"/>
  <c r="AM47" i="13"/>
  <c r="R48" i="13"/>
  <c r="CC49" i="13"/>
  <c r="AP51" i="13"/>
  <c r="AF53" i="13"/>
  <c r="E54" i="13"/>
  <c r="BL54" i="13"/>
  <c r="H54" i="13" s="1"/>
  <c r="BX54" i="13"/>
  <c r="BL57" i="13"/>
  <c r="D35" i="15"/>
  <c r="B55" i="15"/>
  <c r="B58" i="15" s="1"/>
  <c r="AA23" i="15"/>
  <c r="F23" i="15" s="1"/>
  <c r="D23" i="15"/>
  <c r="G23" i="15"/>
  <c r="AJ47" i="15"/>
  <c r="D32" i="15"/>
  <c r="T32" i="15"/>
  <c r="F32" i="15" s="1"/>
  <c r="T36" i="15"/>
  <c r="F36" i="15" s="1"/>
  <c r="D37" i="15"/>
  <c r="AO37" i="15"/>
  <c r="C37" i="15" s="1"/>
  <c r="D39" i="15"/>
  <c r="CM55" i="15"/>
  <c r="CM58" i="15" s="1"/>
  <c r="D52" i="16"/>
  <c r="AA15" i="15"/>
  <c r="G7" i="15"/>
  <c r="D7" i="15"/>
  <c r="G6" i="16"/>
  <c r="D6" i="16"/>
  <c r="CE11" i="15"/>
  <c r="D25" i="16"/>
  <c r="CE25" i="16"/>
  <c r="C23" i="16"/>
  <c r="D45" i="16"/>
  <c r="F9" i="15"/>
  <c r="G54" i="15"/>
  <c r="D54" i="15"/>
  <c r="D41" i="15"/>
  <c r="K56" i="15"/>
  <c r="D49" i="15"/>
  <c r="D33" i="15"/>
  <c r="D47" i="16"/>
  <c r="AV16" i="16"/>
  <c r="D16" i="16"/>
  <c r="AH22" i="16"/>
  <c r="C54" i="15"/>
  <c r="AJ49" i="15"/>
  <c r="H49" i="15" s="1"/>
  <c r="AC11" i="15"/>
  <c r="H11" i="15" s="1"/>
  <c r="T20" i="16"/>
  <c r="C20" i="16" s="1"/>
  <c r="D38" i="16"/>
  <c r="G24" i="16"/>
  <c r="F45" i="16"/>
  <c r="G25" i="16"/>
  <c r="AA25" i="16"/>
  <c r="G26" i="16"/>
  <c r="M38" i="16"/>
  <c r="C38" i="16" s="1"/>
  <c r="H45" i="15"/>
  <c r="D15" i="15"/>
  <c r="J55" i="15"/>
  <c r="J58" i="15" s="1"/>
  <c r="K42" i="16"/>
  <c r="D8" i="16"/>
  <c r="K57" i="15"/>
  <c r="D20" i="15"/>
  <c r="F6" i="15"/>
  <c r="K12" i="15"/>
  <c r="F8" i="16"/>
  <c r="AP55" i="16"/>
  <c r="AP58" i="16" s="1"/>
  <c r="F19" i="16"/>
  <c r="BR55" i="16"/>
  <c r="BR58" i="16" s="1"/>
  <c r="M24" i="15"/>
  <c r="C24" i="15" s="1"/>
  <c r="H48" i="15"/>
  <c r="H50" i="15"/>
  <c r="K49" i="15"/>
  <c r="D31" i="15"/>
  <c r="G41" i="15"/>
  <c r="AW55" i="15"/>
  <c r="AW58" i="15" s="1"/>
  <c r="G34" i="16"/>
  <c r="G41" i="16"/>
  <c r="D30" i="16"/>
  <c r="AA27" i="16"/>
  <c r="C27" i="16" s="1"/>
  <c r="M47" i="16"/>
  <c r="G47" i="16"/>
  <c r="F31" i="16"/>
  <c r="C31" i="16"/>
  <c r="C28" i="16"/>
  <c r="F28" i="16"/>
  <c r="C48" i="16"/>
  <c r="F48" i="16"/>
  <c r="C19" i="16"/>
  <c r="CL55" i="16"/>
  <c r="CL58" i="16" s="1"/>
  <c r="C18" i="16"/>
  <c r="F36" i="16"/>
  <c r="C36" i="16"/>
  <c r="AK49" i="16"/>
  <c r="AJ49" i="16"/>
  <c r="AJ55" i="16" s="1"/>
  <c r="AJ58" i="16" s="1"/>
  <c r="AM49" i="16"/>
  <c r="T43" i="16"/>
  <c r="F43" i="16" s="1"/>
  <c r="G57" i="16"/>
  <c r="G42" i="16"/>
  <c r="D42" i="16"/>
  <c r="O40" i="16"/>
  <c r="H40" i="16" s="1"/>
  <c r="M42" i="16"/>
  <c r="D43" i="16"/>
  <c r="F39" i="16"/>
  <c r="D40" i="16"/>
  <c r="C26" i="16"/>
  <c r="T17" i="16"/>
  <c r="C34" i="16"/>
  <c r="F34" i="16"/>
  <c r="BC47" i="16"/>
  <c r="C32" i="16"/>
  <c r="F32" i="16"/>
  <c r="C7" i="16"/>
  <c r="F7" i="16"/>
  <c r="AW55" i="16"/>
  <c r="AW58" i="16" s="1"/>
  <c r="D21" i="16"/>
  <c r="T6" i="16"/>
  <c r="U55" i="16"/>
  <c r="U58" i="16" s="1"/>
  <c r="T4" i="16"/>
  <c r="F4" i="16" s="1"/>
  <c r="F23" i="16"/>
  <c r="G11" i="16"/>
  <c r="D11" i="16"/>
  <c r="M11" i="16"/>
  <c r="T9" i="16"/>
  <c r="AB55" i="16"/>
  <c r="AB58" i="16" s="1"/>
  <c r="AA4" i="16"/>
  <c r="G10" i="16"/>
  <c r="Q58" i="16"/>
  <c r="R55" i="16"/>
  <c r="CM55" i="16"/>
  <c r="CM58" i="16" s="1"/>
  <c r="H34" i="16"/>
  <c r="D22" i="16"/>
  <c r="AK55" i="16"/>
  <c r="AK58" i="16" s="1"/>
  <c r="D54" i="16"/>
  <c r="T54" i="16"/>
  <c r="H52" i="16"/>
  <c r="D57" i="16"/>
  <c r="G48" i="16"/>
  <c r="D48" i="16"/>
  <c r="F16" i="16"/>
  <c r="C16" i="16"/>
  <c r="D33" i="16"/>
  <c r="G33" i="16"/>
  <c r="C29" i="16"/>
  <c r="F29" i="16"/>
  <c r="G37" i="16"/>
  <c r="D37" i="16"/>
  <c r="K31" i="16"/>
  <c r="CK58" i="16"/>
  <c r="CQ55" i="16"/>
  <c r="D4" i="16"/>
  <c r="D28" i="16"/>
  <c r="F14" i="16"/>
  <c r="C14" i="16"/>
  <c r="V16" i="16"/>
  <c r="H16" i="16" s="1"/>
  <c r="G4" i="16"/>
  <c r="W49" i="16"/>
  <c r="I49" i="16" s="1"/>
  <c r="Y49" i="16"/>
  <c r="J49" i="16"/>
  <c r="K49" i="16" s="1"/>
  <c r="F53" i="16"/>
  <c r="C52" i="16"/>
  <c r="D53" i="16"/>
  <c r="I52" i="16"/>
  <c r="CE39" i="16"/>
  <c r="C49" i="16"/>
  <c r="F49" i="16"/>
  <c r="C41" i="16"/>
  <c r="F41" i="16"/>
  <c r="K48" i="16"/>
  <c r="W37" i="16"/>
  <c r="W55" i="16" s="1"/>
  <c r="W58" i="16" s="1"/>
  <c r="Y37" i="16"/>
  <c r="V37" i="16"/>
  <c r="H37" i="16" s="1"/>
  <c r="I37" i="16"/>
  <c r="I22" i="16"/>
  <c r="AL55" i="16"/>
  <c r="D32" i="16"/>
  <c r="G19" i="16"/>
  <c r="BK55" i="16"/>
  <c r="BK58" i="16" s="1"/>
  <c r="BJ4" i="16"/>
  <c r="BJ55" i="16" s="1"/>
  <c r="BJ58" i="16" s="1"/>
  <c r="F56" i="16"/>
  <c r="C56" i="16"/>
  <c r="AH50" i="16"/>
  <c r="C50" i="16" s="1"/>
  <c r="D50" i="16"/>
  <c r="D41" i="16"/>
  <c r="D26" i="16"/>
  <c r="F18" i="16"/>
  <c r="T53" i="16"/>
  <c r="C53" i="16" s="1"/>
  <c r="BV55" i="16"/>
  <c r="H51" i="16"/>
  <c r="O48" i="16"/>
  <c r="H48" i="16" s="1"/>
  <c r="I48" i="16"/>
  <c r="K37" i="16"/>
  <c r="V31" i="16"/>
  <c r="H31" i="16" s="1"/>
  <c r="D29" i="16"/>
  <c r="G29" i="16"/>
  <c r="AC38" i="16"/>
  <c r="H38" i="16" s="1"/>
  <c r="AH30" i="16"/>
  <c r="F30" i="16" s="1"/>
  <c r="O28" i="16"/>
  <c r="H28" i="16" s="1"/>
  <c r="O22" i="16"/>
  <c r="H22" i="16" s="1"/>
  <c r="D20" i="16"/>
  <c r="C8" i="16"/>
  <c r="AO5" i="16"/>
  <c r="AO55" i="16" s="1"/>
  <c r="AO58" i="16" s="1"/>
  <c r="H32" i="16"/>
  <c r="O26" i="16"/>
  <c r="H26" i="16" s="1"/>
  <c r="D17" i="16"/>
  <c r="F5" i="16"/>
  <c r="F26" i="16"/>
  <c r="F10" i="16"/>
  <c r="C10" i="16"/>
  <c r="BY55" i="16"/>
  <c r="BY58" i="16" s="1"/>
  <c r="BX4" i="16"/>
  <c r="BX55" i="16" s="1"/>
  <c r="BX58" i="16" s="1"/>
  <c r="D18" i="16"/>
  <c r="G18" i="16"/>
  <c r="G15" i="16"/>
  <c r="D15" i="16"/>
  <c r="AI55" i="16"/>
  <c r="AI58" i="16" s="1"/>
  <c r="D23" i="16"/>
  <c r="AJ9" i="16"/>
  <c r="H9" i="16" s="1"/>
  <c r="D27" i="16"/>
  <c r="BH55" i="16"/>
  <c r="CB59" i="16"/>
  <c r="CC58" i="16"/>
  <c r="G46" i="16"/>
  <c r="D46" i="16"/>
  <c r="M46" i="16"/>
  <c r="O43" i="16"/>
  <c r="H43" i="16" s="1"/>
  <c r="K40" i="16"/>
  <c r="M33" i="16"/>
  <c r="F35" i="16"/>
  <c r="C35" i="16"/>
  <c r="G50" i="16"/>
  <c r="AC37" i="16"/>
  <c r="AD37" i="16"/>
  <c r="G28" i="16"/>
  <c r="I15" i="16"/>
  <c r="G36" i="16"/>
  <c r="D36" i="16"/>
  <c r="AH55" i="16"/>
  <c r="AH58" i="16" s="1"/>
  <c r="D10" i="16"/>
  <c r="F47" i="16"/>
  <c r="CI59" i="16"/>
  <c r="CJ58" i="16"/>
  <c r="D31" i="16"/>
  <c r="G31" i="16"/>
  <c r="BQ55" i="16"/>
  <c r="BQ58" i="16" s="1"/>
  <c r="B55" i="16"/>
  <c r="B58" i="16" s="1"/>
  <c r="CF55" i="16"/>
  <c r="CF58" i="16" s="1"/>
  <c r="AD49" i="16"/>
  <c r="AC49" i="16" s="1"/>
  <c r="K39" i="16"/>
  <c r="C45" i="16"/>
  <c r="G40" i="16"/>
  <c r="T24" i="16"/>
  <c r="F24" i="16" s="1"/>
  <c r="D24" i="16"/>
  <c r="F44" i="16"/>
  <c r="C44" i="16"/>
  <c r="C30" i="16"/>
  <c r="M37" i="16"/>
  <c r="AE55" i="16"/>
  <c r="AD4" i="16"/>
  <c r="AD55" i="16" s="1"/>
  <c r="AD58" i="16" s="1"/>
  <c r="K28" i="16"/>
  <c r="D19" i="16"/>
  <c r="T12" i="16"/>
  <c r="F12" i="16" s="1"/>
  <c r="D12" i="16"/>
  <c r="F25" i="16"/>
  <c r="G14" i="16"/>
  <c r="D14" i="16"/>
  <c r="E55" i="16"/>
  <c r="E58" i="16" s="1"/>
  <c r="X55" i="16"/>
  <c r="AV4" i="16"/>
  <c r="AV55" i="16" s="1"/>
  <c r="AV58" i="16" s="1"/>
  <c r="G7" i="16"/>
  <c r="D56" i="16"/>
  <c r="BH58" i="16"/>
  <c r="BG59" i="16"/>
  <c r="G54" i="16"/>
  <c r="G51" i="16"/>
  <c r="D51" i="16"/>
  <c r="M51" i="16"/>
  <c r="BA55" i="16"/>
  <c r="CQ58" i="16"/>
  <c r="C57" i="16"/>
  <c r="F57" i="16"/>
  <c r="V39" i="16"/>
  <c r="H39" i="16" s="1"/>
  <c r="T40" i="16"/>
  <c r="AT55" i="16"/>
  <c r="AN58" i="16"/>
  <c r="AT58" i="16"/>
  <c r="G44" i="16"/>
  <c r="D44" i="16"/>
  <c r="D35" i="16"/>
  <c r="G35" i="16"/>
  <c r="D5" i="16"/>
  <c r="G5" i="16"/>
  <c r="D13" i="16"/>
  <c r="M13" i="16"/>
  <c r="G13" i="16"/>
  <c r="BD55" i="16"/>
  <c r="BD58" i="16" s="1"/>
  <c r="BC4" i="16"/>
  <c r="N55" i="16"/>
  <c r="N58" i="16" s="1"/>
  <c r="G30" i="16"/>
  <c r="P55" i="16"/>
  <c r="P58" i="16" s="1"/>
  <c r="O4" i="16"/>
  <c r="F21" i="16"/>
  <c r="C21" i="16"/>
  <c r="M15" i="16"/>
  <c r="T22" i="16"/>
  <c r="F51" i="15"/>
  <c r="C51" i="15"/>
  <c r="CL55" i="15"/>
  <c r="CL58" i="15" s="1"/>
  <c r="H36" i="15"/>
  <c r="BE55" i="15"/>
  <c r="BE58" i="15" s="1"/>
  <c r="CN55" i="15"/>
  <c r="CN58" i="15" s="1"/>
  <c r="H37" i="15"/>
  <c r="F8" i="15"/>
  <c r="C8" i="15"/>
  <c r="CG55" i="15"/>
  <c r="CG58" i="15" s="1"/>
  <c r="C9" i="15"/>
  <c r="F26" i="15"/>
  <c r="C26" i="15"/>
  <c r="C41" i="15"/>
  <c r="C53" i="15"/>
  <c r="G50" i="15"/>
  <c r="D50" i="15"/>
  <c r="G46" i="15"/>
  <c r="D46" i="15"/>
  <c r="D34" i="15"/>
  <c r="BL46" i="15"/>
  <c r="H46" i="15" s="1"/>
  <c r="AH34" i="15"/>
  <c r="F22" i="15"/>
  <c r="C22" i="15"/>
  <c r="AH31" i="15"/>
  <c r="C31" i="15" s="1"/>
  <c r="AF55" i="15"/>
  <c r="AE58" i="15"/>
  <c r="F37" i="15"/>
  <c r="F27" i="15"/>
  <c r="C27" i="15"/>
  <c r="G16" i="15"/>
  <c r="D16" i="15"/>
  <c r="Q58" i="15"/>
  <c r="R55" i="15"/>
  <c r="F18" i="15"/>
  <c r="C18" i="15"/>
  <c r="AB55" i="15"/>
  <c r="AB58" i="15" s="1"/>
  <c r="AZ58" i="15"/>
  <c r="BA55" i="15"/>
  <c r="AX13" i="15"/>
  <c r="G13" i="15"/>
  <c r="D13" i="15"/>
  <c r="AQ6" i="15"/>
  <c r="X58" i="15"/>
  <c r="Y55" i="15"/>
  <c r="AY55" i="15"/>
  <c r="AY58" i="15" s="1"/>
  <c r="F31" i="15"/>
  <c r="I52" i="15"/>
  <c r="O52" i="15"/>
  <c r="H52" i="15" s="1"/>
  <c r="I50" i="15"/>
  <c r="D53" i="15"/>
  <c r="F56" i="15"/>
  <c r="C56" i="15"/>
  <c r="C45" i="15"/>
  <c r="F45" i="15"/>
  <c r="H39" i="15"/>
  <c r="K34" i="15"/>
  <c r="F30" i="15"/>
  <c r="C30" i="15"/>
  <c r="CH55" i="15"/>
  <c r="CH58" i="15" s="1"/>
  <c r="G32" i="15"/>
  <c r="F19" i="15"/>
  <c r="AJ42" i="15"/>
  <c r="H42" i="15" s="1"/>
  <c r="AA38" i="15"/>
  <c r="C38" i="15" s="1"/>
  <c r="D36" i="15"/>
  <c r="F24" i="15"/>
  <c r="I37" i="15"/>
  <c r="G29" i="15"/>
  <c r="D29" i="15"/>
  <c r="G18" i="15"/>
  <c r="D18" i="15"/>
  <c r="G12" i="15"/>
  <c r="D12" i="15"/>
  <c r="BQ55" i="15"/>
  <c r="BQ58" i="15" s="1"/>
  <c r="F13" i="15"/>
  <c r="C13" i="15"/>
  <c r="BY55" i="15"/>
  <c r="BY58" i="15" s="1"/>
  <c r="F46" i="15"/>
  <c r="C46" i="15"/>
  <c r="H43" i="15"/>
  <c r="G25" i="15"/>
  <c r="D25" i="15"/>
  <c r="M25" i="15"/>
  <c r="N55" i="15"/>
  <c r="N58" i="15" s="1"/>
  <c r="G4" i="15"/>
  <c r="D4" i="15"/>
  <c r="AQ54" i="15"/>
  <c r="H54" i="15" s="1"/>
  <c r="AC51" i="15"/>
  <c r="H51" i="15" s="1"/>
  <c r="I48" i="15"/>
  <c r="G48" i="15"/>
  <c r="D48" i="15"/>
  <c r="F41" i="15"/>
  <c r="I43" i="15"/>
  <c r="C40" i="15"/>
  <c r="F40" i="15"/>
  <c r="I39" i="15"/>
  <c r="T39" i="15"/>
  <c r="CJ55" i="15"/>
  <c r="CI58" i="15"/>
  <c r="CP58" i="15"/>
  <c r="CQ55" i="15"/>
  <c r="D19" i="15"/>
  <c r="CO55" i="15"/>
  <c r="CO58" i="15" s="1"/>
  <c r="G27" i="15"/>
  <c r="D27" i="15"/>
  <c r="T33" i="15"/>
  <c r="F33" i="15" s="1"/>
  <c r="G28" i="15"/>
  <c r="D28" i="15"/>
  <c r="K38" i="15"/>
  <c r="M29" i="15"/>
  <c r="K42" i="15"/>
  <c r="P55" i="15"/>
  <c r="P58" i="15" s="1"/>
  <c r="I16" i="15"/>
  <c r="M12" i="15"/>
  <c r="O8" i="15"/>
  <c r="H8" i="15" s="1"/>
  <c r="BR55" i="15"/>
  <c r="BR58" i="15" s="1"/>
  <c r="AO6" i="15"/>
  <c r="C6" i="15" s="1"/>
  <c r="H30" i="15"/>
  <c r="BM55" i="15"/>
  <c r="BM58" i="15" s="1"/>
  <c r="BL4" i="15"/>
  <c r="C14" i="15"/>
  <c r="G51" i="15"/>
  <c r="D51" i="15"/>
  <c r="F20" i="15"/>
  <c r="C20" i="15"/>
  <c r="BS55" i="15"/>
  <c r="BS58" i="15" s="1"/>
  <c r="BJ55" i="15"/>
  <c r="BJ58" i="15" s="1"/>
  <c r="D26" i="15"/>
  <c r="G26" i="15"/>
  <c r="AD55" i="15"/>
  <c r="AD58" i="15" s="1"/>
  <c r="H16" i="15"/>
  <c r="F42" i="15"/>
  <c r="C42" i="15"/>
  <c r="CE55" i="15"/>
  <c r="CE58" i="15" s="1"/>
  <c r="D9" i="15"/>
  <c r="G8" i="15"/>
  <c r="D8" i="15"/>
  <c r="AR55" i="15"/>
  <c r="AR58" i="15" s="1"/>
  <c r="F10" i="15"/>
  <c r="BG58" i="15"/>
  <c r="BH55" i="15"/>
  <c r="BN58" i="15"/>
  <c r="BO55" i="15"/>
  <c r="F50" i="15"/>
  <c r="C50" i="15"/>
  <c r="C44" i="15"/>
  <c r="F44" i="15"/>
  <c r="W55" i="15"/>
  <c r="W58" i="15" s="1"/>
  <c r="F54" i="15"/>
  <c r="F53" i="15"/>
  <c r="M48" i="15"/>
  <c r="F43" i="15"/>
  <c r="C43" i="15"/>
  <c r="D40" i="15"/>
  <c r="G40" i="15"/>
  <c r="G56" i="15"/>
  <c r="D56" i="15"/>
  <c r="G49" i="15"/>
  <c r="G39" i="15"/>
  <c r="D52" i="15"/>
  <c r="I30" i="15"/>
  <c r="G33" i="15"/>
  <c r="G14" i="15"/>
  <c r="D14" i="15"/>
  <c r="BK55" i="15"/>
  <c r="BK58" i="15" s="1"/>
  <c r="AL58" i="15"/>
  <c r="AM55" i="15"/>
  <c r="F7" i="15"/>
  <c r="O38" i="15"/>
  <c r="H38" i="15" s="1"/>
  <c r="I36" i="15"/>
  <c r="M28" i="15"/>
  <c r="G42" i="15"/>
  <c r="D42" i="15"/>
  <c r="G31" i="15"/>
  <c r="AC14" i="15"/>
  <c r="H14" i="15" s="1"/>
  <c r="CF55" i="15"/>
  <c r="CF58" i="15" s="1"/>
  <c r="BD55" i="15"/>
  <c r="BD58" i="15" s="1"/>
  <c r="AI55" i="15"/>
  <c r="AI58" i="15" s="1"/>
  <c r="CA55" i="15"/>
  <c r="CA58" i="15" s="1"/>
  <c r="AA11" i="15"/>
  <c r="F11" i="15" s="1"/>
  <c r="H15" i="15"/>
  <c r="D45" i="15"/>
  <c r="F16" i="15"/>
  <c r="C16" i="15"/>
  <c r="I57" i="15"/>
  <c r="K52" i="15"/>
  <c r="AA19" i="15"/>
  <c r="C19" i="15" s="1"/>
  <c r="BC55" i="15"/>
  <c r="BC58" i="15" s="1"/>
  <c r="AT55" i="15"/>
  <c r="AS58" i="15"/>
  <c r="BZ31" i="15"/>
  <c r="H31" i="15" s="1"/>
  <c r="C11" i="15"/>
  <c r="K7" i="15"/>
  <c r="H40" i="15"/>
  <c r="K30" i="15"/>
  <c r="AK55" i="15"/>
  <c r="AK58" i="15" s="1"/>
  <c r="D43" i="15"/>
  <c r="F21" i="15"/>
  <c r="C21" i="15"/>
  <c r="BU58" i="15"/>
  <c r="BV55" i="15"/>
  <c r="BT55" i="15"/>
  <c r="BT58" i="15" s="1"/>
  <c r="M4" i="15"/>
  <c r="BX4" i="15"/>
  <c r="BX55" i="15" s="1"/>
  <c r="BX58" i="15" s="1"/>
  <c r="D17" i="15"/>
  <c r="AA4" i="15"/>
  <c r="CC55" i="15"/>
  <c r="CB58" i="15"/>
  <c r="U55" i="15"/>
  <c r="U58" i="15" s="1"/>
  <c r="AV7" i="15"/>
  <c r="AV55" i="15" s="1"/>
  <c r="AV58" i="15" s="1"/>
  <c r="O56" i="15"/>
  <c r="H56" i="15" s="1"/>
  <c r="C57" i="15"/>
  <c r="F57" i="15"/>
  <c r="K50" i="15"/>
  <c r="C49" i="15"/>
  <c r="F49" i="15"/>
  <c r="G47" i="15"/>
  <c r="D47" i="15"/>
  <c r="M47" i="15"/>
  <c r="AH52" i="15"/>
  <c r="G30" i="15"/>
  <c r="D30" i="15"/>
  <c r="K16" i="15"/>
  <c r="AO35" i="15"/>
  <c r="C35" i="15" s="1"/>
  <c r="G21" i="15"/>
  <c r="D21" i="15"/>
  <c r="F17" i="15"/>
  <c r="C17" i="15"/>
  <c r="AH15" i="15"/>
  <c r="BF55" i="15"/>
  <c r="BF58" i="15" s="1"/>
  <c r="E55" i="15"/>
  <c r="E58" i="15" s="1"/>
  <c r="K4" i="15"/>
  <c r="AP55" i="15"/>
  <c r="AP58" i="15" s="1"/>
  <c r="D38" i="15"/>
  <c r="V4" i="15"/>
  <c r="V55" i="15" s="1"/>
  <c r="V58" i="15" s="1"/>
  <c r="AC7" i="15"/>
  <c r="T5" i="15"/>
  <c r="I9" i="15"/>
  <c r="D5" i="15"/>
  <c r="I20" i="14"/>
  <c r="J21" i="14"/>
  <c r="J22" i="14"/>
  <c r="I23" i="14"/>
  <c r="H27" i="14"/>
  <c r="H20" i="14"/>
  <c r="J26" i="14"/>
  <c r="H29" i="14"/>
  <c r="I21" i="14"/>
  <c r="J29" i="14"/>
  <c r="J18" i="14"/>
  <c r="H28" i="14"/>
  <c r="H21" i="14"/>
  <c r="H22" i="14"/>
  <c r="I22" i="14"/>
  <c r="J23" i="14"/>
  <c r="I42" i="14"/>
  <c r="J32" i="14"/>
  <c r="H42" i="14"/>
  <c r="S55" i="13"/>
  <c r="S58" i="13" s="1"/>
  <c r="Y4" i="13"/>
  <c r="AN55" i="13"/>
  <c r="AN58" i="13" s="1"/>
  <c r="AP4" i="13"/>
  <c r="BW55" i="13"/>
  <c r="BW58" i="13" s="1"/>
  <c r="CC4" i="13"/>
  <c r="E6" i="13"/>
  <c r="B7" i="13"/>
  <c r="CJ7" i="13"/>
  <c r="B11" i="13"/>
  <c r="AA11" i="13"/>
  <c r="F11" i="13" s="1"/>
  <c r="AB11" i="13"/>
  <c r="AW15" i="13"/>
  <c r="BA15" i="13"/>
  <c r="AV15" i="13"/>
  <c r="BK17" i="13"/>
  <c r="BJ17" i="13" s="1"/>
  <c r="BO17" i="13"/>
  <c r="BD18" i="13"/>
  <c r="BC18" i="13" s="1"/>
  <c r="AT19" i="13"/>
  <c r="AP19" i="13"/>
  <c r="CJ21" i="13"/>
  <c r="CF21" i="13"/>
  <c r="CE21" i="13" s="1"/>
  <c r="R24" i="13"/>
  <c r="N24" i="13"/>
  <c r="M24" i="13" s="1"/>
  <c r="B27" i="13"/>
  <c r="N27" i="13"/>
  <c r="E27" i="13"/>
  <c r="K27" i="13" s="1"/>
  <c r="R27" i="13"/>
  <c r="CG30" i="13"/>
  <c r="H30" i="13" s="1"/>
  <c r="CJ30" i="13"/>
  <c r="AT31" i="13"/>
  <c r="AO31" i="13"/>
  <c r="AP31" i="13"/>
  <c r="BB55" i="13"/>
  <c r="BB58" i="13" s="1"/>
  <c r="BX4" i="13"/>
  <c r="CI55" i="13"/>
  <c r="Y5" i="13"/>
  <c r="BO5" i="13"/>
  <c r="AM6" i="13"/>
  <c r="BJ6" i="13"/>
  <c r="CQ6" i="13"/>
  <c r="AT7" i="13"/>
  <c r="AA8" i="13"/>
  <c r="BJ8" i="13"/>
  <c r="CE8" i="13"/>
  <c r="B9" i="13"/>
  <c r="AH9" i="13"/>
  <c r="BC9" i="13"/>
  <c r="BK10" i="13"/>
  <c r="BJ10" i="13" s="1"/>
  <c r="G11" i="13"/>
  <c r="AO12" i="13"/>
  <c r="N13" i="13"/>
  <c r="M13" i="13" s="1"/>
  <c r="E13" i="13"/>
  <c r="K13" i="13" s="1"/>
  <c r="AA18" i="13"/>
  <c r="AO19" i="13"/>
  <c r="CQ20" i="13"/>
  <c r="CM20" i="13"/>
  <c r="CL20" i="13" s="1"/>
  <c r="CC23" i="13"/>
  <c r="BY23" i="13"/>
  <c r="BX23" i="13" s="1"/>
  <c r="CF24" i="13"/>
  <c r="CE24" i="13" s="1"/>
  <c r="CJ24" i="13"/>
  <c r="N25" i="13"/>
  <c r="M25" i="13" s="1"/>
  <c r="B25" i="13"/>
  <c r="R25" i="13"/>
  <c r="E25" i="13"/>
  <c r="K25" i="13" s="1"/>
  <c r="BA28" i="13"/>
  <c r="U4" i="13"/>
  <c r="AF4" i="13"/>
  <c r="AS55" i="13"/>
  <c r="AQ4" i="13"/>
  <c r="BC4" i="13"/>
  <c r="BN55" i="13"/>
  <c r="BY4" i="13"/>
  <c r="CJ4" i="13"/>
  <c r="AJ5" i="13"/>
  <c r="H5" i="13" s="1"/>
  <c r="AV5" i="13"/>
  <c r="BR5" i="13"/>
  <c r="BQ5" i="13"/>
  <c r="G6" i="13"/>
  <c r="AO6" i="13"/>
  <c r="BA6" i="13"/>
  <c r="BK6" i="13"/>
  <c r="N7" i="13"/>
  <c r="M7" i="13" s="1"/>
  <c r="AA7" i="13"/>
  <c r="AW7" i="13"/>
  <c r="AV7" i="13"/>
  <c r="CL7" i="13"/>
  <c r="AO8" i="13"/>
  <c r="BK8" i="13"/>
  <c r="AI9" i="13"/>
  <c r="B10" i="13"/>
  <c r="AA10" i="13"/>
  <c r="BE11" i="13"/>
  <c r="BR11" i="13"/>
  <c r="BQ11" i="13" s="1"/>
  <c r="AC12" i="13"/>
  <c r="H12" i="13" s="1"/>
  <c r="AP12" i="13"/>
  <c r="CQ12" i="13"/>
  <c r="H13" i="13"/>
  <c r="Y15" i="13"/>
  <c r="CC15" i="13"/>
  <c r="BS16" i="13"/>
  <c r="CF16" i="13"/>
  <c r="CE16" i="13" s="1"/>
  <c r="T17" i="13"/>
  <c r="AI17" i="13"/>
  <c r="AH17" i="13" s="1"/>
  <c r="B18" i="13"/>
  <c r="AB18" i="13"/>
  <c r="AO18" i="13"/>
  <c r="BH18" i="13"/>
  <c r="N19" i="13"/>
  <c r="E19" i="13"/>
  <c r="K19" i="13" s="1"/>
  <c r="R19" i="13"/>
  <c r="BJ19" i="13"/>
  <c r="BY19" i="13"/>
  <c r="BX19" i="13" s="1"/>
  <c r="CL19" i="13"/>
  <c r="BR21" i="13"/>
  <c r="BQ21" i="13" s="1"/>
  <c r="CL22" i="13"/>
  <c r="H24" i="13"/>
  <c r="H25" i="13"/>
  <c r="AW28" i="13"/>
  <c r="AV28" i="13" s="1"/>
  <c r="BA29" i="13"/>
  <c r="AW29" i="13"/>
  <c r="AV29" i="13" s="1"/>
  <c r="Y12" i="13"/>
  <c r="B12" i="13"/>
  <c r="AF15" i="13"/>
  <c r="AB15" i="13"/>
  <c r="AA15" i="13" s="1"/>
  <c r="CJ15" i="13"/>
  <c r="CF15" i="13"/>
  <c r="CE15" i="13" s="1"/>
  <c r="U16" i="13"/>
  <c r="T16" i="13" s="1"/>
  <c r="Y16" i="13"/>
  <c r="AM16" i="13"/>
  <c r="AI16" i="13"/>
  <c r="AH16" i="13" s="1"/>
  <c r="CC20" i="13"/>
  <c r="BY20" i="13"/>
  <c r="AP21" i="13"/>
  <c r="AO21" i="13"/>
  <c r="AB22" i="13"/>
  <c r="AF22" i="13"/>
  <c r="BY22" i="13"/>
  <c r="BX22" i="13" s="1"/>
  <c r="CC22" i="13"/>
  <c r="BH24" i="13"/>
  <c r="AP27" i="13"/>
  <c r="AT27" i="13"/>
  <c r="AO27" i="13"/>
  <c r="CQ27" i="13"/>
  <c r="CM27" i="13"/>
  <c r="CL27" i="13" s="1"/>
  <c r="AU55" i="13"/>
  <c r="AU58" i="13" s="1"/>
  <c r="BA4" i="13"/>
  <c r="BP55" i="13"/>
  <c r="BP58" i="13" s="1"/>
  <c r="BR4" i="13"/>
  <c r="AM5" i="13"/>
  <c r="CJ5" i="13"/>
  <c r="T6" i="13"/>
  <c r="BX6" i="13"/>
  <c r="R7" i="13"/>
  <c r="BO7" i="13"/>
  <c r="CE7" i="13"/>
  <c r="E9" i="13"/>
  <c r="AB9" i="13"/>
  <c r="G9" i="13" s="1"/>
  <c r="AA9" i="13"/>
  <c r="BO9" i="13"/>
  <c r="G10" i="13"/>
  <c r="BO10" i="13"/>
  <c r="CL10" i="13"/>
  <c r="AF12" i="13"/>
  <c r="BQ13" i="13"/>
  <c r="AP14" i="13"/>
  <c r="AO14" i="13" s="1"/>
  <c r="AT14" i="13"/>
  <c r="BH14" i="13"/>
  <c r="BD14" i="13"/>
  <c r="BC14" i="13" s="1"/>
  <c r="CQ19" i="13"/>
  <c r="Y20" i="13"/>
  <c r="B20" i="13"/>
  <c r="AW20" i="13"/>
  <c r="BA20" i="13"/>
  <c r="BX20" i="13"/>
  <c r="BD24" i="13"/>
  <c r="BC24" i="13" s="1"/>
  <c r="R26" i="13"/>
  <c r="N26" i="13"/>
  <c r="M26" i="13" s="1"/>
  <c r="E26" i="13"/>
  <c r="K26" i="13" s="1"/>
  <c r="B26" i="13"/>
  <c r="B4" i="13"/>
  <c r="L55" i="13"/>
  <c r="N4" i="13"/>
  <c r="M4" i="13" s="1"/>
  <c r="E4" i="13"/>
  <c r="Z55" i="13"/>
  <c r="Z58" i="13" s="1"/>
  <c r="BG55" i="13"/>
  <c r="CD55" i="13"/>
  <c r="CD58" i="13" s="1"/>
  <c r="T5" i="13"/>
  <c r="AP5" i="13"/>
  <c r="AO5" i="13" s="1"/>
  <c r="BV5" i="13"/>
  <c r="J6" i="13"/>
  <c r="AH6" i="13"/>
  <c r="BD6" i="13"/>
  <c r="CL6" i="13"/>
  <c r="U7" i="13"/>
  <c r="T7" i="13" s="1"/>
  <c r="BA7" i="13"/>
  <c r="BC8" i="13"/>
  <c r="H9" i="13"/>
  <c r="AF10" i="13"/>
  <c r="AH11" i="13"/>
  <c r="AW11" i="13"/>
  <c r="AV11" i="13" s="1"/>
  <c r="U12" i="13"/>
  <c r="T12" i="13" s="1"/>
  <c r="AI12" i="13"/>
  <c r="AH12" i="13" s="1"/>
  <c r="AM12" i="13"/>
  <c r="Y14" i="13"/>
  <c r="B14" i="13"/>
  <c r="J16" i="13"/>
  <c r="K16" i="13" s="1"/>
  <c r="BK16" i="13"/>
  <c r="BJ16" i="13" s="1"/>
  <c r="BY16" i="13"/>
  <c r="BX16" i="13" s="1"/>
  <c r="CC16" i="13"/>
  <c r="B19" i="13"/>
  <c r="E20" i="13"/>
  <c r="K20" i="13" s="1"/>
  <c r="T20" i="13"/>
  <c r="AI20" i="13"/>
  <c r="AH20" i="13" s="1"/>
  <c r="AV20" i="13"/>
  <c r="E21" i="13"/>
  <c r="K21" i="13" s="1"/>
  <c r="N21" i="13"/>
  <c r="AT21" i="13"/>
  <c r="AW22" i="13"/>
  <c r="AV22" i="13" s="1"/>
  <c r="BK23" i="13"/>
  <c r="BJ23" i="13" s="1"/>
  <c r="BO23" i="13"/>
  <c r="E24" i="13"/>
  <c r="K24" i="13" s="1"/>
  <c r="AF27" i="13"/>
  <c r="AB27" i="13"/>
  <c r="AA27" i="13" s="1"/>
  <c r="CC27" i="13"/>
  <c r="BY27" i="13"/>
  <c r="BX27" i="13" s="1"/>
  <c r="CL28" i="13"/>
  <c r="CM28" i="13"/>
  <c r="CQ28" i="13"/>
  <c r="O55" i="13"/>
  <c r="O58" i="13" s="1"/>
  <c r="AL55" i="13"/>
  <c r="AW4" i="13"/>
  <c r="BH4" i="13"/>
  <c r="BU55" i="13"/>
  <c r="BS4" i="13"/>
  <c r="CP55" i="13"/>
  <c r="CF5" i="13"/>
  <c r="CE5" i="13" s="1"/>
  <c r="Y6" i="13"/>
  <c r="CC6" i="13"/>
  <c r="BK7" i="13"/>
  <c r="BJ7" i="13" s="1"/>
  <c r="B8" i="13"/>
  <c r="J8" i="13"/>
  <c r="AI8" i="13"/>
  <c r="BQ8" i="13"/>
  <c r="CM8" i="13"/>
  <c r="CL8" i="13" s="1"/>
  <c r="AT9" i="13"/>
  <c r="BK9" i="13"/>
  <c r="BJ9" i="13" s="1"/>
  <c r="BY9" i="13"/>
  <c r="BX9" i="13" s="1"/>
  <c r="AT10" i="13"/>
  <c r="AW13" i="13"/>
  <c r="AV13" i="13" s="1"/>
  <c r="BV13" i="13"/>
  <c r="CF14" i="13"/>
  <c r="CE14" i="13" s="1"/>
  <c r="B15" i="13"/>
  <c r="U18" i="13"/>
  <c r="G18" i="13" s="1"/>
  <c r="Y18" i="13"/>
  <c r="U20" i="13"/>
  <c r="CF20" i="13"/>
  <c r="CE20" i="13" s="1"/>
  <c r="AB21" i="13"/>
  <c r="AA21" i="13" s="1"/>
  <c r="Y23" i="13"/>
  <c r="B23" i="13"/>
  <c r="AI23" i="13"/>
  <c r="AM23" i="13"/>
  <c r="AB24" i="13"/>
  <c r="AA24" i="13" s="1"/>
  <c r="BO27" i="13"/>
  <c r="BK27" i="13"/>
  <c r="BJ27" i="13" s="1"/>
  <c r="G28" i="13"/>
  <c r="B29" i="13"/>
  <c r="AI29" i="13"/>
  <c r="AH29" i="13" s="1"/>
  <c r="AM29" i="13"/>
  <c r="R4" i="13"/>
  <c r="AB4" i="13"/>
  <c r="AM4" i="13"/>
  <c r="BV4" i="13"/>
  <c r="CF4" i="13"/>
  <c r="CQ4" i="13"/>
  <c r="BH5" i="13"/>
  <c r="B6" i="13"/>
  <c r="J7" i="13"/>
  <c r="K7" i="13" s="1"/>
  <c r="AM7" i="13"/>
  <c r="BY7" i="13"/>
  <c r="BX7" i="13" s="1"/>
  <c r="M8" i="13"/>
  <c r="AV8" i="13"/>
  <c r="BH8" i="13"/>
  <c r="AF9" i="13"/>
  <c r="AO9" i="13"/>
  <c r="BR10" i="13"/>
  <c r="CQ10" i="13"/>
  <c r="AM11" i="13"/>
  <c r="BK12" i="13"/>
  <c r="BJ12" i="13" s="1"/>
  <c r="CC12" i="13"/>
  <c r="BY12" i="13"/>
  <c r="BX12" i="13" s="1"/>
  <c r="CL13" i="13"/>
  <c r="U14" i="13"/>
  <c r="AV14" i="13"/>
  <c r="U15" i="13"/>
  <c r="T15" i="13" s="1"/>
  <c r="E15" i="13"/>
  <c r="K15" i="13" s="1"/>
  <c r="AH15" i="13"/>
  <c r="CL15" i="13"/>
  <c r="BC16" i="13"/>
  <c r="B17" i="13"/>
  <c r="N17" i="13"/>
  <c r="M17" i="13" s="1"/>
  <c r="E17" i="13"/>
  <c r="K17" i="13" s="1"/>
  <c r="BX17" i="13"/>
  <c r="CQ17" i="13"/>
  <c r="CM17" i="13"/>
  <c r="CL17" i="13" s="1"/>
  <c r="CF18" i="13"/>
  <c r="CE18" i="13" s="1"/>
  <c r="BH19" i="13"/>
  <c r="BD19" i="13"/>
  <c r="BC19" i="13" s="1"/>
  <c r="BC20" i="13"/>
  <c r="R21" i="13"/>
  <c r="B22" i="13"/>
  <c r="H22" i="13"/>
  <c r="T23" i="13"/>
  <c r="AH23" i="13"/>
  <c r="BR23" i="13"/>
  <c r="BQ23" i="13" s="1"/>
  <c r="BV23" i="13"/>
  <c r="BO28" i="13"/>
  <c r="BJ28" i="13"/>
  <c r="E29" i="13"/>
  <c r="K29" i="13" s="1"/>
  <c r="BC30" i="13"/>
  <c r="BH30" i="13"/>
  <c r="BD30" i="13"/>
  <c r="U26" i="13"/>
  <c r="T26" i="13" s="1"/>
  <c r="AH27" i="13"/>
  <c r="AW30" i="13"/>
  <c r="AV30" i="13" s="1"/>
  <c r="BA30" i="13"/>
  <c r="CM32" i="13"/>
  <c r="CL32" i="13" s="1"/>
  <c r="CQ32" i="13"/>
  <c r="AI33" i="13"/>
  <c r="AH33" i="13" s="1"/>
  <c r="B33" i="13"/>
  <c r="AM33" i="13"/>
  <c r="Y34" i="13"/>
  <c r="B34" i="13"/>
  <c r="U34" i="13"/>
  <c r="T34" i="13" s="1"/>
  <c r="E34" i="13"/>
  <c r="K34" i="13" s="1"/>
  <c r="AV34" i="13"/>
  <c r="CC34" i="13"/>
  <c r="BY34" i="13"/>
  <c r="BX34" i="13"/>
  <c r="BA35" i="13"/>
  <c r="AW35" i="13"/>
  <c r="AV35" i="13" s="1"/>
  <c r="CJ36" i="13"/>
  <c r="CG36" i="13"/>
  <c r="CQ41" i="13"/>
  <c r="CM41" i="13"/>
  <c r="CL41" i="13" s="1"/>
  <c r="G43" i="13"/>
  <c r="BA43" i="13"/>
  <c r="AW43" i="13"/>
  <c r="AV43" i="13" s="1"/>
  <c r="H44" i="13"/>
  <c r="N47" i="13"/>
  <c r="M47" i="13" s="1"/>
  <c r="E47" i="13"/>
  <c r="K47" i="13" s="1"/>
  <c r="R47" i="13"/>
  <c r="B47" i="13"/>
  <c r="BA53" i="13"/>
  <c r="AW53" i="13"/>
  <c r="AV53" i="13" s="1"/>
  <c r="H29" i="13"/>
  <c r="AP29" i="13"/>
  <c r="AO29" i="13"/>
  <c r="AF32" i="13"/>
  <c r="AA32" i="13"/>
  <c r="AT32" i="13"/>
  <c r="AP32" i="13"/>
  <c r="AO32" i="13" s="1"/>
  <c r="BA37" i="13"/>
  <c r="AW37" i="13"/>
  <c r="AV37" i="13" s="1"/>
  <c r="BV38" i="13"/>
  <c r="BS38" i="13"/>
  <c r="BH47" i="13"/>
  <c r="BD47" i="13"/>
  <c r="BC47" i="13" s="1"/>
  <c r="BH25" i="13"/>
  <c r="BD25" i="13"/>
  <c r="BC25" i="13" s="1"/>
  <c r="BR25" i="13"/>
  <c r="BQ25" i="13"/>
  <c r="T28" i="13"/>
  <c r="AH28" i="13"/>
  <c r="T29" i="13"/>
  <c r="AT29" i="13"/>
  <c r="CM29" i="13"/>
  <c r="CL29" i="13" s="1"/>
  <c r="CQ29" i="13"/>
  <c r="J30" i="13"/>
  <c r="BV30" i="13"/>
  <c r="BR30" i="13"/>
  <c r="BQ30" i="13" s="1"/>
  <c r="H35" i="13"/>
  <c r="J36" i="13"/>
  <c r="AF36" i="13"/>
  <c r="AC36" i="13"/>
  <c r="AF39" i="13"/>
  <c r="AB39" i="13"/>
  <c r="AA39" i="13" s="1"/>
  <c r="E39" i="13"/>
  <c r="BA32" i="13"/>
  <c r="CM35" i="13"/>
  <c r="CL35" i="13" s="1"/>
  <c r="CQ35" i="13"/>
  <c r="AT40" i="13"/>
  <c r="AP40" i="13"/>
  <c r="AO40" i="13" s="1"/>
  <c r="BK41" i="13"/>
  <c r="BJ41" i="13" s="1"/>
  <c r="BO41" i="13"/>
  <c r="AV48" i="13"/>
  <c r="BA48" i="13"/>
  <c r="AW48" i="13"/>
  <c r="AF57" i="13"/>
  <c r="AB57" i="13"/>
  <c r="G57" i="13" s="1"/>
  <c r="AA57" i="13"/>
  <c r="H11" i="13"/>
  <c r="D15" i="13"/>
  <c r="B16" i="13"/>
  <c r="BR19" i="13"/>
  <c r="BQ19" i="13" s="1"/>
  <c r="E22" i="13"/>
  <c r="K22" i="13" s="1"/>
  <c r="BR24" i="13"/>
  <c r="BQ24" i="13" s="1"/>
  <c r="AP25" i="13"/>
  <c r="AO25" i="13" s="1"/>
  <c r="BV25" i="13"/>
  <c r="BD26" i="13"/>
  <c r="BC26" i="13" s="1"/>
  <c r="B28" i="13"/>
  <c r="BY28" i="13"/>
  <c r="BX28" i="13" s="1"/>
  <c r="BK29" i="13"/>
  <c r="BJ29" i="13" s="1"/>
  <c r="BY29" i="13"/>
  <c r="BX29" i="13" s="1"/>
  <c r="B30" i="13"/>
  <c r="N30" i="13"/>
  <c r="AB30" i="13"/>
  <c r="AA30" i="13" s="1"/>
  <c r="AF30" i="13"/>
  <c r="J31" i="13"/>
  <c r="K31" i="13" s="1"/>
  <c r="BE31" i="13"/>
  <c r="BH31" i="13"/>
  <c r="AW32" i="13"/>
  <c r="AV32" i="13" s="1"/>
  <c r="BV40" i="13"/>
  <c r="BS40" i="13"/>
  <c r="AP47" i="13"/>
  <c r="AO47" i="13" s="1"/>
  <c r="AT47" i="13"/>
  <c r="X55" i="13"/>
  <c r="AG55" i="13"/>
  <c r="AG58" i="13" s="1"/>
  <c r="AZ55" i="13"/>
  <c r="BI55" i="13"/>
  <c r="BI58" i="13" s="1"/>
  <c r="CB55" i="13"/>
  <c r="CK55" i="13"/>
  <c r="CK58" i="13" s="1"/>
  <c r="CQ9" i="13"/>
  <c r="E10" i="13"/>
  <c r="K10" i="13" s="1"/>
  <c r="M10" i="13"/>
  <c r="AH10" i="13"/>
  <c r="BJ11" i="13"/>
  <c r="M12" i="13"/>
  <c r="BA12" i="13"/>
  <c r="BQ12" i="13"/>
  <c r="CM12" i="13"/>
  <c r="CL12" i="13" s="1"/>
  <c r="AO13" i="13"/>
  <c r="BX13" i="13"/>
  <c r="BJ15" i="13"/>
  <c r="M16" i="13"/>
  <c r="CQ16" i="13"/>
  <c r="AA17" i="13"/>
  <c r="AP17" i="13"/>
  <c r="AO17" i="13" s="1"/>
  <c r="M20" i="13"/>
  <c r="AB20" i="13"/>
  <c r="AA20" i="13" s="1"/>
  <c r="AH21" i="13"/>
  <c r="BD22" i="13"/>
  <c r="BC22" i="13" s="1"/>
  <c r="CL23" i="13"/>
  <c r="T24" i="13"/>
  <c r="AF26" i="13"/>
  <c r="AM28" i="13"/>
  <c r="CM30" i="13"/>
  <c r="CL30" i="13" s="1"/>
  <c r="R31" i="13"/>
  <c r="B31" i="13"/>
  <c r="AI31" i="13"/>
  <c r="AM31" i="13"/>
  <c r="BK31" i="13"/>
  <c r="BJ31" i="13" s="1"/>
  <c r="BO31" i="13"/>
  <c r="Y32" i="13"/>
  <c r="B32" i="13"/>
  <c r="U32" i="13"/>
  <c r="T32" i="13"/>
  <c r="E32" i="13"/>
  <c r="CQ33" i="13"/>
  <c r="J34" i="13"/>
  <c r="CQ39" i="13"/>
  <c r="CM39" i="13"/>
  <c r="CL39" i="13"/>
  <c r="BK44" i="13"/>
  <c r="D44" i="13" s="1"/>
  <c r="BO44" i="13"/>
  <c r="V46" i="13"/>
  <c r="H46" i="13" s="1"/>
  <c r="J46" i="13"/>
  <c r="CJ48" i="13"/>
  <c r="CF48" i="13"/>
  <c r="CE48" i="13"/>
  <c r="AH4" i="13"/>
  <c r="BJ4" i="13"/>
  <c r="CL4" i="13"/>
  <c r="E5" i="13"/>
  <c r="AV9" i="13"/>
  <c r="CL9" i="13"/>
  <c r="CE10" i="13"/>
  <c r="AP11" i="13"/>
  <c r="D11" i="13" s="1"/>
  <c r="D12" i="13"/>
  <c r="AV12" i="13"/>
  <c r="U13" i="13"/>
  <c r="T13" i="13" s="1"/>
  <c r="BY13" i="13"/>
  <c r="AF14" i="13"/>
  <c r="BR14" i="13"/>
  <c r="BQ14" i="13" s="1"/>
  <c r="G15" i="13"/>
  <c r="AO15" i="13"/>
  <c r="N16" i="13"/>
  <c r="AW16" i="13"/>
  <c r="AV16" i="13" s="1"/>
  <c r="CL16" i="13"/>
  <c r="AB17" i="13"/>
  <c r="BK18" i="13"/>
  <c r="BJ18" i="13" s="1"/>
  <c r="BX18" i="13"/>
  <c r="CL18" i="13"/>
  <c r="T19" i="13"/>
  <c r="BV19" i="13"/>
  <c r="N20" i="13"/>
  <c r="AW21" i="13"/>
  <c r="AV21" i="13" s="1"/>
  <c r="BJ21" i="13"/>
  <c r="BX21" i="13"/>
  <c r="AP22" i="13"/>
  <c r="AO22" i="13" s="1"/>
  <c r="N23" i="13"/>
  <c r="E23" i="13"/>
  <c r="K23" i="13" s="1"/>
  <c r="AI24" i="13"/>
  <c r="AH24" i="13" s="1"/>
  <c r="AV24" i="13"/>
  <c r="BJ24" i="13"/>
  <c r="T25" i="13"/>
  <c r="AH25" i="13"/>
  <c r="AV25" i="13"/>
  <c r="H26" i="13"/>
  <c r="AH26" i="13"/>
  <c r="BH26" i="13"/>
  <c r="E28" i="13"/>
  <c r="K28" i="13" s="1"/>
  <c r="M28" i="13"/>
  <c r="AT28" i="13"/>
  <c r="AP28" i="13"/>
  <c r="AO28" i="13" s="1"/>
  <c r="BD28" i="13"/>
  <c r="BC28" i="13" s="1"/>
  <c r="M31" i="13"/>
  <c r="AH31" i="13"/>
  <c r="CM33" i="13"/>
  <c r="CL33" i="13" s="1"/>
  <c r="BH36" i="13"/>
  <c r="BD36" i="13"/>
  <c r="BC36" i="13" s="1"/>
  <c r="J38" i="13"/>
  <c r="BL47" i="13"/>
  <c r="H47" i="13" s="1"/>
  <c r="J47" i="13"/>
  <c r="BH54" i="13"/>
  <c r="BD54" i="13"/>
  <c r="BC54" i="13" s="1"/>
  <c r="AI35" i="13"/>
  <c r="AH35" i="13"/>
  <c r="J39" i="13"/>
  <c r="BY39" i="13"/>
  <c r="BX39" i="13" s="1"/>
  <c r="Y46" i="13"/>
  <c r="U46" i="13"/>
  <c r="CM46" i="13"/>
  <c r="CL46" i="13" s="1"/>
  <c r="H34" i="13"/>
  <c r="B35" i="13"/>
  <c r="AT35" i="13"/>
  <c r="B37" i="13"/>
  <c r="M37" i="13"/>
  <c r="AT37" i="13"/>
  <c r="BC37" i="13"/>
  <c r="E38" i="13"/>
  <c r="AA38" i="13"/>
  <c r="AV38" i="13"/>
  <c r="CE38" i="13"/>
  <c r="B39" i="13"/>
  <c r="Y39" i="13"/>
  <c r="AH39" i="13"/>
  <c r="CJ39" i="13"/>
  <c r="BQ42" i="13"/>
  <c r="CE42" i="13"/>
  <c r="B43" i="13"/>
  <c r="M43" i="13"/>
  <c r="AT43" i="13"/>
  <c r="BC43" i="13"/>
  <c r="E46" i="13"/>
  <c r="K46" i="13" s="1"/>
  <c r="BQ46" i="13"/>
  <c r="AB47" i="13"/>
  <c r="AA47" i="13" s="1"/>
  <c r="AT49" i="13"/>
  <c r="AM52" i="13"/>
  <c r="CQ53" i="13"/>
  <c r="CN53" i="13"/>
  <c r="BE57" i="13"/>
  <c r="J57" i="13"/>
  <c r="BK32" i="13"/>
  <c r="BJ32" i="13" s="1"/>
  <c r="AM35" i="13"/>
  <c r="BR37" i="13"/>
  <c r="BQ37" i="13" s="1"/>
  <c r="BA38" i="13"/>
  <c r="AW39" i="13"/>
  <c r="AV39" i="13" s="1"/>
  <c r="CC39" i="13"/>
  <c r="U42" i="13"/>
  <c r="G42" i="13" s="1"/>
  <c r="T42" i="13"/>
  <c r="BR43" i="13"/>
  <c r="BQ43" i="13" s="1"/>
  <c r="CM45" i="13"/>
  <c r="CL45" i="13" s="1"/>
  <c r="CQ45" i="13"/>
  <c r="CQ46" i="13"/>
  <c r="J51" i="13"/>
  <c r="AC51" i="13"/>
  <c r="H51" i="13" s="1"/>
  <c r="CJ53" i="13"/>
  <c r="H57" i="13"/>
  <c r="N33" i="13"/>
  <c r="M33" i="13" s="1"/>
  <c r="E33" i="13"/>
  <c r="K33" i="13" s="1"/>
  <c r="BJ33" i="13"/>
  <c r="CF33" i="13"/>
  <c r="CE33" i="13" s="1"/>
  <c r="E35" i="13"/>
  <c r="K35" i="13" s="1"/>
  <c r="AT36" i="13"/>
  <c r="AA37" i="13"/>
  <c r="AF40" i="13"/>
  <c r="CJ40" i="13"/>
  <c r="M41" i="13"/>
  <c r="AO44" i="13"/>
  <c r="B45" i="13"/>
  <c r="AF47" i="13"/>
  <c r="BR47" i="13"/>
  <c r="BQ47" i="13" s="1"/>
  <c r="BV47" i="13"/>
  <c r="CF47" i="13"/>
  <c r="CE47" i="13"/>
  <c r="BE52" i="13"/>
  <c r="BH52" i="13"/>
  <c r="CC52" i="13"/>
  <c r="BY52" i="13"/>
  <c r="BX52" i="13" s="1"/>
  <c r="Y53" i="13"/>
  <c r="U53" i="13"/>
  <c r="T53" i="13" s="1"/>
  <c r="CF53" i="13"/>
  <c r="CE53" i="13" s="1"/>
  <c r="AO33" i="13"/>
  <c r="AO35" i="13"/>
  <c r="BK35" i="13"/>
  <c r="BJ35" i="13" s="1"/>
  <c r="AB37" i="13"/>
  <c r="G37" i="13" s="1"/>
  <c r="AM37" i="13"/>
  <c r="CJ37" i="13"/>
  <c r="T38" i="13"/>
  <c r="F38" i="13" s="1"/>
  <c r="BC38" i="13"/>
  <c r="BX38" i="13"/>
  <c r="R39" i="13"/>
  <c r="BO39" i="13"/>
  <c r="CE39" i="13"/>
  <c r="E41" i="13"/>
  <c r="K41" i="13" s="1"/>
  <c r="N41" i="13"/>
  <c r="AA41" i="13"/>
  <c r="Y42" i="13"/>
  <c r="AW42" i="13"/>
  <c r="D42" i="13" s="1"/>
  <c r="BJ42" i="13"/>
  <c r="BY42" i="13"/>
  <c r="BX42" i="13" s="1"/>
  <c r="AB43" i="13"/>
  <c r="AM43" i="13"/>
  <c r="CJ43" i="13"/>
  <c r="AF44" i="13"/>
  <c r="N45" i="13"/>
  <c r="AA45" i="13"/>
  <c r="AB45" i="13"/>
  <c r="BH45" i="13"/>
  <c r="M46" i="13"/>
  <c r="AW46" i="13"/>
  <c r="AV46" i="13" s="1"/>
  <c r="BK46" i="13"/>
  <c r="BJ46" i="13" s="1"/>
  <c r="BO46" i="13"/>
  <c r="B48" i="13"/>
  <c r="AO48" i="13"/>
  <c r="BK48" i="13"/>
  <c r="BJ48" i="13" s="1"/>
  <c r="BA49" i="13"/>
  <c r="J50" i="13"/>
  <c r="V50" i="13"/>
  <c r="H50" i="13" s="1"/>
  <c r="J52" i="13"/>
  <c r="BK52" i="13"/>
  <c r="BJ52" i="13" s="1"/>
  <c r="BO52" i="13"/>
  <c r="BX31" i="13"/>
  <c r="BO32" i="13"/>
  <c r="R33" i="13"/>
  <c r="AP33" i="13"/>
  <c r="AH34" i="13"/>
  <c r="CL34" i="13"/>
  <c r="B36" i="13"/>
  <c r="N36" i="13"/>
  <c r="M36" i="13" s="1"/>
  <c r="E36" i="13"/>
  <c r="BQ36" i="13"/>
  <c r="T37" i="13"/>
  <c r="AP37" i="13"/>
  <c r="AO37" i="13" s="1"/>
  <c r="BV37" i="13"/>
  <c r="CE37" i="13"/>
  <c r="AH38" i="13"/>
  <c r="BD38" i="13"/>
  <c r="CL38" i="13"/>
  <c r="U39" i="13"/>
  <c r="T39" i="13" s="1"/>
  <c r="BA39" i="13"/>
  <c r="AH40" i="13"/>
  <c r="F40" i="13" s="1"/>
  <c r="BC40" i="13"/>
  <c r="H41" i="13"/>
  <c r="BC41" i="13"/>
  <c r="B42" i="13"/>
  <c r="BK42" i="13"/>
  <c r="T43" i="13"/>
  <c r="AP43" i="13"/>
  <c r="AO43" i="13"/>
  <c r="BV43" i="13"/>
  <c r="CE43" i="13"/>
  <c r="AT44" i="13"/>
  <c r="BC44" i="13"/>
  <c r="BD45" i="13"/>
  <c r="BC45" i="13" s="1"/>
  <c r="BV45" i="13"/>
  <c r="BR45" i="13"/>
  <c r="B46" i="13"/>
  <c r="AO46" i="13"/>
  <c r="U47" i="13"/>
  <c r="T47" i="13" s="1"/>
  <c r="BA47" i="13"/>
  <c r="AW47" i="13"/>
  <c r="AB48" i="13"/>
  <c r="CQ48" i="13"/>
  <c r="CM48" i="13"/>
  <c r="CL48" i="13"/>
  <c r="CG49" i="13"/>
  <c r="H49" i="13" s="1"/>
  <c r="CJ49" i="13"/>
  <c r="CF50" i="13"/>
  <c r="CE50" i="13" s="1"/>
  <c r="CJ50" i="13"/>
  <c r="E14" i="13"/>
  <c r="BQ26" i="13"/>
  <c r="U27" i="13"/>
  <c r="T27" i="13" s="1"/>
  <c r="BC29" i="13"/>
  <c r="AT30" i="13"/>
  <c r="CE30" i="13"/>
  <c r="BY32" i="13"/>
  <c r="BX32" i="13" s="1"/>
  <c r="BD33" i="13"/>
  <c r="BC33" i="13" s="1"/>
  <c r="CJ33" i="13"/>
  <c r="M34" i="13"/>
  <c r="BR34" i="13"/>
  <c r="BQ34" i="13" s="1"/>
  <c r="U35" i="13"/>
  <c r="AW36" i="13"/>
  <c r="AV36" i="13" s="1"/>
  <c r="CF37" i="13"/>
  <c r="Y38" i="13"/>
  <c r="BQ38" i="13"/>
  <c r="CC38" i="13"/>
  <c r="V39" i="13"/>
  <c r="BK39" i="13"/>
  <c r="BJ39" i="13" s="1"/>
  <c r="B40" i="13"/>
  <c r="J40" i="13"/>
  <c r="K40" i="13" s="1"/>
  <c r="AI40" i="13"/>
  <c r="CM40" i="13"/>
  <c r="CL40" i="13" s="1"/>
  <c r="AF41" i="13"/>
  <c r="BR41" i="13"/>
  <c r="BQ41" i="13" s="1"/>
  <c r="CE41" i="13"/>
  <c r="M42" i="13"/>
  <c r="AA42" i="13"/>
  <c r="CC42" i="13"/>
  <c r="CF43" i="13"/>
  <c r="B44" i="13"/>
  <c r="M44" i="13"/>
  <c r="E45" i="13"/>
  <c r="K45" i="13" s="1"/>
  <c r="AF45" i="13"/>
  <c r="BQ45" i="13"/>
  <c r="R46" i="13"/>
  <c r="AV47" i="13"/>
  <c r="CJ47" i="13"/>
  <c r="AC48" i="13"/>
  <c r="H48" i="13" s="1"/>
  <c r="J48" i="13"/>
  <c r="AF49" i="13"/>
  <c r="R50" i="13"/>
  <c r="E50" i="13"/>
  <c r="K50" i="13" s="1"/>
  <c r="N50" i="13"/>
  <c r="T52" i="13"/>
  <c r="B53" i="13"/>
  <c r="J53" i="13"/>
  <c r="BH53" i="13"/>
  <c r="BE53" i="13"/>
  <c r="N56" i="13"/>
  <c r="M56" i="13" s="1"/>
  <c r="E56" i="13"/>
  <c r="R56" i="13"/>
  <c r="B56" i="13"/>
  <c r="B49" i="13"/>
  <c r="N49" i="13"/>
  <c r="M49" i="13" s="1"/>
  <c r="E49" i="13"/>
  <c r="K49" i="13" s="1"/>
  <c r="R51" i="13"/>
  <c r="E51" i="13"/>
  <c r="K51" i="13" s="1"/>
  <c r="N51" i="13"/>
  <c r="K52" i="13"/>
  <c r="Y52" i="13"/>
  <c r="B52" i="13"/>
  <c r="AC52" i="13"/>
  <c r="BQ52" i="13"/>
  <c r="AF56" i="13"/>
  <c r="AB56" i="13"/>
  <c r="AA56" i="13" s="1"/>
  <c r="BD56" i="13"/>
  <c r="BC56" i="13"/>
  <c r="BR56" i="13"/>
  <c r="BQ56" i="13" s="1"/>
  <c r="BV56" i="13"/>
  <c r="BH57" i="13"/>
  <c r="BD57" i="13"/>
  <c r="BC57" i="13" s="1"/>
  <c r="N53" i="13"/>
  <c r="E53" i="13"/>
  <c r="AP53" i="13"/>
  <c r="AO53" i="13" s="1"/>
  <c r="BC53" i="13"/>
  <c r="AW54" i="13"/>
  <c r="AV54" i="13" s="1"/>
  <c r="AP57" i="13"/>
  <c r="AO57" i="13"/>
  <c r="AT57" i="13"/>
  <c r="BD49" i="13"/>
  <c r="BC49" i="13" s="1"/>
  <c r="BH49" i="13"/>
  <c r="CM51" i="13"/>
  <c r="CL51" i="13" s="1"/>
  <c r="CQ51" i="13"/>
  <c r="R53" i="13"/>
  <c r="AT53" i="13"/>
  <c r="BA54" i="13"/>
  <c r="Q59" i="13"/>
  <c r="R58" i="13"/>
  <c r="J56" i="13"/>
  <c r="BH56" i="13"/>
  <c r="M57" i="13"/>
  <c r="Y56" i="13"/>
  <c r="U56" i="13"/>
  <c r="T56" i="13" s="1"/>
  <c r="AV56" i="13"/>
  <c r="CN56" i="13"/>
  <c r="H56" i="13" s="1"/>
  <c r="AP54" i="13"/>
  <c r="AO54" i="13" s="1"/>
  <c r="J49" i="13"/>
  <c r="Y49" i="13"/>
  <c r="BV49" i="13"/>
  <c r="AB50" i="13"/>
  <c r="AA50" i="13" s="1"/>
  <c r="AF50" i="13"/>
  <c r="AT50" i="13"/>
  <c r="AP50" i="13"/>
  <c r="AO50" i="13" s="1"/>
  <c r="AI51" i="13"/>
  <c r="AH51" i="13" s="1"/>
  <c r="AM51" i="13"/>
  <c r="BV53" i="13"/>
  <c r="E57" i="13"/>
  <c r="Y57" i="13"/>
  <c r="B57" i="13"/>
  <c r="CJ57" i="13"/>
  <c r="CF57" i="13"/>
  <c r="CE57" i="13" s="1"/>
  <c r="E37" i="13"/>
  <c r="K37" i="13" s="1"/>
  <c r="E43" i="13"/>
  <c r="K43" i="13" s="1"/>
  <c r="CQ43" i="13"/>
  <c r="E44" i="13"/>
  <c r="K44" i="13" s="1"/>
  <c r="CE45" i="13"/>
  <c r="AI46" i="13"/>
  <c r="AH46" i="13" s="1"/>
  <c r="BX46" i="13"/>
  <c r="BJ47" i="13"/>
  <c r="AV51" i="13"/>
  <c r="AO52" i="13"/>
  <c r="CC53" i="13"/>
  <c r="BY53" i="13"/>
  <c r="BX53" i="13"/>
  <c r="T54" i="13"/>
  <c r="BR54" i="13"/>
  <c r="BQ54" i="13" s="1"/>
  <c r="CJ56" i="13"/>
  <c r="CF56" i="13"/>
  <c r="CE56" i="13" s="1"/>
  <c r="T57" i="13"/>
  <c r="BR57" i="13"/>
  <c r="BQ57" i="13"/>
  <c r="AM48" i="13"/>
  <c r="AI52" i="13"/>
  <c r="D52" i="13" s="1"/>
  <c r="CM52" i="13"/>
  <c r="CL52" i="13" s="1"/>
  <c r="M54" i="13"/>
  <c r="AF54" i="13"/>
  <c r="BY56" i="13"/>
  <c r="BX56" i="13" s="1"/>
  <c r="E48" i="13"/>
  <c r="AH48" i="13"/>
  <c r="BY48" i="13"/>
  <c r="BX48" i="13" s="1"/>
  <c r="BD50" i="13"/>
  <c r="BC50" i="13"/>
  <c r="BA52" i="13"/>
  <c r="AA54" i="13"/>
  <c r="CE54" i="13"/>
  <c r="AT56" i="13"/>
  <c r="BV57" i="13"/>
  <c r="AK5" i="10"/>
  <c r="AJ5" i="10"/>
  <c r="AQ4" i="10"/>
  <c r="AJ4" i="10"/>
  <c r="CU4" i="10"/>
  <c r="AE4" i="10" s="1"/>
  <c r="J4" i="10" s="1"/>
  <c r="W5" i="10"/>
  <c r="V5" i="10" s="1"/>
  <c r="AA6" i="10"/>
  <c r="E6" i="10"/>
  <c r="B6" i="10"/>
  <c r="AF6" i="10"/>
  <c r="AW7" i="10"/>
  <c r="AV7" i="10" s="1"/>
  <c r="D14" i="10"/>
  <c r="H17" i="10"/>
  <c r="BI55" i="10"/>
  <c r="BI58" i="10" s="1"/>
  <c r="BK4" i="10"/>
  <c r="BO4" i="10"/>
  <c r="BU55" i="10"/>
  <c r="BS4" i="10"/>
  <c r="AD5" i="10"/>
  <c r="AC5" i="10" s="1"/>
  <c r="AR6" i="10"/>
  <c r="AQ6" i="10" s="1"/>
  <c r="AH7" i="10"/>
  <c r="L55" i="10"/>
  <c r="L58" i="10" s="1"/>
  <c r="R4" i="10"/>
  <c r="B4" i="10"/>
  <c r="AL55" i="10"/>
  <c r="U5" i="10"/>
  <c r="T5" i="10" s="1"/>
  <c r="CH5" i="10"/>
  <c r="CG5" i="10" s="1"/>
  <c r="O6" i="10"/>
  <c r="O7" i="10"/>
  <c r="R7" i="10"/>
  <c r="J7" i="10"/>
  <c r="P7" i="10"/>
  <c r="BX9" i="10"/>
  <c r="O16" i="10"/>
  <c r="R16" i="10"/>
  <c r="P16" i="10"/>
  <c r="J16" i="10"/>
  <c r="CK55" i="10"/>
  <c r="CK58" i="10" s="1"/>
  <c r="CQ4" i="10"/>
  <c r="CM4" i="10"/>
  <c r="Y5" i="10"/>
  <c r="CJ5" i="10"/>
  <c r="R6" i="10"/>
  <c r="AI6" i="10"/>
  <c r="AM6" i="10"/>
  <c r="T7" i="10"/>
  <c r="E7" i="10"/>
  <c r="K7" i="10" s="1"/>
  <c r="U7" i="10"/>
  <c r="Y7" i="10"/>
  <c r="AM7" i="10"/>
  <c r="AK7" i="10"/>
  <c r="AJ7" i="10" s="1"/>
  <c r="O8" i="10"/>
  <c r="BY8" i="10"/>
  <c r="BX8" i="10" s="1"/>
  <c r="B8" i="10"/>
  <c r="CC8" i="10"/>
  <c r="W16" i="10"/>
  <c r="V16" i="10" s="1"/>
  <c r="Y16" i="10"/>
  <c r="H18" i="10"/>
  <c r="N4" i="10"/>
  <c r="M4" i="10" s="1"/>
  <c r="AZ55" i="10"/>
  <c r="AX4" i="10"/>
  <c r="CM5" i="10"/>
  <c r="CL5" i="10" s="1"/>
  <c r="CQ5" i="10"/>
  <c r="S55" i="10"/>
  <c r="S58" i="10" s="1"/>
  <c r="Y4" i="10"/>
  <c r="BA4" i="10"/>
  <c r="CB55" i="10"/>
  <c r="CA4" i="10"/>
  <c r="J5" i="10"/>
  <c r="AX5" i="10"/>
  <c r="CA5" i="10"/>
  <c r="BZ5" i="10" s="1"/>
  <c r="AJ6" i="10"/>
  <c r="B7" i="10"/>
  <c r="AB7" i="10"/>
  <c r="D7" i="10" s="1"/>
  <c r="AF7" i="10"/>
  <c r="BM8" i="10"/>
  <c r="BL8" i="10" s="1"/>
  <c r="AM4" i="10"/>
  <c r="AS55" i="10"/>
  <c r="BB55" i="10"/>
  <c r="BB58" i="10" s="1"/>
  <c r="BD4" i="10"/>
  <c r="BC4" i="10" s="1"/>
  <c r="P4" i="10"/>
  <c r="O4" i="10" s="1"/>
  <c r="B5" i="10"/>
  <c r="AB5" i="10"/>
  <c r="BQ5" i="10"/>
  <c r="BV5" i="10"/>
  <c r="J6" i="10"/>
  <c r="V6" i="10"/>
  <c r="W6" i="10"/>
  <c r="AY6" i="10"/>
  <c r="BA6" i="10"/>
  <c r="AX6" i="10"/>
  <c r="CG6" i="10"/>
  <c r="E4" i="10"/>
  <c r="AH4" i="10"/>
  <c r="CD55" i="10"/>
  <c r="CD58" i="10" s="1"/>
  <c r="CF4" i="10"/>
  <c r="CE4" i="10" s="1"/>
  <c r="W4" i="10"/>
  <c r="P5" i="10"/>
  <c r="AM5" i="10"/>
  <c r="Y6" i="10"/>
  <c r="AO6" i="10"/>
  <c r="AR7" i="10"/>
  <c r="AQ7" i="10" s="1"/>
  <c r="AT7" i="10"/>
  <c r="F14" i="10"/>
  <c r="AK37" i="10"/>
  <c r="AJ37" i="10"/>
  <c r="AM37" i="10"/>
  <c r="Z55" i="10"/>
  <c r="Z58" i="10" s="1"/>
  <c r="BG55" i="10"/>
  <c r="BP55" i="10"/>
  <c r="BP58" i="10" s="1"/>
  <c r="CP55" i="10"/>
  <c r="BO5" i="10"/>
  <c r="BX5" i="10"/>
  <c r="J8" i="10"/>
  <c r="AB8" i="10"/>
  <c r="AA8" i="10" s="1"/>
  <c r="BT8" i="10"/>
  <c r="R9" i="10"/>
  <c r="AB9" i="10"/>
  <c r="AA9" i="10" s="1"/>
  <c r="BY9" i="10"/>
  <c r="BF10" i="10"/>
  <c r="BE10" i="10" s="1"/>
  <c r="CA10" i="10"/>
  <c r="BZ10" i="10"/>
  <c r="BF11" i="10"/>
  <c r="BE11" i="10" s="1"/>
  <c r="BR11" i="10"/>
  <c r="D11" i="10" s="1"/>
  <c r="E12" i="10"/>
  <c r="AB12" i="10"/>
  <c r="AA12" i="10" s="1"/>
  <c r="AK12" i="10"/>
  <c r="BH12" i="10"/>
  <c r="CM13" i="10"/>
  <c r="CL13" i="10" s="1"/>
  <c r="G14" i="10"/>
  <c r="AF15" i="10"/>
  <c r="AK15" i="10"/>
  <c r="AJ15" i="10" s="1"/>
  <c r="BK15" i="10"/>
  <c r="BJ15" i="10" s="1"/>
  <c r="BX15" i="10"/>
  <c r="BF16" i="10"/>
  <c r="BE16" i="10" s="1"/>
  <c r="AW17" i="10"/>
  <c r="AV17" i="10" s="1"/>
  <c r="I18" i="10"/>
  <c r="BD18" i="10"/>
  <c r="BC18" i="10" s="1"/>
  <c r="R19" i="10"/>
  <c r="B19" i="10"/>
  <c r="K25" i="10"/>
  <c r="B25" i="10"/>
  <c r="U25" i="10"/>
  <c r="Y25" i="10"/>
  <c r="AT30" i="10"/>
  <c r="AP30" i="10"/>
  <c r="AO30" i="10" s="1"/>
  <c r="BY32" i="10"/>
  <c r="BX32" i="10" s="1"/>
  <c r="CC32" i="10"/>
  <c r="U33" i="10"/>
  <c r="B33" i="10"/>
  <c r="P37" i="10"/>
  <c r="AY39" i="10"/>
  <c r="AX39" i="10"/>
  <c r="BA39" i="10"/>
  <c r="CA9" i="10"/>
  <c r="BZ9" i="10" s="1"/>
  <c r="CJ9" i="10"/>
  <c r="B11" i="10"/>
  <c r="G11" i="10"/>
  <c r="W11" i="10"/>
  <c r="I11" i="10" s="1"/>
  <c r="V11" i="10"/>
  <c r="AF11" i="10"/>
  <c r="AX11" i="10"/>
  <c r="B13" i="10"/>
  <c r="BK13" i="10"/>
  <c r="BJ13" i="10" s="1"/>
  <c r="AQ14" i="10"/>
  <c r="BL15" i="10"/>
  <c r="BM15" i="10"/>
  <c r="BK19" i="10"/>
  <c r="BJ19" i="10"/>
  <c r="I20" i="10"/>
  <c r="H20" i="10"/>
  <c r="I22" i="10"/>
  <c r="E24" i="10"/>
  <c r="K24" i="10" s="1"/>
  <c r="BY25" i="10"/>
  <c r="CC25" i="10"/>
  <c r="AB26" i="10"/>
  <c r="AA26" i="10" s="1"/>
  <c r="AF26" i="10"/>
  <c r="B28" i="10"/>
  <c r="R28" i="10"/>
  <c r="BK32" i="10"/>
  <c r="BO32" i="10"/>
  <c r="BJ32" i="10"/>
  <c r="AF36" i="10"/>
  <c r="E36" i="10"/>
  <c r="K36" i="10" s="1"/>
  <c r="BR36" i="10"/>
  <c r="BQ36" i="10" s="1"/>
  <c r="BV36" i="10"/>
  <c r="AT37" i="10"/>
  <c r="AJ38" i="10"/>
  <c r="AM38" i="10"/>
  <c r="T39" i="10"/>
  <c r="AK39" i="10"/>
  <c r="AJ39" i="10" s="1"/>
  <c r="AM39" i="10"/>
  <c r="BD39" i="10"/>
  <c r="BC39" i="10" s="1"/>
  <c r="BH39" i="10"/>
  <c r="BZ6" i="10"/>
  <c r="BS7" i="10"/>
  <c r="M8" i="10"/>
  <c r="E8" i="10"/>
  <c r="K8" i="10" s="1"/>
  <c r="AC8" i="10"/>
  <c r="AV8" i="10"/>
  <c r="CE8" i="10"/>
  <c r="CO8" i="10"/>
  <c r="CN8" i="10" s="1"/>
  <c r="T9" i="10"/>
  <c r="AF9" i="10"/>
  <c r="AO9" i="10"/>
  <c r="AX9" i="10"/>
  <c r="BQ9" i="10"/>
  <c r="CC9" i="10"/>
  <c r="B10" i="10"/>
  <c r="W10" i="10"/>
  <c r="AF10" i="10"/>
  <c r="AY10" i="10"/>
  <c r="AX10" i="10" s="1"/>
  <c r="BH10" i="10"/>
  <c r="CL10" i="10"/>
  <c r="M11" i="10"/>
  <c r="BS11" i="10"/>
  <c r="J12" i="10"/>
  <c r="AO12" i="10"/>
  <c r="AY12" i="10"/>
  <c r="AX12" i="10" s="1"/>
  <c r="BJ12" i="10"/>
  <c r="P13" i="10"/>
  <c r="O13" i="10" s="1"/>
  <c r="Y13" i="10"/>
  <c r="AH13" i="10"/>
  <c r="BX13" i="10"/>
  <c r="R14" i="10"/>
  <c r="B14" i="10"/>
  <c r="AT14" i="10"/>
  <c r="M15" i="10"/>
  <c r="BO15" i="10"/>
  <c r="W15" i="10"/>
  <c r="V15" i="10" s="1"/>
  <c r="AO16" i="10"/>
  <c r="BS16" i="10"/>
  <c r="AA17" i="10"/>
  <c r="BY17" i="10"/>
  <c r="BX17" i="10"/>
  <c r="AH18" i="10"/>
  <c r="CF18" i="10"/>
  <c r="CE18" i="10" s="1"/>
  <c r="AM21" i="10"/>
  <c r="AI21" i="10"/>
  <c r="AH21" i="10" s="1"/>
  <c r="R22" i="10"/>
  <c r="N22" i="10"/>
  <c r="E22" i="10"/>
  <c r="K22" i="10" s="1"/>
  <c r="B23" i="10"/>
  <c r="V24" i="10"/>
  <c r="BK25" i="10"/>
  <c r="BJ25" i="10" s="1"/>
  <c r="BO25" i="10"/>
  <c r="BX25" i="10"/>
  <c r="N26" i="10"/>
  <c r="R26" i="10"/>
  <c r="E26" i="10"/>
  <c r="K26" i="10" s="1"/>
  <c r="CF26" i="10"/>
  <c r="CE26" i="10" s="1"/>
  <c r="CJ26" i="10"/>
  <c r="AI27" i="10"/>
  <c r="AH27" i="10" s="1"/>
  <c r="CM27" i="10"/>
  <c r="CL27" i="10" s="1"/>
  <c r="M28" i="10"/>
  <c r="CF28" i="10"/>
  <c r="CE28" i="10" s="1"/>
  <c r="BK29" i="10"/>
  <c r="BJ29" i="10"/>
  <c r="CM29" i="10"/>
  <c r="CL29" i="10"/>
  <c r="CQ29" i="10"/>
  <c r="CA31" i="10"/>
  <c r="BZ31" i="10" s="1"/>
  <c r="J31" i="10"/>
  <c r="P31" i="10"/>
  <c r="O31" i="10"/>
  <c r="R31" i="10"/>
  <c r="M34" i="10"/>
  <c r="AT34" i="10"/>
  <c r="AO34" i="10"/>
  <c r="AA36" i="10"/>
  <c r="AP37" i="10"/>
  <c r="AO37" i="10" s="1"/>
  <c r="AP39" i="10"/>
  <c r="AT39" i="10"/>
  <c r="AO39" i="10"/>
  <c r="BK10" i="10"/>
  <c r="BJ10" i="10" s="1"/>
  <c r="BS10" i="10"/>
  <c r="BM12" i="10"/>
  <c r="BL12" i="10" s="1"/>
  <c r="BL13" i="10"/>
  <c r="AW14" i="10"/>
  <c r="AV14" i="10" s="1"/>
  <c r="AK16" i="10"/>
  <c r="AJ16" i="10" s="1"/>
  <c r="H19" i="10"/>
  <c r="CM19" i="10"/>
  <c r="CL19" i="10" s="1"/>
  <c r="N20" i="10"/>
  <c r="E20" i="10"/>
  <c r="K20" i="10" s="1"/>
  <c r="R20" i="10"/>
  <c r="BH20" i="10"/>
  <c r="BD20" i="10"/>
  <c r="BR26" i="10"/>
  <c r="BQ26" i="10" s="1"/>
  <c r="BV26" i="10"/>
  <c r="U27" i="10"/>
  <c r="T27" i="10" s="1"/>
  <c r="Y27" i="10"/>
  <c r="B27" i="10"/>
  <c r="BY27" i="10"/>
  <c r="BX27" i="10" s="1"/>
  <c r="CC27" i="10"/>
  <c r="AB28" i="10"/>
  <c r="G28" i="10" s="1"/>
  <c r="AF28" i="10"/>
  <c r="AA28" i="10"/>
  <c r="U30" i="10"/>
  <c r="T30" i="10" s="1"/>
  <c r="Y30" i="10"/>
  <c r="AF33" i="10"/>
  <c r="AB33" i="10"/>
  <c r="AA33" i="10" s="1"/>
  <c r="CF34" i="10"/>
  <c r="CJ34" i="10"/>
  <c r="CE34" i="10"/>
  <c r="B9" i="10"/>
  <c r="W9" i="10"/>
  <c r="I9" i="10" s="1"/>
  <c r="BK9" i="10"/>
  <c r="BJ9" i="10"/>
  <c r="BS9" i="10"/>
  <c r="CE9" i="10"/>
  <c r="BV10" i="10"/>
  <c r="E11" i="10"/>
  <c r="K11" i="10" s="1"/>
  <c r="O11" i="10"/>
  <c r="AA11" i="10"/>
  <c r="BO12" i="10"/>
  <c r="E13" i="10"/>
  <c r="K13" i="10" s="1"/>
  <c r="BO13" i="10"/>
  <c r="AY14" i="10"/>
  <c r="AX14" i="10" s="1"/>
  <c r="BQ15" i="10"/>
  <c r="BY16" i="10"/>
  <c r="BX16" i="10" s="1"/>
  <c r="B17" i="10"/>
  <c r="B18" i="10"/>
  <c r="I19" i="10"/>
  <c r="M20" i="10"/>
  <c r="BC20" i="10"/>
  <c r="H22" i="10"/>
  <c r="CM23" i="10"/>
  <c r="CL23" i="10" s="1"/>
  <c r="O26" i="10"/>
  <c r="H26" i="10" s="1"/>
  <c r="I26" i="10"/>
  <c r="H28" i="10"/>
  <c r="R29" i="10"/>
  <c r="E29" i="10"/>
  <c r="K29" i="10" s="1"/>
  <c r="BD31" i="10"/>
  <c r="BC31" i="10" s="1"/>
  <c r="H34" i="10"/>
  <c r="AB34" i="10"/>
  <c r="B34" i="10"/>
  <c r="AF34" i="10"/>
  <c r="J38" i="10"/>
  <c r="P38" i="10"/>
  <c r="O38" i="10" s="1"/>
  <c r="CM39" i="10"/>
  <c r="CL39" i="10" s="1"/>
  <c r="CQ39" i="10"/>
  <c r="AU55" i="10"/>
  <c r="AU58" i="10" s="1"/>
  <c r="BV4" i="10"/>
  <c r="BA5" i="10"/>
  <c r="BL5" i="10"/>
  <c r="AC6" i="10"/>
  <c r="CL6" i="10"/>
  <c r="V7" i="10"/>
  <c r="CE7" i="10"/>
  <c r="Y8" i="10"/>
  <c r="AH8" i="10"/>
  <c r="BQ8" i="10"/>
  <c r="BZ8" i="10"/>
  <c r="CG8" i="10"/>
  <c r="M9" i="10"/>
  <c r="AI9" i="10"/>
  <c r="AH9" i="10" s="1"/>
  <c r="BV9" i="10"/>
  <c r="E10" i="10"/>
  <c r="K10" i="10" s="1"/>
  <c r="O10" i="10"/>
  <c r="AA10" i="10"/>
  <c r="AI10" i="10"/>
  <c r="G10" i="10" s="1"/>
  <c r="BC10" i="10"/>
  <c r="R11" i="10"/>
  <c r="BC11" i="10"/>
  <c r="BX11" i="10"/>
  <c r="B12" i="10"/>
  <c r="BD12" i="10"/>
  <c r="BC12" i="10"/>
  <c r="T13" i="10"/>
  <c r="AB13" i="10"/>
  <c r="G13" i="10" s="1"/>
  <c r="BE13" i="10"/>
  <c r="BA14" i="10"/>
  <c r="Y15" i="10"/>
  <c r="AF16" i="10"/>
  <c r="BM16" i="10"/>
  <c r="BL16" i="10" s="1"/>
  <c r="CA16" i="10"/>
  <c r="BZ16" i="10" s="1"/>
  <c r="CM16" i="10"/>
  <c r="CL16" i="10" s="1"/>
  <c r="BD17" i="10"/>
  <c r="BC17" i="10" s="1"/>
  <c r="BK18" i="10"/>
  <c r="BJ18" i="10" s="1"/>
  <c r="CQ19" i="10"/>
  <c r="BC21" i="10"/>
  <c r="BH21" i="10"/>
  <c r="B22" i="10"/>
  <c r="AH22" i="10"/>
  <c r="AM22" i="10"/>
  <c r="N24" i="10"/>
  <c r="CM24" i="10"/>
  <c r="CL24" i="10" s="1"/>
  <c r="CE25" i="10"/>
  <c r="B26" i="10"/>
  <c r="AH26" i="10"/>
  <c r="I27" i="10"/>
  <c r="AO27" i="10"/>
  <c r="I28" i="10"/>
  <c r="AV28" i="10"/>
  <c r="BO28" i="10"/>
  <c r="BK28" i="10"/>
  <c r="BJ28" i="10" s="1"/>
  <c r="AA29" i="10"/>
  <c r="AT29" i="10"/>
  <c r="AP29" i="10"/>
  <c r="AO29" i="10" s="1"/>
  <c r="W30" i="10"/>
  <c r="V30" i="10" s="1"/>
  <c r="BS30" i="10"/>
  <c r="CM30" i="10"/>
  <c r="CL30" i="10" s="1"/>
  <c r="CQ30" i="10"/>
  <c r="AM31" i="10"/>
  <c r="AI31" i="10"/>
  <c r="BQ31" i="10"/>
  <c r="BV31" i="10"/>
  <c r="BR31" i="10"/>
  <c r="AB37" i="10"/>
  <c r="AA37" i="10" s="1"/>
  <c r="BE37" i="10"/>
  <c r="BT37" i="10"/>
  <c r="BS37" i="10" s="1"/>
  <c r="CG37" i="10"/>
  <c r="CJ37" i="10"/>
  <c r="AN55" i="10"/>
  <c r="AN58" i="10" s="1"/>
  <c r="BN55" i="10"/>
  <c r="BW55" i="10"/>
  <c r="BW58" i="10" s="1"/>
  <c r="E5" i="10"/>
  <c r="K5" i="10" s="1"/>
  <c r="BE5" i="10"/>
  <c r="CN5" i="10"/>
  <c r="CG7" i="10"/>
  <c r="CN7" i="10"/>
  <c r="D9" i="10"/>
  <c r="R10" i="10"/>
  <c r="CA11" i="10"/>
  <c r="BZ11" i="10"/>
  <c r="N12" i="10"/>
  <c r="BY12" i="10"/>
  <c r="BX12" i="10" s="1"/>
  <c r="P12" i="10"/>
  <c r="J13" i="10"/>
  <c r="AV13" i="10"/>
  <c r="E14" i="10"/>
  <c r="E15" i="10"/>
  <c r="BE15" i="10"/>
  <c r="BV15" i="10"/>
  <c r="AM16" i="10"/>
  <c r="CC16" i="10"/>
  <c r="U17" i="10"/>
  <c r="G17" i="10" s="1"/>
  <c r="AB18" i="10"/>
  <c r="G18" i="10" s="1"/>
  <c r="BR19" i="10"/>
  <c r="BQ19" i="10" s="1"/>
  <c r="B20" i="10"/>
  <c r="CC20" i="10"/>
  <c r="R21" i="10"/>
  <c r="N21" i="10"/>
  <c r="M21" i="10" s="1"/>
  <c r="E21" i="10"/>
  <c r="K21" i="10" s="1"/>
  <c r="V23" i="10"/>
  <c r="H23" i="10" s="1"/>
  <c r="I23" i="10"/>
  <c r="BY23" i="10"/>
  <c r="BX23" i="10" s="1"/>
  <c r="CQ23" i="10"/>
  <c r="H24" i="10"/>
  <c r="H25" i="10"/>
  <c r="AP25" i="10"/>
  <c r="AO25" i="10" s="1"/>
  <c r="CL26" i="10"/>
  <c r="BH27" i="10"/>
  <c r="BD27" i="10"/>
  <c r="BC27" i="10" s="1"/>
  <c r="E28" i="10"/>
  <c r="K28" i="10" s="1"/>
  <c r="N29" i="10"/>
  <c r="M29" i="10" s="1"/>
  <c r="BE31" i="10"/>
  <c r="CA36" i="10"/>
  <c r="BZ36" i="10"/>
  <c r="CC36" i="10"/>
  <c r="BA37" i="10"/>
  <c r="AW37" i="10"/>
  <c r="CM37" i="10"/>
  <c r="CL37" i="10" s="1"/>
  <c r="CQ37" i="10"/>
  <c r="AF38" i="10"/>
  <c r="AD38" i="10"/>
  <c r="AC38" i="10"/>
  <c r="AG55" i="10"/>
  <c r="AG58" i="10" s="1"/>
  <c r="AO4" i="10"/>
  <c r="BF4" i="10"/>
  <c r="BX4" i="10"/>
  <c r="CG4" i="10"/>
  <c r="CO4" i="10"/>
  <c r="CN4" i="10" s="1"/>
  <c r="N5" i="10"/>
  <c r="M5" i="10" s="1"/>
  <c r="CF6" i="10"/>
  <c r="CE6" i="10" s="1"/>
  <c r="BY7" i="10"/>
  <c r="BX7" i="10" s="1"/>
  <c r="R8" i="10"/>
  <c r="AJ8" i="10"/>
  <c r="E9" i="10"/>
  <c r="K9" i="10" s="1"/>
  <c r="O9" i="10"/>
  <c r="BO10" i="10"/>
  <c r="J11" i="10"/>
  <c r="CC11" i="10"/>
  <c r="AJ12" i="10"/>
  <c r="BE12" i="10"/>
  <c r="BT13" i="10"/>
  <c r="BS13" i="10" s="1"/>
  <c r="AD14" i="10"/>
  <c r="AC14" i="10" s="1"/>
  <c r="BC14" i="10"/>
  <c r="J14" i="10"/>
  <c r="P14" i="10"/>
  <c r="I14" i="10" s="1"/>
  <c r="J15" i="10"/>
  <c r="U16" i="10"/>
  <c r="T16" i="10" s="1"/>
  <c r="E18" i="10"/>
  <c r="K18" i="10" s="1"/>
  <c r="AI19" i="10"/>
  <c r="AH19" i="10"/>
  <c r="F19" i="10" s="1"/>
  <c r="T20" i="10"/>
  <c r="Y20" i="10"/>
  <c r="AM20" i="10"/>
  <c r="AI20" i="10"/>
  <c r="AH20" i="10" s="1"/>
  <c r="BY20" i="10"/>
  <c r="BX20" i="10" s="1"/>
  <c r="M23" i="10"/>
  <c r="E23" i="10"/>
  <c r="K23" i="10" s="1"/>
  <c r="R23" i="10"/>
  <c r="B24" i="10"/>
  <c r="I25" i="10"/>
  <c r="H29" i="10"/>
  <c r="V31" i="10"/>
  <c r="AJ31" i="10"/>
  <c r="BH31" i="10"/>
  <c r="M32" i="10"/>
  <c r="CM32" i="10"/>
  <c r="CL32" i="10"/>
  <c r="CQ32" i="10"/>
  <c r="BA33" i="10"/>
  <c r="AW33" i="10"/>
  <c r="AV33" i="10" s="1"/>
  <c r="AT36" i="10"/>
  <c r="AO36" i="10"/>
  <c r="BM36" i="10"/>
  <c r="BL36" i="10" s="1"/>
  <c r="CF36" i="10"/>
  <c r="CE36" i="10"/>
  <c r="CJ36" i="10"/>
  <c r="AV37" i="10"/>
  <c r="CE21" i="10"/>
  <c r="BJ22" i="10"/>
  <c r="AO23" i="10"/>
  <c r="T24" i="10"/>
  <c r="BX24" i="10"/>
  <c r="BD28" i="10"/>
  <c r="D28" i="10" s="1"/>
  <c r="BC28" i="10"/>
  <c r="AI29" i="10"/>
  <c r="AH29" i="10" s="1"/>
  <c r="BR30" i="10"/>
  <c r="BQ30" i="10" s="1"/>
  <c r="CJ30" i="10"/>
  <c r="CF30" i="10"/>
  <c r="CE30" i="10" s="1"/>
  <c r="BM31" i="10"/>
  <c r="BL31" i="10" s="1"/>
  <c r="AM32" i="10"/>
  <c r="AI32" i="10"/>
  <c r="AH32" i="10" s="1"/>
  <c r="AH33" i="10"/>
  <c r="BX33" i="10"/>
  <c r="BC35" i="10"/>
  <c r="CO38" i="10"/>
  <c r="CN38" i="10"/>
  <c r="Y39" i="10"/>
  <c r="V39" i="10"/>
  <c r="AY40" i="10"/>
  <c r="AX40" i="10" s="1"/>
  <c r="BA40" i="10"/>
  <c r="AP41" i="10"/>
  <c r="AO41" i="10" s="1"/>
  <c r="AT41" i="10"/>
  <c r="BO38" i="10"/>
  <c r="BK38" i="10"/>
  <c r="BJ38" i="10" s="1"/>
  <c r="R18" i="10"/>
  <c r="I29" i="10"/>
  <c r="BA30" i="10"/>
  <c r="AY30" i="10"/>
  <c r="AX30" i="10" s="1"/>
  <c r="CG31" i="10"/>
  <c r="CJ31" i="10"/>
  <c r="AO33" i="10"/>
  <c r="AP33" i="10"/>
  <c r="BV33" i="10"/>
  <c r="AI35" i="10"/>
  <c r="D35" i="10" s="1"/>
  <c r="AM35" i="10"/>
  <c r="CM35" i="10"/>
  <c r="CL35" i="10" s="1"/>
  <c r="CQ35" i="10"/>
  <c r="O36" i="10"/>
  <c r="BY37" i="10"/>
  <c r="BX37" i="10" s="1"/>
  <c r="CC37" i="10"/>
  <c r="CC39" i="10"/>
  <c r="CA39" i="10"/>
  <c r="BZ39" i="10" s="1"/>
  <c r="BJ11" i="10"/>
  <c r="AV12" i="10"/>
  <c r="BC13" i="10"/>
  <c r="AO14" i="10"/>
  <c r="BE14" i="10"/>
  <c r="O15" i="10"/>
  <c r="BC15" i="10"/>
  <c r="BS15" i="10"/>
  <c r="E16" i="10"/>
  <c r="K16" i="10" s="1"/>
  <c r="M16" i="10"/>
  <c r="AC16" i="10"/>
  <c r="BQ16" i="10"/>
  <c r="CG16" i="10"/>
  <c r="BQ20" i="10"/>
  <c r="AV21" i="10"/>
  <c r="CL21" i="10"/>
  <c r="AA22" i="10"/>
  <c r="BQ22" i="10"/>
  <c r="CM22" i="10"/>
  <c r="CL22" i="10" s="1"/>
  <c r="AV23" i="10"/>
  <c r="BR23" i="10"/>
  <c r="BQ23" i="10" s="1"/>
  <c r="AA24" i="10"/>
  <c r="CE24" i="10"/>
  <c r="AO28" i="10"/>
  <c r="N30" i="10"/>
  <c r="M30" i="10"/>
  <c r="E30" i="10"/>
  <c r="K30" i="10" s="1"/>
  <c r="CA30" i="10"/>
  <c r="BZ30" i="10" s="1"/>
  <c r="BY31" i="10"/>
  <c r="BX31" i="10" s="1"/>
  <c r="CC31" i="10"/>
  <c r="CM31" i="10"/>
  <c r="CL31" i="10" s="1"/>
  <c r="O33" i="10"/>
  <c r="H33" i="10" s="1"/>
  <c r="BR33" i="10"/>
  <c r="BQ33" i="10" s="1"/>
  <c r="BO34" i="10"/>
  <c r="BK34" i="10"/>
  <c r="BJ34" i="10" s="1"/>
  <c r="R36" i="10"/>
  <c r="W36" i="10"/>
  <c r="V36" i="10" s="1"/>
  <c r="AT40" i="10"/>
  <c r="AR40" i="10"/>
  <c r="AQ40" i="10" s="1"/>
  <c r="CI55" i="10"/>
  <c r="E17" i="10"/>
  <c r="K17" i="10" s="1"/>
  <c r="AW20" i="10"/>
  <c r="AV20" i="10" s="1"/>
  <c r="CM20" i="10"/>
  <c r="CL20" i="10" s="1"/>
  <c r="I21" i="10"/>
  <c r="AB21" i="10"/>
  <c r="AA21" i="10" s="1"/>
  <c r="BR21" i="10"/>
  <c r="BQ21" i="10" s="1"/>
  <c r="AW22" i="10"/>
  <c r="AV22" i="10" s="1"/>
  <c r="AB23" i="10"/>
  <c r="G23" i="10" s="1"/>
  <c r="BK24" i="10"/>
  <c r="BJ24" i="10" s="1"/>
  <c r="M25" i="10"/>
  <c r="AH25" i="10"/>
  <c r="BQ25" i="10"/>
  <c r="CL25" i="10"/>
  <c r="T26" i="10"/>
  <c r="AO26" i="10"/>
  <c r="BX26" i="10"/>
  <c r="T28" i="10"/>
  <c r="CM28" i="10"/>
  <c r="CL28" i="10" s="1"/>
  <c r="T29" i="10"/>
  <c r="BR29" i="10"/>
  <c r="BQ29" i="10" s="1"/>
  <c r="CE29" i="10"/>
  <c r="B30" i="10"/>
  <c r="P30" i="10"/>
  <c r="O30" i="10" s="1"/>
  <c r="AI30" i="10"/>
  <c r="AH30" i="10" s="1"/>
  <c r="CC30" i="10"/>
  <c r="CO31" i="10"/>
  <c r="CN31" i="10" s="1"/>
  <c r="J32" i="10"/>
  <c r="W32" i="10"/>
  <c r="V32" i="10" s="1"/>
  <c r="H32" i="10" s="1"/>
  <c r="BQ32" i="10"/>
  <c r="P33" i="10"/>
  <c r="I33" i="10" s="1"/>
  <c r="R35" i="10"/>
  <c r="E35" i="10"/>
  <c r="K35" i="10" s="1"/>
  <c r="M35" i="10"/>
  <c r="BV35" i="10"/>
  <c r="BQ35" i="10"/>
  <c r="Y36" i="10"/>
  <c r="BM37" i="10"/>
  <c r="BL37" i="10" s="1"/>
  <c r="BV38" i="10"/>
  <c r="BQ38" i="10"/>
  <c r="R39" i="10"/>
  <c r="B39" i="10"/>
  <c r="E39" i="10"/>
  <c r="M39" i="10"/>
  <c r="J39" i="10"/>
  <c r="P39" i="10"/>
  <c r="O39" i="10" s="1"/>
  <c r="AM40" i="10"/>
  <c r="AK40" i="10"/>
  <c r="AJ40" i="10" s="1"/>
  <c r="P40" i="10"/>
  <c r="J40" i="10"/>
  <c r="BY42" i="10"/>
  <c r="BX42" i="10"/>
  <c r="G43" i="10"/>
  <c r="CM43" i="10"/>
  <c r="CL43" i="10" s="1"/>
  <c r="CQ43" i="10"/>
  <c r="CG44" i="10"/>
  <c r="CH44" i="10"/>
  <c r="BR46" i="10"/>
  <c r="BQ46" i="10" s="1"/>
  <c r="BV46" i="10"/>
  <c r="CF46" i="10"/>
  <c r="CE46" i="10" s="1"/>
  <c r="CJ46" i="10"/>
  <c r="M50" i="10"/>
  <c r="R50" i="10"/>
  <c r="E50" i="10"/>
  <c r="B50" i="10"/>
  <c r="W50" i="10"/>
  <c r="V50" i="10"/>
  <c r="AD52" i="10"/>
  <c r="AC52" i="10" s="1"/>
  <c r="CH39" i="10"/>
  <c r="CG39" i="10" s="1"/>
  <c r="BC42" i="10"/>
  <c r="BZ43" i="10"/>
  <c r="CA43" i="10"/>
  <c r="I43" i="10" s="1"/>
  <c r="AY44" i="10"/>
  <c r="AP45" i="10"/>
  <c r="AO45" i="10"/>
  <c r="BE46" i="10"/>
  <c r="P47" i="10"/>
  <c r="O47" i="10"/>
  <c r="J47" i="10"/>
  <c r="N49" i="10"/>
  <c r="M49" i="10" s="1"/>
  <c r="E49" i="10"/>
  <c r="B49" i="10"/>
  <c r="N50" i="10"/>
  <c r="CF50" i="10"/>
  <c r="CE50" i="10"/>
  <c r="CJ50" i="10"/>
  <c r="AD50" i="10"/>
  <c r="AC50" i="10" s="1"/>
  <c r="BD40" i="10"/>
  <c r="BC40" i="10" s="1"/>
  <c r="N41" i="10"/>
  <c r="M41" i="10"/>
  <c r="E41" i="10"/>
  <c r="K41" i="10" s="1"/>
  <c r="U42" i="10"/>
  <c r="T42" i="10" s="1"/>
  <c r="Y44" i="10"/>
  <c r="U44" i="10"/>
  <c r="T44" i="10" s="1"/>
  <c r="J45" i="10"/>
  <c r="AC45" i="10"/>
  <c r="CM45" i="10"/>
  <c r="CL45" i="10" s="1"/>
  <c r="CQ45" i="10"/>
  <c r="V46" i="10"/>
  <c r="U47" i="10"/>
  <c r="T47" i="10"/>
  <c r="Y47" i="10"/>
  <c r="B48" i="10"/>
  <c r="AY49" i="10"/>
  <c r="AX49" i="10" s="1"/>
  <c r="AK50" i="10"/>
  <c r="AJ50" i="10" s="1"/>
  <c r="AM50" i="10"/>
  <c r="U37" i="10"/>
  <c r="G37" i="10" s="1"/>
  <c r="CU37" i="10"/>
  <c r="AE37" i="10" s="1"/>
  <c r="J37" i="10" s="1"/>
  <c r="R38" i="10"/>
  <c r="B38" i="10"/>
  <c r="AY38" i="10"/>
  <c r="AX38" i="10" s="1"/>
  <c r="BR39" i="10"/>
  <c r="BQ39" i="10" s="1"/>
  <c r="R40" i="10"/>
  <c r="B40" i="10"/>
  <c r="BF40" i="10"/>
  <c r="BE40" i="10" s="1"/>
  <c r="BR40" i="10"/>
  <c r="BQ40" i="10" s="1"/>
  <c r="H41" i="10"/>
  <c r="BY41" i="10"/>
  <c r="BX41" i="10" s="1"/>
  <c r="I42" i="10"/>
  <c r="W43" i="10"/>
  <c r="V43" i="10" s="1"/>
  <c r="AV43" i="10"/>
  <c r="CE43" i="10"/>
  <c r="CJ43" i="10"/>
  <c r="BD44" i="10"/>
  <c r="BC44" i="10" s="1"/>
  <c r="BH44" i="10"/>
  <c r="AT45" i="10"/>
  <c r="BZ45" i="10"/>
  <c r="CA45" i="10"/>
  <c r="CG47" i="10"/>
  <c r="CE48" i="10"/>
  <c r="CJ48" i="10"/>
  <c r="Y48" i="10"/>
  <c r="W48" i="10"/>
  <c r="V48" i="10" s="1"/>
  <c r="BH51" i="10"/>
  <c r="BD51" i="10"/>
  <c r="BC51" i="10" s="1"/>
  <c r="B51" i="10"/>
  <c r="D43" i="10"/>
  <c r="BS43" i="10"/>
  <c r="AB46" i="10"/>
  <c r="AM49" i="10"/>
  <c r="AJ49" i="10"/>
  <c r="CJ49" i="10"/>
  <c r="CF49" i="10"/>
  <c r="CE49" i="10" s="1"/>
  <c r="BZ51" i="10"/>
  <c r="CC51" i="10"/>
  <c r="B32" i="10"/>
  <c r="T32" i="10"/>
  <c r="AJ32" i="10"/>
  <c r="CF33" i="10"/>
  <c r="CE33" i="10" s="1"/>
  <c r="H35" i="10"/>
  <c r="U36" i="10"/>
  <c r="AM36" i="10"/>
  <c r="BK36" i="10"/>
  <c r="BJ36" i="10" s="1"/>
  <c r="BS36" i="10"/>
  <c r="CM36" i="10"/>
  <c r="CL36" i="10" s="1"/>
  <c r="B37" i="10"/>
  <c r="N38" i="10"/>
  <c r="CM38" i="10"/>
  <c r="CL38" i="10"/>
  <c r="AI39" i="10"/>
  <c r="G39" i="10" s="1"/>
  <c r="AQ39" i="10"/>
  <c r="BK39" i="10"/>
  <c r="BJ39" i="10" s="1"/>
  <c r="N40" i="10"/>
  <c r="AW42" i="10"/>
  <c r="AV42" i="10" s="1"/>
  <c r="CF42" i="10"/>
  <c r="CE42" i="10" s="1"/>
  <c r="AJ43" i="10"/>
  <c r="BV43" i="10"/>
  <c r="N45" i="10"/>
  <c r="CJ45" i="10"/>
  <c r="AD48" i="10"/>
  <c r="AC48" i="10" s="1"/>
  <c r="AB49" i="10"/>
  <c r="AA49" i="10" s="1"/>
  <c r="BD49" i="10"/>
  <c r="BC49" i="10" s="1"/>
  <c r="BA50" i="10"/>
  <c r="AW50" i="10"/>
  <c r="AV50" i="10"/>
  <c r="P51" i="10"/>
  <c r="O51" i="10" s="1"/>
  <c r="J51" i="10"/>
  <c r="BJ30" i="10"/>
  <c r="B31" i="10"/>
  <c r="T31" i="10"/>
  <c r="BA31" i="10"/>
  <c r="U32" i="10"/>
  <c r="AV32" i="10"/>
  <c r="BC34" i="10"/>
  <c r="I35" i="10"/>
  <c r="B36" i="10"/>
  <c r="AH37" i="10"/>
  <c r="E38" i="10"/>
  <c r="AI38" i="10"/>
  <c r="AH38" i="10" s="1"/>
  <c r="AQ38" i="10"/>
  <c r="BC38" i="10"/>
  <c r="O40" i="10"/>
  <c r="BJ40" i="10"/>
  <c r="BR41" i="10"/>
  <c r="BQ41" i="10" s="1"/>
  <c r="AM43" i="10"/>
  <c r="N44" i="10"/>
  <c r="M44" i="10" s="1"/>
  <c r="E44" i="10"/>
  <c r="K44" i="10" s="1"/>
  <c r="AW45" i="10"/>
  <c r="AV45" i="10" s="1"/>
  <c r="BS45" i="10"/>
  <c r="CF45" i="10"/>
  <c r="CE45" i="10" s="1"/>
  <c r="AF46" i="10"/>
  <c r="BM46" i="10"/>
  <c r="BL46" i="10" s="1"/>
  <c r="BZ46" i="10"/>
  <c r="AX47" i="10"/>
  <c r="G48" i="10"/>
  <c r="AW48" i="10"/>
  <c r="AV48" i="10" s="1"/>
  <c r="R51" i="10"/>
  <c r="CF52" i="10"/>
  <c r="J52" i="10"/>
  <c r="P52" i="10"/>
  <c r="R52" i="10"/>
  <c r="O53" i="10"/>
  <c r="J53" i="10"/>
  <c r="K53" i="10" s="1"/>
  <c r="E27" i="10"/>
  <c r="K27" i="10" s="1"/>
  <c r="M31" i="10"/>
  <c r="E31" i="10"/>
  <c r="AC31" i="10"/>
  <c r="AV31" i="10"/>
  <c r="E32" i="10"/>
  <c r="M33" i="10"/>
  <c r="BC33" i="10"/>
  <c r="AI34" i="10"/>
  <c r="AH34" i="10" s="1"/>
  <c r="CM34" i="10"/>
  <c r="CL34" i="10" s="1"/>
  <c r="AO35" i="10"/>
  <c r="BJ35" i="10"/>
  <c r="M36" i="10"/>
  <c r="AI36" i="10"/>
  <c r="G36" i="10" s="1"/>
  <c r="BC36" i="10"/>
  <c r="Y37" i="10"/>
  <c r="BH37" i="10"/>
  <c r="CO37" i="10"/>
  <c r="CN37" i="10" s="1"/>
  <c r="AT38" i="10"/>
  <c r="CE38" i="10"/>
  <c r="AA39" i="10"/>
  <c r="E40" i="10"/>
  <c r="K40" i="10" s="1"/>
  <c r="U41" i="10"/>
  <c r="T41" i="10" s="1"/>
  <c r="AB42" i="10"/>
  <c r="AA42" i="10" s="1"/>
  <c r="BA42" i="10"/>
  <c r="J43" i="10"/>
  <c r="K43" i="10" s="1"/>
  <c r="AP43" i="10"/>
  <c r="AO43" i="10"/>
  <c r="AB44" i="10"/>
  <c r="AA44" i="10" s="1"/>
  <c r="CF44" i="10"/>
  <c r="CE44" i="10" s="1"/>
  <c r="B45" i="10"/>
  <c r="AJ45" i="10"/>
  <c r="J46" i="10"/>
  <c r="N47" i="10"/>
  <c r="R47" i="10"/>
  <c r="B47" i="10"/>
  <c r="E47" i="10"/>
  <c r="K47" i="10" s="1"/>
  <c r="J50" i="10"/>
  <c r="R53" i="10"/>
  <c r="AQ53" i="10"/>
  <c r="AR53" i="10"/>
  <c r="AA45" i="10"/>
  <c r="M46" i="10"/>
  <c r="E46" i="10"/>
  <c r="K46" i="10" s="1"/>
  <c r="BY46" i="10"/>
  <c r="BX46" i="10" s="1"/>
  <c r="BH47" i="10"/>
  <c r="CF47" i="10"/>
  <c r="CE47" i="10" s="1"/>
  <c r="AR48" i="10"/>
  <c r="AQ48" i="10" s="1"/>
  <c r="AW49" i="10"/>
  <c r="AV49" i="10" s="1"/>
  <c r="BA49" i="10"/>
  <c r="AF50" i="10"/>
  <c r="CA50" i="10"/>
  <c r="BZ50" i="10" s="1"/>
  <c r="CM51" i="10"/>
  <c r="CL51" i="10" s="1"/>
  <c r="CQ51" i="10"/>
  <c r="BD52" i="10"/>
  <c r="BC52" i="10" s="1"/>
  <c r="BH52" i="10"/>
  <c r="AT53" i="10"/>
  <c r="BK56" i="10"/>
  <c r="BO56" i="10"/>
  <c r="BJ56" i="10"/>
  <c r="BV57" i="10"/>
  <c r="AM54" i="10"/>
  <c r="AI54" i="10"/>
  <c r="AH54" i="10"/>
  <c r="BR57" i="10"/>
  <c r="BQ57" i="10" s="1"/>
  <c r="BM54" i="10"/>
  <c r="BL54" i="10" s="1"/>
  <c r="AF45" i="10"/>
  <c r="R46" i="10"/>
  <c r="CH49" i="10"/>
  <c r="CG49" i="10" s="1"/>
  <c r="P50" i="10"/>
  <c r="O50" i="10"/>
  <c r="E57" i="10"/>
  <c r="R57" i="10"/>
  <c r="B57" i="10"/>
  <c r="BD57" i="10"/>
  <c r="BC57" i="10" s="1"/>
  <c r="BH57" i="10"/>
  <c r="AV40" i="10"/>
  <c r="BL40" i="10"/>
  <c r="B43" i="10"/>
  <c r="AH43" i="10"/>
  <c r="BQ43" i="10"/>
  <c r="V44" i="10"/>
  <c r="AV44" i="10"/>
  <c r="CN44" i="10"/>
  <c r="BQ45" i="10"/>
  <c r="BC46" i="10"/>
  <c r="CH46" i="10"/>
  <c r="BC47" i="10"/>
  <c r="M48" i="10"/>
  <c r="AF48" i="10"/>
  <c r="AB48" i="10"/>
  <c r="AM48" i="10"/>
  <c r="BH48" i="10"/>
  <c r="Y52" i="10"/>
  <c r="U52" i="10"/>
  <c r="G52" i="10" s="1"/>
  <c r="B52" i="10"/>
  <c r="N57" i="10"/>
  <c r="M57" i="10" s="1"/>
  <c r="E37" i="10"/>
  <c r="E42" i="10"/>
  <c r="K42" i="10" s="1"/>
  <c r="AR43" i="10"/>
  <c r="AQ43" i="10" s="1"/>
  <c r="BO43" i="10"/>
  <c r="O44" i="10"/>
  <c r="AO44" i="10"/>
  <c r="BE44" i="10"/>
  <c r="BX44" i="10"/>
  <c r="AH45" i="10"/>
  <c r="AR45" i="10"/>
  <c r="I45" i="10" s="1"/>
  <c r="B46" i="10"/>
  <c r="T46" i="10"/>
  <c r="AD46" i="10"/>
  <c r="AC46" i="10" s="1"/>
  <c r="AM47" i="10"/>
  <c r="AH47" i="10"/>
  <c r="AQ47" i="10"/>
  <c r="BZ47" i="10"/>
  <c r="CO47" i="10"/>
  <c r="CN47" i="10" s="1"/>
  <c r="AP48" i="10"/>
  <c r="AO48" i="10"/>
  <c r="AT48" i="10"/>
  <c r="BD48" i="10"/>
  <c r="BC48" i="10" s="1"/>
  <c r="T49" i="10"/>
  <c r="AT49" i="10"/>
  <c r="BO49" i="10"/>
  <c r="BJ49" i="10"/>
  <c r="BY50" i="10"/>
  <c r="BX50" i="10"/>
  <c r="CM50" i="10"/>
  <c r="CL50" i="10" s="1"/>
  <c r="AJ51" i="10"/>
  <c r="BK51" i="10"/>
  <c r="BJ51" i="10" s="1"/>
  <c r="T52" i="10"/>
  <c r="AX52" i="10"/>
  <c r="AY52" i="10"/>
  <c r="BA52" i="10"/>
  <c r="AB53" i="10"/>
  <c r="AA53" i="10" s="1"/>
  <c r="AF53" i="10"/>
  <c r="J48" i="10"/>
  <c r="K48" i="10" s="1"/>
  <c r="G51" i="10"/>
  <c r="AA51" i="10"/>
  <c r="F51" i="10" s="1"/>
  <c r="AF51" i="10"/>
  <c r="CH52" i="10"/>
  <c r="CG52" i="10" s="1"/>
  <c r="G53" i="10"/>
  <c r="M53" i="10"/>
  <c r="BA53" i="10"/>
  <c r="AY53" i="10"/>
  <c r="AX53" i="10" s="1"/>
  <c r="CM53" i="10"/>
  <c r="CL53" i="10" s="1"/>
  <c r="CQ53" i="10"/>
  <c r="E56" i="10"/>
  <c r="K56" i="10" s="1"/>
  <c r="R56" i="10"/>
  <c r="B56" i="10"/>
  <c r="AF56" i="10"/>
  <c r="AA56" i="10"/>
  <c r="AB56" i="10"/>
  <c r="CN56" i="10"/>
  <c r="O48" i="10"/>
  <c r="CC49" i="10"/>
  <c r="AY50" i="10"/>
  <c r="AX50" i="10"/>
  <c r="E51" i="10"/>
  <c r="AQ51" i="10"/>
  <c r="CF51" i="10"/>
  <c r="CE51" i="10" s="1"/>
  <c r="W52" i="10"/>
  <c r="V52" i="10" s="1"/>
  <c r="BH53" i="10"/>
  <c r="M56" i="10"/>
  <c r="CJ56" i="10"/>
  <c r="AQ57" i="10"/>
  <c r="AV47" i="10"/>
  <c r="BQ48" i="10"/>
  <c r="CQ48" i="10"/>
  <c r="AO49" i="10"/>
  <c r="BE49" i="10"/>
  <c r="U50" i="10"/>
  <c r="T50" i="10" s="1"/>
  <c r="Y50" i="10"/>
  <c r="AO50" i="10"/>
  <c r="AT51" i="10"/>
  <c r="CH51" i="10"/>
  <c r="CG51" i="10" s="1"/>
  <c r="W51" i="10"/>
  <c r="V51" i="10" s="1"/>
  <c r="AF52" i="10"/>
  <c r="W53" i="10"/>
  <c r="V53" i="10"/>
  <c r="BD53" i="10"/>
  <c r="U54" i="10"/>
  <c r="T54" i="10" s="1"/>
  <c r="E54" i="10"/>
  <c r="K54" i="10" s="1"/>
  <c r="Y54" i="10"/>
  <c r="B54" i="10"/>
  <c r="N56" i="10"/>
  <c r="CF56" i="10"/>
  <c r="CE56" i="10" s="1"/>
  <c r="AT57" i="10"/>
  <c r="AO47" i="10"/>
  <c r="BE47" i="10"/>
  <c r="BO48" i="10"/>
  <c r="BY49" i="10"/>
  <c r="BX49" i="10" s="1"/>
  <c r="BL50" i="10"/>
  <c r="CJ51" i="10"/>
  <c r="BY54" i="10"/>
  <c r="BX54" i="10" s="1"/>
  <c r="AQ56" i="10"/>
  <c r="AR56" i="10"/>
  <c r="J57" i="10"/>
  <c r="R83" i="10"/>
  <c r="CS49" i="10" s="1"/>
  <c r="Q49" i="10" s="1"/>
  <c r="R49" i="10" s="1"/>
  <c r="BO53" i="10"/>
  <c r="CF53" i="10"/>
  <c r="CE53" i="10" s="1"/>
  <c r="AD54" i="10"/>
  <c r="AC54" i="10" s="1"/>
  <c r="BM57" i="10"/>
  <c r="BL57" i="10" s="1"/>
  <c r="AF83" i="10"/>
  <c r="CU49" i="10" s="1"/>
  <c r="AE49" i="10" s="1"/>
  <c r="BA54" i="10"/>
  <c r="CF54" i="10"/>
  <c r="CE54" i="10" s="1"/>
  <c r="CJ54" i="10"/>
  <c r="BM56" i="10"/>
  <c r="BL56" i="10" s="1"/>
  <c r="CJ57" i="10"/>
  <c r="CE57" i="10"/>
  <c r="AO51" i="10"/>
  <c r="M52" i="10"/>
  <c r="AV52" i="10"/>
  <c r="CC52" i="10"/>
  <c r="CN52" i="10"/>
  <c r="B53" i="10"/>
  <c r="T53" i="10"/>
  <c r="CO53" i="10"/>
  <c r="CN53" i="10" s="1"/>
  <c r="AB54" i="10"/>
  <c r="AA54" i="10" s="1"/>
  <c r="AF54" i="10"/>
  <c r="AW54" i="10"/>
  <c r="AV54" i="10" s="1"/>
  <c r="BA56" i="10"/>
  <c r="CQ56" i="10"/>
  <c r="AF57" i="10"/>
  <c r="BK57" i="10"/>
  <c r="BJ57" i="10" s="1"/>
  <c r="BO57" i="10"/>
  <c r="CF57" i="10"/>
  <c r="BQ50" i="10"/>
  <c r="CG50" i="10"/>
  <c r="E52" i="10"/>
  <c r="K52" i="10" s="1"/>
  <c r="AO52" i="10"/>
  <c r="BE52" i="10"/>
  <c r="BX52" i="10"/>
  <c r="BT53" i="10"/>
  <c r="BS53" i="10" s="1"/>
  <c r="CC53" i="10"/>
  <c r="O54" i="10"/>
  <c r="CH54" i="10"/>
  <c r="CG54" i="10" s="1"/>
  <c r="BD56" i="10"/>
  <c r="BC56" i="10" s="1"/>
  <c r="AB57" i="10"/>
  <c r="AA57" i="10" s="1"/>
  <c r="AX57" i="10"/>
  <c r="Y83" i="10"/>
  <c r="CT49" i="10" s="1"/>
  <c r="X49" i="10" s="1"/>
  <c r="X55" i="10" s="1"/>
  <c r="BK53" i="10"/>
  <c r="BJ53" i="10" s="1"/>
  <c r="BD54" i="10"/>
  <c r="BC54" i="10" s="1"/>
  <c r="AI56" i="10"/>
  <c r="AH56" i="10" s="1"/>
  <c r="CM56" i="10"/>
  <c r="CL56" i="10" s="1"/>
  <c r="AI57" i="10"/>
  <c r="AH57" i="10" s="1"/>
  <c r="CM57" i="10"/>
  <c r="CL57" i="10" s="1"/>
  <c r="AJ54" i="10"/>
  <c r="CN54" i="10"/>
  <c r="O56" i="10"/>
  <c r="W56" i="10"/>
  <c r="V56" i="10" s="1"/>
  <c r="BS56" i="10"/>
  <c r="O57" i="10"/>
  <c r="BS57" i="10"/>
  <c r="M54" i="10"/>
  <c r="AV56" i="10"/>
  <c r="AE55" i="9"/>
  <c r="AD4" i="9"/>
  <c r="AC4" i="9" s="1"/>
  <c r="J4" i="9"/>
  <c r="AL55" i="9"/>
  <c r="AK4" i="9"/>
  <c r="H6" i="9"/>
  <c r="G5" i="9"/>
  <c r="M5" i="9"/>
  <c r="H10" i="9"/>
  <c r="P4" i="9"/>
  <c r="AF4" i="9"/>
  <c r="AN55" i="9"/>
  <c r="AN58" i="9" s="1"/>
  <c r="BF55" i="9"/>
  <c r="BF58" i="9" s="1"/>
  <c r="BP55" i="9"/>
  <c r="BV58" i="9" s="1"/>
  <c r="CH55" i="9"/>
  <c r="CH58" i="9" s="1"/>
  <c r="R5" i="9"/>
  <c r="AA5" i="9"/>
  <c r="AT5" i="9"/>
  <c r="CJ5" i="9"/>
  <c r="B6" i="9"/>
  <c r="BX6" i="9"/>
  <c r="BC7" i="9"/>
  <c r="R9" i="9"/>
  <c r="CJ11" i="9"/>
  <c r="E12" i="9"/>
  <c r="K12" i="9" s="1"/>
  <c r="M14" i="9"/>
  <c r="AJ15" i="9"/>
  <c r="AW15" i="9"/>
  <c r="AV15" i="9" s="1"/>
  <c r="G16" i="9"/>
  <c r="AO19" i="9"/>
  <c r="AP19" i="9"/>
  <c r="AT19" i="9"/>
  <c r="I20" i="9"/>
  <c r="B21" i="9"/>
  <c r="I22" i="9"/>
  <c r="H28" i="9"/>
  <c r="R55" i="9"/>
  <c r="Q58" i="9"/>
  <c r="Y4" i="9"/>
  <c r="AX4" i="9"/>
  <c r="AX55" i="9" s="1"/>
  <c r="AX58" i="9" s="1"/>
  <c r="BH4" i="9"/>
  <c r="BZ4" i="9"/>
  <c r="BZ55" i="9" s="1"/>
  <c r="BZ58" i="9" s="1"/>
  <c r="CJ4" i="9"/>
  <c r="J5" i="9"/>
  <c r="AK5" i="9"/>
  <c r="AJ5" i="9" s="1"/>
  <c r="H5" i="9" s="1"/>
  <c r="CL5" i="9"/>
  <c r="M6" i="9"/>
  <c r="M7" i="9"/>
  <c r="E8" i="9"/>
  <c r="K8" i="9" s="1"/>
  <c r="H8" i="9"/>
  <c r="AD9" i="9"/>
  <c r="I9" i="9" s="1"/>
  <c r="B10" i="9"/>
  <c r="N10" i="9"/>
  <c r="M10" i="9" s="1"/>
  <c r="E10" i="9"/>
  <c r="K10" i="9" s="1"/>
  <c r="BO10" i="9"/>
  <c r="B11" i="9"/>
  <c r="V11" i="9"/>
  <c r="AI11" i="9"/>
  <c r="D11" i="9" s="1"/>
  <c r="P12" i="9"/>
  <c r="I12" i="9" s="1"/>
  <c r="AW14" i="9"/>
  <c r="BA14" i="9"/>
  <c r="BY14" i="9"/>
  <c r="BX14" i="9" s="1"/>
  <c r="CC14" i="9"/>
  <c r="I15" i="9"/>
  <c r="O15" i="9"/>
  <c r="H15" i="9" s="1"/>
  <c r="Y18" i="9"/>
  <c r="U18" i="9"/>
  <c r="BK18" i="9"/>
  <c r="BJ18" i="9" s="1"/>
  <c r="BO18" i="9"/>
  <c r="O19" i="9"/>
  <c r="H19" i="9" s="1"/>
  <c r="AP20" i="9"/>
  <c r="AO20" i="9" s="1"/>
  <c r="AT20" i="9"/>
  <c r="CF20" i="9"/>
  <c r="CE20" i="9" s="1"/>
  <c r="CJ20" i="9"/>
  <c r="Y21" i="9"/>
  <c r="U21" i="9"/>
  <c r="T21" i="9" s="1"/>
  <c r="CJ22" i="9"/>
  <c r="CF22" i="9"/>
  <c r="CE22" i="9" s="1"/>
  <c r="BI58" i="9"/>
  <c r="BO55" i="9"/>
  <c r="CK55" i="9"/>
  <c r="CK58" i="9" s="1"/>
  <c r="CM4" i="9"/>
  <c r="E6" i="9"/>
  <c r="K6" i="9" s="1"/>
  <c r="BK8" i="9"/>
  <c r="BJ8" i="9" s="1"/>
  <c r="H14" i="9"/>
  <c r="AM15" i="9"/>
  <c r="J15" i="9"/>
  <c r="K15" i="9" s="1"/>
  <c r="BY15" i="9"/>
  <c r="BX15" i="9" s="1"/>
  <c r="AA17" i="9"/>
  <c r="AF17" i="9"/>
  <c r="AT17" i="9"/>
  <c r="AP17" i="9"/>
  <c r="AO17" i="9" s="1"/>
  <c r="CE17" i="9"/>
  <c r="CF17" i="9"/>
  <c r="CJ17" i="9"/>
  <c r="BK19" i="9"/>
  <c r="BJ19" i="9" s="1"/>
  <c r="BO19" i="9"/>
  <c r="CF23" i="9"/>
  <c r="CE23" i="9"/>
  <c r="BV24" i="9"/>
  <c r="BR24" i="9"/>
  <c r="BQ24" i="9" s="1"/>
  <c r="AQ4" i="9"/>
  <c r="AQ55" i="9" s="1"/>
  <c r="AQ58" i="9" s="1"/>
  <c r="BS55" i="9"/>
  <c r="BS58" i="9" s="1"/>
  <c r="G11" i="9"/>
  <c r="AV11" i="9"/>
  <c r="AC12" i="9"/>
  <c r="AD12" i="9"/>
  <c r="AB13" i="9"/>
  <c r="D13" i="9" s="1"/>
  <c r="AF13" i="9"/>
  <c r="BD13" i="9"/>
  <c r="BH13" i="9"/>
  <c r="CF13" i="9"/>
  <c r="CE13" i="9" s="1"/>
  <c r="CJ13" i="9"/>
  <c r="CF18" i="9"/>
  <c r="CE18" i="9" s="1"/>
  <c r="CJ18" i="9"/>
  <c r="BK21" i="9"/>
  <c r="BJ21" i="9" s="1"/>
  <c r="BO21" i="9"/>
  <c r="N22" i="9"/>
  <c r="M22" i="9"/>
  <c r="E22" i="9"/>
  <c r="K22" i="9" s="1"/>
  <c r="R22" i="9"/>
  <c r="AB4" i="9"/>
  <c r="AA4" i="9" s="1"/>
  <c r="BB58" i="9"/>
  <c r="BH55" i="9"/>
  <c r="BK4" i="9"/>
  <c r="CN55" i="9"/>
  <c r="CN58" i="9" s="1"/>
  <c r="E5" i="9"/>
  <c r="K5" i="9" s="1"/>
  <c r="CE5" i="9"/>
  <c r="AW6" i="9"/>
  <c r="BR6" i="9"/>
  <c r="BQ6" i="9" s="1"/>
  <c r="CM6" i="9"/>
  <c r="CL6" i="9" s="1"/>
  <c r="I7" i="9"/>
  <c r="AB7" i="9"/>
  <c r="AA7" i="9" s="1"/>
  <c r="AW7" i="9"/>
  <c r="AV7" i="9" s="1"/>
  <c r="BR7" i="9"/>
  <c r="BQ7" i="9" s="1"/>
  <c r="AP8" i="9"/>
  <c r="AO8" i="9" s="1"/>
  <c r="AB10" i="9"/>
  <c r="AA10" i="9" s="1"/>
  <c r="AV10" i="9"/>
  <c r="H11" i="9"/>
  <c r="AW11" i="9"/>
  <c r="CE11" i="9"/>
  <c r="AF12" i="9"/>
  <c r="AP12" i="9"/>
  <c r="AO12" i="9" s="1"/>
  <c r="M13" i="9"/>
  <c r="AA13" i="9"/>
  <c r="BC13" i="9"/>
  <c r="U15" i="9"/>
  <c r="G15" i="9" s="1"/>
  <c r="CC15" i="9"/>
  <c r="BD16" i="9"/>
  <c r="BH16" i="9"/>
  <c r="U19" i="9"/>
  <c r="T19" i="9"/>
  <c r="Y19" i="9"/>
  <c r="BA20" i="9"/>
  <c r="BO20" i="9"/>
  <c r="BK20" i="9"/>
  <c r="E21" i="9"/>
  <c r="K21" i="9" s="1"/>
  <c r="N21" i="9"/>
  <c r="M21" i="9" s="1"/>
  <c r="H22" i="9"/>
  <c r="B23" i="9"/>
  <c r="R23" i="9"/>
  <c r="E23" i="9"/>
  <c r="K23" i="9" s="1"/>
  <c r="N23" i="9"/>
  <c r="CJ23" i="9"/>
  <c r="E4" i="9"/>
  <c r="U4" i="9"/>
  <c r="AT4" i="9"/>
  <c r="BL55" i="9"/>
  <c r="BL58" i="9" s="1"/>
  <c r="BV4" i="9"/>
  <c r="CO55" i="9"/>
  <c r="CO58" i="9" s="1"/>
  <c r="AF5" i="9"/>
  <c r="AO5" i="9"/>
  <c r="BK5" i="9"/>
  <c r="D5" i="9" s="1"/>
  <c r="CQ5" i="9"/>
  <c r="AB6" i="9"/>
  <c r="AA6" i="9" s="1"/>
  <c r="CF7" i="9"/>
  <c r="CE7" i="9" s="1"/>
  <c r="U8" i="9"/>
  <c r="BO8" i="9"/>
  <c r="BY8" i="9"/>
  <c r="BX8" i="9" s="1"/>
  <c r="N9" i="9"/>
  <c r="J9" i="9"/>
  <c r="AH9" i="9"/>
  <c r="CL9" i="9"/>
  <c r="AM10" i="9"/>
  <c r="BJ10" i="9"/>
  <c r="CF10" i="9"/>
  <c r="CE10" i="9" s="1"/>
  <c r="AM11" i="9"/>
  <c r="BV11" i="9"/>
  <c r="BO12" i="9"/>
  <c r="B13" i="9"/>
  <c r="BD15" i="9"/>
  <c r="BC15" i="9" s="1"/>
  <c r="E16" i="9"/>
  <c r="K16" i="9" s="1"/>
  <c r="BC16" i="9"/>
  <c r="B18" i="9"/>
  <c r="AB18" i="9"/>
  <c r="AA18" i="9" s="1"/>
  <c r="AP18" i="9"/>
  <c r="AO18" i="9" s="1"/>
  <c r="AT18" i="9"/>
  <c r="BR18" i="9"/>
  <c r="BQ18" i="9" s="1"/>
  <c r="BV19" i="9"/>
  <c r="CJ19" i="9"/>
  <c r="CF19" i="9"/>
  <c r="CE19" i="9" s="1"/>
  <c r="AW20" i="9"/>
  <c r="AV20" i="9" s="1"/>
  <c r="BJ20" i="9"/>
  <c r="M23" i="9"/>
  <c r="CQ23" i="9"/>
  <c r="CM23" i="9"/>
  <c r="CL23" i="9" s="1"/>
  <c r="CM24" i="9"/>
  <c r="CL24" i="9" s="1"/>
  <c r="CQ24" i="9"/>
  <c r="N4" i="9"/>
  <c r="M4" i="9" s="1"/>
  <c r="AU55" i="9"/>
  <c r="BD4" i="9"/>
  <c r="BC4" i="9" s="1"/>
  <c r="BM55" i="9"/>
  <c r="BM58" i="9" s="1"/>
  <c r="BW55" i="9"/>
  <c r="CF4" i="9"/>
  <c r="CQ4" i="9"/>
  <c r="AO6" i="9"/>
  <c r="CE6" i="9"/>
  <c r="T7" i="9"/>
  <c r="BJ7" i="9"/>
  <c r="B8" i="9"/>
  <c r="AI8" i="9"/>
  <c r="AH8" i="9" s="1"/>
  <c r="CM8" i="9"/>
  <c r="CL8" i="9"/>
  <c r="E9" i="9"/>
  <c r="K9" i="9" s="1"/>
  <c r="Y9" i="9"/>
  <c r="AV9" i="9"/>
  <c r="BR9" i="9"/>
  <c r="BQ9" i="9" s="1"/>
  <c r="T10" i="9"/>
  <c r="BA10" i="9"/>
  <c r="AH12" i="9"/>
  <c r="BD14" i="9"/>
  <c r="BC14" i="9" s="1"/>
  <c r="CF14" i="9"/>
  <c r="CE14" i="9" s="1"/>
  <c r="R15" i="9"/>
  <c r="B15" i="9"/>
  <c r="U16" i="9"/>
  <c r="T16" i="9" s="1"/>
  <c r="AW17" i="9"/>
  <c r="AV17" i="9" s="1"/>
  <c r="BK17" i="9"/>
  <c r="BJ17" i="9"/>
  <c r="BO17" i="9"/>
  <c r="CM17" i="9"/>
  <c r="CL17" i="9" s="1"/>
  <c r="G18" i="9"/>
  <c r="M18" i="9"/>
  <c r="CQ18" i="9"/>
  <c r="BR19" i="9"/>
  <c r="BQ19" i="9" s="1"/>
  <c r="AO21" i="9"/>
  <c r="T22" i="9"/>
  <c r="AM22" i="9"/>
  <c r="AI22" i="9"/>
  <c r="AH22" i="9" s="1"/>
  <c r="O4" i="9"/>
  <c r="W4" i="9"/>
  <c r="AM4" i="9"/>
  <c r="AV4" i="9"/>
  <c r="BE4" i="9"/>
  <c r="BE55" i="9" s="1"/>
  <c r="BE58" i="9" s="1"/>
  <c r="BO4" i="9"/>
  <c r="BX4" i="9"/>
  <c r="CG4" i="9"/>
  <c r="CG55" i="9" s="1"/>
  <c r="CG58" i="9" s="1"/>
  <c r="AH5" i="9"/>
  <c r="BX5" i="9"/>
  <c r="U6" i="9"/>
  <c r="T6" i="9" s="1"/>
  <c r="BA6" i="9"/>
  <c r="BK6" i="9"/>
  <c r="BJ6" i="9" s="1"/>
  <c r="B7" i="9"/>
  <c r="AF7" i="9"/>
  <c r="AP7" i="9"/>
  <c r="AB9" i="9"/>
  <c r="AA9" i="9" s="1"/>
  <c r="AM9" i="9"/>
  <c r="CQ9" i="9"/>
  <c r="T11" i="9"/>
  <c r="AO11" i="9"/>
  <c r="BX11" i="9"/>
  <c r="B12" i="9"/>
  <c r="D12" i="9"/>
  <c r="M12" i="9"/>
  <c r="BQ12" i="9"/>
  <c r="CL12" i="9"/>
  <c r="G13" i="9"/>
  <c r="AH13" i="9"/>
  <c r="BJ13" i="9"/>
  <c r="CL13" i="9"/>
  <c r="R14" i="9"/>
  <c r="B14" i="9"/>
  <c r="M15" i="9"/>
  <c r="CF15" i="9"/>
  <c r="CE15" i="9" s="1"/>
  <c r="BJ16" i="9"/>
  <c r="BO16" i="9"/>
  <c r="CC16" i="9"/>
  <c r="BY16" i="9"/>
  <c r="BX16" i="9" s="1"/>
  <c r="U17" i="9"/>
  <c r="G17" i="9" s="1"/>
  <c r="E17" i="9"/>
  <c r="K17" i="9" s="1"/>
  <c r="CM18" i="9"/>
  <c r="CL18" i="9" s="1"/>
  <c r="B19" i="9"/>
  <c r="AA19" i="9"/>
  <c r="B20" i="9"/>
  <c r="U20" i="9"/>
  <c r="G20" i="9" s="1"/>
  <c r="Y20" i="9"/>
  <c r="E20" i="9"/>
  <c r="K20" i="9" s="1"/>
  <c r="AP21" i="9"/>
  <c r="B22" i="9"/>
  <c r="BK23" i="9"/>
  <c r="BJ23" i="9" s="1"/>
  <c r="E13" i="9"/>
  <c r="K13" i="9" s="1"/>
  <c r="I21" i="9"/>
  <c r="CM21" i="9"/>
  <c r="CL21" i="9" s="1"/>
  <c r="BY22" i="9"/>
  <c r="BX22" i="9" s="1"/>
  <c r="V24" i="9"/>
  <c r="H24" i="9" s="1"/>
  <c r="K26" i="9"/>
  <c r="AW27" i="9"/>
  <c r="AV27" i="9" s="1"/>
  <c r="H29" i="9"/>
  <c r="BK29" i="9"/>
  <c r="BJ29" i="9" s="1"/>
  <c r="H31" i="9"/>
  <c r="AP31" i="9"/>
  <c r="AO31" i="9" s="1"/>
  <c r="AT31" i="9"/>
  <c r="AC32" i="9"/>
  <c r="H32" i="9" s="1"/>
  <c r="AD32" i="9"/>
  <c r="Y35" i="9"/>
  <c r="U35" i="9"/>
  <c r="T35" i="9" s="1"/>
  <c r="B35" i="9"/>
  <c r="E35" i="9"/>
  <c r="K35" i="9" s="1"/>
  <c r="CC35" i="9"/>
  <c r="BY35" i="9"/>
  <c r="BX35" i="9" s="1"/>
  <c r="BK24" i="9"/>
  <c r="BJ24" i="9" s="1"/>
  <c r="AP26" i="9"/>
  <c r="AT26" i="9"/>
  <c r="E28" i="9"/>
  <c r="K28" i="9" s="1"/>
  <c r="AB28" i="9"/>
  <c r="AA28" i="9" s="1"/>
  <c r="I29" i="9"/>
  <c r="I30" i="9"/>
  <c r="I31" i="9"/>
  <c r="BD31" i="9"/>
  <c r="BC31" i="9" s="1"/>
  <c r="AW33" i="9"/>
  <c r="AV33" i="9" s="1"/>
  <c r="BA33" i="9"/>
  <c r="CF34" i="9"/>
  <c r="CE34" i="9" s="1"/>
  <c r="CJ34" i="9"/>
  <c r="BX24" i="9"/>
  <c r="T25" i="9"/>
  <c r="BC25" i="9"/>
  <c r="BX25" i="9"/>
  <c r="G26" i="9"/>
  <c r="J26" i="9"/>
  <c r="AC26" i="9"/>
  <c r="AO26" i="9"/>
  <c r="BR26" i="9"/>
  <c r="BQ26" i="9" s="1"/>
  <c r="BV26" i="9"/>
  <c r="BR30" i="9"/>
  <c r="BQ30" i="9" s="1"/>
  <c r="V32" i="9"/>
  <c r="AI32" i="9"/>
  <c r="AM32" i="9"/>
  <c r="B32" i="9"/>
  <c r="BA32" i="9"/>
  <c r="AW32" i="9"/>
  <c r="AF33" i="9"/>
  <c r="B33" i="9"/>
  <c r="CL33" i="9"/>
  <c r="AP35" i="9"/>
  <c r="AO35" i="9" s="1"/>
  <c r="AT35" i="9"/>
  <c r="O27" i="9"/>
  <c r="H27" i="9" s="1"/>
  <c r="BY27" i="9"/>
  <c r="BX27" i="9" s="1"/>
  <c r="CM29" i="9"/>
  <c r="CL29" i="9" s="1"/>
  <c r="CF31" i="9"/>
  <c r="CJ31" i="9"/>
  <c r="AT34" i="9"/>
  <c r="AP34" i="9"/>
  <c r="AO34" i="9" s="1"/>
  <c r="R27" i="9"/>
  <c r="BD28" i="9"/>
  <c r="BC28" i="9" s="1"/>
  <c r="N30" i="9"/>
  <c r="M30" i="9" s="1"/>
  <c r="E30" i="9"/>
  <c r="K30" i="9" s="1"/>
  <c r="CE31" i="9"/>
  <c r="AB23" i="9"/>
  <c r="AA23" i="9" s="1"/>
  <c r="N25" i="9"/>
  <c r="E25" i="9"/>
  <c r="K25" i="9" s="1"/>
  <c r="U27" i="9"/>
  <c r="T27" i="9" s="1"/>
  <c r="BD27" i="9"/>
  <c r="CC27" i="9"/>
  <c r="R29" i="9"/>
  <c r="B29" i="9"/>
  <c r="AI29" i="9"/>
  <c r="AH29" i="9"/>
  <c r="BR29" i="9"/>
  <c r="BQ29" i="9" s="1"/>
  <c r="CQ29" i="9"/>
  <c r="H30" i="9"/>
  <c r="B31" i="9"/>
  <c r="R31" i="9"/>
  <c r="I33" i="9"/>
  <c r="CF33" i="9"/>
  <c r="CE33" i="9"/>
  <c r="I34" i="9"/>
  <c r="O34" i="9"/>
  <c r="H34" i="9" s="1"/>
  <c r="BK34" i="9"/>
  <c r="BJ34" i="9" s="1"/>
  <c r="BO34" i="9"/>
  <c r="AJ12" i="9"/>
  <c r="T13" i="9"/>
  <c r="AV13" i="9"/>
  <c r="BX13" i="9"/>
  <c r="AO14" i="9"/>
  <c r="BQ14" i="9"/>
  <c r="O16" i="9"/>
  <c r="H16" i="9" s="1"/>
  <c r="AV16" i="9"/>
  <c r="CL16" i="9"/>
  <c r="R17" i="9"/>
  <c r="B17" i="9"/>
  <c r="BX20" i="9"/>
  <c r="AI21" i="9"/>
  <c r="AH21" i="9" s="1"/>
  <c r="AA22" i="9"/>
  <c r="AW22" i="9"/>
  <c r="AV22" i="9"/>
  <c r="B25" i="9"/>
  <c r="AV25" i="9"/>
  <c r="W26" i="9"/>
  <c r="B28" i="9"/>
  <c r="AI28" i="9"/>
  <c r="AH28" i="9" s="1"/>
  <c r="BH28" i="9"/>
  <c r="B30" i="9"/>
  <c r="R30" i="9"/>
  <c r="I32" i="9"/>
  <c r="J33" i="9"/>
  <c r="R33" i="9"/>
  <c r="BC17" i="9"/>
  <c r="AH18" i="9"/>
  <c r="M19" i="9"/>
  <c r="E19" i="9"/>
  <c r="K19" i="9" s="1"/>
  <c r="H21" i="9"/>
  <c r="BY21" i="9"/>
  <c r="BX21" i="9" s="1"/>
  <c r="I23" i="9"/>
  <c r="AF23" i="9"/>
  <c r="AP23" i="9"/>
  <c r="AO23" i="9" s="1"/>
  <c r="BD23" i="9"/>
  <c r="BC23" i="9"/>
  <c r="U24" i="9"/>
  <c r="G24" i="9" s="1"/>
  <c r="AI24" i="9"/>
  <c r="AH24" i="9" s="1"/>
  <c r="O25" i="9"/>
  <c r="H25" i="9" s="1"/>
  <c r="AB25" i="9"/>
  <c r="AA25" i="9" s="1"/>
  <c r="CF25" i="9"/>
  <c r="CE25" i="9" s="1"/>
  <c r="AW26" i="9"/>
  <c r="AV26" i="9" s="1"/>
  <c r="J27" i="9"/>
  <c r="Y27" i="9"/>
  <c r="M28" i="9"/>
  <c r="CF28" i="9"/>
  <c r="CE28" i="9"/>
  <c r="N29" i="9"/>
  <c r="M29" i="9" s="1"/>
  <c r="AM29" i="9"/>
  <c r="AP30" i="9"/>
  <c r="AO30" i="9" s="1"/>
  <c r="BY30" i="9"/>
  <c r="BX30" i="9" s="1"/>
  <c r="N31" i="9"/>
  <c r="M31" i="9" s="1"/>
  <c r="E32" i="9"/>
  <c r="J32" i="9"/>
  <c r="BD32" i="9"/>
  <c r="BC32" i="9" s="1"/>
  <c r="BR32" i="9"/>
  <c r="BQ32" i="9" s="1"/>
  <c r="BV32" i="9"/>
  <c r="I36" i="9"/>
  <c r="R32" i="9"/>
  <c r="M33" i="9"/>
  <c r="BY33" i="9"/>
  <c r="J36" i="9"/>
  <c r="B38" i="9"/>
  <c r="BR40" i="9"/>
  <c r="BQ40" i="9" s="1"/>
  <c r="BV40" i="9"/>
  <c r="CM44" i="9"/>
  <c r="CL44" i="9" s="1"/>
  <c r="CQ44" i="9"/>
  <c r="AF46" i="9"/>
  <c r="AB46" i="9"/>
  <c r="AA46" i="9" s="1"/>
  <c r="AK50" i="9"/>
  <c r="AJ50" i="9"/>
  <c r="B51" i="9"/>
  <c r="I52" i="9"/>
  <c r="O52" i="9"/>
  <c r="H35" i="9"/>
  <c r="V36" i="9"/>
  <c r="H36" i="9" s="1"/>
  <c r="O37" i="9"/>
  <c r="AB37" i="9"/>
  <c r="G37" i="9" s="1"/>
  <c r="Y38" i="9"/>
  <c r="U38" i="9"/>
  <c r="T38" i="9" s="1"/>
  <c r="BR38" i="9"/>
  <c r="BQ38" i="9" s="1"/>
  <c r="BV38" i="9"/>
  <c r="AW42" i="9"/>
  <c r="AV42" i="9" s="1"/>
  <c r="BA42" i="9"/>
  <c r="BK44" i="9"/>
  <c r="BJ44" i="9" s="1"/>
  <c r="BO44" i="9"/>
  <c r="I47" i="9"/>
  <c r="CJ48" i="9"/>
  <c r="CF48" i="9"/>
  <c r="CE48" i="9" s="1"/>
  <c r="AC49" i="9"/>
  <c r="H49" i="9" s="1"/>
  <c r="AD49" i="9"/>
  <c r="AB34" i="9"/>
  <c r="G34" i="9" s="1"/>
  <c r="BK36" i="9"/>
  <c r="BJ36" i="9" s="1"/>
  <c r="BO36" i="9"/>
  <c r="B37" i="9"/>
  <c r="P37" i="9"/>
  <c r="AC37" i="9"/>
  <c r="AD37" i="9"/>
  <c r="BY46" i="9"/>
  <c r="BX46" i="9" s="1"/>
  <c r="CC46" i="9"/>
  <c r="AK48" i="9"/>
  <c r="AJ48" i="9" s="1"/>
  <c r="H48" i="9" s="1"/>
  <c r="BH48" i="9"/>
  <c r="BD48" i="9"/>
  <c r="V50" i="9"/>
  <c r="W50" i="9"/>
  <c r="CM36" i="9"/>
  <c r="CL36" i="9" s="1"/>
  <c r="CQ36" i="9"/>
  <c r="AI39" i="9"/>
  <c r="AH39" i="9" s="1"/>
  <c r="AA41" i="9"/>
  <c r="AT41" i="9"/>
  <c r="AP41" i="9"/>
  <c r="AO41" i="9"/>
  <c r="BQ41" i="9"/>
  <c r="AW46" i="9"/>
  <c r="AV46" i="9" s="1"/>
  <c r="BA46" i="9"/>
  <c r="CQ47" i="9"/>
  <c r="CM47" i="9"/>
  <c r="CL47" i="9" s="1"/>
  <c r="AM48" i="9"/>
  <c r="BC48" i="9"/>
  <c r="Y50" i="9"/>
  <c r="BK51" i="9"/>
  <c r="BJ51" i="9" s="1"/>
  <c r="BO51" i="9"/>
  <c r="I53" i="9"/>
  <c r="AA36" i="9"/>
  <c r="R37" i="9"/>
  <c r="BR37" i="9"/>
  <c r="BQ37" i="9" s="1"/>
  <c r="BV37" i="9"/>
  <c r="CM38" i="9"/>
  <c r="CL38" i="9" s="1"/>
  <c r="CQ38" i="9"/>
  <c r="AJ40" i="9"/>
  <c r="BR41" i="9"/>
  <c r="CF41" i="9"/>
  <c r="CE41" i="9"/>
  <c r="CJ41" i="9"/>
  <c r="AV43" i="9"/>
  <c r="CC43" i="9"/>
  <c r="BY43" i="9"/>
  <c r="BX43" i="9" s="1"/>
  <c r="BO47" i="9"/>
  <c r="BK47" i="9"/>
  <c r="J48" i="9"/>
  <c r="K48" i="9" s="1"/>
  <c r="AV51" i="9"/>
  <c r="AF34" i="9"/>
  <c r="G36" i="9"/>
  <c r="AH37" i="9"/>
  <c r="N38" i="9"/>
  <c r="M38" i="9" s="1"/>
  <c r="E38" i="9"/>
  <c r="K38" i="9" s="1"/>
  <c r="AW38" i="9"/>
  <c r="AV38" i="9"/>
  <c r="BA38" i="9"/>
  <c r="AM39" i="9"/>
  <c r="BK39" i="9"/>
  <c r="BJ39" i="9" s="1"/>
  <c r="BO39" i="9"/>
  <c r="B40" i="9"/>
  <c r="I40" i="9"/>
  <c r="AM40" i="9"/>
  <c r="I41" i="9"/>
  <c r="U41" i="9"/>
  <c r="G41" i="9" s="1"/>
  <c r="E41" i="9"/>
  <c r="K41" i="9" s="1"/>
  <c r="Y41" i="9"/>
  <c r="AF41" i="9"/>
  <c r="Y42" i="9"/>
  <c r="U42" i="9"/>
  <c r="B42" i="9"/>
  <c r="T42" i="9"/>
  <c r="G43" i="9"/>
  <c r="M43" i="9"/>
  <c r="Y43" i="9"/>
  <c r="V43" i="9"/>
  <c r="AW43" i="9"/>
  <c r="BJ47" i="9"/>
  <c r="H50" i="9"/>
  <c r="AI51" i="9"/>
  <c r="AH51" i="9" s="1"/>
  <c r="AM51" i="9"/>
  <c r="AW51" i="9"/>
  <c r="Y53" i="9"/>
  <c r="U53" i="9"/>
  <c r="T53" i="9"/>
  <c r="B53" i="9"/>
  <c r="I56" i="9"/>
  <c r="O56" i="9"/>
  <c r="H56" i="9" s="1"/>
  <c r="B26" i="9"/>
  <c r="AH26" i="9"/>
  <c r="C26" i="9" s="1"/>
  <c r="BJ26" i="9"/>
  <c r="CL26" i="9"/>
  <c r="E27" i="9"/>
  <c r="K27" i="9" s="1"/>
  <c r="M27" i="9"/>
  <c r="AA31" i="9"/>
  <c r="BX31" i="9"/>
  <c r="CE32" i="9"/>
  <c r="U33" i="9"/>
  <c r="T33" i="9" s="1"/>
  <c r="BJ33" i="9"/>
  <c r="AF36" i="9"/>
  <c r="AO36" i="9"/>
  <c r="AB38" i="9"/>
  <c r="AA38" i="9" s="1"/>
  <c r="BY38" i="9"/>
  <c r="BX38" i="9" s="1"/>
  <c r="AC40" i="9"/>
  <c r="AP40" i="9"/>
  <c r="AO40" i="9"/>
  <c r="BY40" i="9"/>
  <c r="BX40" i="9" s="1"/>
  <c r="BK41" i="9"/>
  <c r="BJ41" i="9" s="1"/>
  <c r="BO41" i="9"/>
  <c r="H43" i="9"/>
  <c r="B44" i="9"/>
  <c r="R44" i="9"/>
  <c r="E44" i="9"/>
  <c r="K44" i="9" s="1"/>
  <c r="N44" i="9"/>
  <c r="M44" i="9" s="1"/>
  <c r="AT44" i="9"/>
  <c r="AP44" i="9"/>
  <c r="AO44" i="9"/>
  <c r="G49" i="9"/>
  <c r="AI56" i="9"/>
  <c r="AH56" i="9" s="1"/>
  <c r="AM56" i="9"/>
  <c r="E56" i="9"/>
  <c r="K56" i="9" s="1"/>
  <c r="BJ32" i="9"/>
  <c r="BK33" i="9"/>
  <c r="B34" i="9"/>
  <c r="R34" i="9"/>
  <c r="BD34" i="9"/>
  <c r="BC34" i="9"/>
  <c r="AI35" i="9"/>
  <c r="G35" i="9" s="1"/>
  <c r="U36" i="9"/>
  <c r="T36" i="9" s="1"/>
  <c r="AP36" i="9"/>
  <c r="BQ36" i="9"/>
  <c r="X37" i="9"/>
  <c r="X55" i="9" s="1"/>
  <c r="AM37" i="9"/>
  <c r="R39" i="9"/>
  <c r="N39" i="9"/>
  <c r="M39" i="9" s="1"/>
  <c r="E39" i="9"/>
  <c r="K39" i="9" s="1"/>
  <c r="AO39" i="9"/>
  <c r="CM39" i="9"/>
  <c r="CL39" i="9" s="1"/>
  <c r="CQ39" i="9"/>
  <c r="T40" i="9"/>
  <c r="F40" i="9" s="1"/>
  <c r="Y40" i="9"/>
  <c r="BO42" i="9"/>
  <c r="BK42" i="9"/>
  <c r="BJ42" i="9" s="1"/>
  <c r="I43" i="9"/>
  <c r="N45" i="9"/>
  <c r="R45" i="9"/>
  <c r="B45" i="9"/>
  <c r="AI47" i="9"/>
  <c r="AH47" i="9" s="1"/>
  <c r="I38" i="9"/>
  <c r="I39" i="9"/>
  <c r="AJ39" i="9"/>
  <c r="G42" i="9"/>
  <c r="BQ42" i="9"/>
  <c r="BR43" i="9"/>
  <c r="BQ43" i="9" s="1"/>
  <c r="AI44" i="9"/>
  <c r="AH44" i="9" s="1"/>
  <c r="AM44" i="9"/>
  <c r="I45" i="9"/>
  <c r="U46" i="9"/>
  <c r="T46" i="9" s="1"/>
  <c r="Y46" i="9"/>
  <c r="CC51" i="9"/>
  <c r="BY51" i="9"/>
  <c r="BX51" i="9"/>
  <c r="E52" i="9"/>
  <c r="AB52" i="9"/>
  <c r="AF52" i="9"/>
  <c r="CQ52" i="9"/>
  <c r="CM52" i="9"/>
  <c r="CL52" i="9" s="1"/>
  <c r="B54" i="9"/>
  <c r="BH57" i="9"/>
  <c r="BD57" i="9"/>
  <c r="BC57" i="9" s="1"/>
  <c r="CJ57" i="9"/>
  <c r="CF57" i="9"/>
  <c r="CE57" i="9" s="1"/>
  <c r="R48" i="9"/>
  <c r="B48" i="9"/>
  <c r="J49" i="9"/>
  <c r="K49" i="9" s="1"/>
  <c r="Y49" i="9"/>
  <c r="AB50" i="9"/>
  <c r="G50" i="9" s="1"/>
  <c r="AF50" i="9"/>
  <c r="B50" i="9"/>
  <c r="AK51" i="9"/>
  <c r="AJ51" i="9" s="1"/>
  <c r="AF40" i="9"/>
  <c r="BY42" i="9"/>
  <c r="BX42" i="9" s="1"/>
  <c r="AP45" i="9"/>
  <c r="AT45" i="9"/>
  <c r="AB47" i="9"/>
  <c r="AA47" i="9" s="1"/>
  <c r="B47" i="9"/>
  <c r="AF47" i="9"/>
  <c r="E47" i="9"/>
  <c r="K47" i="9" s="1"/>
  <c r="BK49" i="9"/>
  <c r="BJ49" i="9" s="1"/>
  <c r="CJ53" i="9"/>
  <c r="CF53" i="9"/>
  <c r="CE53" i="9" s="1"/>
  <c r="AS58" i="9"/>
  <c r="AT55" i="9"/>
  <c r="Y57" i="9"/>
  <c r="U57" i="9"/>
  <c r="T57" i="9" s="1"/>
  <c r="BJ35" i="9"/>
  <c r="CL35" i="9"/>
  <c r="E36" i="9"/>
  <c r="K36" i="9" s="1"/>
  <c r="M36" i="9"/>
  <c r="AC36" i="9"/>
  <c r="BC36" i="9"/>
  <c r="CE36" i="9"/>
  <c r="T37" i="9"/>
  <c r="AJ37" i="9"/>
  <c r="CE37" i="9"/>
  <c r="V38" i="9"/>
  <c r="G40" i="9"/>
  <c r="O40" i="9"/>
  <c r="H40" i="9" s="1"/>
  <c r="CL40" i="9"/>
  <c r="AH41" i="9"/>
  <c r="AP43" i="9"/>
  <c r="AO43" i="9" s="1"/>
  <c r="H44" i="9"/>
  <c r="AO45" i="9"/>
  <c r="BR45" i="9"/>
  <c r="BV45" i="9"/>
  <c r="M47" i="9"/>
  <c r="BD47" i="9"/>
  <c r="BH47" i="9"/>
  <c r="N48" i="9"/>
  <c r="M48" i="9" s="1"/>
  <c r="AW48" i="9"/>
  <c r="BA48" i="9"/>
  <c r="I49" i="9"/>
  <c r="AP49" i="9"/>
  <c r="AO49" i="9" s="1"/>
  <c r="AT49" i="9"/>
  <c r="CM49" i="9"/>
  <c r="CL49" i="9" s="1"/>
  <c r="CQ49" i="9"/>
  <c r="M51" i="9"/>
  <c r="V52" i="9"/>
  <c r="J52" i="9"/>
  <c r="AT52" i="9"/>
  <c r="AP52" i="9"/>
  <c r="AO52" i="9" s="1"/>
  <c r="E33" i="9"/>
  <c r="E37" i="9"/>
  <c r="O38" i="9"/>
  <c r="H38" i="9" s="1"/>
  <c r="AO38" i="9"/>
  <c r="CE38" i="9"/>
  <c r="O39" i="9"/>
  <c r="H39" i="9" s="1"/>
  <c r="AA39" i="9"/>
  <c r="AK39" i="9"/>
  <c r="BJ40" i="9"/>
  <c r="BD41" i="9"/>
  <c r="BC41" i="9" s="1"/>
  <c r="BC42" i="9"/>
  <c r="CC42" i="9"/>
  <c r="CM42" i="9"/>
  <c r="CL42" i="9" s="1"/>
  <c r="R43" i="9"/>
  <c r="B43" i="9"/>
  <c r="BC43" i="9"/>
  <c r="I44" i="9"/>
  <c r="BR44" i="9"/>
  <c r="BQ44" i="9" s="1"/>
  <c r="AC45" i="9"/>
  <c r="H45" i="9" s="1"/>
  <c r="BQ45" i="9"/>
  <c r="B46" i="9"/>
  <c r="BD46" i="9"/>
  <c r="BC46" i="9" s="1"/>
  <c r="CE46" i="9"/>
  <c r="CF47" i="9"/>
  <c r="CE47" i="9" s="1"/>
  <c r="CJ47" i="9"/>
  <c r="AV48" i="9"/>
  <c r="BY48" i="9"/>
  <c r="BX48" i="9" s="1"/>
  <c r="CC48" i="9"/>
  <c r="M52" i="9"/>
  <c r="Y52" i="9"/>
  <c r="BC53" i="9"/>
  <c r="BH58" i="9"/>
  <c r="BG59" i="9"/>
  <c r="B57" i="9"/>
  <c r="CF52" i="9"/>
  <c r="CE52" i="9" s="1"/>
  <c r="H53" i="9"/>
  <c r="CP58" i="9"/>
  <c r="AC56" i="9"/>
  <c r="J56" i="9"/>
  <c r="AD56" i="9"/>
  <c r="N57" i="9"/>
  <c r="M57" i="9" s="1"/>
  <c r="E57" i="9"/>
  <c r="K57" i="9" s="1"/>
  <c r="BY57" i="9"/>
  <c r="BX57" i="9" s="1"/>
  <c r="CC57" i="9"/>
  <c r="AB54" i="9"/>
  <c r="AA54" i="9" s="1"/>
  <c r="CJ55" i="9"/>
  <c r="T50" i="9"/>
  <c r="BK50" i="9"/>
  <c r="BJ50" i="9" s="1"/>
  <c r="P51" i="9"/>
  <c r="AB51" i="9"/>
  <c r="AA51" i="9" s="1"/>
  <c r="AW53" i="9"/>
  <c r="AV53" i="9" s="1"/>
  <c r="BA53" i="9"/>
  <c r="E54" i="9"/>
  <c r="K54" i="9" s="1"/>
  <c r="BD54" i="9"/>
  <c r="BC54" i="9" s="1"/>
  <c r="BO58" i="9"/>
  <c r="BN59" i="9"/>
  <c r="B56" i="9"/>
  <c r="BK56" i="9"/>
  <c r="BJ56" i="9"/>
  <c r="AH43" i="9"/>
  <c r="AA44" i="9"/>
  <c r="BC44" i="9"/>
  <c r="CE44" i="9"/>
  <c r="AH45" i="9"/>
  <c r="BJ45" i="9"/>
  <c r="CL45" i="9"/>
  <c r="E46" i="9"/>
  <c r="K46" i="9" s="1"/>
  <c r="M46" i="9"/>
  <c r="AO46" i="9"/>
  <c r="BQ46" i="9"/>
  <c r="BX47" i="9"/>
  <c r="AO48" i="9"/>
  <c r="B49" i="9"/>
  <c r="AC50" i="9"/>
  <c r="CM51" i="9"/>
  <c r="CL51" i="9"/>
  <c r="BD52" i="9"/>
  <c r="BC52" i="9" s="1"/>
  <c r="BY53" i="9"/>
  <c r="BX53" i="9" s="1"/>
  <c r="CC53" i="9"/>
  <c r="I54" i="9"/>
  <c r="AF54" i="9"/>
  <c r="CF54" i="9"/>
  <c r="CE54" i="9"/>
  <c r="AZ59" i="9"/>
  <c r="CE49" i="9"/>
  <c r="E50" i="9"/>
  <c r="K50" i="9" s="1"/>
  <c r="M50" i="9"/>
  <c r="AP50" i="9"/>
  <c r="AO50" i="9" s="1"/>
  <c r="BO50" i="9"/>
  <c r="BY50" i="9"/>
  <c r="BX50" i="9" s="1"/>
  <c r="CM50" i="9"/>
  <c r="CL50" i="9" s="1"/>
  <c r="AC51" i="9"/>
  <c r="AP51" i="9"/>
  <c r="AO51" i="9" s="1"/>
  <c r="BQ52" i="9"/>
  <c r="N53" i="9"/>
  <c r="M53" i="9" s="1"/>
  <c r="E53" i="9"/>
  <c r="K53" i="9" s="1"/>
  <c r="G54" i="9"/>
  <c r="BH54" i="9"/>
  <c r="BA55" i="9"/>
  <c r="AB56" i="9"/>
  <c r="AA56" i="9" s="1"/>
  <c r="F56" i="9" s="1"/>
  <c r="AO56" i="9"/>
  <c r="BO56" i="9"/>
  <c r="CM56" i="9"/>
  <c r="CL56" i="9" s="1"/>
  <c r="AW57" i="9"/>
  <c r="AV57" i="9" s="1"/>
  <c r="BA57" i="9"/>
  <c r="CJ58" i="9"/>
  <c r="CC58" i="9"/>
  <c r="BU59" i="9"/>
  <c r="R54" i="9"/>
  <c r="R56" i="9"/>
  <c r="T51" i="9"/>
  <c r="T52" i="9"/>
  <c r="AJ56" i="9"/>
  <c r="E51" i="9"/>
  <c r="K51" i="9" s="1"/>
  <c r="AE55" i="8"/>
  <c r="AD4" i="8"/>
  <c r="AC4" i="8" s="1"/>
  <c r="D6" i="8"/>
  <c r="G6" i="8"/>
  <c r="H7" i="8"/>
  <c r="G10" i="8"/>
  <c r="D10" i="8"/>
  <c r="H17" i="8"/>
  <c r="P4" i="8"/>
  <c r="O4" i="8"/>
  <c r="J4" i="8"/>
  <c r="H6" i="8"/>
  <c r="G8" i="8"/>
  <c r="H8" i="8"/>
  <c r="K4" i="8"/>
  <c r="F4" i="8"/>
  <c r="D5" i="8"/>
  <c r="G5" i="8"/>
  <c r="D7" i="8"/>
  <c r="G7" i="8"/>
  <c r="B4" i="8"/>
  <c r="R4" i="8"/>
  <c r="Z55" i="8"/>
  <c r="Z58" i="8" s="1"/>
  <c r="AY55" i="8"/>
  <c r="AY58" i="8" s="1"/>
  <c r="BI55" i="8"/>
  <c r="CA55" i="8"/>
  <c r="CA58" i="8" s="1"/>
  <c r="CK55" i="8"/>
  <c r="AC5" i="8"/>
  <c r="AK5" i="8"/>
  <c r="AT5" i="8"/>
  <c r="BV5" i="8"/>
  <c r="AM7" i="8"/>
  <c r="BO7" i="8"/>
  <c r="CQ7" i="8"/>
  <c r="I8" i="8"/>
  <c r="T8" i="8"/>
  <c r="J9" i="8"/>
  <c r="AD9" i="8"/>
  <c r="AC9" i="8" s="1"/>
  <c r="H9" i="8" s="1"/>
  <c r="AF10" i="8"/>
  <c r="BH10" i="8"/>
  <c r="Y12" i="8"/>
  <c r="I13" i="8"/>
  <c r="B14" i="8"/>
  <c r="W15" i="8"/>
  <c r="W16" i="8"/>
  <c r="V16" i="8" s="1"/>
  <c r="CJ17" i="8"/>
  <c r="CF17" i="8"/>
  <c r="CE17" i="8" s="1"/>
  <c r="H19" i="8"/>
  <c r="AP21" i="8"/>
  <c r="AO21" i="8" s="1"/>
  <c r="AT21" i="8"/>
  <c r="BD21" i="8"/>
  <c r="BC21" i="8" s="1"/>
  <c r="AM22" i="8"/>
  <c r="AH22" i="8"/>
  <c r="CQ22" i="8"/>
  <c r="CL22" i="8"/>
  <c r="I24" i="8"/>
  <c r="O25" i="8"/>
  <c r="H25" i="8" s="1"/>
  <c r="H31" i="8"/>
  <c r="CC34" i="8"/>
  <c r="BY34" i="8"/>
  <c r="BX34" i="8" s="1"/>
  <c r="AQ4" i="8"/>
  <c r="AQ55" i="8" s="1"/>
  <c r="AQ58" i="8" s="1"/>
  <c r="BA4" i="8"/>
  <c r="BS55" i="8"/>
  <c r="BS58" i="8" s="1"/>
  <c r="CC4" i="8"/>
  <c r="E5" i="8"/>
  <c r="Y6" i="8"/>
  <c r="BA6" i="8"/>
  <c r="CC6" i="8"/>
  <c r="E7" i="8"/>
  <c r="K7" i="8" s="1"/>
  <c r="B8" i="8"/>
  <c r="BV8" i="8"/>
  <c r="B9" i="8"/>
  <c r="E10" i="8"/>
  <c r="K10" i="8" s="1"/>
  <c r="V10" i="8"/>
  <c r="BA11" i="8"/>
  <c r="AJ12" i="8"/>
  <c r="BY14" i="8"/>
  <c r="BX14" i="8" s="1"/>
  <c r="E15" i="8"/>
  <c r="K15" i="8" s="1"/>
  <c r="R20" i="8"/>
  <c r="BC20" i="8"/>
  <c r="BH20" i="8"/>
  <c r="BD20" i="8"/>
  <c r="BV20" i="8"/>
  <c r="BR20" i="8"/>
  <c r="BQ20" i="8"/>
  <c r="BY22" i="8"/>
  <c r="BX22" i="8" s="1"/>
  <c r="CF23" i="8"/>
  <c r="CE23" i="8" s="1"/>
  <c r="CJ23" i="8"/>
  <c r="AW38" i="8"/>
  <c r="D38" i="8" s="1"/>
  <c r="BA38" i="8"/>
  <c r="AV38" i="8"/>
  <c r="AJ4" i="8"/>
  <c r="BB58" i="8"/>
  <c r="BH55" i="8"/>
  <c r="CD58" i="8"/>
  <c r="CJ55" i="8"/>
  <c r="AM5" i="8"/>
  <c r="AV5" i="8"/>
  <c r="BX5" i="8"/>
  <c r="AO7" i="8"/>
  <c r="BQ7" i="8"/>
  <c r="BX8" i="8"/>
  <c r="AF9" i="8"/>
  <c r="CL9" i="8"/>
  <c r="P10" i="8"/>
  <c r="I10" i="8" s="1"/>
  <c r="Y10" i="8"/>
  <c r="AH10" i="8"/>
  <c r="BJ10" i="8"/>
  <c r="E12" i="8"/>
  <c r="K12" i="8" s="1"/>
  <c r="O12" i="8"/>
  <c r="AA12" i="8"/>
  <c r="AW12" i="8"/>
  <c r="AV12" i="8" s="1"/>
  <c r="AH14" i="8"/>
  <c r="BC14" i="8"/>
  <c r="I15" i="8"/>
  <c r="P16" i="8"/>
  <c r="Y16" i="8"/>
  <c r="BQ16" i="8"/>
  <c r="H18" i="8"/>
  <c r="BH18" i="8"/>
  <c r="BC18" i="8"/>
  <c r="T19" i="8"/>
  <c r="AM19" i="8"/>
  <c r="AH19" i="8"/>
  <c r="CC19" i="8"/>
  <c r="BY19" i="8"/>
  <c r="BX19" i="8" s="1"/>
  <c r="CQ19" i="8"/>
  <c r="CM19" i="8"/>
  <c r="CL19" i="8" s="1"/>
  <c r="N20" i="8"/>
  <c r="I22" i="8"/>
  <c r="U22" i="8"/>
  <c r="T22" i="8" s="1"/>
  <c r="E22" i="8"/>
  <c r="K22" i="8" s="1"/>
  <c r="Y22" i="8"/>
  <c r="B22" i="8"/>
  <c r="K27" i="8"/>
  <c r="BH27" i="8"/>
  <c r="BD27" i="8"/>
  <c r="BC27" i="8" s="1"/>
  <c r="AB28" i="8"/>
  <c r="AF28" i="8"/>
  <c r="AA28" i="8"/>
  <c r="BL55" i="8"/>
  <c r="BL58" i="8" s="1"/>
  <c r="CN55" i="8"/>
  <c r="CN58" i="8" s="1"/>
  <c r="BD13" i="8"/>
  <c r="BC13" i="8" s="1"/>
  <c r="P14" i="8"/>
  <c r="I14" i="8" s="1"/>
  <c r="BR15" i="8"/>
  <c r="BQ15" i="8" s="1"/>
  <c r="AB16" i="8"/>
  <c r="G16" i="8" s="1"/>
  <c r="AJ16" i="8"/>
  <c r="CC20" i="8"/>
  <c r="BY20" i="8"/>
  <c r="BX20" i="8" s="1"/>
  <c r="AB23" i="8"/>
  <c r="G23" i="8" s="1"/>
  <c r="AF23" i="8"/>
  <c r="M26" i="8"/>
  <c r="M28" i="8"/>
  <c r="BS28" i="8"/>
  <c r="I28" i="8"/>
  <c r="CM37" i="8"/>
  <c r="CQ37" i="8"/>
  <c r="CL37" i="8"/>
  <c r="B37" i="8"/>
  <c r="AO5" i="8"/>
  <c r="BQ5" i="8"/>
  <c r="AH7" i="8"/>
  <c r="BJ7" i="8"/>
  <c r="CL7" i="8"/>
  <c r="E9" i="8"/>
  <c r="K9" i="8" s="1"/>
  <c r="AH9" i="8"/>
  <c r="R10" i="8"/>
  <c r="AA10" i="8"/>
  <c r="AH11" i="8"/>
  <c r="CL11" i="8"/>
  <c r="BJ12" i="8"/>
  <c r="B13" i="8"/>
  <c r="R13" i="8"/>
  <c r="R14" i="8"/>
  <c r="AA14" i="8"/>
  <c r="R16" i="8"/>
  <c r="AM16" i="8"/>
  <c r="AF17" i="8"/>
  <c r="AB17" i="8"/>
  <c r="AA17" i="8" s="1"/>
  <c r="I19" i="8"/>
  <c r="B20" i="8"/>
  <c r="CM20" i="8"/>
  <c r="CL20" i="8" s="1"/>
  <c r="R21" i="8"/>
  <c r="BO23" i="8"/>
  <c r="BC26" i="8"/>
  <c r="BD26" i="8"/>
  <c r="BH26" i="8"/>
  <c r="AM28" i="8"/>
  <c r="AI28" i="8"/>
  <c r="H35" i="8"/>
  <c r="O37" i="8"/>
  <c r="R37" i="8"/>
  <c r="P37" i="8"/>
  <c r="G4" i="8"/>
  <c r="AM4" i="8"/>
  <c r="BE55" i="8"/>
  <c r="BE58" i="8" s="1"/>
  <c r="CG55" i="8"/>
  <c r="CG58" i="8" s="1"/>
  <c r="AH5" i="8"/>
  <c r="T6" i="8"/>
  <c r="AV6" i="8"/>
  <c r="BX6" i="8"/>
  <c r="BQ8" i="8"/>
  <c r="CL8" i="8"/>
  <c r="CQ9" i="8"/>
  <c r="BC10" i="8"/>
  <c r="CJ10" i="8"/>
  <c r="N11" i="8"/>
  <c r="AV11" i="8"/>
  <c r="BR11" i="8"/>
  <c r="BQ11" i="8" s="1"/>
  <c r="J12" i="8"/>
  <c r="BA12" i="8"/>
  <c r="BK12" i="8"/>
  <c r="M13" i="8"/>
  <c r="AI13" i="8"/>
  <c r="CM13" i="8"/>
  <c r="CL13" i="8" s="1"/>
  <c r="AB14" i="8"/>
  <c r="G14" i="8" s="1"/>
  <c r="AW14" i="8"/>
  <c r="AV14" i="8" s="1"/>
  <c r="AW15" i="8"/>
  <c r="AV15" i="8" s="1"/>
  <c r="BK16" i="8"/>
  <c r="B17" i="8"/>
  <c r="I18" i="8"/>
  <c r="AM18" i="8"/>
  <c r="AI18" i="8"/>
  <c r="G18" i="8" s="1"/>
  <c r="N21" i="8"/>
  <c r="AB22" i="8"/>
  <c r="AA22" i="8"/>
  <c r="BH22" i="8"/>
  <c r="BD22" i="8"/>
  <c r="BC22" i="8" s="1"/>
  <c r="E23" i="8"/>
  <c r="K23" i="8" s="1"/>
  <c r="BK23" i="8"/>
  <c r="BJ23" i="8" s="1"/>
  <c r="AD26" i="8"/>
  <c r="AC26" i="8" s="1"/>
  <c r="H26" i="8" s="1"/>
  <c r="CQ26" i="8"/>
  <c r="AP27" i="8"/>
  <c r="AT27" i="8"/>
  <c r="AF4" i="8"/>
  <c r="AN55" i="8"/>
  <c r="AT58" i="8" s="1"/>
  <c r="AW4" i="8"/>
  <c r="BF55" i="8"/>
  <c r="BF58" i="8" s="1"/>
  <c r="BP55" i="8"/>
  <c r="BP58" i="8" s="1"/>
  <c r="BY4" i="8"/>
  <c r="BX4" i="8" s="1"/>
  <c r="CH55" i="8"/>
  <c r="CH58" i="8" s="1"/>
  <c r="B5" i="8"/>
  <c r="J5" i="8"/>
  <c r="AA5" i="8"/>
  <c r="BJ5" i="8"/>
  <c r="CL5" i="8"/>
  <c r="E6" i="8"/>
  <c r="K6" i="8" s="1"/>
  <c r="M6" i="8"/>
  <c r="B7" i="8"/>
  <c r="AA7" i="8"/>
  <c r="BC7" i="8"/>
  <c r="CE7" i="8"/>
  <c r="AA8" i="8"/>
  <c r="AW8" i="8"/>
  <c r="CC8" i="8"/>
  <c r="CM8" i="8"/>
  <c r="AB9" i="8"/>
  <c r="D9" i="8" s="1"/>
  <c r="BO9" i="8"/>
  <c r="BX9" i="8"/>
  <c r="B10" i="8"/>
  <c r="T10" i="8"/>
  <c r="AC10" i="8"/>
  <c r="E11" i="8"/>
  <c r="K11" i="8" s="1"/>
  <c r="H11" i="8"/>
  <c r="AM11" i="8"/>
  <c r="CQ11" i="8"/>
  <c r="U12" i="8"/>
  <c r="AM12" i="8"/>
  <c r="BY12" i="8"/>
  <c r="BX12" i="8" s="1"/>
  <c r="E13" i="8"/>
  <c r="K13" i="8" s="1"/>
  <c r="N13" i="8"/>
  <c r="BH13" i="8"/>
  <c r="BR13" i="8"/>
  <c r="BQ13" i="8" s="1"/>
  <c r="J14" i="8"/>
  <c r="K14" i="8" s="1"/>
  <c r="T14" i="8"/>
  <c r="CE14" i="8"/>
  <c r="R15" i="8"/>
  <c r="B15" i="8"/>
  <c r="U15" i="8"/>
  <c r="T15" i="8" s="1"/>
  <c r="BV15" i="8"/>
  <c r="CF15" i="8"/>
  <c r="CE15" i="8" s="1"/>
  <c r="AO16" i="8"/>
  <c r="BH17" i="8"/>
  <c r="BD17" i="8"/>
  <c r="BC17" i="8" s="1"/>
  <c r="R19" i="8"/>
  <c r="M19" i="8"/>
  <c r="Y19" i="8"/>
  <c r="E20" i="8"/>
  <c r="K20" i="8" s="1"/>
  <c r="AM20" i="8"/>
  <c r="AH20" i="8"/>
  <c r="AW20" i="8"/>
  <c r="AV20" i="8" s="1"/>
  <c r="CQ20" i="8"/>
  <c r="H21" i="8"/>
  <c r="M22" i="8"/>
  <c r="Y24" i="8"/>
  <c r="B24" i="8"/>
  <c r="AF26" i="8"/>
  <c r="CM26" i="8"/>
  <c r="CL26" i="8" s="1"/>
  <c r="P27" i="8"/>
  <c r="I27" i="8" s="1"/>
  <c r="Y4" i="8"/>
  <c r="AG55" i="8"/>
  <c r="AG58" i="8" s="1"/>
  <c r="AO4" i="8"/>
  <c r="AX4" i="8"/>
  <c r="BH4" i="8"/>
  <c r="BQ4" i="8"/>
  <c r="BZ4" i="8"/>
  <c r="BZ55" i="8" s="1"/>
  <c r="BZ58" i="8" s="1"/>
  <c r="CJ4" i="8"/>
  <c r="AM9" i="8"/>
  <c r="W12" i="8"/>
  <c r="I12" i="8" s="1"/>
  <c r="O13" i="8"/>
  <c r="H13" i="8" s="1"/>
  <c r="AB13" i="8"/>
  <c r="AA13" i="8" s="1"/>
  <c r="CF13" i="8"/>
  <c r="V15" i="8"/>
  <c r="H15" i="8" s="1"/>
  <c r="AP15" i="8"/>
  <c r="AO15" i="8" s="1"/>
  <c r="B16" i="8"/>
  <c r="M16" i="8"/>
  <c r="AF16" i="8"/>
  <c r="CC18" i="8"/>
  <c r="BX18" i="8"/>
  <c r="CM18" i="8"/>
  <c r="CL18" i="8" s="1"/>
  <c r="G19" i="8"/>
  <c r="BH19" i="8"/>
  <c r="BC19" i="8"/>
  <c r="BR19" i="8"/>
  <c r="BQ19" i="8" s="1"/>
  <c r="B21" i="8"/>
  <c r="H22" i="8"/>
  <c r="AF22" i="8"/>
  <c r="BA24" i="8"/>
  <c r="AW24" i="8"/>
  <c r="AV24" i="8"/>
  <c r="BH25" i="8"/>
  <c r="BD25" i="8"/>
  <c r="BC25" i="8" s="1"/>
  <c r="K26" i="8"/>
  <c r="U26" i="8"/>
  <c r="B26" i="8"/>
  <c r="AM26" i="8"/>
  <c r="AH26" i="8"/>
  <c r="BA27" i="8"/>
  <c r="AW27" i="8"/>
  <c r="AV27" i="8" s="1"/>
  <c r="U28" i="8"/>
  <c r="T28" i="8"/>
  <c r="E28" i="8"/>
  <c r="K28" i="8" s="1"/>
  <c r="B28" i="8"/>
  <c r="Y28" i="8"/>
  <c r="AJ32" i="8"/>
  <c r="AK32" i="8"/>
  <c r="J32" i="8"/>
  <c r="AM32" i="8"/>
  <c r="B30" i="8"/>
  <c r="AP30" i="8"/>
  <c r="AO30" i="8" s="1"/>
  <c r="BD33" i="8"/>
  <c r="BC33" i="8" s="1"/>
  <c r="BH33" i="8"/>
  <c r="Y34" i="8"/>
  <c r="B34" i="8"/>
  <c r="U34" i="8"/>
  <c r="T34" i="8" s="1"/>
  <c r="BK34" i="8"/>
  <c r="BJ34" i="8" s="1"/>
  <c r="BO34" i="8"/>
  <c r="I35" i="8"/>
  <c r="BA35" i="8"/>
  <c r="AW35" i="8"/>
  <c r="AV35" i="8" s="1"/>
  <c r="X37" i="8"/>
  <c r="V36" i="8"/>
  <c r="H36" i="8" s="1"/>
  <c r="W36" i="8"/>
  <c r="I36" i="8" s="1"/>
  <c r="CM36" i="8"/>
  <c r="CL36" i="8" s="1"/>
  <c r="V28" i="8"/>
  <c r="H28" i="8" s="1"/>
  <c r="R29" i="8"/>
  <c r="B29" i="8"/>
  <c r="AH29" i="8"/>
  <c r="Y36" i="8"/>
  <c r="AL37" i="8"/>
  <c r="AL55" i="8" s="1"/>
  <c r="AJ36" i="8"/>
  <c r="BK37" i="8"/>
  <c r="BJ37" i="8" s="1"/>
  <c r="BO37" i="8"/>
  <c r="I23" i="8"/>
  <c r="AI24" i="8"/>
  <c r="AH24" i="8" s="1"/>
  <c r="CM24" i="8"/>
  <c r="CL24" i="8" s="1"/>
  <c r="AO25" i="8"/>
  <c r="AP25" i="8"/>
  <c r="T27" i="8"/>
  <c r="F27" i="8" s="1"/>
  <c r="BR27" i="8"/>
  <c r="BQ27" i="8" s="1"/>
  <c r="CE28" i="8"/>
  <c r="M29" i="8"/>
  <c r="T30" i="8"/>
  <c r="AT30" i="8"/>
  <c r="BR30" i="8"/>
  <c r="BQ30" i="8" s="1"/>
  <c r="AB31" i="8"/>
  <c r="AA31" i="8" s="1"/>
  <c r="AF31" i="8"/>
  <c r="AP31" i="8"/>
  <c r="AO31" i="8" s="1"/>
  <c r="U32" i="8"/>
  <c r="T32" i="8" s="1"/>
  <c r="CE32" i="8"/>
  <c r="I34" i="8"/>
  <c r="B35" i="8"/>
  <c r="AB36" i="8"/>
  <c r="G36" i="8" s="1"/>
  <c r="AF36" i="8"/>
  <c r="B36" i="8"/>
  <c r="E36" i="8"/>
  <c r="AM36" i="8"/>
  <c r="CQ36" i="8"/>
  <c r="AA37" i="8"/>
  <c r="N40" i="8"/>
  <c r="M40" i="8" s="1"/>
  <c r="R40" i="8"/>
  <c r="B40" i="8"/>
  <c r="E40" i="8"/>
  <c r="K40" i="8" s="1"/>
  <c r="H46" i="8"/>
  <c r="BK29" i="8"/>
  <c r="BJ29" i="8" s="1"/>
  <c r="CM31" i="8"/>
  <c r="CL31" i="8" s="1"/>
  <c r="AT34" i="8"/>
  <c r="AP34" i="8"/>
  <c r="AO34" i="8" s="1"/>
  <c r="B18" i="8"/>
  <c r="BY21" i="8"/>
  <c r="BX21" i="8" s="1"/>
  <c r="AW22" i="8"/>
  <c r="AV22" i="8" s="1"/>
  <c r="AP23" i="8"/>
  <c r="AO23" i="8" s="1"/>
  <c r="N24" i="8"/>
  <c r="BR24" i="8"/>
  <c r="BQ24" i="8" s="1"/>
  <c r="U25" i="8"/>
  <c r="T25" i="8" s="1"/>
  <c r="BY25" i="8"/>
  <c r="BX25" i="8" s="1"/>
  <c r="BR26" i="8"/>
  <c r="BQ26" i="8" s="1"/>
  <c r="BV27" i="8"/>
  <c r="CF27" i="8"/>
  <c r="CE27" i="8" s="1"/>
  <c r="BK28" i="8"/>
  <c r="BJ28" i="8" s="1"/>
  <c r="CJ28" i="8"/>
  <c r="E29" i="8"/>
  <c r="K29" i="8" s="1"/>
  <c r="H29" i="8"/>
  <c r="BV30" i="8"/>
  <c r="AT31" i="8"/>
  <c r="BR31" i="8"/>
  <c r="BQ31" i="8" s="1"/>
  <c r="BV31" i="8"/>
  <c r="N32" i="8"/>
  <c r="E32" i="8"/>
  <c r="K32" i="8" s="1"/>
  <c r="R32" i="8"/>
  <c r="I32" i="8"/>
  <c r="R33" i="8"/>
  <c r="B33" i="8"/>
  <c r="E33" i="8"/>
  <c r="K33" i="8" s="1"/>
  <c r="CJ35" i="8"/>
  <c r="CF35" i="8"/>
  <c r="CE35" i="8" s="1"/>
  <c r="J36" i="8"/>
  <c r="AM37" i="8"/>
  <c r="AI37" i="8"/>
  <c r="AH37" i="8" s="1"/>
  <c r="CL16" i="8"/>
  <c r="E17" i="8"/>
  <c r="K17" i="8" s="1"/>
  <c r="M17" i="8"/>
  <c r="AO17" i="8"/>
  <c r="BQ17" i="8"/>
  <c r="T18" i="8"/>
  <c r="AV18" i="8"/>
  <c r="BR18" i="8"/>
  <c r="BQ18" i="8" s="1"/>
  <c r="AA19" i="8"/>
  <c r="AW19" i="8"/>
  <c r="AV19" i="8" s="1"/>
  <c r="I20" i="8"/>
  <c r="AB20" i="8"/>
  <c r="AA20" i="8" s="1"/>
  <c r="CE22" i="8"/>
  <c r="BD23" i="8"/>
  <c r="BC23" i="8" s="1"/>
  <c r="E24" i="8"/>
  <c r="K24" i="8" s="1"/>
  <c r="H24" i="8"/>
  <c r="AM24" i="8"/>
  <c r="CQ24" i="8"/>
  <c r="AT25" i="8"/>
  <c r="AA26" i="8"/>
  <c r="CF26" i="8"/>
  <c r="CE26" i="8" s="1"/>
  <c r="G27" i="8"/>
  <c r="BX28" i="8"/>
  <c r="I29" i="8"/>
  <c r="BO29" i="8"/>
  <c r="CM29" i="8"/>
  <c r="CL29" i="8" s="1"/>
  <c r="AW30" i="8"/>
  <c r="AV30" i="8" s="1"/>
  <c r="M32" i="8"/>
  <c r="AI33" i="8"/>
  <c r="AH33" i="8" s="1"/>
  <c r="CM33" i="8"/>
  <c r="CL33" i="8" s="1"/>
  <c r="M34" i="8"/>
  <c r="AF35" i="8"/>
  <c r="AB35" i="8"/>
  <c r="AA35" i="8" s="1"/>
  <c r="BR35" i="8"/>
  <c r="BQ35" i="8" s="1"/>
  <c r="BV35" i="8"/>
  <c r="R36" i="8"/>
  <c r="BR36" i="8"/>
  <c r="BQ36" i="8" s="1"/>
  <c r="BY38" i="8"/>
  <c r="BX38" i="8" s="1"/>
  <c r="CC38" i="8"/>
  <c r="CE20" i="8"/>
  <c r="I21" i="8"/>
  <c r="R23" i="8"/>
  <c r="B23" i="8"/>
  <c r="BK24" i="8"/>
  <c r="BJ24" i="8" s="1"/>
  <c r="B25" i="8"/>
  <c r="E25" i="8"/>
  <c r="K25" i="8" s="1"/>
  <c r="N25" i="8"/>
  <c r="M25" i="8" s="1"/>
  <c r="BR25" i="8"/>
  <c r="BQ25" i="8" s="1"/>
  <c r="B27" i="8"/>
  <c r="AP29" i="8"/>
  <c r="AO29" i="8" s="1"/>
  <c r="N30" i="8"/>
  <c r="M30" i="8" s="1"/>
  <c r="E30" i="8"/>
  <c r="K30" i="8" s="1"/>
  <c r="I31" i="8"/>
  <c r="AH31" i="8"/>
  <c r="CQ31" i="8"/>
  <c r="N33" i="8"/>
  <c r="BV33" i="8"/>
  <c r="BR33" i="8"/>
  <c r="BQ33" i="8" s="1"/>
  <c r="H34" i="8"/>
  <c r="N35" i="8"/>
  <c r="M35" i="8"/>
  <c r="E35" i="8"/>
  <c r="K35" i="8" s="1"/>
  <c r="R35" i="8"/>
  <c r="Y38" i="8"/>
  <c r="T38" i="8"/>
  <c r="E38" i="8"/>
  <c r="K38" i="8" s="1"/>
  <c r="AW28" i="8"/>
  <c r="AV28" i="8" s="1"/>
  <c r="BY28" i="8"/>
  <c r="AB29" i="8"/>
  <c r="BD29" i="8"/>
  <c r="BC29" i="8" s="1"/>
  <c r="CF29" i="8"/>
  <c r="CE29" i="8" s="1"/>
  <c r="AI30" i="8"/>
  <c r="AH30" i="8" s="1"/>
  <c r="BK30" i="8"/>
  <c r="BJ30" i="8" s="1"/>
  <c r="CM30" i="8"/>
  <c r="CL30" i="8" s="1"/>
  <c r="AI31" i="8"/>
  <c r="CC32" i="8"/>
  <c r="CM32" i="8"/>
  <c r="CL32" i="8" s="1"/>
  <c r="BK33" i="8"/>
  <c r="BJ33" i="8" s="1"/>
  <c r="BY36" i="8"/>
  <c r="R38" i="8"/>
  <c r="AP39" i="8"/>
  <c r="AO39" i="8" s="1"/>
  <c r="BR39" i="8"/>
  <c r="BD40" i="8"/>
  <c r="BC40" i="8" s="1"/>
  <c r="BH40" i="8"/>
  <c r="CF40" i="8"/>
  <c r="CE40" i="8" s="1"/>
  <c r="CJ40" i="8"/>
  <c r="H41" i="8"/>
  <c r="AP41" i="8"/>
  <c r="BR41" i="8"/>
  <c r="BD42" i="8"/>
  <c r="BC42" i="8" s="1"/>
  <c r="M44" i="8"/>
  <c r="AB44" i="8"/>
  <c r="G44" i="8" s="1"/>
  <c r="AA44" i="8"/>
  <c r="AF44" i="8"/>
  <c r="AT44" i="8"/>
  <c r="AP44" i="8"/>
  <c r="AO44" i="8" s="1"/>
  <c r="BY46" i="8"/>
  <c r="BX46" i="8" s="1"/>
  <c r="CC46" i="8"/>
  <c r="AB47" i="8"/>
  <c r="AA47" i="8" s="1"/>
  <c r="B47" i="8"/>
  <c r="AF47" i="8"/>
  <c r="BD47" i="8"/>
  <c r="BC47" i="8" s="1"/>
  <c r="BH47" i="8"/>
  <c r="CM53" i="8"/>
  <c r="CL53" i="8" s="1"/>
  <c r="CQ53" i="8"/>
  <c r="R39" i="8"/>
  <c r="J39" i="8"/>
  <c r="E42" i="8"/>
  <c r="K42" i="8" s="1"/>
  <c r="B43" i="8"/>
  <c r="U43" i="8"/>
  <c r="T43" i="8" s="1"/>
  <c r="CF43" i="8"/>
  <c r="CE43" i="8" s="1"/>
  <c r="CF44" i="8"/>
  <c r="CE44" i="8" s="1"/>
  <c r="CJ44" i="8"/>
  <c r="M47" i="8"/>
  <c r="G48" i="8"/>
  <c r="CF49" i="8"/>
  <c r="CE49" i="8" s="1"/>
  <c r="CJ49" i="8"/>
  <c r="AI41" i="8"/>
  <c r="AH41" i="8" s="1"/>
  <c r="AM41" i="8"/>
  <c r="E43" i="8"/>
  <c r="Y45" i="8"/>
  <c r="U45" i="8"/>
  <c r="T45" i="8" s="1"/>
  <c r="B45" i="8"/>
  <c r="AI57" i="8"/>
  <c r="AH57" i="8" s="1"/>
  <c r="AM57" i="8"/>
  <c r="BK57" i="8"/>
  <c r="BJ57" i="8"/>
  <c r="BO57" i="8"/>
  <c r="BK39" i="8"/>
  <c r="BJ39" i="8" s="1"/>
  <c r="BO39" i="8"/>
  <c r="CM39" i="8"/>
  <c r="CL39" i="8" s="1"/>
  <c r="CQ39" i="8"/>
  <c r="BK41" i="8"/>
  <c r="BJ41" i="8" s="1"/>
  <c r="BO41" i="8"/>
  <c r="CM41" i="8"/>
  <c r="CL41" i="8" s="1"/>
  <c r="CQ41" i="8"/>
  <c r="Y43" i="8"/>
  <c r="BK44" i="8"/>
  <c r="BJ44" i="8" s="1"/>
  <c r="BO44" i="8"/>
  <c r="AW45" i="8"/>
  <c r="AV45" i="8" s="1"/>
  <c r="BK45" i="8"/>
  <c r="BJ45" i="8" s="1"/>
  <c r="BO45" i="8"/>
  <c r="CM45" i="8"/>
  <c r="CL45" i="8"/>
  <c r="AD48" i="8"/>
  <c r="AC48" i="8" s="1"/>
  <c r="H48" i="8" s="1"/>
  <c r="P50" i="8"/>
  <c r="I50" i="8" s="1"/>
  <c r="J50" i="8"/>
  <c r="K50" i="8" s="1"/>
  <c r="T57" i="8"/>
  <c r="U57" i="8"/>
  <c r="B57" i="8"/>
  <c r="Y57" i="8"/>
  <c r="E57" i="8"/>
  <c r="K57" i="8" s="1"/>
  <c r="B31" i="8"/>
  <c r="BK36" i="8"/>
  <c r="D36" i="8" s="1"/>
  <c r="G38" i="8"/>
  <c r="BK40" i="8"/>
  <c r="BJ40" i="8" s="1"/>
  <c r="CM40" i="8"/>
  <c r="CL40" i="8" s="1"/>
  <c r="B41" i="8"/>
  <c r="R41" i="8"/>
  <c r="M42" i="8"/>
  <c r="AW43" i="8"/>
  <c r="AV43" i="8" s="1"/>
  <c r="BA43" i="8"/>
  <c r="AP45" i="8"/>
  <c r="AT45" i="8"/>
  <c r="AP46" i="8"/>
  <c r="AO46" i="8" s="1"/>
  <c r="AT46" i="8"/>
  <c r="BH46" i="8"/>
  <c r="BD46" i="8"/>
  <c r="BC46" i="8"/>
  <c r="AF48" i="8"/>
  <c r="AD49" i="8"/>
  <c r="AC49" i="8" s="1"/>
  <c r="AC50" i="8"/>
  <c r="N51" i="8"/>
  <c r="M51" i="8" s="1"/>
  <c r="E51" i="8"/>
  <c r="K51" i="8" s="1"/>
  <c r="B51" i="8"/>
  <c r="R51" i="8"/>
  <c r="BV51" i="8"/>
  <c r="BR51" i="8"/>
  <c r="E31" i="8"/>
  <c r="K31" i="8" s="1"/>
  <c r="BJ31" i="8"/>
  <c r="H32" i="8"/>
  <c r="BX32" i="8"/>
  <c r="AB33" i="8"/>
  <c r="AA33" i="8" s="1"/>
  <c r="CF33" i="8"/>
  <c r="CE33" i="8" s="1"/>
  <c r="AD37" i="8"/>
  <c r="AC37" i="8"/>
  <c r="AO36" i="8"/>
  <c r="U37" i="8"/>
  <c r="M38" i="8"/>
  <c r="D39" i="8"/>
  <c r="M39" i="8"/>
  <c r="I40" i="8"/>
  <c r="AB40" i="8"/>
  <c r="AA40" i="8" s="1"/>
  <c r="B42" i="8"/>
  <c r="I42" i="8"/>
  <c r="AB42" i="8"/>
  <c r="CM42" i="8"/>
  <c r="CL42" i="8" s="1"/>
  <c r="M43" i="8"/>
  <c r="AB43" i="8"/>
  <c r="AA43" i="8" s="1"/>
  <c r="AO45" i="8"/>
  <c r="CF46" i="8"/>
  <c r="CE46" i="8" s="1"/>
  <c r="AX47" i="8"/>
  <c r="H47" i="8" s="1"/>
  <c r="I47" i="8"/>
  <c r="BK49" i="8"/>
  <c r="BJ49" i="8" s="1"/>
  <c r="AI50" i="8"/>
  <c r="AH50" i="8" s="1"/>
  <c r="AM50" i="8"/>
  <c r="BQ51" i="8"/>
  <c r="M56" i="8"/>
  <c r="N31" i="8"/>
  <c r="M31" i="8" s="1"/>
  <c r="AF32" i="8"/>
  <c r="BD32" i="8"/>
  <c r="BC32" i="8" s="1"/>
  <c r="AI34" i="8"/>
  <c r="AH34" i="8" s="1"/>
  <c r="CM34" i="8"/>
  <c r="CL34" i="8" s="1"/>
  <c r="AP35" i="8"/>
  <c r="AO35" i="8" s="1"/>
  <c r="M36" i="8"/>
  <c r="BX36" i="8"/>
  <c r="B38" i="8"/>
  <c r="I38" i="8"/>
  <c r="O39" i="8"/>
  <c r="H39" i="8" s="1"/>
  <c r="AB39" i="8"/>
  <c r="G39" i="8" s="1"/>
  <c r="B39" i="8"/>
  <c r="E39" i="8"/>
  <c r="K39" i="8" s="1"/>
  <c r="BQ39" i="8"/>
  <c r="N41" i="8"/>
  <c r="AO41" i="8"/>
  <c r="BQ41" i="8"/>
  <c r="R42" i="8"/>
  <c r="P43" i="8"/>
  <c r="I43" i="8" s="1"/>
  <c r="O43" i="8"/>
  <c r="H43" i="8" s="1"/>
  <c r="J43" i="8"/>
  <c r="CM43" i="8"/>
  <c r="CL43" i="8" s="1"/>
  <c r="H45" i="8"/>
  <c r="CQ45" i="8"/>
  <c r="Y46" i="8"/>
  <c r="B46" i="8"/>
  <c r="CF47" i="8"/>
  <c r="CJ47" i="8"/>
  <c r="CE47" i="8"/>
  <c r="R48" i="8"/>
  <c r="B48" i="8"/>
  <c r="E48" i="8"/>
  <c r="AI49" i="8"/>
  <c r="AH49" i="8" s="1"/>
  <c r="E49" i="8"/>
  <c r="BY43" i="8"/>
  <c r="BX43" i="8" s="1"/>
  <c r="AM52" i="8"/>
  <c r="E52" i="8"/>
  <c r="K52" i="8" s="1"/>
  <c r="BK52" i="8"/>
  <c r="BJ52" i="8" s="1"/>
  <c r="BO52" i="8"/>
  <c r="H54" i="8"/>
  <c r="CB58" i="8"/>
  <c r="CC55" i="8"/>
  <c r="CC50" i="8"/>
  <c r="BY50" i="8"/>
  <c r="BX50" i="8" s="1"/>
  <c r="CF52" i="8"/>
  <c r="CE52" i="8"/>
  <c r="CJ52" i="8"/>
  <c r="CP59" i="8"/>
  <c r="CQ58" i="8"/>
  <c r="BH58" i="8"/>
  <c r="CF42" i="8"/>
  <c r="CE42" i="8" s="1"/>
  <c r="N46" i="8"/>
  <c r="M46" i="8"/>
  <c r="E46" i="8"/>
  <c r="K46" i="8" s="1"/>
  <c r="I48" i="8"/>
  <c r="BK48" i="8"/>
  <c r="D48" i="8" s="1"/>
  <c r="BO48" i="8"/>
  <c r="B50" i="8"/>
  <c r="AF51" i="8"/>
  <c r="AW51" i="8"/>
  <c r="AV51" i="8" s="1"/>
  <c r="M52" i="8"/>
  <c r="H53" i="8"/>
  <c r="BV55" i="8"/>
  <c r="BU58" i="8"/>
  <c r="E37" i="8"/>
  <c r="M37" i="8"/>
  <c r="BC37" i="8"/>
  <c r="CE37" i="8"/>
  <c r="O38" i="8"/>
  <c r="H38" i="8" s="1"/>
  <c r="AO38" i="8"/>
  <c r="BQ38" i="8"/>
  <c r="BC39" i="8"/>
  <c r="CE39" i="8"/>
  <c r="O40" i="8"/>
  <c r="H40" i="8" s="1"/>
  <c r="AV40" i="8"/>
  <c r="BX40" i="8"/>
  <c r="AA41" i="8"/>
  <c r="BC41" i="8"/>
  <c r="CE41" i="8"/>
  <c r="O42" i="8"/>
  <c r="H42" i="8" s="1"/>
  <c r="BJ42" i="8"/>
  <c r="J48" i="8"/>
  <c r="V49" i="8"/>
  <c r="CM49" i="8"/>
  <c r="CL49" i="8" s="1"/>
  <c r="AB51" i="8"/>
  <c r="AA51" i="8" s="1"/>
  <c r="BR53" i="8"/>
  <c r="BQ53" i="8" s="1"/>
  <c r="BV53" i="8"/>
  <c r="BA55" i="8"/>
  <c r="AZ58" i="8"/>
  <c r="V56" i="8"/>
  <c r="H56" i="8" s="1"/>
  <c r="I56" i="8"/>
  <c r="BK43" i="8"/>
  <c r="BJ43" i="8" s="1"/>
  <c r="B44" i="8"/>
  <c r="R44" i="8"/>
  <c r="BD44" i="8"/>
  <c r="BC44" i="8" s="1"/>
  <c r="M45" i="8"/>
  <c r="AI45" i="8"/>
  <c r="G45" i="8" s="1"/>
  <c r="BR46" i="8"/>
  <c r="BQ46" i="8" s="1"/>
  <c r="CM48" i="8"/>
  <c r="CL48" i="8" s="1"/>
  <c r="CQ48" i="8"/>
  <c r="N49" i="8"/>
  <c r="R49" i="8"/>
  <c r="B49" i="8"/>
  <c r="AP49" i="8"/>
  <c r="AO49" i="8" s="1"/>
  <c r="AO50" i="8"/>
  <c r="AT50" i="8"/>
  <c r="BH50" i="8"/>
  <c r="BD50" i="8"/>
  <c r="BC50" i="8" s="1"/>
  <c r="AP51" i="8"/>
  <c r="AO51" i="8" s="1"/>
  <c r="M53" i="8"/>
  <c r="N54" i="8"/>
  <c r="M54" i="8" s="1"/>
  <c r="E54" i="8"/>
  <c r="K54" i="8" s="1"/>
  <c r="R54" i="8"/>
  <c r="B54" i="8"/>
  <c r="BD52" i="8"/>
  <c r="BC52" i="8"/>
  <c r="BH52" i="8"/>
  <c r="BK53" i="8"/>
  <c r="BJ53" i="8" s="1"/>
  <c r="BO53" i="8"/>
  <c r="AS59" i="8"/>
  <c r="I57" i="8"/>
  <c r="AC57" i="8"/>
  <c r="H57" i="8" s="1"/>
  <c r="AD57" i="8"/>
  <c r="R79" i="8"/>
  <c r="Q49" i="8" s="1"/>
  <c r="Q55" i="8" s="1"/>
  <c r="AM79" i="8"/>
  <c r="AL49" i="8" s="1"/>
  <c r="CJ58" i="8"/>
  <c r="R50" i="8"/>
  <c r="AF50" i="8"/>
  <c r="AB52" i="8"/>
  <c r="AA52" i="8" s="1"/>
  <c r="AF52" i="8"/>
  <c r="I53" i="8"/>
  <c r="I54" i="8"/>
  <c r="BO55" i="8"/>
  <c r="AP56" i="8"/>
  <c r="AO56" i="8" s="1"/>
  <c r="BH56" i="8"/>
  <c r="BD56" i="8"/>
  <c r="BC56" i="8" s="1"/>
  <c r="T47" i="8"/>
  <c r="AV47" i="8"/>
  <c r="BX47" i="8"/>
  <c r="AH48" i="8"/>
  <c r="F48" i="8" s="1"/>
  <c r="AA49" i="8"/>
  <c r="BC49" i="8"/>
  <c r="CL50" i="8"/>
  <c r="O51" i="8"/>
  <c r="H51" i="8" s="1"/>
  <c r="CL52" i="8"/>
  <c r="AI53" i="8"/>
  <c r="AH53" i="8"/>
  <c r="AM53" i="8"/>
  <c r="BQ56" i="8"/>
  <c r="BR56" i="8"/>
  <c r="CJ56" i="8"/>
  <c r="CF56" i="8"/>
  <c r="CE56" i="8" s="1"/>
  <c r="AO57" i="8"/>
  <c r="CM57" i="8"/>
  <c r="CL57" i="8" s="1"/>
  <c r="CQ57" i="8"/>
  <c r="CI59" i="8"/>
  <c r="AA48" i="8"/>
  <c r="AB50" i="8"/>
  <c r="AA50" i="8" s="1"/>
  <c r="BR50" i="8"/>
  <c r="BQ50" i="8" s="1"/>
  <c r="BJ51" i="8"/>
  <c r="B52" i="8"/>
  <c r="O52" i="8"/>
  <c r="H52" i="8" s="1"/>
  <c r="B53" i="8"/>
  <c r="Y54" i="8"/>
  <c r="U54" i="8"/>
  <c r="T54" i="8" s="1"/>
  <c r="AI54" i="8"/>
  <c r="AH54" i="8" s="1"/>
  <c r="BA54" i="8"/>
  <c r="AW54" i="8"/>
  <c r="AV54" i="8" s="1"/>
  <c r="BK54" i="8"/>
  <c r="BJ54" i="8" s="1"/>
  <c r="CC54" i="8"/>
  <c r="BY54" i="8"/>
  <c r="BX54" i="8" s="1"/>
  <c r="CM54" i="8"/>
  <c r="CL54" i="8" s="1"/>
  <c r="Y56" i="8"/>
  <c r="E56" i="8"/>
  <c r="K56" i="8" s="1"/>
  <c r="U56" i="8"/>
  <c r="T56" i="8" s="1"/>
  <c r="V15" i="7"/>
  <c r="H15" i="7" s="1"/>
  <c r="I4" i="7"/>
  <c r="H8" i="7"/>
  <c r="H13" i="7"/>
  <c r="S55" i="7"/>
  <c r="S58" i="7" s="1"/>
  <c r="AU55" i="7"/>
  <c r="AV4" i="7"/>
  <c r="BF55" i="7"/>
  <c r="BF58" i="7" s="1"/>
  <c r="BE4" i="7"/>
  <c r="BE55" i="7" s="1"/>
  <c r="BE58" i="7" s="1"/>
  <c r="CA55" i="7"/>
  <c r="CA58" i="7" s="1"/>
  <c r="AJ5" i="7"/>
  <c r="H5" i="7" s="1"/>
  <c r="BR5" i="7"/>
  <c r="CC5" i="7"/>
  <c r="I8" i="7"/>
  <c r="J10" i="7"/>
  <c r="B11" i="7"/>
  <c r="H11" i="7"/>
  <c r="AC14" i="7"/>
  <c r="H14" i="7" s="1"/>
  <c r="AD14" i="7"/>
  <c r="BD14" i="7"/>
  <c r="BC14" i="7" s="1"/>
  <c r="W15" i="7"/>
  <c r="N16" i="7"/>
  <c r="M16" i="7" s="1"/>
  <c r="E16" i="7"/>
  <c r="K16" i="7" s="1"/>
  <c r="R16" i="7"/>
  <c r="AF16" i="7"/>
  <c r="AB16" i="7"/>
  <c r="AA16" i="7" s="1"/>
  <c r="H17" i="7"/>
  <c r="BR17" i="7"/>
  <c r="BQ17" i="7" s="1"/>
  <c r="BV17" i="7"/>
  <c r="U18" i="7"/>
  <c r="G18" i="7" s="1"/>
  <c r="Y18" i="7"/>
  <c r="B18" i="7"/>
  <c r="T18" i="7"/>
  <c r="B4" i="7"/>
  <c r="I6" i="7"/>
  <c r="U6" i="7"/>
  <c r="T6" i="7" s="1"/>
  <c r="BY6" i="7"/>
  <c r="BX6" i="7"/>
  <c r="B9" i="7"/>
  <c r="V10" i="7"/>
  <c r="H10" i="7" s="1"/>
  <c r="AF12" i="7"/>
  <c r="J12" i="7"/>
  <c r="CF13" i="7"/>
  <c r="CE13" i="7" s="1"/>
  <c r="CJ13" i="7"/>
  <c r="O16" i="7"/>
  <c r="J19" i="7"/>
  <c r="K19" i="7" s="1"/>
  <c r="W19" i="7"/>
  <c r="I19" i="7" s="1"/>
  <c r="I20" i="7"/>
  <c r="V20" i="7"/>
  <c r="BR20" i="7"/>
  <c r="BQ20" i="7"/>
  <c r="BV20" i="7"/>
  <c r="AN58" i="7"/>
  <c r="AT58" i="7"/>
  <c r="AT55" i="7"/>
  <c r="AX4" i="7"/>
  <c r="AX55" i="7" s="1"/>
  <c r="AX58" i="7" s="1"/>
  <c r="BI55" i="7"/>
  <c r="BO4" i="7"/>
  <c r="BS4" i="7"/>
  <c r="BS55" i="7" s="1"/>
  <c r="BS58" i="7" s="1"/>
  <c r="CN4" i="7"/>
  <c r="CN55" i="7" s="1"/>
  <c r="CN58" i="7" s="1"/>
  <c r="AC5" i="7"/>
  <c r="BC6" i="7"/>
  <c r="O7" i="7"/>
  <c r="H7" i="7" s="1"/>
  <c r="AV7" i="7"/>
  <c r="AC9" i="7"/>
  <c r="T11" i="7"/>
  <c r="BX11" i="7"/>
  <c r="CC11" i="7"/>
  <c r="CQ11" i="7"/>
  <c r="CM11" i="7"/>
  <c r="CL11" i="7"/>
  <c r="M12" i="7"/>
  <c r="AP13" i="7"/>
  <c r="AO13" i="7" s="1"/>
  <c r="CF14" i="7"/>
  <c r="CE14" i="7" s="1"/>
  <c r="CJ14" i="7"/>
  <c r="Y15" i="7"/>
  <c r="P16" i="7"/>
  <c r="BD16" i="7"/>
  <c r="BC16" i="7"/>
  <c r="BH16" i="7"/>
  <c r="BV16" i="7"/>
  <c r="BR16" i="7"/>
  <c r="BQ16" i="7" s="1"/>
  <c r="AO18" i="7"/>
  <c r="BV19" i="7"/>
  <c r="BR19" i="7"/>
  <c r="BQ19" i="7"/>
  <c r="J21" i="7"/>
  <c r="R21" i="7"/>
  <c r="P21" i="7"/>
  <c r="I21" i="7" s="1"/>
  <c r="O21" i="7"/>
  <c r="H21" i="7" s="1"/>
  <c r="H23" i="7"/>
  <c r="R5" i="7"/>
  <c r="B5" i="7"/>
  <c r="N8" i="7"/>
  <c r="M8" i="7"/>
  <c r="E8" i="7"/>
  <c r="K8" i="7" s="1"/>
  <c r="BK12" i="7"/>
  <c r="BJ12" i="7" s="1"/>
  <c r="M13" i="7"/>
  <c r="I15" i="7"/>
  <c r="BR15" i="7"/>
  <c r="BQ15" i="7"/>
  <c r="AI17" i="7"/>
  <c r="AH17" i="7" s="1"/>
  <c r="AM17" i="7"/>
  <c r="BA17" i="7"/>
  <c r="AW17" i="7"/>
  <c r="AV17" i="7" s="1"/>
  <c r="BH18" i="7"/>
  <c r="BD18" i="7"/>
  <c r="BC18" i="7"/>
  <c r="X55" i="7"/>
  <c r="W4" i="7"/>
  <c r="AG55" i="7"/>
  <c r="AG58" i="7" s="1"/>
  <c r="AM4" i="7"/>
  <c r="AP5" i="7"/>
  <c r="AO5" i="7" s="1"/>
  <c r="B8" i="7"/>
  <c r="AF9" i="7"/>
  <c r="I10" i="7"/>
  <c r="B12" i="7"/>
  <c r="CL13" i="7"/>
  <c r="E17" i="7"/>
  <c r="K17" i="7" s="1"/>
  <c r="CM19" i="7"/>
  <c r="CQ19" i="7"/>
  <c r="Y4" i="7"/>
  <c r="AQ55" i="7"/>
  <c r="AQ58" i="7" s="1"/>
  <c r="BB55" i="7"/>
  <c r="BB58" i="7" s="1"/>
  <c r="BL55" i="7"/>
  <c r="BL58" i="7" s="1"/>
  <c r="BW55" i="7"/>
  <c r="CG55" i="7"/>
  <c r="CG58" i="7" s="1"/>
  <c r="N5" i="7"/>
  <c r="AF5" i="7"/>
  <c r="BX5" i="7"/>
  <c r="E6" i="7"/>
  <c r="K6" i="7" s="1"/>
  <c r="D6" i="7"/>
  <c r="AW6" i="7"/>
  <c r="AV6" i="7" s="1"/>
  <c r="BJ7" i="7"/>
  <c r="R8" i="7"/>
  <c r="AB8" i="7"/>
  <c r="AA8" i="7" s="1"/>
  <c r="AP8" i="7"/>
  <c r="J9" i="7"/>
  <c r="CF9" i="7"/>
  <c r="CE9" i="7" s="1"/>
  <c r="CM10" i="7"/>
  <c r="CL10" i="7" s="1"/>
  <c r="AW12" i="7"/>
  <c r="AV12" i="7" s="1"/>
  <c r="BO12" i="7"/>
  <c r="E13" i="7"/>
  <c r="K13" i="7" s="1"/>
  <c r="I13" i="7"/>
  <c r="AV13" i="7"/>
  <c r="BA13" i="7"/>
  <c r="BO13" i="7"/>
  <c r="BK13" i="7"/>
  <c r="BJ13" i="7" s="1"/>
  <c r="CM13" i="7"/>
  <c r="M14" i="7"/>
  <c r="CM16" i="7"/>
  <c r="CL16" i="7" s="1"/>
  <c r="CQ16" i="7"/>
  <c r="I17" i="7"/>
  <c r="CL19" i="7"/>
  <c r="H20" i="7"/>
  <c r="O4" i="7"/>
  <c r="Z55" i="7"/>
  <c r="Z58" i="7" s="1"/>
  <c r="AI4" i="7"/>
  <c r="G4" i="7" s="1"/>
  <c r="AR55" i="7"/>
  <c r="AR58" i="7" s="1"/>
  <c r="BC4" i="7"/>
  <c r="BM55" i="7"/>
  <c r="BM58" i="7" s="1"/>
  <c r="BY4" i="7"/>
  <c r="BX4" i="7" s="1"/>
  <c r="CJ4" i="7"/>
  <c r="E5" i="7"/>
  <c r="J5" i="7"/>
  <c r="BC5" i="7"/>
  <c r="AA6" i="7"/>
  <c r="T7" i="7"/>
  <c r="AP7" i="7"/>
  <c r="BX7" i="7"/>
  <c r="AW9" i="7"/>
  <c r="AV9" i="7" s="1"/>
  <c r="BY10" i="7"/>
  <c r="BX10" i="7" s="1"/>
  <c r="BV12" i="7"/>
  <c r="CJ12" i="7"/>
  <c r="CF12" i="7"/>
  <c r="CE12" i="7" s="1"/>
  <c r="J14" i="7"/>
  <c r="K14" i="7" s="1"/>
  <c r="AI15" i="7"/>
  <c r="AH15" i="7" s="1"/>
  <c r="AM15" i="7"/>
  <c r="BV15" i="7"/>
  <c r="V16" i="7"/>
  <c r="W16" i="7"/>
  <c r="BO18" i="7"/>
  <c r="R4" i="7"/>
  <c r="AA4" i="7"/>
  <c r="AJ4" i="7"/>
  <c r="AT4" i="7"/>
  <c r="BD4" i="7"/>
  <c r="BP55" i="7"/>
  <c r="BZ4" i="7"/>
  <c r="BZ55" i="7" s="1"/>
  <c r="BZ58" i="7" s="1"/>
  <c r="CK55" i="7"/>
  <c r="CQ4" i="7"/>
  <c r="I5" i="7"/>
  <c r="AT5" i="7"/>
  <c r="BD5" i="7"/>
  <c r="BJ6" i="7"/>
  <c r="R7" i="7"/>
  <c r="B7" i="7"/>
  <c r="BO7" i="7"/>
  <c r="T8" i="7"/>
  <c r="AT8" i="7"/>
  <c r="BD8" i="7"/>
  <c r="BC8" i="7" s="1"/>
  <c r="BR8" i="7"/>
  <c r="BQ8" i="7"/>
  <c r="M9" i="7"/>
  <c r="E9" i="7"/>
  <c r="K9" i="7" s="1"/>
  <c r="N9" i="7"/>
  <c r="BK9" i="7"/>
  <c r="BJ9" i="7" s="1"/>
  <c r="Y10" i="7"/>
  <c r="U10" i="7"/>
  <c r="G10" i="7" s="1"/>
  <c r="AP10" i="7"/>
  <c r="AO10" i="7" s="1"/>
  <c r="BC10" i="7"/>
  <c r="CQ10" i="7"/>
  <c r="N11" i="7"/>
  <c r="BR11" i="7"/>
  <c r="BQ11" i="7" s="1"/>
  <c r="E12" i="7"/>
  <c r="AC12" i="7"/>
  <c r="H12" i="7" s="1"/>
  <c r="BR12" i="7"/>
  <c r="BQ12" i="7" s="1"/>
  <c r="G13" i="7"/>
  <c r="I14" i="7"/>
  <c r="AB14" i="7"/>
  <c r="G14" i="7" s="1"/>
  <c r="AP14" i="7"/>
  <c r="AO14" i="7" s="1"/>
  <c r="AT14" i="7"/>
  <c r="Y16" i="7"/>
  <c r="N17" i="7"/>
  <c r="CF17" i="7"/>
  <c r="CE17" i="7" s="1"/>
  <c r="BK18" i="7"/>
  <c r="BJ18" i="7" s="1"/>
  <c r="BY18" i="7"/>
  <c r="BX18" i="7" s="1"/>
  <c r="CC18" i="7"/>
  <c r="BK15" i="7"/>
  <c r="BJ15" i="7" s="1"/>
  <c r="B21" i="7"/>
  <c r="N21" i="7"/>
  <c r="M21" i="7" s="1"/>
  <c r="E21" i="7"/>
  <c r="BQ21" i="7"/>
  <c r="BJ23" i="7"/>
  <c r="B24" i="7"/>
  <c r="W37" i="7"/>
  <c r="V37" i="7" s="1"/>
  <c r="B19" i="7"/>
  <c r="B20" i="7"/>
  <c r="BA22" i="7"/>
  <c r="BO24" i="7"/>
  <c r="BJ24" i="7"/>
  <c r="AM25" i="7"/>
  <c r="AI25" i="7"/>
  <c r="AH25" i="7" s="1"/>
  <c r="BO25" i="7"/>
  <c r="Y26" i="7"/>
  <c r="BA26" i="7"/>
  <c r="AW29" i="7"/>
  <c r="AV29" i="7"/>
  <c r="BA29" i="7"/>
  <c r="CL17" i="7"/>
  <c r="M19" i="7"/>
  <c r="AH19" i="7"/>
  <c r="BD19" i="7"/>
  <c r="BC19" i="7" s="1"/>
  <c r="M20" i="7"/>
  <c r="AI20" i="7"/>
  <c r="AH20" i="7" s="1"/>
  <c r="BX20" i="7"/>
  <c r="AA21" i="7"/>
  <c r="AV21" i="7"/>
  <c r="CE21" i="7"/>
  <c r="R22" i="7"/>
  <c r="B22" i="7"/>
  <c r="BC22" i="7"/>
  <c r="E23" i="7"/>
  <c r="K23" i="7" s="1"/>
  <c r="AH24" i="7"/>
  <c r="BK24" i="7"/>
  <c r="CL24" i="7"/>
  <c r="BK25" i="7"/>
  <c r="BJ25" i="7" s="1"/>
  <c r="BX25" i="7"/>
  <c r="T26" i="7"/>
  <c r="BH26" i="7"/>
  <c r="BC26" i="7"/>
  <c r="T27" i="7"/>
  <c r="F27" i="7" s="1"/>
  <c r="E27" i="7"/>
  <c r="K27" i="7" s="1"/>
  <c r="E28" i="7"/>
  <c r="K28" i="7" s="1"/>
  <c r="N28" i="7"/>
  <c r="R28" i="7"/>
  <c r="BA28" i="7"/>
  <c r="AW28" i="7"/>
  <c r="AV28" i="7" s="1"/>
  <c r="I33" i="7"/>
  <c r="O33" i="7"/>
  <c r="H33" i="7" s="1"/>
  <c r="BR26" i="7"/>
  <c r="BQ26" i="7"/>
  <c r="BK28" i="7"/>
  <c r="BJ28" i="7" s="1"/>
  <c r="BO28" i="7"/>
  <c r="CC28" i="7"/>
  <c r="BY28" i="7"/>
  <c r="BX28" i="7"/>
  <c r="CM20" i="7"/>
  <c r="CL20" i="7" s="1"/>
  <c r="CL22" i="7"/>
  <c r="BC23" i="7"/>
  <c r="N25" i="7"/>
  <c r="E25" i="7"/>
  <c r="K25" i="7" s="1"/>
  <c r="AT25" i="7"/>
  <c r="W26" i="7"/>
  <c r="V26" i="7"/>
  <c r="J26" i="7"/>
  <c r="CF27" i="7"/>
  <c r="CE27" i="7" s="1"/>
  <c r="CJ27" i="7"/>
  <c r="N29" i="7"/>
  <c r="M29" i="7" s="1"/>
  <c r="E29" i="7"/>
  <c r="K29" i="7" s="1"/>
  <c r="R29" i="7"/>
  <c r="BH29" i="7"/>
  <c r="BD29" i="7"/>
  <c r="BC29" i="7" s="1"/>
  <c r="J34" i="7"/>
  <c r="O34" i="7"/>
  <c r="H34" i="7" s="1"/>
  <c r="P34" i="7"/>
  <c r="I34" i="7" s="1"/>
  <c r="V9" i="7"/>
  <c r="BX9" i="7"/>
  <c r="AB15" i="7"/>
  <c r="AA15" i="7"/>
  <c r="AJ15" i="7"/>
  <c r="CM15" i="7"/>
  <c r="CL15" i="7" s="1"/>
  <c r="AB19" i="7"/>
  <c r="D19" i="7" s="1"/>
  <c r="BH19" i="7"/>
  <c r="AM20" i="7"/>
  <c r="E22" i="7"/>
  <c r="AK22" i="7"/>
  <c r="AJ22" i="7"/>
  <c r="H22" i="7" s="1"/>
  <c r="AV22" i="7"/>
  <c r="BR22" i="7"/>
  <c r="BQ22" i="7" s="1"/>
  <c r="U23" i="7"/>
  <c r="D23" i="7" s="1"/>
  <c r="AT23" i="7"/>
  <c r="CC24" i="7"/>
  <c r="AP25" i="7"/>
  <c r="AO25" i="7" s="1"/>
  <c r="N26" i="7"/>
  <c r="M26" i="7" s="1"/>
  <c r="E26" i="7"/>
  <c r="K26" i="7" s="1"/>
  <c r="R26" i="7"/>
  <c r="AF26" i="7"/>
  <c r="AV26" i="7"/>
  <c r="BV26" i="7"/>
  <c r="B27" i="7"/>
  <c r="AW27" i="7"/>
  <c r="I28" i="7"/>
  <c r="H29" i="7"/>
  <c r="AT30" i="7"/>
  <c r="H31" i="7"/>
  <c r="I32" i="7"/>
  <c r="AC32" i="7"/>
  <c r="AF32" i="7"/>
  <c r="AD32" i="7"/>
  <c r="J32" i="7"/>
  <c r="AF37" i="7"/>
  <c r="CL8" i="7"/>
  <c r="BC9" i="7"/>
  <c r="BY9" i="7"/>
  <c r="M10" i="7"/>
  <c r="AV10" i="7"/>
  <c r="BR10" i="7"/>
  <c r="BQ10" i="7" s="1"/>
  <c r="AA11" i="7"/>
  <c r="AW11" i="7"/>
  <c r="I12" i="7"/>
  <c r="AP12" i="7"/>
  <c r="AO12" i="7" s="1"/>
  <c r="U13" i="7"/>
  <c r="Y14" i="7"/>
  <c r="BX14" i="7"/>
  <c r="J15" i="7"/>
  <c r="K15" i="7" s="1"/>
  <c r="AC15" i="7"/>
  <c r="AV15" i="7"/>
  <c r="AD16" i="7"/>
  <c r="AC16" i="7" s="1"/>
  <c r="BJ17" i="7"/>
  <c r="AH18" i="7"/>
  <c r="CL18" i="7"/>
  <c r="R19" i="7"/>
  <c r="AW20" i="7"/>
  <c r="AV20" i="7" s="1"/>
  <c r="T21" i="7"/>
  <c r="BX21" i="7"/>
  <c r="AB22" i="7"/>
  <c r="G22" i="7" s="1"/>
  <c r="CQ22" i="7"/>
  <c r="BQ23" i="7"/>
  <c r="E24" i="7"/>
  <c r="K24" i="7" s="1"/>
  <c r="N24" i="7"/>
  <c r="BH24" i="7"/>
  <c r="BD24" i="7"/>
  <c r="BC24" i="7" s="1"/>
  <c r="CJ24" i="7"/>
  <c r="O25" i="7"/>
  <c r="H25" i="7" s="1"/>
  <c r="I25" i="7"/>
  <c r="BC25" i="7"/>
  <c r="CC25" i="7"/>
  <c r="AB26" i="7"/>
  <c r="AA26" i="7" s="1"/>
  <c r="Y27" i="7"/>
  <c r="BJ27" i="7"/>
  <c r="BV27" i="7"/>
  <c r="AP29" i="7"/>
  <c r="AO29" i="7"/>
  <c r="AP30" i="7"/>
  <c r="AO30" i="7" s="1"/>
  <c r="BK32" i="7"/>
  <c r="BJ32" i="7" s="1"/>
  <c r="BO32" i="7"/>
  <c r="CH55" i="7"/>
  <c r="CH58" i="7" s="1"/>
  <c r="AI9" i="7"/>
  <c r="AH9" i="7" s="1"/>
  <c r="E10" i="7"/>
  <c r="K10" i="7" s="1"/>
  <c r="B13" i="7"/>
  <c r="BX13" i="7"/>
  <c r="B15" i="7"/>
  <c r="T15" i="7"/>
  <c r="AW15" i="7"/>
  <c r="CF16" i="7"/>
  <c r="CE16" i="7" s="1"/>
  <c r="M18" i="7"/>
  <c r="BQ18" i="7"/>
  <c r="T19" i="7"/>
  <c r="CF19" i="7"/>
  <c r="CE19" i="7"/>
  <c r="BK20" i="7"/>
  <c r="BJ20" i="7"/>
  <c r="CQ20" i="7"/>
  <c r="BD21" i="7"/>
  <c r="BC21" i="7" s="1"/>
  <c r="J22" i="7"/>
  <c r="B23" i="7"/>
  <c r="BH23" i="7"/>
  <c r="CE23" i="7"/>
  <c r="O24" i="7"/>
  <c r="H24" i="7" s="1"/>
  <c r="I24" i="7"/>
  <c r="CF24" i="7"/>
  <c r="CE24" i="7" s="1"/>
  <c r="B25" i="7"/>
  <c r="R25" i="7"/>
  <c r="CE25" i="7"/>
  <c r="B26" i="7"/>
  <c r="I26" i="7"/>
  <c r="O26" i="7"/>
  <c r="H26" i="7" s="1"/>
  <c r="CJ26" i="7"/>
  <c r="I27" i="7"/>
  <c r="AA27" i="7"/>
  <c r="BK27" i="7"/>
  <c r="B29" i="7"/>
  <c r="B30" i="7"/>
  <c r="CC31" i="7"/>
  <c r="BY31" i="7"/>
  <c r="BX31" i="7" s="1"/>
  <c r="B31" i="7"/>
  <c r="BO34" i="7"/>
  <c r="BK34" i="7"/>
  <c r="BJ34" i="7" s="1"/>
  <c r="CM28" i="7"/>
  <c r="CL28" i="7"/>
  <c r="AM30" i="7"/>
  <c r="I31" i="7"/>
  <c r="AP31" i="7"/>
  <c r="AO31" i="7" s="1"/>
  <c r="T32" i="7"/>
  <c r="AB34" i="7"/>
  <c r="AA34" i="7" s="1"/>
  <c r="BJ35" i="7"/>
  <c r="AV37" i="7"/>
  <c r="BR38" i="7"/>
  <c r="BQ38" i="7" s="1"/>
  <c r="P39" i="7"/>
  <c r="I39" i="7" s="1"/>
  <c r="AK39" i="7"/>
  <c r="AJ39" i="7"/>
  <c r="CM39" i="7"/>
  <c r="CL39" i="7" s="1"/>
  <c r="CQ39" i="7"/>
  <c r="BY41" i="7"/>
  <c r="BX41" i="7"/>
  <c r="AT44" i="7"/>
  <c r="R45" i="7"/>
  <c r="E45" i="7"/>
  <c r="K45" i="7" s="1"/>
  <c r="CM47" i="7"/>
  <c r="CL47" i="7" s="1"/>
  <c r="CQ47" i="7"/>
  <c r="R50" i="7"/>
  <c r="M50" i="7"/>
  <c r="E50" i="7"/>
  <c r="B50" i="7"/>
  <c r="N50" i="7"/>
  <c r="O37" i="7"/>
  <c r="AB39" i="7"/>
  <c r="G39" i="7" s="1"/>
  <c r="CF40" i="7"/>
  <c r="CE40" i="7" s="1"/>
  <c r="AH42" i="7"/>
  <c r="AP44" i="7"/>
  <c r="AO44" i="7" s="1"/>
  <c r="N45" i="7"/>
  <c r="CM45" i="7"/>
  <c r="CL45" i="7" s="1"/>
  <c r="CQ45" i="7"/>
  <c r="CJ58" i="7"/>
  <c r="AO24" i="7"/>
  <c r="T25" i="7"/>
  <c r="CF29" i="7"/>
  <c r="CE29" i="7" s="1"/>
  <c r="BK30" i="7"/>
  <c r="BJ30" i="7" s="1"/>
  <c r="B32" i="7"/>
  <c r="AP32" i="7"/>
  <c r="AO32" i="7" s="1"/>
  <c r="BV32" i="7"/>
  <c r="B33" i="7"/>
  <c r="N33" i="7"/>
  <c r="M33" i="7"/>
  <c r="E33" i="7"/>
  <c r="K33" i="7" s="1"/>
  <c r="AI33" i="7"/>
  <c r="AH33" i="7" s="1"/>
  <c r="BQ33" i="7"/>
  <c r="CM33" i="7"/>
  <c r="CL33" i="7" s="1"/>
  <c r="CF34" i="7"/>
  <c r="CE34" i="7" s="1"/>
  <c r="AO35" i="7"/>
  <c r="AH36" i="7"/>
  <c r="R37" i="7"/>
  <c r="AB37" i="7"/>
  <c r="AA37" i="7" s="1"/>
  <c r="CE37" i="7"/>
  <c r="B38" i="7"/>
  <c r="AC38" i="7"/>
  <c r="R39" i="7"/>
  <c r="BK40" i="7"/>
  <c r="BJ40" i="7" s="1"/>
  <c r="I41" i="7"/>
  <c r="AI41" i="7"/>
  <c r="AH41" i="7" s="1"/>
  <c r="AM41" i="7"/>
  <c r="CM41" i="7"/>
  <c r="CL41" i="7" s="1"/>
  <c r="V42" i="7"/>
  <c r="N31" i="7"/>
  <c r="M31" i="7" s="1"/>
  <c r="E31" i="7"/>
  <c r="K31" i="7" s="1"/>
  <c r="K32" i="7"/>
  <c r="AF34" i="7"/>
  <c r="U35" i="7"/>
  <c r="T35" i="7" s="1"/>
  <c r="BY35" i="7"/>
  <c r="BX35" i="7" s="1"/>
  <c r="O36" i="7"/>
  <c r="AI36" i="7"/>
  <c r="BK37" i="7"/>
  <c r="BJ37" i="7" s="1"/>
  <c r="M38" i="7"/>
  <c r="U38" i="7"/>
  <c r="AP38" i="7"/>
  <c r="AO38" i="7" s="1"/>
  <c r="BV38" i="7"/>
  <c r="J39" i="7"/>
  <c r="T39" i="7"/>
  <c r="N40" i="7"/>
  <c r="R40" i="7"/>
  <c r="AP40" i="7"/>
  <c r="AO40" i="7" s="1"/>
  <c r="CJ40" i="7"/>
  <c r="N41" i="7"/>
  <c r="CC41" i="7"/>
  <c r="BR42" i="7"/>
  <c r="BQ42" i="7" s="1"/>
  <c r="N43" i="7"/>
  <c r="M43" i="7" s="1"/>
  <c r="H44" i="7"/>
  <c r="AM49" i="7"/>
  <c r="AI49" i="7"/>
  <c r="AH49" i="7" s="1"/>
  <c r="K30" i="7"/>
  <c r="W30" i="7"/>
  <c r="O32" i="7"/>
  <c r="H32" i="7" s="1"/>
  <c r="AH32" i="7"/>
  <c r="AV33" i="7"/>
  <c r="R34" i="7"/>
  <c r="B34" i="7"/>
  <c r="B35" i="7"/>
  <c r="AH35" i="7"/>
  <c r="AT35" i="7"/>
  <c r="AK36" i="7"/>
  <c r="I36" i="7" s="1"/>
  <c r="AL37" i="7"/>
  <c r="AL55" i="7" s="1"/>
  <c r="AV36" i="7"/>
  <c r="J37" i="7"/>
  <c r="K37" i="7" s="1"/>
  <c r="BX37" i="7"/>
  <c r="CJ37" i="7"/>
  <c r="AF39" i="7"/>
  <c r="B40" i="7"/>
  <c r="V40" i="7"/>
  <c r="E41" i="7"/>
  <c r="K41" i="7" s="1"/>
  <c r="H41" i="7"/>
  <c r="N42" i="7"/>
  <c r="M42" i="7" s="1"/>
  <c r="E42" i="7"/>
  <c r="K42" i="7" s="1"/>
  <c r="CF42" i="7"/>
  <c r="CE42" i="7" s="1"/>
  <c r="CJ42" i="7"/>
  <c r="P43" i="7"/>
  <c r="I43" i="7" s="1"/>
  <c r="O43" i="7"/>
  <c r="H43" i="7" s="1"/>
  <c r="AC46" i="7"/>
  <c r="H46" i="7" s="1"/>
  <c r="I46" i="7"/>
  <c r="BD46" i="7"/>
  <c r="BC46" i="7" s="1"/>
  <c r="BH46" i="7"/>
  <c r="B46" i="7"/>
  <c r="BR31" i="7"/>
  <c r="BQ31" i="7" s="1"/>
  <c r="BY32" i="7"/>
  <c r="BX32" i="7" s="1"/>
  <c r="AB33" i="7"/>
  <c r="AA33" i="7" s="1"/>
  <c r="BJ33" i="7"/>
  <c r="CF33" i="7"/>
  <c r="CE33" i="7" s="1"/>
  <c r="AH34" i="7"/>
  <c r="BD34" i="7"/>
  <c r="BC34" i="7" s="1"/>
  <c r="AA36" i="7"/>
  <c r="U37" i="7"/>
  <c r="AM37" i="7"/>
  <c r="E38" i="7"/>
  <c r="K38" i="7" s="1"/>
  <c r="H38" i="7"/>
  <c r="BX38" i="7"/>
  <c r="B39" i="7"/>
  <c r="Y40" i="7"/>
  <c r="P42" i="7"/>
  <c r="O42" i="7"/>
  <c r="AM42" i="7"/>
  <c r="B43" i="7"/>
  <c r="R43" i="7"/>
  <c r="AW43" i="7"/>
  <c r="AV43" i="7" s="1"/>
  <c r="BA43" i="7"/>
  <c r="B45" i="7"/>
  <c r="AI45" i="7"/>
  <c r="AH45" i="7" s="1"/>
  <c r="AM45" i="7"/>
  <c r="BV45" i="7"/>
  <c r="BR45" i="7"/>
  <c r="BQ45" i="7" s="1"/>
  <c r="BD48" i="7"/>
  <c r="BC48" i="7" s="1"/>
  <c r="BH48" i="7"/>
  <c r="AT24" i="7"/>
  <c r="Y25" i="7"/>
  <c r="AI28" i="7"/>
  <c r="AH28" i="7" s="1"/>
  <c r="BR29" i="7"/>
  <c r="BQ29" i="7" s="1"/>
  <c r="BY30" i="7"/>
  <c r="BX30" i="7" s="1"/>
  <c r="R31" i="7"/>
  <c r="AB32" i="7"/>
  <c r="D32" i="7" s="1"/>
  <c r="AJ32" i="7"/>
  <c r="BQ32" i="7"/>
  <c r="CM32" i="7"/>
  <c r="CL32" i="7" s="1"/>
  <c r="R33" i="7"/>
  <c r="BA33" i="7"/>
  <c r="N34" i="7"/>
  <c r="N35" i="7"/>
  <c r="M35" i="7" s="1"/>
  <c r="BQ35" i="7"/>
  <c r="R36" i="7"/>
  <c r="B37" i="7"/>
  <c r="BC37" i="7"/>
  <c r="I38" i="7"/>
  <c r="AT38" i="7"/>
  <c r="E39" i="7"/>
  <c r="K39" i="7" s="1"/>
  <c r="D39" i="7"/>
  <c r="AH39" i="7"/>
  <c r="BO39" i="7"/>
  <c r="I40" i="7"/>
  <c r="AB40" i="7"/>
  <c r="AA40" i="7"/>
  <c r="CM40" i="7"/>
  <c r="CL40" i="7" s="1"/>
  <c r="BK41" i="7"/>
  <c r="BJ41" i="7" s="1"/>
  <c r="BO41" i="7"/>
  <c r="B42" i="7"/>
  <c r="R42" i="7"/>
  <c r="AD42" i="7"/>
  <c r="AC42" i="7" s="1"/>
  <c r="BK42" i="7"/>
  <c r="BJ42" i="7" s="1"/>
  <c r="E43" i="7"/>
  <c r="K43" i="7" s="1"/>
  <c r="CJ43" i="7"/>
  <c r="CF43" i="7"/>
  <c r="CE43" i="7" s="1"/>
  <c r="U49" i="7"/>
  <c r="B49" i="7"/>
  <c r="Y49" i="7"/>
  <c r="E18" i="7"/>
  <c r="K18" i="7" s="1"/>
  <c r="BQ24" i="7"/>
  <c r="AV25" i="7"/>
  <c r="CL25" i="7"/>
  <c r="AO26" i="7"/>
  <c r="AH27" i="7"/>
  <c r="H28" i="7"/>
  <c r="AA29" i="7"/>
  <c r="AB30" i="7"/>
  <c r="AJ30" i="7"/>
  <c r="CM30" i="7"/>
  <c r="CL30" i="7" s="1"/>
  <c r="AB31" i="7"/>
  <c r="AA31" i="7" s="1"/>
  <c r="AM32" i="7"/>
  <c r="AV32" i="7"/>
  <c r="E34" i="7"/>
  <c r="K34" i="7" s="1"/>
  <c r="P35" i="7"/>
  <c r="I35" i="7" s="1"/>
  <c r="AW35" i="7"/>
  <c r="AV35" i="7" s="1"/>
  <c r="U36" i="7"/>
  <c r="G36" i="7" s="1"/>
  <c r="T36" i="7"/>
  <c r="F36" i="7" s="1"/>
  <c r="AE37" i="7"/>
  <c r="AE55" i="7" s="1"/>
  <c r="AC36" i="7"/>
  <c r="AO36" i="7"/>
  <c r="BJ36" i="7"/>
  <c r="M37" i="7"/>
  <c r="AI37" i="7"/>
  <c r="AH37" i="7" s="1"/>
  <c r="CM37" i="7"/>
  <c r="CL37" i="7" s="1"/>
  <c r="AF38" i="7"/>
  <c r="BD38" i="7"/>
  <c r="BC38" i="7" s="1"/>
  <c r="E40" i="7"/>
  <c r="J40" i="7"/>
  <c r="AC40" i="7"/>
  <c r="BQ40" i="7"/>
  <c r="U42" i="7"/>
  <c r="T42" i="7" s="1"/>
  <c r="Y42" i="7"/>
  <c r="AF42" i="7"/>
  <c r="AO42" i="7"/>
  <c r="AB43" i="7"/>
  <c r="AA43" i="7" s="1"/>
  <c r="AD48" i="7"/>
  <c r="I48" i="7" s="1"/>
  <c r="AF48" i="7"/>
  <c r="U56" i="7"/>
  <c r="G56" i="7" s="1"/>
  <c r="T56" i="7"/>
  <c r="E56" i="7"/>
  <c r="K56" i="7" s="1"/>
  <c r="Y56" i="7"/>
  <c r="B56" i="7"/>
  <c r="BQ43" i="7"/>
  <c r="BV44" i="7"/>
  <c r="I47" i="7"/>
  <c r="CE49" i="7"/>
  <c r="AJ50" i="7"/>
  <c r="AM50" i="7"/>
  <c r="CJ50" i="7"/>
  <c r="CF50" i="7"/>
  <c r="CE50" i="7" s="1"/>
  <c r="V52" i="7"/>
  <c r="J52" i="7"/>
  <c r="Y52" i="7"/>
  <c r="W52" i="7"/>
  <c r="BH53" i="7"/>
  <c r="BD53" i="7"/>
  <c r="BC53" i="7" s="1"/>
  <c r="BG59" i="7"/>
  <c r="K57" i="7"/>
  <c r="R48" i="7"/>
  <c r="B48" i="7"/>
  <c r="N48" i="7"/>
  <c r="M48" i="7" s="1"/>
  <c r="AI48" i="7"/>
  <c r="AH48" i="7" s="1"/>
  <c r="W49" i="7"/>
  <c r="V49" i="7" s="1"/>
  <c r="BH50" i="7"/>
  <c r="BD50" i="7"/>
  <c r="R51" i="7"/>
  <c r="B51" i="7"/>
  <c r="E51" i="7"/>
  <c r="K51" i="7" s="1"/>
  <c r="N51" i="7"/>
  <c r="BR51" i="7"/>
  <c r="BQ51" i="7"/>
  <c r="CQ55" i="7"/>
  <c r="H45" i="7"/>
  <c r="BQ46" i="7"/>
  <c r="AH47" i="7"/>
  <c r="V48" i="7"/>
  <c r="BQ48" i="7"/>
  <c r="AW49" i="7"/>
  <c r="AV49" i="7" s="1"/>
  <c r="I50" i="7"/>
  <c r="BC50" i="7"/>
  <c r="H51" i="7"/>
  <c r="AA52" i="7"/>
  <c r="R53" i="7"/>
  <c r="E53" i="7"/>
  <c r="N53" i="7"/>
  <c r="M53" i="7" s="1"/>
  <c r="U54" i="7"/>
  <c r="D54" i="7" s="1"/>
  <c r="Y54" i="7"/>
  <c r="B54" i="7"/>
  <c r="CF56" i="7"/>
  <c r="CE56" i="7"/>
  <c r="CJ56" i="7"/>
  <c r="BJ43" i="7"/>
  <c r="B44" i="7"/>
  <c r="AH44" i="7"/>
  <c r="BC44" i="7"/>
  <c r="I45" i="7"/>
  <c r="G46" i="7"/>
  <c r="CE46" i="7"/>
  <c r="M47" i="7"/>
  <c r="Y47" i="7"/>
  <c r="Y48" i="7"/>
  <c r="CE48" i="7"/>
  <c r="AF49" i="7"/>
  <c r="J50" i="7"/>
  <c r="BV51" i="7"/>
  <c r="AC53" i="7"/>
  <c r="J53" i="7"/>
  <c r="AF53" i="7"/>
  <c r="AD53" i="7"/>
  <c r="I53" i="7" s="1"/>
  <c r="AT56" i="7"/>
  <c r="AP56" i="7"/>
  <c r="AO56" i="7" s="1"/>
  <c r="BD57" i="7"/>
  <c r="BC57" i="7" s="1"/>
  <c r="BH57" i="7"/>
  <c r="AI44" i="7"/>
  <c r="BQ44" i="7"/>
  <c r="CM44" i="7"/>
  <c r="CL44" i="7" s="1"/>
  <c r="BJ45" i="7"/>
  <c r="M46" i="7"/>
  <c r="BV46" i="7"/>
  <c r="B47" i="7"/>
  <c r="AV47" i="7"/>
  <c r="BV48" i="7"/>
  <c r="BY49" i="7"/>
  <c r="BX49" i="7" s="1"/>
  <c r="Y50" i="7"/>
  <c r="U50" i="7"/>
  <c r="T50" i="7" s="1"/>
  <c r="CM50" i="7"/>
  <c r="CL50" i="7" s="1"/>
  <c r="CQ50" i="7"/>
  <c r="AP51" i="7"/>
  <c r="AO51" i="7" s="1"/>
  <c r="AT51" i="7"/>
  <c r="CC51" i="7"/>
  <c r="BY51" i="7"/>
  <c r="BX51" i="7" s="1"/>
  <c r="BD42" i="7"/>
  <c r="BC42" i="7" s="1"/>
  <c r="E44" i="7"/>
  <c r="K44" i="7" s="1"/>
  <c r="N44" i="7"/>
  <c r="M44" i="7" s="1"/>
  <c r="BH44" i="7"/>
  <c r="T45" i="7"/>
  <c r="AP45" i="7"/>
  <c r="AO45" i="7" s="1"/>
  <c r="BX45" i="7"/>
  <c r="AA46" i="7"/>
  <c r="H47" i="7"/>
  <c r="AM47" i="7"/>
  <c r="BJ47" i="7"/>
  <c r="E48" i="7"/>
  <c r="K48" i="7" s="1"/>
  <c r="J48" i="7"/>
  <c r="AM48" i="7"/>
  <c r="BA49" i="7"/>
  <c r="BO50" i="7"/>
  <c r="BK50" i="7"/>
  <c r="BJ50" i="7" s="1"/>
  <c r="BY50" i="7"/>
  <c r="CC50" i="7"/>
  <c r="E36" i="7"/>
  <c r="K36" i="7" s="1"/>
  <c r="BC40" i="7"/>
  <c r="BC43" i="7"/>
  <c r="BX43" i="7"/>
  <c r="BC45" i="7"/>
  <c r="BO45" i="7"/>
  <c r="E46" i="7"/>
  <c r="K46" i="7" s="1"/>
  <c r="R46" i="7"/>
  <c r="CJ46" i="7"/>
  <c r="AO47" i="7"/>
  <c r="BA47" i="7"/>
  <c r="CJ48" i="7"/>
  <c r="BC49" i="7"/>
  <c r="CM49" i="7"/>
  <c r="CL49" i="7" s="1"/>
  <c r="AW50" i="7"/>
  <c r="AV50" i="7" s="1"/>
  <c r="BA50" i="7"/>
  <c r="BX50" i="7"/>
  <c r="BA51" i="7"/>
  <c r="AW51" i="7"/>
  <c r="AV51" i="7" s="1"/>
  <c r="CF53" i="7"/>
  <c r="CE53" i="7"/>
  <c r="CJ53" i="7"/>
  <c r="BO54" i="7"/>
  <c r="BK54" i="7"/>
  <c r="BJ54" i="7" s="1"/>
  <c r="AP57" i="7"/>
  <c r="AT57" i="7"/>
  <c r="B57" i="7"/>
  <c r="M54" i="7"/>
  <c r="V54" i="7"/>
  <c r="H54" i="7" s="1"/>
  <c r="BY54" i="7"/>
  <c r="BX54" i="7" s="1"/>
  <c r="BD56" i="7"/>
  <c r="BC56" i="7" s="1"/>
  <c r="M57" i="7"/>
  <c r="V57" i="7"/>
  <c r="CP59" i="7"/>
  <c r="CI59" i="7"/>
  <c r="AD50" i="7"/>
  <c r="AC50" i="7" s="1"/>
  <c r="H50" i="7" s="1"/>
  <c r="V51" i="7"/>
  <c r="AI52" i="7"/>
  <c r="AH52" i="7" s="1"/>
  <c r="BD52" i="7"/>
  <c r="BC52" i="7" s="1"/>
  <c r="V53" i="7"/>
  <c r="H53" i="7" s="1"/>
  <c r="BY53" i="7"/>
  <c r="BX53" i="7" s="1"/>
  <c r="AI54" i="7"/>
  <c r="AH54" i="7" s="1"/>
  <c r="BH55" i="7"/>
  <c r="CJ55" i="7"/>
  <c r="AA56" i="7"/>
  <c r="H57" i="7"/>
  <c r="AW57" i="7"/>
  <c r="AV57" i="7" s="1"/>
  <c r="BJ57" i="7"/>
  <c r="AO50" i="7"/>
  <c r="O52" i="7"/>
  <c r="AH53" i="7"/>
  <c r="AT53" i="7"/>
  <c r="CL53" i="7"/>
  <c r="AW54" i="7"/>
  <c r="AV54" i="7" s="1"/>
  <c r="CC54" i="7"/>
  <c r="BH56" i="7"/>
  <c r="CM56" i="7"/>
  <c r="CL56" i="7" s="1"/>
  <c r="BY57" i="7"/>
  <c r="BX57" i="7" s="1"/>
  <c r="CL57" i="7"/>
  <c r="AI51" i="7"/>
  <c r="AH51" i="7" s="1"/>
  <c r="CL51" i="7"/>
  <c r="BA58" i="7"/>
  <c r="AD56" i="7"/>
  <c r="I56" i="7" s="1"/>
  <c r="BV58" i="7"/>
  <c r="AF79" i="7"/>
  <c r="AE49" i="7" s="1"/>
  <c r="AF50" i="7"/>
  <c r="J51" i="7"/>
  <c r="AD52" i="7"/>
  <c r="I52" i="7" s="1"/>
  <c r="BR52" i="7"/>
  <c r="BQ52" i="7" s="1"/>
  <c r="AW53" i="7"/>
  <c r="AV53" i="7" s="1"/>
  <c r="J54" i="7"/>
  <c r="BA54" i="7"/>
  <c r="J56" i="7"/>
  <c r="BR57" i="7"/>
  <c r="BQ57" i="7" s="1"/>
  <c r="BV57" i="7"/>
  <c r="R79" i="7"/>
  <c r="Q49" i="7" s="1"/>
  <c r="E47" i="7"/>
  <c r="K47" i="7" s="1"/>
  <c r="E49" i="7"/>
  <c r="BJ49" i="7"/>
  <c r="AA50" i="7"/>
  <c r="BQ50" i="7"/>
  <c r="T52" i="7"/>
  <c r="F52" i="7" s="1"/>
  <c r="CF52" i="7"/>
  <c r="CE52" i="7" s="1"/>
  <c r="BJ53" i="7"/>
  <c r="BV53" i="7"/>
  <c r="W54" i="7"/>
  <c r="I54" i="7" s="1"/>
  <c r="CF57" i="7"/>
  <c r="CE57" i="7" s="1"/>
  <c r="CB58" i="7"/>
  <c r="E52" i="7"/>
  <c r="K52" i="7" s="1"/>
  <c r="E54" i="7"/>
  <c r="K54" i="7" s="1"/>
  <c r="H14" i="6"/>
  <c r="CG55" i="6"/>
  <c r="CG58" i="6" s="1"/>
  <c r="H6" i="6"/>
  <c r="BR13" i="6"/>
  <c r="BQ13" i="6" s="1"/>
  <c r="AK17" i="6"/>
  <c r="I17" i="6" s="1"/>
  <c r="BO20" i="6"/>
  <c r="BK20" i="6"/>
  <c r="H21" i="6"/>
  <c r="S55" i="6"/>
  <c r="S58" i="6" s="1"/>
  <c r="U4" i="6"/>
  <c r="AE4" i="6"/>
  <c r="AY55" i="6"/>
  <c r="AY58" i="6" s="1"/>
  <c r="BT55" i="6"/>
  <c r="BT58" i="6" s="1"/>
  <c r="AL4" i="6"/>
  <c r="BH5" i="6"/>
  <c r="AJ7" i="6"/>
  <c r="H7" i="6" s="1"/>
  <c r="AW8" i="6"/>
  <c r="AV8" i="6" s="1"/>
  <c r="J9" i="6"/>
  <c r="B11" i="6"/>
  <c r="E12" i="6"/>
  <c r="K12" i="6" s="1"/>
  <c r="U13" i="6"/>
  <c r="B13" i="6"/>
  <c r="BX13" i="6"/>
  <c r="CC13" i="6"/>
  <c r="CJ13" i="6"/>
  <c r="R14" i="6"/>
  <c r="CC14" i="6"/>
  <c r="BX14" i="6"/>
  <c r="AB15" i="6"/>
  <c r="G15" i="6" s="1"/>
  <c r="AF15" i="6"/>
  <c r="AA15" i="6"/>
  <c r="BV15" i="6"/>
  <c r="BJ16" i="6"/>
  <c r="CF17" i="6"/>
  <c r="CE17" i="6"/>
  <c r="CJ17" i="6"/>
  <c r="C21" i="6"/>
  <c r="BH27" i="6"/>
  <c r="BD27" i="6"/>
  <c r="BC27" i="6" s="1"/>
  <c r="BY5" i="6"/>
  <c r="BX5" i="6"/>
  <c r="CH55" i="6"/>
  <c r="CH58" i="6" s="1"/>
  <c r="B5" i="6"/>
  <c r="BA6" i="6"/>
  <c r="BR7" i="6"/>
  <c r="BQ7" i="6" s="1"/>
  <c r="BH8" i="6"/>
  <c r="BH9" i="6"/>
  <c r="J10" i="6"/>
  <c r="U10" i="6"/>
  <c r="AC10" i="6"/>
  <c r="O12" i="6"/>
  <c r="CQ13" i="6"/>
  <c r="CM13" i="6"/>
  <c r="CL13" i="6" s="1"/>
  <c r="AC14" i="6"/>
  <c r="AP14" i="6"/>
  <c r="AO14" i="6" s="1"/>
  <c r="O15" i="6"/>
  <c r="R15" i="6"/>
  <c r="J15" i="6"/>
  <c r="K15" i="6" s="1"/>
  <c r="AC15" i="6"/>
  <c r="AP15" i="6"/>
  <c r="AO15" i="6" s="1"/>
  <c r="AT15" i="6"/>
  <c r="BA15" i="6"/>
  <c r="CM16" i="6"/>
  <c r="CL16" i="6"/>
  <c r="CQ16" i="6"/>
  <c r="U19" i="6"/>
  <c r="G19" i="6" s="1"/>
  <c r="Y19" i="6"/>
  <c r="AI31" i="6"/>
  <c r="AH31" i="6" s="1"/>
  <c r="AM31" i="6"/>
  <c r="CF31" i="6"/>
  <c r="CE31" i="6"/>
  <c r="CJ31" i="6"/>
  <c r="BD36" i="6"/>
  <c r="BC36" i="6" s="1"/>
  <c r="BH36" i="6"/>
  <c r="P5" i="6"/>
  <c r="I5" i="6" s="1"/>
  <c r="AQ4" i="6"/>
  <c r="BB55" i="6"/>
  <c r="BB58" i="6" s="1"/>
  <c r="BD4" i="6"/>
  <c r="B6" i="6"/>
  <c r="R6" i="6"/>
  <c r="V6" i="6"/>
  <c r="BC6" i="6"/>
  <c r="E7" i="6"/>
  <c r="K7" i="6" s="1"/>
  <c r="BJ9" i="6"/>
  <c r="V10" i="6"/>
  <c r="AK11" i="6"/>
  <c r="AJ11" i="6" s="1"/>
  <c r="H11" i="6" s="1"/>
  <c r="BR11" i="6"/>
  <c r="BQ11" i="6" s="1"/>
  <c r="P12" i="6"/>
  <c r="AK12" i="6"/>
  <c r="AJ12" i="6"/>
  <c r="AV12" i="6"/>
  <c r="CE12" i="6"/>
  <c r="AF13" i="6"/>
  <c r="AD14" i="6"/>
  <c r="BC14" i="6"/>
  <c r="T15" i="6"/>
  <c r="CQ18" i="6"/>
  <c r="CM18" i="6"/>
  <c r="CL18" i="6" s="1"/>
  <c r="H25" i="6"/>
  <c r="AP27" i="6"/>
  <c r="AO27" i="6"/>
  <c r="AT27" i="6"/>
  <c r="CQ30" i="6"/>
  <c r="CM30" i="6"/>
  <c r="CL30" i="6" s="1"/>
  <c r="BR31" i="6"/>
  <c r="BQ31" i="6" s="1"/>
  <c r="BV31" i="6"/>
  <c r="AP7" i="6"/>
  <c r="B4" i="6"/>
  <c r="L55" i="6"/>
  <c r="L58" i="6" s="1"/>
  <c r="N4" i="6"/>
  <c r="E4" i="6"/>
  <c r="X4" i="6"/>
  <c r="AH4" i="6"/>
  <c r="BE4" i="6"/>
  <c r="CK55" i="6"/>
  <c r="CK58" i="6" s="1"/>
  <c r="N5" i="6"/>
  <c r="M6" i="6"/>
  <c r="W6" i="6"/>
  <c r="U8" i="6"/>
  <c r="T8" i="6" s="1"/>
  <c r="CF8" i="6"/>
  <c r="CE8" i="6" s="1"/>
  <c r="R9" i="6"/>
  <c r="B9" i="6"/>
  <c r="AD9" i="6"/>
  <c r="AC9" i="6" s="1"/>
  <c r="H9" i="6" s="1"/>
  <c r="B10" i="6"/>
  <c r="M10" i="6"/>
  <c r="BC10" i="6"/>
  <c r="BY10" i="6"/>
  <c r="BX10" i="6" s="1"/>
  <c r="E11" i="6"/>
  <c r="K11" i="6" s="1"/>
  <c r="AB11" i="6"/>
  <c r="AA11" i="6" s="1"/>
  <c r="AW11" i="6"/>
  <c r="AV11" i="6" s="1"/>
  <c r="M13" i="6"/>
  <c r="AP13" i="6"/>
  <c r="AO13" i="6" s="1"/>
  <c r="M14" i="6"/>
  <c r="AI17" i="6"/>
  <c r="D17" i="6" s="1"/>
  <c r="AM17" i="6"/>
  <c r="AB18" i="6"/>
  <c r="AF18" i="6"/>
  <c r="P36" i="6"/>
  <c r="Q37" i="6"/>
  <c r="R37" i="6" s="1"/>
  <c r="O36" i="6"/>
  <c r="J36" i="6"/>
  <c r="K36" i="6" s="1"/>
  <c r="Z55" i="6"/>
  <c r="Z58" i="6" s="1"/>
  <c r="BH4" i="6"/>
  <c r="CA55" i="6"/>
  <c r="CA58" i="6" s="1"/>
  <c r="CM4" i="6"/>
  <c r="AI5" i="6"/>
  <c r="AH5" i="6" s="1"/>
  <c r="E6" i="6"/>
  <c r="K6" i="6" s="1"/>
  <c r="Y6" i="6"/>
  <c r="AV6" i="6"/>
  <c r="BR6" i="6"/>
  <c r="BQ6" i="6" s="1"/>
  <c r="U7" i="6"/>
  <c r="G7" i="6" s="1"/>
  <c r="CF7" i="6"/>
  <c r="CE7" i="6" s="1"/>
  <c r="BC8" i="6"/>
  <c r="BY8" i="6"/>
  <c r="BX8" i="6" s="1"/>
  <c r="N9" i="6"/>
  <c r="BC9" i="6"/>
  <c r="BY9" i="6"/>
  <c r="BX9" i="6" s="1"/>
  <c r="Y10" i="6"/>
  <c r="AI10" i="6"/>
  <c r="AH10" i="6" s="1"/>
  <c r="CL10" i="6"/>
  <c r="AP11" i="6"/>
  <c r="AO11" i="6" s="1"/>
  <c r="BV11" i="6"/>
  <c r="AC12" i="6"/>
  <c r="BJ12" i="6"/>
  <c r="E13" i="6"/>
  <c r="K13" i="6" s="1"/>
  <c r="AA13" i="6"/>
  <c r="AI13" i="6"/>
  <c r="AH13" i="6" s="1"/>
  <c r="BD13" i="6"/>
  <c r="BC13" i="6" s="1"/>
  <c r="CE13" i="6"/>
  <c r="BH14" i="6"/>
  <c r="AV15" i="6"/>
  <c r="BQ15" i="6"/>
  <c r="P16" i="6"/>
  <c r="I16" i="6" s="1"/>
  <c r="J16" i="6"/>
  <c r="AP16" i="6"/>
  <c r="AO16" i="6" s="1"/>
  <c r="AT16" i="6"/>
  <c r="BD16" i="6"/>
  <c r="D16" i="6" s="1"/>
  <c r="H18" i="6"/>
  <c r="BY19" i="6"/>
  <c r="BX19" i="6" s="1"/>
  <c r="CC19" i="6"/>
  <c r="BO22" i="6"/>
  <c r="BK22" i="6"/>
  <c r="BJ22" i="6" s="1"/>
  <c r="BH30" i="6"/>
  <c r="BD30" i="6"/>
  <c r="BC30" i="6"/>
  <c r="BP55" i="6"/>
  <c r="BV58" i="6" s="1"/>
  <c r="BV4" i="6"/>
  <c r="D6" i="6"/>
  <c r="F24" i="6"/>
  <c r="Q4" i="6"/>
  <c r="AM4" i="6"/>
  <c r="BI55" i="6"/>
  <c r="BR4" i="6"/>
  <c r="BQ4" i="6" s="1"/>
  <c r="AJ5" i="6"/>
  <c r="I6" i="6"/>
  <c r="AM6" i="6"/>
  <c r="CQ6" i="6"/>
  <c r="BX7" i="6"/>
  <c r="B8" i="6"/>
  <c r="Y8" i="6"/>
  <c r="AH8" i="6"/>
  <c r="E9" i="6"/>
  <c r="K9" i="6" s="1"/>
  <c r="AT9" i="6"/>
  <c r="G10" i="6"/>
  <c r="AK10" i="6"/>
  <c r="AJ10" i="6" s="1"/>
  <c r="AV10" i="6"/>
  <c r="BR10" i="6"/>
  <c r="BQ10" i="6" s="1"/>
  <c r="U11" i="6"/>
  <c r="CF11" i="6"/>
  <c r="CE11" i="6" s="1"/>
  <c r="AF12" i="6"/>
  <c r="AP12" i="6"/>
  <c r="CJ12" i="6"/>
  <c r="O13" i="6"/>
  <c r="H13" i="6" s="1"/>
  <c r="R16" i="6"/>
  <c r="AF16" i="6"/>
  <c r="CF16" i="6"/>
  <c r="CJ16" i="6"/>
  <c r="I18" i="6"/>
  <c r="B20" i="6"/>
  <c r="U20" i="6"/>
  <c r="T20" i="6" s="1"/>
  <c r="F20" i="6" s="1"/>
  <c r="B22" i="6"/>
  <c r="H23" i="6"/>
  <c r="U27" i="6"/>
  <c r="T27" i="6" s="1"/>
  <c r="B27" i="6"/>
  <c r="Y27" i="6"/>
  <c r="AB32" i="6"/>
  <c r="AA32" i="6" s="1"/>
  <c r="AF32" i="6"/>
  <c r="AC33" i="6"/>
  <c r="I33" i="6"/>
  <c r="BH37" i="6"/>
  <c r="BD37" i="6"/>
  <c r="BC37" i="6" s="1"/>
  <c r="BZ55" i="6"/>
  <c r="BZ58" i="6" s="1"/>
  <c r="F16" i="6"/>
  <c r="R31" i="6"/>
  <c r="B31" i="6"/>
  <c r="N31" i="6"/>
  <c r="M31" i="6" s="1"/>
  <c r="E31" i="6"/>
  <c r="K31" i="6" s="1"/>
  <c r="AB4" i="6"/>
  <c r="AA4" i="6" s="1"/>
  <c r="AN55" i="6"/>
  <c r="AT4" i="6"/>
  <c r="AX4" i="6"/>
  <c r="AX55" i="6" s="1"/>
  <c r="AX58" i="6" s="1"/>
  <c r="BJ4" i="6"/>
  <c r="BS4" i="6"/>
  <c r="BS55" i="6" s="1"/>
  <c r="BS58" i="6" s="1"/>
  <c r="CD55" i="6"/>
  <c r="CD58" i="6" s="1"/>
  <c r="CF4" i="6"/>
  <c r="CE4" i="6" s="1"/>
  <c r="J5" i="6"/>
  <c r="K5" i="6" s="1"/>
  <c r="AB5" i="6"/>
  <c r="AA5" i="6" s="1"/>
  <c r="AK5" i="6"/>
  <c r="AW5" i="6"/>
  <c r="AV5" i="6" s="1"/>
  <c r="CC5" i="6"/>
  <c r="CL5" i="6"/>
  <c r="B7" i="6"/>
  <c r="AT7" i="6"/>
  <c r="BC7" i="6"/>
  <c r="E8" i="6"/>
  <c r="K8" i="6" s="1"/>
  <c r="AI8" i="6"/>
  <c r="AA10" i="6"/>
  <c r="CE10" i="6"/>
  <c r="CQ10" i="6"/>
  <c r="AH11" i="6"/>
  <c r="B12" i="6"/>
  <c r="M12" i="6"/>
  <c r="BC12" i="6"/>
  <c r="BO12" i="6"/>
  <c r="R13" i="6"/>
  <c r="BV13" i="6"/>
  <c r="BV14" i="6"/>
  <c r="B15" i="6"/>
  <c r="Y15" i="6"/>
  <c r="AJ15" i="6"/>
  <c r="AK15" i="6"/>
  <c r="I15" i="6" s="1"/>
  <c r="AH16" i="6"/>
  <c r="BH16" i="6"/>
  <c r="CE16" i="6"/>
  <c r="B18" i="6"/>
  <c r="M19" i="6"/>
  <c r="BA19" i="6"/>
  <c r="AW19" i="6"/>
  <c r="AV19" i="6" s="1"/>
  <c r="BC20" i="6"/>
  <c r="D21" i="6"/>
  <c r="BJ23" i="6"/>
  <c r="BJ28" i="6"/>
  <c r="BA31" i="6"/>
  <c r="AW31" i="6"/>
  <c r="AV31" i="6"/>
  <c r="CM32" i="6"/>
  <c r="CL32" i="6" s="1"/>
  <c r="CQ32" i="6"/>
  <c r="AQ34" i="6"/>
  <c r="H34" i="6" s="1"/>
  <c r="I34" i="6"/>
  <c r="BY22" i="6"/>
  <c r="BX22" i="6"/>
  <c r="M23" i="6"/>
  <c r="G24" i="6"/>
  <c r="I25" i="6"/>
  <c r="AO25" i="6"/>
  <c r="AD26" i="6"/>
  <c r="AC26" i="6" s="1"/>
  <c r="CM26" i="6"/>
  <c r="CL26" i="6"/>
  <c r="BD28" i="6"/>
  <c r="BC28" i="6" s="1"/>
  <c r="BH28" i="6"/>
  <c r="BR29" i="6"/>
  <c r="BQ29" i="6" s="1"/>
  <c r="N30" i="6"/>
  <c r="M30" i="6"/>
  <c r="E30" i="6"/>
  <c r="K30" i="6" s="1"/>
  <c r="R30" i="6"/>
  <c r="CE30" i="6"/>
  <c r="CE32" i="6"/>
  <c r="AB34" i="6"/>
  <c r="AA34" i="6" s="1"/>
  <c r="AM36" i="6"/>
  <c r="AI36" i="6"/>
  <c r="AH36" i="6" s="1"/>
  <c r="AT38" i="6"/>
  <c r="AP38" i="6"/>
  <c r="AO38" i="6" s="1"/>
  <c r="BV39" i="6"/>
  <c r="BR39" i="6"/>
  <c r="BQ39" i="6" s="1"/>
  <c r="M46" i="6"/>
  <c r="P24" i="6"/>
  <c r="I24" i="6" s="1"/>
  <c r="CM24" i="6"/>
  <c r="CL24" i="6" s="1"/>
  <c r="CM25" i="6"/>
  <c r="CL25" i="6" s="1"/>
  <c r="AW27" i="6"/>
  <c r="AV27" i="6" s="1"/>
  <c r="AI29" i="6"/>
  <c r="AH29" i="6" s="1"/>
  <c r="AM29" i="6"/>
  <c r="H30" i="6"/>
  <c r="AW30" i="6"/>
  <c r="AV30" i="6" s="1"/>
  <c r="I31" i="6"/>
  <c r="J17" i="6"/>
  <c r="BR19" i="6"/>
  <c r="BQ19" i="6" s="1"/>
  <c r="R21" i="6"/>
  <c r="B21" i="6"/>
  <c r="BC21" i="6"/>
  <c r="E22" i="6"/>
  <c r="K22" i="6" s="1"/>
  <c r="O22" i="6"/>
  <c r="AI22" i="6"/>
  <c r="AH22" i="6" s="1"/>
  <c r="AB23" i="6"/>
  <c r="AA23" i="6" s="1"/>
  <c r="R24" i="6"/>
  <c r="T25" i="6"/>
  <c r="BY25" i="6"/>
  <c r="BX25" i="6" s="1"/>
  <c r="J26" i="6"/>
  <c r="AF26" i="6"/>
  <c r="N27" i="6"/>
  <c r="M27" i="6" s="1"/>
  <c r="E27" i="6"/>
  <c r="K27" i="6" s="1"/>
  <c r="R27" i="6"/>
  <c r="CF27" i="6"/>
  <c r="CE27" i="6" s="1"/>
  <c r="W28" i="6"/>
  <c r="AI28" i="6"/>
  <c r="AH28" i="6" s="1"/>
  <c r="V29" i="6"/>
  <c r="H29" i="6" s="1"/>
  <c r="B30" i="6"/>
  <c r="AA30" i="6"/>
  <c r="J31" i="6"/>
  <c r="U32" i="6"/>
  <c r="B32" i="6"/>
  <c r="E34" i="6"/>
  <c r="K34" i="6" s="1"/>
  <c r="BY34" i="6"/>
  <c r="BX34" i="6" s="1"/>
  <c r="CC34" i="6"/>
  <c r="BD35" i="6"/>
  <c r="BC35" i="6"/>
  <c r="R36" i="6"/>
  <c r="AK36" i="6"/>
  <c r="AJ36" i="6"/>
  <c r="AL37" i="6"/>
  <c r="AC45" i="6"/>
  <c r="I45" i="6"/>
  <c r="B16" i="6"/>
  <c r="AC16" i="6"/>
  <c r="B17" i="6"/>
  <c r="E18" i="6"/>
  <c r="K18" i="6" s="1"/>
  <c r="P19" i="6"/>
  <c r="I19" i="6" s="1"/>
  <c r="AA19" i="6"/>
  <c r="AM19" i="6"/>
  <c r="CQ19" i="6"/>
  <c r="AB22" i="6"/>
  <c r="AA22" i="6" s="1"/>
  <c r="AW22" i="6"/>
  <c r="AV22" i="6" s="1"/>
  <c r="CC22" i="6"/>
  <c r="I23" i="6"/>
  <c r="BR23" i="6"/>
  <c r="BQ23" i="6" s="1"/>
  <c r="AW24" i="6"/>
  <c r="CQ24" i="6"/>
  <c r="G25" i="6"/>
  <c r="BD25" i="6"/>
  <c r="BC25" i="6" s="1"/>
  <c r="CQ26" i="6"/>
  <c r="B28" i="6"/>
  <c r="CF28" i="6"/>
  <c r="CE28" i="6" s="1"/>
  <c r="B29" i="6"/>
  <c r="N29" i="6"/>
  <c r="M29" i="6" s="1"/>
  <c r="BV29" i="6"/>
  <c r="J32" i="6"/>
  <c r="W32" i="6"/>
  <c r="I32" i="6" s="1"/>
  <c r="AP33" i="6"/>
  <c r="AO33" i="6"/>
  <c r="BY33" i="6"/>
  <c r="BX33" i="6" s="1"/>
  <c r="AF34" i="6"/>
  <c r="BC34" i="6"/>
  <c r="CQ34" i="6"/>
  <c r="CM34" i="6"/>
  <c r="CL34" i="6" s="1"/>
  <c r="BV35" i="6"/>
  <c r="BR35" i="6"/>
  <c r="BQ35" i="6" s="1"/>
  <c r="M36" i="6"/>
  <c r="V37" i="6"/>
  <c r="AB38" i="6"/>
  <c r="G38" i="6" s="1"/>
  <c r="E38" i="6"/>
  <c r="B38" i="6"/>
  <c r="AF38" i="6"/>
  <c r="BD39" i="6"/>
  <c r="BC39" i="6" s="1"/>
  <c r="BH39" i="6"/>
  <c r="Y18" i="6"/>
  <c r="G20" i="6"/>
  <c r="W20" i="6"/>
  <c r="I20" i="6" s="1"/>
  <c r="V20" i="6"/>
  <c r="AH20" i="6"/>
  <c r="BY20" i="6"/>
  <c r="BX20" i="6"/>
  <c r="AH21" i="6"/>
  <c r="F21" i="6" s="1"/>
  <c r="BQ21" i="6"/>
  <c r="CL21" i="6"/>
  <c r="CF23" i="6"/>
  <c r="CE23" i="6"/>
  <c r="J24" i="6"/>
  <c r="K24" i="6" s="1"/>
  <c r="T24" i="6"/>
  <c r="B25" i="6"/>
  <c r="M25" i="6"/>
  <c r="AT25" i="6"/>
  <c r="CQ25" i="6"/>
  <c r="M26" i="6"/>
  <c r="AV26" i="6"/>
  <c r="BA27" i="6"/>
  <c r="BX27" i="6"/>
  <c r="BK29" i="6"/>
  <c r="BJ29" i="6"/>
  <c r="BA30" i="6"/>
  <c r="BY30" i="6"/>
  <c r="BX30" i="6"/>
  <c r="BD31" i="6"/>
  <c r="BC31" i="6" s="1"/>
  <c r="Y32" i="6"/>
  <c r="AK32" i="6"/>
  <c r="AJ32" i="6"/>
  <c r="AW32" i="6"/>
  <c r="AV32" i="6" s="1"/>
  <c r="BK32" i="6"/>
  <c r="BJ32" i="6" s="1"/>
  <c r="BO32" i="6"/>
  <c r="BY32" i="6"/>
  <c r="BX32" i="6"/>
  <c r="BH33" i="6"/>
  <c r="BD33" i="6"/>
  <c r="BC33" i="6" s="1"/>
  <c r="U34" i="6"/>
  <c r="T34" i="6"/>
  <c r="BD34" i="6"/>
  <c r="B35" i="6"/>
  <c r="R35" i="6"/>
  <c r="AH35" i="6"/>
  <c r="CQ35" i="6"/>
  <c r="N36" i="6"/>
  <c r="BK36" i="6"/>
  <c r="BJ36" i="6" s="1"/>
  <c r="BY36" i="6"/>
  <c r="BX36" i="6" s="1"/>
  <c r="CC36" i="6"/>
  <c r="J38" i="6"/>
  <c r="R38" i="6"/>
  <c r="P38" i="6"/>
  <c r="BL55" i="6"/>
  <c r="BL58" i="6" s="1"/>
  <c r="CN55" i="6"/>
  <c r="CN58" i="6" s="1"/>
  <c r="E16" i="6"/>
  <c r="K16" i="6" s="1"/>
  <c r="V16" i="6"/>
  <c r="E17" i="6"/>
  <c r="K17" i="6" s="1"/>
  <c r="BV17" i="6"/>
  <c r="AP19" i="6"/>
  <c r="AO19" i="6" s="1"/>
  <c r="AJ20" i="6"/>
  <c r="I21" i="6"/>
  <c r="AM21" i="6"/>
  <c r="CQ21" i="6"/>
  <c r="U22" i="6"/>
  <c r="BA22" i="6"/>
  <c r="AP23" i="6"/>
  <c r="AO23" i="6" s="1"/>
  <c r="CF25" i="6"/>
  <c r="CE25" i="6" s="1"/>
  <c r="P26" i="6"/>
  <c r="I26" i="6" s="1"/>
  <c r="O26" i="6"/>
  <c r="BK26" i="6"/>
  <c r="BJ26" i="6" s="1"/>
  <c r="BO26" i="6"/>
  <c r="CJ28" i="6"/>
  <c r="R29" i="6"/>
  <c r="BY29" i="6"/>
  <c r="BX29" i="6" s="1"/>
  <c r="AJ31" i="6"/>
  <c r="H31" i="6" s="1"/>
  <c r="O32" i="6"/>
  <c r="AT32" i="6"/>
  <c r="AP32" i="6"/>
  <c r="U33" i="6"/>
  <c r="T33" i="6" s="1"/>
  <c r="AT33" i="6"/>
  <c r="AI34" i="6"/>
  <c r="AH34" i="6" s="1"/>
  <c r="N35" i="6"/>
  <c r="G37" i="6"/>
  <c r="AU55" i="6"/>
  <c r="BM55" i="6"/>
  <c r="BM58" i="6" s="1"/>
  <c r="BW55" i="6"/>
  <c r="CC58" i="6" s="1"/>
  <c r="CO55" i="6"/>
  <c r="CO58" i="6" s="1"/>
  <c r="E10" i="6"/>
  <c r="K10" i="6" s="1"/>
  <c r="AW13" i="6"/>
  <c r="AV13" i="6" s="1"/>
  <c r="I14" i="6"/>
  <c r="AH14" i="6"/>
  <c r="CL15" i="6"/>
  <c r="O17" i="6"/>
  <c r="AT17" i="6"/>
  <c r="BX18" i="6"/>
  <c r="R19" i="6"/>
  <c r="B19" i="6"/>
  <c r="BC19" i="6"/>
  <c r="BO19" i="6"/>
  <c r="E20" i="6"/>
  <c r="K20" i="6" s="1"/>
  <c r="O20" i="6"/>
  <c r="H20" i="6" s="1"/>
  <c r="AA20" i="6"/>
  <c r="AW20" i="6"/>
  <c r="CC20" i="6"/>
  <c r="CL20" i="6"/>
  <c r="W22" i="6"/>
  <c r="I22" i="6" s="1"/>
  <c r="B23" i="6"/>
  <c r="R23" i="6"/>
  <c r="BD23" i="6"/>
  <c r="BC23" i="6" s="1"/>
  <c r="CJ23" i="6"/>
  <c r="BX24" i="6"/>
  <c r="E25" i="6"/>
  <c r="K25" i="6" s="1"/>
  <c r="E26" i="6"/>
  <c r="K26" i="6" s="1"/>
  <c r="AO26" i="6"/>
  <c r="CC26" i="6"/>
  <c r="BY26" i="6"/>
  <c r="BX26" i="6" s="1"/>
  <c r="J28" i="6"/>
  <c r="K28" i="6" s="1"/>
  <c r="T28" i="6"/>
  <c r="AO28" i="6"/>
  <c r="CM28" i="6"/>
  <c r="CL28" i="6" s="1"/>
  <c r="BO29" i="6"/>
  <c r="V30" i="6"/>
  <c r="AH30" i="6"/>
  <c r="CC30" i="6"/>
  <c r="AD32" i="6"/>
  <c r="AC32" i="6" s="1"/>
  <c r="AO32" i="6"/>
  <c r="CC32" i="6"/>
  <c r="N33" i="6"/>
  <c r="E33" i="6"/>
  <c r="K33" i="6" s="1"/>
  <c r="AV33" i="6"/>
  <c r="M34" i="6"/>
  <c r="Y34" i="6"/>
  <c r="H35" i="6"/>
  <c r="AB35" i="6"/>
  <c r="AA35" i="6" s="1"/>
  <c r="AM39" i="6"/>
  <c r="AI39" i="6"/>
  <c r="AH39" i="6" s="1"/>
  <c r="AK42" i="6"/>
  <c r="AJ42" i="6"/>
  <c r="J42" i="6"/>
  <c r="BK38" i="6"/>
  <c r="BD41" i="6"/>
  <c r="BC41" i="6" s="1"/>
  <c r="BH41" i="6"/>
  <c r="BC42" i="6"/>
  <c r="AB43" i="6"/>
  <c r="AA43" i="6"/>
  <c r="AF43" i="6"/>
  <c r="B37" i="6"/>
  <c r="AP37" i="6"/>
  <c r="D37" i="6" s="1"/>
  <c r="BY37" i="6"/>
  <c r="BX37" i="6" s="1"/>
  <c r="BO38" i="6"/>
  <c r="BY38" i="6"/>
  <c r="BX38" i="6" s="1"/>
  <c r="CM38" i="6"/>
  <c r="CL38" i="6" s="1"/>
  <c r="W39" i="6"/>
  <c r="I39" i="6" s="1"/>
  <c r="AT41" i="6"/>
  <c r="AP41" i="6"/>
  <c r="AO41" i="6"/>
  <c r="BJ41" i="6"/>
  <c r="BY42" i="6"/>
  <c r="BX42" i="6" s="1"/>
  <c r="CC42" i="6"/>
  <c r="H45" i="6"/>
  <c r="AW46" i="6"/>
  <c r="AV46" i="6" s="1"/>
  <c r="BA46" i="6"/>
  <c r="G48" i="6"/>
  <c r="AK49" i="6"/>
  <c r="AJ49" i="6" s="1"/>
  <c r="AM49" i="6"/>
  <c r="AC38" i="6"/>
  <c r="CF39" i="6"/>
  <c r="CE39" i="6"/>
  <c r="AW40" i="6"/>
  <c r="AV40" i="6" s="1"/>
  <c r="BY40" i="6"/>
  <c r="BX40" i="6"/>
  <c r="B41" i="6"/>
  <c r="R41" i="6"/>
  <c r="G43" i="6"/>
  <c r="CJ46" i="6"/>
  <c r="CF46" i="6"/>
  <c r="CE46" i="6" s="1"/>
  <c r="AI51" i="6"/>
  <c r="AH51" i="6"/>
  <c r="B51" i="6"/>
  <c r="AM51" i="6"/>
  <c r="CQ38" i="6"/>
  <c r="N39" i="6"/>
  <c r="E39" i="6"/>
  <c r="K39" i="6" s="1"/>
  <c r="N40" i="6"/>
  <c r="BK40" i="6"/>
  <c r="BJ40" i="6" s="1"/>
  <c r="CM40" i="6"/>
  <c r="CL40" i="6" s="1"/>
  <c r="AB41" i="6"/>
  <c r="AA41" i="6" s="1"/>
  <c r="AF41" i="6"/>
  <c r="CF41" i="6"/>
  <c r="CE41" i="6"/>
  <c r="CJ41" i="6"/>
  <c r="CE42" i="6"/>
  <c r="J43" i="6"/>
  <c r="P43" i="6"/>
  <c r="I43" i="6" s="1"/>
  <c r="O43" i="6"/>
  <c r="H43" i="6" s="1"/>
  <c r="E37" i="6"/>
  <c r="AT37" i="6"/>
  <c r="BR37" i="6"/>
  <c r="BQ37" i="6"/>
  <c r="BR38" i="6"/>
  <c r="BQ38" i="6" s="1"/>
  <c r="B39" i="6"/>
  <c r="AA39" i="6"/>
  <c r="CJ39" i="6"/>
  <c r="I40" i="6"/>
  <c r="BA40" i="6"/>
  <c r="CC40" i="6"/>
  <c r="N41" i="6"/>
  <c r="I42" i="6"/>
  <c r="AW44" i="6"/>
  <c r="AV44" i="6"/>
  <c r="BA44" i="6"/>
  <c r="H47" i="6"/>
  <c r="Y49" i="6"/>
  <c r="W49" i="6"/>
  <c r="V49" i="6"/>
  <c r="AI26" i="6"/>
  <c r="G26" i="6" s="1"/>
  <c r="AH26" i="6"/>
  <c r="BR27" i="6"/>
  <c r="BQ27" i="6" s="1"/>
  <c r="CM29" i="6"/>
  <c r="CL29" i="6" s="1"/>
  <c r="Y31" i="6"/>
  <c r="AW34" i="6"/>
  <c r="AV34" i="6"/>
  <c r="I35" i="6"/>
  <c r="M38" i="6"/>
  <c r="AH38" i="6"/>
  <c r="O39" i="6"/>
  <c r="BK39" i="6"/>
  <c r="BJ39" i="6" s="1"/>
  <c r="E40" i="6"/>
  <c r="K40" i="6" s="1"/>
  <c r="AB40" i="6"/>
  <c r="AA40" i="6" s="1"/>
  <c r="BH40" i="6"/>
  <c r="CJ40" i="6"/>
  <c r="I41" i="6"/>
  <c r="O41" i="6"/>
  <c r="H41" i="6" s="1"/>
  <c r="AM42" i="6"/>
  <c r="AW42" i="6"/>
  <c r="AV42" i="6"/>
  <c r="BA42" i="6"/>
  <c r="B42" i="6"/>
  <c r="BO47" i="6"/>
  <c r="BK47" i="6"/>
  <c r="BJ47" i="6"/>
  <c r="BJ24" i="6"/>
  <c r="AA25" i="6"/>
  <c r="BR25" i="6"/>
  <c r="BQ25" i="6" s="1"/>
  <c r="AA27" i="6"/>
  <c r="AB28" i="6"/>
  <c r="BQ28" i="6"/>
  <c r="AV29" i="6"/>
  <c r="T31" i="6"/>
  <c r="M32" i="6"/>
  <c r="BC32" i="6"/>
  <c r="O33" i="6"/>
  <c r="H33" i="6" s="1"/>
  <c r="BR33" i="6"/>
  <c r="BQ33" i="6" s="1"/>
  <c r="CF35" i="6"/>
  <c r="CE35" i="6"/>
  <c r="AB36" i="6"/>
  <c r="AA36" i="6" s="1"/>
  <c r="AW36" i="6"/>
  <c r="AV36" i="6" s="1"/>
  <c r="CL36" i="6"/>
  <c r="Y37" i="6"/>
  <c r="AV37" i="6"/>
  <c r="BV37" i="6"/>
  <c r="CF37" i="6"/>
  <c r="CE37" i="6" s="1"/>
  <c r="AK38" i="6"/>
  <c r="AJ38" i="6" s="1"/>
  <c r="AV38" i="6"/>
  <c r="R39" i="6"/>
  <c r="CL39" i="6"/>
  <c r="U40" i="6"/>
  <c r="T40" i="6" s="1"/>
  <c r="Y40" i="6"/>
  <c r="BD40" i="6"/>
  <c r="BC40" i="6" s="1"/>
  <c r="CF40" i="6"/>
  <c r="CE40" i="6" s="1"/>
  <c r="E41" i="6"/>
  <c r="K41" i="6" s="1"/>
  <c r="I44" i="6"/>
  <c r="V44" i="6"/>
  <c r="BD45" i="6"/>
  <c r="BC45" i="6" s="1"/>
  <c r="BH45" i="6"/>
  <c r="AF46" i="6"/>
  <c r="AB46" i="6"/>
  <c r="AA46" i="6" s="1"/>
  <c r="M49" i="6"/>
  <c r="G49" i="6"/>
  <c r="V50" i="6"/>
  <c r="AM41" i="6"/>
  <c r="BO41" i="6"/>
  <c r="CQ41" i="6"/>
  <c r="Y42" i="6"/>
  <c r="BH42" i="6"/>
  <c r="CJ42" i="6"/>
  <c r="AC43" i="6"/>
  <c r="B45" i="6"/>
  <c r="AB47" i="6"/>
  <c r="G47" i="6" s="1"/>
  <c r="AK48" i="6"/>
  <c r="CL49" i="6"/>
  <c r="BK51" i="6"/>
  <c r="BJ51" i="6" s="1"/>
  <c r="CJ54" i="6"/>
  <c r="CF54" i="6"/>
  <c r="CE54" i="6" s="1"/>
  <c r="E46" i="6"/>
  <c r="K46" i="6" s="1"/>
  <c r="U46" i="6"/>
  <c r="BY48" i="6"/>
  <c r="BX48" i="6"/>
  <c r="AP49" i="6"/>
  <c r="AO49" i="6"/>
  <c r="AI50" i="6"/>
  <c r="AM50" i="6"/>
  <c r="H51" i="6"/>
  <c r="P52" i="6"/>
  <c r="J52" i="6"/>
  <c r="K52" i="6" s="1"/>
  <c r="CC53" i="6"/>
  <c r="BY53" i="6"/>
  <c r="BX53" i="6" s="1"/>
  <c r="B57" i="6"/>
  <c r="R57" i="6"/>
  <c r="N57" i="6"/>
  <c r="E57" i="6"/>
  <c r="K57" i="6" s="1"/>
  <c r="CL42" i="6"/>
  <c r="E43" i="6"/>
  <c r="M43" i="6"/>
  <c r="T46" i="6"/>
  <c r="BX46" i="6"/>
  <c r="I47" i="6"/>
  <c r="BD47" i="6"/>
  <c r="BC47" i="6" s="1"/>
  <c r="AH50" i="6"/>
  <c r="AO51" i="6"/>
  <c r="BC52" i="6"/>
  <c r="CJ52" i="6"/>
  <c r="Y53" i="6"/>
  <c r="I57" i="6"/>
  <c r="BR41" i="6"/>
  <c r="BQ41" i="6" s="1"/>
  <c r="T42" i="6"/>
  <c r="AB42" i="6"/>
  <c r="BK42" i="6"/>
  <c r="BJ42" i="6" s="1"/>
  <c r="CM42" i="6"/>
  <c r="V43" i="6"/>
  <c r="U44" i="6"/>
  <c r="T44" i="6" s="1"/>
  <c r="BY44" i="6"/>
  <c r="BX44" i="6" s="1"/>
  <c r="E45" i="6"/>
  <c r="K45" i="6" s="1"/>
  <c r="AB45" i="6"/>
  <c r="AA45" i="6" s="1"/>
  <c r="CF45" i="6"/>
  <c r="CE45" i="6" s="1"/>
  <c r="BD46" i="6"/>
  <c r="BC46" i="6" s="1"/>
  <c r="BQ47" i="6"/>
  <c r="CC48" i="6"/>
  <c r="CM48" i="6"/>
  <c r="CL48" i="6" s="1"/>
  <c r="R49" i="6"/>
  <c r="B49" i="6"/>
  <c r="AT49" i="6"/>
  <c r="BD49" i="6"/>
  <c r="BC49" i="6" s="1"/>
  <c r="BR49" i="6"/>
  <c r="BQ49" i="6" s="1"/>
  <c r="M50" i="6"/>
  <c r="BJ50" i="6"/>
  <c r="U51" i="6"/>
  <c r="T51" i="6" s="1"/>
  <c r="Y51" i="6"/>
  <c r="BO51" i="6"/>
  <c r="CF52" i="6"/>
  <c r="CE52" i="6" s="1"/>
  <c r="U53" i="6"/>
  <c r="T53" i="6" s="1"/>
  <c r="AI53" i="6"/>
  <c r="AH53" i="6" s="1"/>
  <c r="AM53" i="6"/>
  <c r="AW53" i="6"/>
  <c r="AV53" i="6"/>
  <c r="BA53" i="6"/>
  <c r="AF54" i="6"/>
  <c r="AB54" i="6"/>
  <c r="E54" i="6"/>
  <c r="K54" i="6" s="1"/>
  <c r="AA54" i="6"/>
  <c r="BE54" i="6"/>
  <c r="H54" i="6" s="1"/>
  <c r="I54" i="6"/>
  <c r="AC56" i="6"/>
  <c r="H56" i="6" s="1"/>
  <c r="E42" i="6"/>
  <c r="K42" i="6" s="1"/>
  <c r="Y43" i="6"/>
  <c r="AP43" i="6"/>
  <c r="AO43" i="6" s="1"/>
  <c r="BJ43" i="6"/>
  <c r="CE43" i="6"/>
  <c r="B44" i="6"/>
  <c r="B46" i="6"/>
  <c r="Y46" i="6"/>
  <c r="AI46" i="6"/>
  <c r="AH46" i="6" s="1"/>
  <c r="BQ46" i="6"/>
  <c r="CC46" i="6"/>
  <c r="CM46" i="6"/>
  <c r="CL46" i="6" s="1"/>
  <c r="AH47" i="6"/>
  <c r="BH47" i="6"/>
  <c r="BR47" i="6"/>
  <c r="CF47" i="6"/>
  <c r="CE47" i="6"/>
  <c r="B48" i="6"/>
  <c r="M48" i="6"/>
  <c r="BD48" i="6"/>
  <c r="BC48" i="6" s="1"/>
  <c r="CE49" i="6"/>
  <c r="I51" i="6"/>
  <c r="AT51" i="6"/>
  <c r="AM52" i="6"/>
  <c r="AI52" i="6"/>
  <c r="AH52" i="6" s="1"/>
  <c r="R53" i="6"/>
  <c r="B53" i="6"/>
  <c r="E53" i="6"/>
  <c r="K53" i="6" s="1"/>
  <c r="CJ58" i="6"/>
  <c r="CI59" i="6"/>
  <c r="BV57" i="6"/>
  <c r="BR57" i="6"/>
  <c r="BQ57" i="6"/>
  <c r="AC39" i="6"/>
  <c r="O40" i="6"/>
  <c r="H40" i="6" s="1"/>
  <c r="O42" i="6"/>
  <c r="H42" i="6" s="1"/>
  <c r="R43" i="6"/>
  <c r="CJ43" i="6"/>
  <c r="N44" i="6"/>
  <c r="BR44" i="6"/>
  <c r="BQ44" i="6" s="1"/>
  <c r="U45" i="6"/>
  <c r="BY45" i="6"/>
  <c r="BX45" i="6" s="1"/>
  <c r="B47" i="6"/>
  <c r="R47" i="6"/>
  <c r="CJ47" i="6"/>
  <c r="I48" i="6"/>
  <c r="O48" i="6"/>
  <c r="H48" i="6" s="1"/>
  <c r="CF48" i="6"/>
  <c r="CE48" i="6" s="1"/>
  <c r="AW49" i="6"/>
  <c r="AV49" i="6" s="1"/>
  <c r="AB50" i="6"/>
  <c r="BR51" i="6"/>
  <c r="BQ51" i="6" s="1"/>
  <c r="R52" i="6"/>
  <c r="AK52" i="6"/>
  <c r="AJ52" i="6"/>
  <c r="N53" i="6"/>
  <c r="BH55" i="6"/>
  <c r="BG58" i="6"/>
  <c r="CP59" i="6"/>
  <c r="CQ58" i="6"/>
  <c r="E32" i="6"/>
  <c r="B43" i="6"/>
  <c r="BC43" i="6"/>
  <c r="E44" i="6"/>
  <c r="K44" i="6" s="1"/>
  <c r="H44" i="6"/>
  <c r="AM44" i="6"/>
  <c r="CQ44" i="6"/>
  <c r="AT45" i="6"/>
  <c r="M47" i="6"/>
  <c r="BX47" i="6"/>
  <c r="E48" i="6"/>
  <c r="K48" i="6" s="1"/>
  <c r="AA48" i="6"/>
  <c r="AJ48" i="6"/>
  <c r="AW48" i="6"/>
  <c r="AV48" i="6" s="1"/>
  <c r="E49" i="6"/>
  <c r="BX49" i="6"/>
  <c r="G50" i="6"/>
  <c r="AD50" i="6"/>
  <c r="I50" i="6" s="1"/>
  <c r="BC50" i="6"/>
  <c r="BO50" i="6"/>
  <c r="M51" i="6"/>
  <c r="E51" i="6"/>
  <c r="K51" i="6" s="1"/>
  <c r="M52" i="6"/>
  <c r="BY52" i="6"/>
  <c r="D52" i="6" s="1"/>
  <c r="CC52" i="6"/>
  <c r="BH54" i="6"/>
  <c r="AO56" i="6"/>
  <c r="AT57" i="6"/>
  <c r="BC53" i="6"/>
  <c r="BA55" i="6"/>
  <c r="CQ55" i="6"/>
  <c r="AV57" i="6"/>
  <c r="B56" i="6"/>
  <c r="O57" i="6"/>
  <c r="H57" i="6" s="1"/>
  <c r="BQ53" i="6"/>
  <c r="BN58" i="6"/>
  <c r="CL50" i="6"/>
  <c r="BR53" i="6"/>
  <c r="U54" i="6"/>
  <c r="BC54" i="6"/>
  <c r="BY54" i="6"/>
  <c r="BX54" i="6" s="1"/>
  <c r="CJ55" i="6"/>
  <c r="CC56" i="6"/>
  <c r="AO57" i="6"/>
  <c r="BK57" i="6"/>
  <c r="BJ57" i="6" s="1"/>
  <c r="AH49" i="6"/>
  <c r="T50" i="6"/>
  <c r="BQ50" i="6"/>
  <c r="CM50" i="6"/>
  <c r="AA52" i="6"/>
  <c r="I53" i="6"/>
  <c r="CQ53" i="6"/>
  <c r="AT54" i="6"/>
  <c r="CL54" i="6"/>
  <c r="E56" i="6"/>
  <c r="K56" i="6" s="1"/>
  <c r="R56" i="6"/>
  <c r="AB56" i="6"/>
  <c r="G56" i="6" s="1"/>
  <c r="AF57" i="6"/>
  <c r="BX57" i="6"/>
  <c r="CJ57" i="6"/>
  <c r="AT58" i="6"/>
  <c r="E50" i="6"/>
  <c r="K50" i="6" s="1"/>
  <c r="AW50" i="6"/>
  <c r="AV50" i="6" s="1"/>
  <c r="AB52" i="6"/>
  <c r="AW52" i="6"/>
  <c r="AV52" i="6"/>
  <c r="CL52" i="6"/>
  <c r="B54" i="6"/>
  <c r="AV56" i="6"/>
  <c r="CE56" i="6"/>
  <c r="AF87" i="6"/>
  <c r="AE49" i="6" s="1"/>
  <c r="J49" i="6" s="1"/>
  <c r="Z55" i="5"/>
  <c r="Z58" i="5" s="1"/>
  <c r="AB4" i="5"/>
  <c r="AA4" i="5" s="1"/>
  <c r="BI55" i="5"/>
  <c r="BK4" i="5"/>
  <c r="BJ4" i="5" s="1"/>
  <c r="BO4" i="5"/>
  <c r="G5" i="5"/>
  <c r="D5" i="5"/>
  <c r="H11" i="5"/>
  <c r="I12" i="5"/>
  <c r="K6" i="5"/>
  <c r="G12" i="5"/>
  <c r="O4" i="5"/>
  <c r="AY55" i="5"/>
  <c r="AY58" i="5" s="1"/>
  <c r="AX4" i="5"/>
  <c r="AX55" i="5" s="1"/>
  <c r="AX58" i="5" s="1"/>
  <c r="R4" i="5"/>
  <c r="G9" i="5"/>
  <c r="M9" i="5"/>
  <c r="D9" i="5"/>
  <c r="D11" i="5"/>
  <c r="AN55" i="5"/>
  <c r="AT4" i="5"/>
  <c r="G6" i="5"/>
  <c r="AH8" i="5"/>
  <c r="G8" i="5"/>
  <c r="D8" i="5"/>
  <c r="I9" i="5"/>
  <c r="X55" i="5"/>
  <c r="W4" i="5"/>
  <c r="AP4" i="5"/>
  <c r="K15" i="5"/>
  <c r="D15" i="5"/>
  <c r="Y4" i="5"/>
  <c r="I6" i="5"/>
  <c r="I14" i="5"/>
  <c r="AL4" i="5"/>
  <c r="J4" i="5" s="1"/>
  <c r="AU55" i="5"/>
  <c r="AU58" i="5" s="1"/>
  <c r="BM55" i="5"/>
  <c r="BM58" i="5" s="1"/>
  <c r="BW55" i="5"/>
  <c r="CO55" i="5"/>
  <c r="CO58" i="5" s="1"/>
  <c r="P5" i="5"/>
  <c r="I5" i="5" s="1"/>
  <c r="B6" i="5"/>
  <c r="J6" i="5"/>
  <c r="AK6" i="5"/>
  <c r="AJ6" i="5" s="1"/>
  <c r="H6" i="5" s="1"/>
  <c r="AT6" i="5"/>
  <c r="BV6" i="5"/>
  <c r="O7" i="5"/>
  <c r="H7" i="5" s="1"/>
  <c r="BH7" i="5"/>
  <c r="CJ7" i="5"/>
  <c r="AM8" i="5"/>
  <c r="BO8" i="5"/>
  <c r="CQ8" i="5"/>
  <c r="G11" i="5"/>
  <c r="W13" i="5"/>
  <c r="V13" i="5" s="1"/>
  <c r="AF13" i="5"/>
  <c r="CM13" i="5"/>
  <c r="D13" i="5" s="1"/>
  <c r="CL13" i="5"/>
  <c r="B15" i="5"/>
  <c r="T15" i="5"/>
  <c r="AC15" i="5"/>
  <c r="R16" i="5"/>
  <c r="B16" i="5"/>
  <c r="AD16" i="5"/>
  <c r="AC16" i="5" s="1"/>
  <c r="B17" i="5"/>
  <c r="M17" i="5"/>
  <c r="BX17" i="5"/>
  <c r="BR19" i="5"/>
  <c r="BQ19" i="5"/>
  <c r="V21" i="5"/>
  <c r="H21" i="5" s="1"/>
  <c r="N22" i="5"/>
  <c r="E22" i="5"/>
  <c r="H23" i="5"/>
  <c r="CM23" i="5"/>
  <c r="CL23" i="5" s="1"/>
  <c r="J25" i="5"/>
  <c r="R27" i="5"/>
  <c r="H35" i="5"/>
  <c r="BE4" i="5"/>
  <c r="BE55" i="5" s="1"/>
  <c r="BE58" i="5" s="1"/>
  <c r="CG55" i="5"/>
  <c r="CG58" i="5" s="1"/>
  <c r="CQ4" i="5"/>
  <c r="Y5" i="5"/>
  <c r="BH5" i="5"/>
  <c r="CJ5" i="5"/>
  <c r="Y7" i="5"/>
  <c r="B9" i="5"/>
  <c r="J9" i="5"/>
  <c r="K9" i="5" s="1"/>
  <c r="R9" i="5"/>
  <c r="BA9" i="5"/>
  <c r="CC9" i="5"/>
  <c r="E10" i="5"/>
  <c r="K10" i="5" s="1"/>
  <c r="AM10" i="5"/>
  <c r="BH10" i="5"/>
  <c r="BV11" i="5"/>
  <c r="R12" i="5"/>
  <c r="AJ12" i="5"/>
  <c r="BO12" i="5"/>
  <c r="CC13" i="5"/>
  <c r="AD14" i="5"/>
  <c r="AC14" i="5"/>
  <c r="BV14" i="5"/>
  <c r="CQ15" i="5"/>
  <c r="D17" i="5"/>
  <c r="H18" i="5"/>
  <c r="G19" i="5"/>
  <c r="B21" i="5"/>
  <c r="R21" i="5"/>
  <c r="AI21" i="5"/>
  <c r="P22" i="5"/>
  <c r="I22" i="5" s="1"/>
  <c r="N24" i="5"/>
  <c r="M24" i="5"/>
  <c r="E24" i="5"/>
  <c r="K24" i="5" s="1"/>
  <c r="BY24" i="5"/>
  <c r="BX24" i="5" s="1"/>
  <c r="CM25" i="5"/>
  <c r="CL25" i="5" s="1"/>
  <c r="CQ25" i="5"/>
  <c r="W26" i="5"/>
  <c r="V26" i="5" s="1"/>
  <c r="J26" i="5"/>
  <c r="Y27" i="5"/>
  <c r="U27" i="5"/>
  <c r="T27" i="5" s="1"/>
  <c r="M29" i="5"/>
  <c r="B5" i="5"/>
  <c r="J5" i="5"/>
  <c r="R5" i="5"/>
  <c r="AH5" i="5"/>
  <c r="D6" i="5"/>
  <c r="AM6" i="5"/>
  <c r="AV6" i="5"/>
  <c r="BX6" i="5"/>
  <c r="CL7" i="5"/>
  <c r="E8" i="5"/>
  <c r="K8" i="5" s="1"/>
  <c r="M8" i="5"/>
  <c r="V8" i="5"/>
  <c r="H8" i="5" s="1"/>
  <c r="AO8" i="5"/>
  <c r="BQ8" i="5"/>
  <c r="AA9" i="5"/>
  <c r="AJ9" i="5"/>
  <c r="BJ10" i="5"/>
  <c r="CE10" i="5"/>
  <c r="BC11" i="5"/>
  <c r="J12" i="5"/>
  <c r="AC12" i="5"/>
  <c r="AK12" i="5"/>
  <c r="BQ12" i="5"/>
  <c r="O13" i="5"/>
  <c r="Y13" i="5"/>
  <c r="AH13" i="5"/>
  <c r="BJ13" i="5"/>
  <c r="T14" i="5"/>
  <c r="AF14" i="5"/>
  <c r="BX14" i="5"/>
  <c r="AO15" i="5"/>
  <c r="W16" i="5"/>
  <c r="I16" i="5" s="1"/>
  <c r="AF16" i="5"/>
  <c r="BC16" i="5"/>
  <c r="O17" i="5"/>
  <c r="BC17" i="5"/>
  <c r="CL17" i="5"/>
  <c r="I18" i="5"/>
  <c r="B19" i="5"/>
  <c r="M19" i="5"/>
  <c r="AJ19" i="5"/>
  <c r="O20" i="5"/>
  <c r="H20" i="5" s="1"/>
  <c r="M21" i="5"/>
  <c r="B22" i="5"/>
  <c r="R22" i="5"/>
  <c r="BQ23" i="5"/>
  <c r="O24" i="5"/>
  <c r="H24" i="5" s="1"/>
  <c r="P24" i="5"/>
  <c r="I24" i="5" s="1"/>
  <c r="AW25" i="5"/>
  <c r="AV25" i="5" s="1"/>
  <c r="AJ26" i="5"/>
  <c r="CF26" i="5"/>
  <c r="CE26" i="5" s="1"/>
  <c r="CJ26" i="5"/>
  <c r="H29" i="5"/>
  <c r="I38" i="5"/>
  <c r="BQ4" i="5"/>
  <c r="BZ4" i="5"/>
  <c r="BZ55" i="5" s="1"/>
  <c r="BZ58" i="5" s="1"/>
  <c r="BK7" i="5"/>
  <c r="BJ7" i="5" s="1"/>
  <c r="CM7" i="5"/>
  <c r="O10" i="5"/>
  <c r="W10" i="5"/>
  <c r="I10" i="5" s="1"/>
  <c r="J11" i="5"/>
  <c r="T11" i="5"/>
  <c r="AC11" i="5"/>
  <c r="CM12" i="5"/>
  <c r="CL12" i="5" s="1"/>
  <c r="AI16" i="5"/>
  <c r="AH16" i="5" s="1"/>
  <c r="H19" i="5"/>
  <c r="BD20" i="5"/>
  <c r="BC20" i="5" s="1"/>
  <c r="BH20" i="5"/>
  <c r="BD24" i="5"/>
  <c r="BH24" i="5"/>
  <c r="I26" i="5"/>
  <c r="AP26" i="5"/>
  <c r="AT26" i="5"/>
  <c r="T5" i="5"/>
  <c r="AO6" i="5"/>
  <c r="BQ6" i="5"/>
  <c r="AA13" i="5"/>
  <c r="B14" i="5"/>
  <c r="N14" i="5"/>
  <c r="E14" i="5"/>
  <c r="K14" i="5" s="1"/>
  <c r="V14" i="5"/>
  <c r="BC14" i="5"/>
  <c r="I15" i="5"/>
  <c r="BC15" i="5"/>
  <c r="BX15" i="5"/>
  <c r="CF20" i="5"/>
  <c r="CE20" i="5" s="1"/>
  <c r="CJ20" i="5"/>
  <c r="BK21" i="5"/>
  <c r="BJ21" i="5" s="1"/>
  <c r="T22" i="5"/>
  <c r="AI23" i="5"/>
  <c r="BC24" i="5"/>
  <c r="V25" i="5"/>
  <c r="BA25" i="5"/>
  <c r="AO26" i="5"/>
  <c r="E27" i="5"/>
  <c r="K27" i="5" s="1"/>
  <c r="N27" i="5"/>
  <c r="M27" i="5" s="1"/>
  <c r="BD27" i="5"/>
  <c r="BC27" i="5" s="1"/>
  <c r="BH27" i="5"/>
  <c r="S55" i="5"/>
  <c r="S58" i="5" s="1"/>
  <c r="AI4" i="5"/>
  <c r="AQ55" i="5"/>
  <c r="AQ58" i="5" s="1"/>
  <c r="BA4" i="5"/>
  <c r="BS55" i="5"/>
  <c r="BS58" i="5" s="1"/>
  <c r="CC4" i="5"/>
  <c r="E5" i="5"/>
  <c r="M5" i="5"/>
  <c r="BC5" i="5"/>
  <c r="CE5" i="5"/>
  <c r="AH6" i="5"/>
  <c r="U7" i="5"/>
  <c r="T7" i="5" s="1"/>
  <c r="V9" i="5"/>
  <c r="AV9" i="5"/>
  <c r="BX9" i="5"/>
  <c r="Y10" i="5"/>
  <c r="AH10" i="5"/>
  <c r="BC10" i="5"/>
  <c r="M11" i="5"/>
  <c r="E11" i="5"/>
  <c r="K11" i="5" s="1"/>
  <c r="BH11" i="5"/>
  <c r="BQ11" i="5"/>
  <c r="M12" i="5"/>
  <c r="AO12" i="5"/>
  <c r="BJ12" i="5"/>
  <c r="T13" i="5"/>
  <c r="F13" i="5" s="1"/>
  <c r="AC13" i="5"/>
  <c r="AJ13" i="5"/>
  <c r="BO13" i="5"/>
  <c r="BX13" i="5"/>
  <c r="O14" i="5"/>
  <c r="H14" i="5" s="1"/>
  <c r="Y14" i="5"/>
  <c r="AI14" i="5"/>
  <c r="AH14" i="5" s="1"/>
  <c r="BQ14" i="5"/>
  <c r="CM14" i="5"/>
  <c r="CL14" i="5" s="1"/>
  <c r="AF15" i="5"/>
  <c r="BD15" i="5"/>
  <c r="CL15" i="5"/>
  <c r="J16" i="5"/>
  <c r="K16" i="5" s="1"/>
  <c r="AA16" i="5"/>
  <c r="BQ16" i="5"/>
  <c r="BO18" i="5"/>
  <c r="E19" i="5"/>
  <c r="K19" i="5" s="1"/>
  <c r="AP19" i="5"/>
  <c r="AO19" i="5" s="1"/>
  <c r="BY19" i="5"/>
  <c r="BX19" i="5" s="1"/>
  <c r="U20" i="5"/>
  <c r="G20" i="5" s="1"/>
  <c r="I21" i="5"/>
  <c r="BD22" i="5"/>
  <c r="BC22" i="5"/>
  <c r="R23" i="5"/>
  <c r="B23" i="5"/>
  <c r="T24" i="5"/>
  <c r="M25" i="5"/>
  <c r="BC25" i="5"/>
  <c r="BH25" i="5"/>
  <c r="BV25" i="5"/>
  <c r="BR25" i="5"/>
  <c r="BQ25" i="5"/>
  <c r="Y26" i="5"/>
  <c r="AP27" i="5"/>
  <c r="AO27" i="5" s="1"/>
  <c r="AT27" i="5"/>
  <c r="M28" i="5"/>
  <c r="V28" i="5"/>
  <c r="J28" i="5"/>
  <c r="L55" i="5"/>
  <c r="L58" i="5" s="1"/>
  <c r="AR55" i="5"/>
  <c r="AR58" i="5" s="1"/>
  <c r="BB55" i="5"/>
  <c r="BT55" i="5"/>
  <c r="BT58" i="5" s="1"/>
  <c r="CD55" i="5"/>
  <c r="CJ55" i="5" s="1"/>
  <c r="CM4" i="5"/>
  <c r="V5" i="5"/>
  <c r="BJ6" i="5"/>
  <c r="CL6" i="5"/>
  <c r="M7" i="5"/>
  <c r="V7" i="5"/>
  <c r="R8" i="5"/>
  <c r="O9" i="5"/>
  <c r="H9" i="5" s="1"/>
  <c r="B10" i="5"/>
  <c r="AA10" i="5"/>
  <c r="AJ10" i="5"/>
  <c r="BO10" i="5"/>
  <c r="BY10" i="5"/>
  <c r="V11" i="5"/>
  <c r="E12" i="5"/>
  <c r="K12" i="5" s="1"/>
  <c r="BV12" i="5"/>
  <c r="CF12" i="5"/>
  <c r="J13" i="5"/>
  <c r="K13" i="5" s="1"/>
  <c r="AV14" i="5"/>
  <c r="BH14" i="5"/>
  <c r="AJ15" i="5"/>
  <c r="H15" i="5" s="1"/>
  <c r="BQ15" i="5"/>
  <c r="CC15" i="5"/>
  <c r="AW16" i="5"/>
  <c r="J17" i="5"/>
  <c r="B18" i="5"/>
  <c r="E21" i="5"/>
  <c r="K21" i="5" s="1"/>
  <c r="AP21" i="5"/>
  <c r="AO21" i="5" s="1"/>
  <c r="BO21" i="5"/>
  <c r="J22" i="5"/>
  <c r="Y22" i="5"/>
  <c r="AM23" i="5"/>
  <c r="BK23" i="5"/>
  <c r="BJ23" i="5" s="1"/>
  <c r="AB25" i="5"/>
  <c r="AA25" i="5" s="1"/>
  <c r="B25" i="5"/>
  <c r="AF25" i="5"/>
  <c r="E25" i="5"/>
  <c r="K25" i="5" s="1"/>
  <c r="E26" i="5"/>
  <c r="K26" i="5" s="1"/>
  <c r="AT29" i="5"/>
  <c r="AP29" i="5"/>
  <c r="AO29" i="5"/>
  <c r="B29" i="5"/>
  <c r="E4" i="5"/>
  <c r="M4" i="5"/>
  <c r="U4" i="5"/>
  <c r="AC4" i="5"/>
  <c r="BC4" i="5"/>
  <c r="BL4" i="5"/>
  <c r="BL55" i="5" s="1"/>
  <c r="BL58" i="5" s="1"/>
  <c r="BV4" i="5"/>
  <c r="CE4" i="5"/>
  <c r="CN4" i="5"/>
  <c r="CN55" i="5" s="1"/>
  <c r="CN58" i="5" s="1"/>
  <c r="CL10" i="5"/>
  <c r="O12" i="5"/>
  <c r="B13" i="5"/>
  <c r="AM16" i="5"/>
  <c r="BJ16" i="5"/>
  <c r="BV16" i="5"/>
  <c r="W17" i="5"/>
  <c r="I17" i="5" s="1"/>
  <c r="CM21" i="5"/>
  <c r="CL21" i="5" s="1"/>
  <c r="CF22" i="5"/>
  <c r="CE22" i="5" s="1"/>
  <c r="J24" i="5"/>
  <c r="Y24" i="5"/>
  <c r="P25" i="5"/>
  <c r="I25" i="5" s="1"/>
  <c r="AV26" i="5"/>
  <c r="BA26" i="5"/>
  <c r="BO26" i="5"/>
  <c r="BK26" i="5"/>
  <c r="BJ26" i="5" s="1"/>
  <c r="CC27" i="5"/>
  <c r="BY27" i="5"/>
  <c r="BX27" i="5" s="1"/>
  <c r="H28" i="5"/>
  <c r="BD28" i="5"/>
  <c r="BC28" i="5" s="1"/>
  <c r="BH28" i="5"/>
  <c r="I27" i="5"/>
  <c r="AK27" i="5"/>
  <c r="AJ27" i="5" s="1"/>
  <c r="H27" i="5" s="1"/>
  <c r="AI29" i="5"/>
  <c r="G29" i="5" s="1"/>
  <c r="CF31" i="5"/>
  <c r="CE31" i="5" s="1"/>
  <c r="CJ31" i="5"/>
  <c r="M32" i="5"/>
  <c r="AF32" i="5"/>
  <c r="AB32" i="5"/>
  <c r="AA32" i="5" s="1"/>
  <c r="BH32" i="5"/>
  <c r="O33" i="5"/>
  <c r="H33" i="5" s="1"/>
  <c r="E34" i="5"/>
  <c r="K34" i="5" s="1"/>
  <c r="CL34" i="5"/>
  <c r="CQ34" i="5"/>
  <c r="J36" i="5"/>
  <c r="K36" i="5" s="1"/>
  <c r="R36" i="5"/>
  <c r="Q37" i="5"/>
  <c r="AC36" i="5"/>
  <c r="AD36" i="5"/>
  <c r="B37" i="5"/>
  <c r="U37" i="5"/>
  <c r="G37" i="5" s="1"/>
  <c r="Y37" i="5"/>
  <c r="AI37" i="5"/>
  <c r="AH37" i="5"/>
  <c r="AM37" i="5"/>
  <c r="CQ38" i="5"/>
  <c r="CM38" i="5"/>
  <c r="CL38" i="5" s="1"/>
  <c r="U28" i="5"/>
  <c r="T28" i="5" s="1"/>
  <c r="CF28" i="5"/>
  <c r="CE28" i="5" s="1"/>
  <c r="O31" i="5"/>
  <c r="O32" i="5"/>
  <c r="P33" i="5"/>
  <c r="I33" i="5" s="1"/>
  <c r="BQ35" i="5"/>
  <c r="BV35" i="5"/>
  <c r="CJ35" i="5"/>
  <c r="CF35" i="5"/>
  <c r="CE35" i="5" s="1"/>
  <c r="BY40" i="5"/>
  <c r="BX40" i="5" s="1"/>
  <c r="CC40" i="5"/>
  <c r="BD41" i="5"/>
  <c r="BC41" i="5"/>
  <c r="CF41" i="5"/>
  <c r="CE41" i="5" s="1"/>
  <c r="CJ41" i="5"/>
  <c r="I29" i="5"/>
  <c r="BK29" i="5"/>
  <c r="BJ29" i="5" s="1"/>
  <c r="AB31" i="5"/>
  <c r="AA31" i="5" s="1"/>
  <c r="AD32" i="5"/>
  <c r="I32" i="5" s="1"/>
  <c r="AA35" i="5"/>
  <c r="AI36" i="5"/>
  <c r="AH36" i="5" s="1"/>
  <c r="AM36" i="5"/>
  <c r="O38" i="5"/>
  <c r="J38" i="5"/>
  <c r="H39" i="5"/>
  <c r="AW40" i="5"/>
  <c r="AV40" i="5" s="1"/>
  <c r="O41" i="5"/>
  <c r="H41" i="5" s="1"/>
  <c r="R42" i="5"/>
  <c r="E42" i="5"/>
  <c r="K42" i="5" s="1"/>
  <c r="N42" i="5"/>
  <c r="U33" i="5"/>
  <c r="T33" i="5"/>
  <c r="BO36" i="5"/>
  <c r="CC36" i="5"/>
  <c r="BY36" i="5"/>
  <c r="BX36" i="5" s="1"/>
  <c r="BH41" i="5"/>
  <c r="M42" i="5"/>
  <c r="BD43" i="5"/>
  <c r="BC43" i="5"/>
  <c r="BH43" i="5"/>
  <c r="CM29" i="5"/>
  <c r="CL29" i="5"/>
  <c r="U32" i="5"/>
  <c r="T32" i="5" s="1"/>
  <c r="B32" i="5"/>
  <c r="B34" i="5"/>
  <c r="BK36" i="5"/>
  <c r="BJ36" i="5" s="1"/>
  <c r="BA40" i="5"/>
  <c r="AM41" i="5"/>
  <c r="AI41" i="5"/>
  <c r="AM26" i="5"/>
  <c r="Y28" i="5"/>
  <c r="E29" i="5"/>
  <c r="K29" i="5" s="1"/>
  <c r="CC30" i="5"/>
  <c r="BD31" i="5"/>
  <c r="BC31" i="5" s="1"/>
  <c r="BH31" i="5"/>
  <c r="AI32" i="5"/>
  <c r="D32" i="5" s="1"/>
  <c r="BC32" i="5"/>
  <c r="Y33" i="5"/>
  <c r="CM33" i="5"/>
  <c r="CL33" i="5" s="1"/>
  <c r="AB34" i="5"/>
  <c r="AA34" i="5" s="1"/>
  <c r="CF34" i="5"/>
  <c r="CE34" i="5" s="1"/>
  <c r="CM35" i="5"/>
  <c r="CL35" i="5" s="1"/>
  <c r="M36" i="5"/>
  <c r="W38" i="5"/>
  <c r="V38" i="5"/>
  <c r="K39" i="5"/>
  <c r="Y39" i="5"/>
  <c r="U39" i="5"/>
  <c r="T39" i="5" s="1"/>
  <c r="BH40" i="5"/>
  <c r="BD40" i="5"/>
  <c r="BC40" i="5" s="1"/>
  <c r="D41" i="5"/>
  <c r="AH41" i="5"/>
  <c r="AV20" i="5"/>
  <c r="BX20" i="5"/>
  <c r="V22" i="5"/>
  <c r="V24" i="5"/>
  <c r="AV24" i="5"/>
  <c r="T25" i="5"/>
  <c r="O26" i="5"/>
  <c r="AH26" i="5"/>
  <c r="F26" i="5" s="1"/>
  <c r="AI27" i="5"/>
  <c r="AH27" i="5" s="1"/>
  <c r="CQ29" i="5"/>
  <c r="N30" i="5"/>
  <c r="M30" i="5" s="1"/>
  <c r="E30" i="5"/>
  <c r="K30" i="5" s="1"/>
  <c r="B31" i="5"/>
  <c r="J32" i="5"/>
  <c r="K32" i="5" s="1"/>
  <c r="CM32" i="5"/>
  <c r="CL32" i="5" s="1"/>
  <c r="AF33" i="5"/>
  <c r="BK35" i="5"/>
  <c r="BJ35" i="5" s="1"/>
  <c r="AK37" i="5"/>
  <c r="AJ37" i="5"/>
  <c r="AE37" i="5"/>
  <c r="K38" i="5"/>
  <c r="CC39" i="5"/>
  <c r="BY39" i="5"/>
  <c r="BX39" i="5" s="1"/>
  <c r="H40" i="5"/>
  <c r="AB40" i="5"/>
  <c r="AA40" i="5" s="1"/>
  <c r="AM43" i="5"/>
  <c r="AI43" i="5"/>
  <c r="AH43" i="5"/>
  <c r="E17" i="5"/>
  <c r="K17" i="5" s="1"/>
  <c r="E20" i="5"/>
  <c r="K20" i="5" s="1"/>
  <c r="U25" i="5"/>
  <c r="G25" i="5" s="1"/>
  <c r="CE25" i="5"/>
  <c r="AI26" i="5"/>
  <c r="G26" i="5" s="1"/>
  <c r="BY26" i="5"/>
  <c r="AA28" i="5"/>
  <c r="BQ28" i="5"/>
  <c r="CM28" i="5"/>
  <c r="CL28" i="5" s="1"/>
  <c r="T29" i="5"/>
  <c r="BR29" i="5"/>
  <c r="BQ29" i="5" s="1"/>
  <c r="B30" i="5"/>
  <c r="AA30" i="5"/>
  <c r="AV30" i="5"/>
  <c r="CE30" i="5"/>
  <c r="M31" i="5"/>
  <c r="W31" i="5"/>
  <c r="V31" i="5" s="1"/>
  <c r="AI31" i="5"/>
  <c r="AH31" i="5" s="1"/>
  <c r="Y32" i="5"/>
  <c r="M33" i="5"/>
  <c r="AB33" i="5"/>
  <c r="AA33" i="5" s="1"/>
  <c r="AT33" i="5"/>
  <c r="AP33" i="5"/>
  <c r="AO33" i="5" s="1"/>
  <c r="BQ33" i="5"/>
  <c r="O34" i="5"/>
  <c r="H34" i="5" s="1"/>
  <c r="I34" i="5"/>
  <c r="BR34" i="5"/>
  <c r="BQ34" i="5" s="1"/>
  <c r="CJ34" i="5"/>
  <c r="AV35" i="5"/>
  <c r="P36" i="5"/>
  <c r="I36" i="5" s="1"/>
  <c r="BD36" i="5"/>
  <c r="BC36" i="5" s="1"/>
  <c r="BH36" i="5"/>
  <c r="N38" i="5"/>
  <c r="R38" i="5"/>
  <c r="AI38" i="5"/>
  <c r="AH38" i="5" s="1"/>
  <c r="AA39" i="5"/>
  <c r="AP39" i="5"/>
  <c r="AO39" i="5" s="1"/>
  <c r="AT39" i="5"/>
  <c r="I40" i="5"/>
  <c r="CQ40" i="5"/>
  <c r="CM40" i="5"/>
  <c r="CL40" i="5" s="1"/>
  <c r="B42" i="5"/>
  <c r="BK42" i="5"/>
  <c r="BJ42" i="5" s="1"/>
  <c r="BO42" i="5"/>
  <c r="BC33" i="5"/>
  <c r="AH34" i="5"/>
  <c r="M35" i="5"/>
  <c r="E35" i="5"/>
  <c r="K35" i="5" s="1"/>
  <c r="CE37" i="5"/>
  <c r="CQ37" i="5"/>
  <c r="J40" i="5"/>
  <c r="AB41" i="5"/>
  <c r="P43" i="5"/>
  <c r="I43" i="5" s="1"/>
  <c r="I44" i="5"/>
  <c r="BY49" i="5"/>
  <c r="BX49" i="5" s="1"/>
  <c r="CC49" i="5"/>
  <c r="W50" i="5"/>
  <c r="I50" i="5" s="1"/>
  <c r="BH57" i="5"/>
  <c r="BD57" i="5"/>
  <c r="BC57" i="5" s="1"/>
  <c r="H45" i="5"/>
  <c r="CM46" i="5"/>
  <c r="CL46" i="5" s="1"/>
  <c r="CF48" i="5"/>
  <c r="CE48" i="5"/>
  <c r="O49" i="5"/>
  <c r="K51" i="5"/>
  <c r="O53" i="5"/>
  <c r="I53" i="5"/>
  <c r="AZ58" i="5"/>
  <c r="AI42" i="5"/>
  <c r="AH42" i="5" s="1"/>
  <c r="AH45" i="5"/>
  <c r="AM45" i="5"/>
  <c r="U49" i="5"/>
  <c r="T49" i="5" s="1"/>
  <c r="Y49" i="5"/>
  <c r="E49" i="5"/>
  <c r="Y50" i="5"/>
  <c r="CJ53" i="5"/>
  <c r="CF53" i="5"/>
  <c r="CE53" i="5"/>
  <c r="AF57" i="5"/>
  <c r="AB57" i="5"/>
  <c r="CM43" i="5"/>
  <c r="CL43" i="5" s="1"/>
  <c r="AI44" i="5"/>
  <c r="AH44" i="5" s="1"/>
  <c r="AI45" i="5"/>
  <c r="BX45" i="5"/>
  <c r="V46" i="5"/>
  <c r="I46" i="5"/>
  <c r="BY46" i="5"/>
  <c r="BX46" i="5" s="1"/>
  <c r="CQ46" i="5"/>
  <c r="H47" i="5"/>
  <c r="CM47" i="5"/>
  <c r="CL47" i="5" s="1"/>
  <c r="CQ47" i="5"/>
  <c r="BX50" i="5"/>
  <c r="AA57" i="5"/>
  <c r="R44" i="5"/>
  <c r="B44" i="5"/>
  <c r="E46" i="5"/>
  <c r="K46" i="5" s="1"/>
  <c r="R46" i="5"/>
  <c r="BD47" i="5"/>
  <c r="BC47" i="5" s="1"/>
  <c r="BH47" i="5"/>
  <c r="CJ48" i="5"/>
  <c r="AP49" i="5"/>
  <c r="AO49" i="5" s="1"/>
  <c r="AT49" i="5"/>
  <c r="AB51" i="5"/>
  <c r="AA51" i="5" s="1"/>
  <c r="AF51" i="5"/>
  <c r="M54" i="5"/>
  <c r="AB54" i="5"/>
  <c r="AF54" i="5"/>
  <c r="E54" i="5"/>
  <c r="K54" i="5" s="1"/>
  <c r="BV58" i="5"/>
  <c r="BJ34" i="5"/>
  <c r="AW38" i="5"/>
  <c r="AV38" i="5" s="1"/>
  <c r="Y43" i="5"/>
  <c r="AM44" i="5"/>
  <c r="BK44" i="5"/>
  <c r="BJ44" i="5" s="1"/>
  <c r="N46" i="5"/>
  <c r="M46" i="5" s="1"/>
  <c r="BD46" i="5"/>
  <c r="BC46" i="5" s="1"/>
  <c r="AF48" i="5"/>
  <c r="AB48" i="5"/>
  <c r="AA48" i="5" s="1"/>
  <c r="BD49" i="5"/>
  <c r="BH49" i="5"/>
  <c r="BC49" i="5"/>
  <c r="J51" i="5"/>
  <c r="O51" i="5"/>
  <c r="BY52" i="5"/>
  <c r="BX52" i="5" s="1"/>
  <c r="H54" i="5"/>
  <c r="V30" i="5"/>
  <c r="H30" i="5" s="1"/>
  <c r="BJ33" i="5"/>
  <c r="CF33" i="5"/>
  <c r="CE33" i="5" s="1"/>
  <c r="AO34" i="5"/>
  <c r="BK34" i="5"/>
  <c r="T35" i="5"/>
  <c r="AP35" i="5"/>
  <c r="AB36" i="5"/>
  <c r="BQ37" i="5"/>
  <c r="CL37" i="5"/>
  <c r="R39" i="5"/>
  <c r="B39" i="5"/>
  <c r="B41" i="5"/>
  <c r="R41" i="5"/>
  <c r="H42" i="5"/>
  <c r="CM42" i="5"/>
  <c r="CL42" i="5" s="1"/>
  <c r="CF43" i="5"/>
  <c r="CE43" i="5" s="1"/>
  <c r="N44" i="5"/>
  <c r="I45" i="5"/>
  <c r="H46" i="5"/>
  <c r="E47" i="5"/>
  <c r="K47" i="5" s="1"/>
  <c r="P48" i="5"/>
  <c r="J48" i="5"/>
  <c r="K48" i="5" s="1"/>
  <c r="R51" i="5"/>
  <c r="AD51" i="5"/>
  <c r="AC51" i="5" s="1"/>
  <c r="E28" i="5"/>
  <c r="BX32" i="5"/>
  <c r="R33" i="5"/>
  <c r="B33" i="5"/>
  <c r="U34" i="5"/>
  <c r="D34" i="5" s="1"/>
  <c r="B35" i="5"/>
  <c r="B36" i="5"/>
  <c r="AV36" i="5"/>
  <c r="CM36" i="5"/>
  <c r="CL36" i="5" s="1"/>
  <c r="BR37" i="5"/>
  <c r="CE38" i="5"/>
  <c r="M39" i="5"/>
  <c r="U40" i="5"/>
  <c r="G40" i="5" s="1"/>
  <c r="CE40" i="5"/>
  <c r="M41" i="5"/>
  <c r="BK41" i="5"/>
  <c r="BJ41" i="5" s="1"/>
  <c r="BX41" i="5"/>
  <c r="I42" i="5"/>
  <c r="AP42" i="5"/>
  <c r="AO42" i="5" s="1"/>
  <c r="N43" i="5"/>
  <c r="M43" i="5" s="1"/>
  <c r="E43" i="5"/>
  <c r="K43" i="5" s="1"/>
  <c r="AA43" i="5"/>
  <c r="H44" i="5"/>
  <c r="AO44" i="5"/>
  <c r="BO44" i="5"/>
  <c r="CM44" i="5"/>
  <c r="CL44" i="5" s="1"/>
  <c r="R45" i="5"/>
  <c r="N45" i="5"/>
  <c r="E45" i="5"/>
  <c r="K45" i="5" s="1"/>
  <c r="BD45" i="5"/>
  <c r="BC45" i="5" s="1"/>
  <c r="B46" i="5"/>
  <c r="I47" i="5"/>
  <c r="AI47" i="5"/>
  <c r="AH47" i="5" s="1"/>
  <c r="R48" i="5"/>
  <c r="CM48" i="5"/>
  <c r="CL48" i="5" s="1"/>
  <c r="BA52" i="5"/>
  <c r="AW52" i="5"/>
  <c r="AV52" i="5" s="1"/>
  <c r="BJ45" i="5"/>
  <c r="AO46" i="5"/>
  <c r="T47" i="5"/>
  <c r="C47" i="5" s="1"/>
  <c r="BK50" i="5"/>
  <c r="BJ50" i="5" s="1"/>
  <c r="BO50" i="5"/>
  <c r="R52" i="5"/>
  <c r="B52" i="5"/>
  <c r="E52" i="5"/>
  <c r="K52" i="5" s="1"/>
  <c r="N52" i="5"/>
  <c r="G53" i="5"/>
  <c r="CP59" i="5"/>
  <c r="CQ58" i="5"/>
  <c r="CM50" i="5"/>
  <c r="CQ50" i="5"/>
  <c r="N57" i="5"/>
  <c r="M57" i="5" s="1"/>
  <c r="E57" i="5"/>
  <c r="K57" i="5" s="1"/>
  <c r="R57" i="5"/>
  <c r="B57" i="5"/>
  <c r="BQ46" i="5"/>
  <c r="U48" i="5"/>
  <c r="G48" i="5" s="1"/>
  <c r="B48" i="5"/>
  <c r="AC48" i="5"/>
  <c r="AB50" i="5"/>
  <c r="B50" i="5"/>
  <c r="BQ50" i="5"/>
  <c r="CL50" i="5"/>
  <c r="AW53" i="5"/>
  <c r="BA53" i="5"/>
  <c r="CF54" i="5"/>
  <c r="CE54" i="5" s="1"/>
  <c r="CJ54" i="5"/>
  <c r="BO58" i="5"/>
  <c r="H57" i="5"/>
  <c r="BX38" i="5"/>
  <c r="AH39" i="5"/>
  <c r="BJ39" i="5"/>
  <c r="CL39" i="5"/>
  <c r="E40" i="5"/>
  <c r="M40" i="5"/>
  <c r="V43" i="5"/>
  <c r="AA45" i="5"/>
  <c r="BQ45" i="5"/>
  <c r="CM45" i="5"/>
  <c r="CL45" i="5" s="1"/>
  <c r="AV46" i="5"/>
  <c r="R50" i="5"/>
  <c r="J50" i="5"/>
  <c r="K50" i="5" s="1"/>
  <c r="N51" i="5"/>
  <c r="M51" i="5" s="1"/>
  <c r="B51" i="5"/>
  <c r="AH51" i="5"/>
  <c r="AP51" i="5"/>
  <c r="AO51" i="5" s="1"/>
  <c r="BD51" i="5"/>
  <c r="BC51" i="5" s="1"/>
  <c r="BH51" i="5"/>
  <c r="AF53" i="5"/>
  <c r="B53" i="5"/>
  <c r="CM56" i="5"/>
  <c r="CL56" i="5"/>
  <c r="BY57" i="5"/>
  <c r="BX57" i="5" s="1"/>
  <c r="CC57" i="5"/>
  <c r="E37" i="5"/>
  <c r="AW45" i="5"/>
  <c r="AV45" i="5" s="1"/>
  <c r="AB46" i="5"/>
  <c r="AA46" i="5" s="1"/>
  <c r="BJ47" i="5"/>
  <c r="CF47" i="5"/>
  <c r="CE47" i="5" s="1"/>
  <c r="CJ47" i="5"/>
  <c r="BK48" i="5"/>
  <c r="BJ48" i="5" s="1"/>
  <c r="AI49" i="5"/>
  <c r="AH49" i="5" s="1"/>
  <c r="AV49" i="5"/>
  <c r="BQ49" i="5"/>
  <c r="AC50" i="5"/>
  <c r="V51" i="5"/>
  <c r="AA53" i="5"/>
  <c r="B54" i="5"/>
  <c r="BJ54" i="5"/>
  <c r="AT55" i="5"/>
  <c r="AW57" i="5"/>
  <c r="AV57" i="5" s="1"/>
  <c r="BA57" i="5"/>
  <c r="BV55" i="5"/>
  <c r="AH57" i="5"/>
  <c r="CF51" i="5"/>
  <c r="CE51" i="5"/>
  <c r="AP52" i="5"/>
  <c r="AO52" i="5" s="1"/>
  <c r="AT52" i="5"/>
  <c r="BR52" i="5"/>
  <c r="BQ52" i="5" s="1"/>
  <c r="BV52" i="5"/>
  <c r="I54" i="5"/>
  <c r="AB56" i="5"/>
  <c r="G56" i="5" s="1"/>
  <c r="BK56" i="5"/>
  <c r="BJ56" i="5" s="1"/>
  <c r="AF82" i="5"/>
  <c r="AE49" i="5" s="1"/>
  <c r="I52" i="5"/>
  <c r="BY53" i="5"/>
  <c r="BX53" i="5" s="1"/>
  <c r="BD54" i="5"/>
  <c r="BC54" i="5" s="1"/>
  <c r="CQ55" i="5"/>
  <c r="AC56" i="5"/>
  <c r="H56" i="5" s="1"/>
  <c r="J56" i="5"/>
  <c r="AD56" i="5"/>
  <c r="CC58" i="5"/>
  <c r="AM82" i="5"/>
  <c r="AL49" i="5" s="1"/>
  <c r="BX48" i="5"/>
  <c r="R49" i="5"/>
  <c r="B49" i="5"/>
  <c r="T50" i="5"/>
  <c r="AJ50" i="5"/>
  <c r="BJ51" i="5"/>
  <c r="CJ51" i="5"/>
  <c r="T53" i="5"/>
  <c r="BC53" i="5"/>
  <c r="AH54" i="5"/>
  <c r="CL54" i="5"/>
  <c r="BH58" i="5"/>
  <c r="E56" i="5"/>
  <c r="K56" i="5" s="1"/>
  <c r="I56" i="5"/>
  <c r="AF56" i="5"/>
  <c r="AP56" i="5"/>
  <c r="AO56" i="5" s="1"/>
  <c r="CF57" i="5"/>
  <c r="CE57" i="5" s="1"/>
  <c r="O52" i="5"/>
  <c r="H52" i="5" s="1"/>
  <c r="R54" i="5"/>
  <c r="R56" i="5"/>
  <c r="V57" i="5"/>
  <c r="BJ52" i="5"/>
  <c r="CL52" i="5"/>
  <c r="E53" i="5"/>
  <c r="K53" i="5" s="1"/>
  <c r="M53" i="5"/>
  <c r="V53" i="5"/>
  <c r="BK5" i="4"/>
  <c r="BJ5" i="4" s="1"/>
  <c r="N8" i="4"/>
  <c r="R8" i="4"/>
  <c r="I8" i="4"/>
  <c r="G12" i="4"/>
  <c r="D12" i="4"/>
  <c r="H18" i="4"/>
  <c r="BW55" i="4"/>
  <c r="BW58" i="4" s="1"/>
  <c r="CC4" i="4"/>
  <c r="CG55" i="4"/>
  <c r="CG58" i="4" s="1"/>
  <c r="B5" i="4"/>
  <c r="AD5" i="4"/>
  <c r="I5" i="4" s="1"/>
  <c r="AP5" i="4"/>
  <c r="D5" i="4" s="1"/>
  <c r="BO5" i="4"/>
  <c r="AJ6" i="4"/>
  <c r="AW6" i="4"/>
  <c r="AV6" i="4" s="1"/>
  <c r="CF6" i="4"/>
  <c r="CE6" i="4" s="1"/>
  <c r="M8" i="4"/>
  <c r="AP8" i="4"/>
  <c r="AO8" i="4" s="1"/>
  <c r="AT8" i="4"/>
  <c r="AA9" i="4"/>
  <c r="N10" i="4"/>
  <c r="E10" i="4"/>
  <c r="K10" i="4" s="1"/>
  <c r="R10" i="4"/>
  <c r="B10" i="4"/>
  <c r="G11" i="4"/>
  <c r="O12" i="4"/>
  <c r="H12" i="4" s="1"/>
  <c r="AJ4" i="4"/>
  <c r="AM4" i="4"/>
  <c r="BX4" i="4"/>
  <c r="CH55" i="4"/>
  <c r="CH58" i="4" s="1"/>
  <c r="Q4" i="4"/>
  <c r="CM5" i="4"/>
  <c r="CL5" i="4" s="1"/>
  <c r="AK6" i="4"/>
  <c r="I7" i="4"/>
  <c r="AP7" i="4"/>
  <c r="AO7" i="4" s="1"/>
  <c r="BQ7" i="4"/>
  <c r="B8" i="4"/>
  <c r="H8" i="4"/>
  <c r="BR8" i="4"/>
  <c r="BQ8" i="4" s="1"/>
  <c r="BV8" i="4"/>
  <c r="M10" i="4"/>
  <c r="F13" i="4"/>
  <c r="I22" i="4"/>
  <c r="O28" i="4"/>
  <c r="H28" i="4" s="1"/>
  <c r="BL55" i="4"/>
  <c r="BL58" i="4" s="1"/>
  <c r="BY4" i="4"/>
  <c r="N6" i="4"/>
  <c r="M6" i="4"/>
  <c r="E6" i="4"/>
  <c r="K6" i="4" s="1"/>
  <c r="BA6" i="4"/>
  <c r="BR7" i="4"/>
  <c r="B9" i="4"/>
  <c r="O9" i="4"/>
  <c r="AF9" i="4"/>
  <c r="AN55" i="4"/>
  <c r="AN58" i="4" s="1"/>
  <c r="AP4" i="4"/>
  <c r="AO4" i="4" s="1"/>
  <c r="BM55" i="4"/>
  <c r="BM58" i="4" s="1"/>
  <c r="AH5" i="4"/>
  <c r="O6" i="4"/>
  <c r="H6" i="4" s="1"/>
  <c r="P6" i="4"/>
  <c r="I6" i="4" s="1"/>
  <c r="BY6" i="4"/>
  <c r="BX6" i="4" s="1"/>
  <c r="AI7" i="4"/>
  <c r="G7" i="4" s="1"/>
  <c r="AM7" i="4"/>
  <c r="R9" i="4"/>
  <c r="CM9" i="4"/>
  <c r="CL9" i="4" s="1"/>
  <c r="CQ9" i="4"/>
  <c r="G4" i="4"/>
  <c r="T4" i="4"/>
  <c r="AE4" i="4"/>
  <c r="AT4" i="4"/>
  <c r="J5" i="4"/>
  <c r="B6" i="4"/>
  <c r="R6" i="4"/>
  <c r="BC6" i="4"/>
  <c r="AH7" i="4"/>
  <c r="BK7" i="4"/>
  <c r="BJ7" i="4" s="1"/>
  <c r="BO7" i="4"/>
  <c r="E8" i="4"/>
  <c r="K8" i="4" s="1"/>
  <c r="U9" i="4"/>
  <c r="T9" i="4"/>
  <c r="C13" i="4"/>
  <c r="H17" i="4"/>
  <c r="H29" i="4"/>
  <c r="AB5" i="4"/>
  <c r="G5" i="4" s="1"/>
  <c r="V4" i="4"/>
  <c r="AU55" i="4"/>
  <c r="BA4" i="4"/>
  <c r="BE4" i="4"/>
  <c r="BE55" i="4" s="1"/>
  <c r="BE58" i="4" s="1"/>
  <c r="BP55" i="4"/>
  <c r="BV58" i="4" s="1"/>
  <c r="BR4" i="4"/>
  <c r="BQ4" i="4" s="1"/>
  <c r="CN4" i="4"/>
  <c r="CN55" i="4" s="1"/>
  <c r="CN58" i="4" s="1"/>
  <c r="V5" i="4"/>
  <c r="AM5" i="4"/>
  <c r="U6" i="4"/>
  <c r="T6" i="4" s="1"/>
  <c r="Y6" i="4"/>
  <c r="BD6" i="4"/>
  <c r="CC6" i="4"/>
  <c r="CM7" i="4"/>
  <c r="CL7" i="4" s="1"/>
  <c r="CQ7" i="4"/>
  <c r="U8" i="4"/>
  <c r="T8" i="4" s="1"/>
  <c r="AV8" i="4"/>
  <c r="V9" i="4"/>
  <c r="W9" i="4"/>
  <c r="I9" i="4" s="1"/>
  <c r="AI9" i="4"/>
  <c r="AH9" i="4" s="1"/>
  <c r="BK9" i="4"/>
  <c r="BJ9" i="4"/>
  <c r="BO9" i="4"/>
  <c r="G14" i="4"/>
  <c r="L55" i="4"/>
  <c r="L58" i="4" s="1"/>
  <c r="AR55" i="4"/>
  <c r="AR58" i="4" s="1"/>
  <c r="BB55" i="4"/>
  <c r="BB58" i="4" s="1"/>
  <c r="BT55" i="4"/>
  <c r="BT58" i="4" s="1"/>
  <c r="CD55" i="4"/>
  <c r="BH10" i="4"/>
  <c r="CJ10" i="4"/>
  <c r="P12" i="4"/>
  <c r="I12" i="4" s="1"/>
  <c r="Y12" i="4"/>
  <c r="BH12" i="4"/>
  <c r="CJ12" i="4"/>
  <c r="AF14" i="4"/>
  <c r="BV14" i="4"/>
  <c r="B15" i="4"/>
  <c r="BO15" i="4"/>
  <c r="E16" i="4"/>
  <c r="K16" i="4" s="1"/>
  <c r="BJ16" i="4"/>
  <c r="R17" i="4"/>
  <c r="BO17" i="4"/>
  <c r="CF18" i="4"/>
  <c r="CE18" i="4" s="1"/>
  <c r="BK19" i="4"/>
  <c r="BJ19" i="4"/>
  <c r="W20" i="4"/>
  <c r="I20" i="4" s="1"/>
  <c r="BV20" i="4"/>
  <c r="AF22" i="4"/>
  <c r="N23" i="4"/>
  <c r="R23" i="4"/>
  <c r="I23" i="4"/>
  <c r="AW24" i="4"/>
  <c r="AV24" i="4"/>
  <c r="I26" i="4"/>
  <c r="AB26" i="4"/>
  <c r="G26" i="4" s="1"/>
  <c r="B26" i="4"/>
  <c r="P31" i="4"/>
  <c r="I31" i="4" s="1"/>
  <c r="O31" i="4"/>
  <c r="H31" i="4" s="1"/>
  <c r="J31" i="4"/>
  <c r="CF33" i="4"/>
  <c r="CE33" i="4"/>
  <c r="CJ33" i="4"/>
  <c r="D11" i="4"/>
  <c r="AM11" i="4"/>
  <c r="BO11" i="4"/>
  <c r="CQ11" i="4"/>
  <c r="D13" i="4"/>
  <c r="V13" i="4"/>
  <c r="H13" i="4" s="1"/>
  <c r="E14" i="4"/>
  <c r="K14" i="4" s="1"/>
  <c r="O14" i="4"/>
  <c r="H14" i="4" s="1"/>
  <c r="V14" i="4"/>
  <c r="AM17" i="4"/>
  <c r="CJ17" i="4"/>
  <c r="B18" i="4"/>
  <c r="CQ18" i="4"/>
  <c r="BV19" i="4"/>
  <c r="B20" i="4"/>
  <c r="N20" i="4"/>
  <c r="M20" i="4" s="1"/>
  <c r="E20" i="4"/>
  <c r="K20" i="4" s="1"/>
  <c r="AI21" i="4"/>
  <c r="AH21" i="4" s="1"/>
  <c r="BD22" i="4"/>
  <c r="BC22" i="4"/>
  <c r="AP23" i="4"/>
  <c r="AO23" i="4" s="1"/>
  <c r="AT23" i="4"/>
  <c r="G24" i="4"/>
  <c r="E25" i="4"/>
  <c r="K25" i="4" s="1"/>
  <c r="I25" i="4"/>
  <c r="AD26" i="4"/>
  <c r="AC26" i="4" s="1"/>
  <c r="AP26" i="4"/>
  <c r="AT26" i="4"/>
  <c r="CF27" i="4"/>
  <c r="CE27" i="4" s="1"/>
  <c r="CJ27" i="4"/>
  <c r="P28" i="4"/>
  <c r="I28" i="4" s="1"/>
  <c r="J28" i="4"/>
  <c r="AI29" i="4"/>
  <c r="AM29" i="4"/>
  <c r="AP32" i="4"/>
  <c r="AO32" i="4"/>
  <c r="AT32" i="4"/>
  <c r="BH32" i="4"/>
  <c r="BD32" i="4"/>
  <c r="BC32" i="4" s="1"/>
  <c r="BR36" i="4"/>
  <c r="BV36" i="4"/>
  <c r="BQ36" i="4"/>
  <c r="BQ9" i="4"/>
  <c r="AA10" i="4"/>
  <c r="BJ10" i="4"/>
  <c r="CL10" i="4"/>
  <c r="E11" i="4"/>
  <c r="K11" i="4" s="1"/>
  <c r="M11" i="4"/>
  <c r="B12" i="4"/>
  <c r="J12" i="4"/>
  <c r="R12" i="4"/>
  <c r="AA12" i="4"/>
  <c r="BJ12" i="4"/>
  <c r="CL12" i="4"/>
  <c r="E13" i="4"/>
  <c r="K13" i="4" s="1"/>
  <c r="CL13" i="4"/>
  <c r="P14" i="4"/>
  <c r="I14" i="4" s="1"/>
  <c r="Y14" i="4"/>
  <c r="AH14" i="4"/>
  <c r="BC14" i="4"/>
  <c r="BY14" i="4"/>
  <c r="BX14" i="4" s="1"/>
  <c r="M15" i="4"/>
  <c r="AD15" i="4"/>
  <c r="AC15" i="4" s="1"/>
  <c r="H15" i="4" s="1"/>
  <c r="AV15" i="4"/>
  <c r="BR15" i="4"/>
  <c r="BQ15" i="4" s="1"/>
  <c r="P16" i="4"/>
  <c r="I16" i="4" s="1"/>
  <c r="T17" i="4"/>
  <c r="E18" i="4"/>
  <c r="K18" i="4" s="1"/>
  <c r="M18" i="4"/>
  <c r="O20" i="4"/>
  <c r="AH20" i="4"/>
  <c r="E21" i="4"/>
  <c r="K21" i="4" s="1"/>
  <c r="H21" i="4"/>
  <c r="CM21" i="4"/>
  <c r="CL21" i="4" s="1"/>
  <c r="V22" i="4"/>
  <c r="W22" i="4"/>
  <c r="AH22" i="4"/>
  <c r="BQ22" i="4"/>
  <c r="B23" i="4"/>
  <c r="H23" i="4"/>
  <c r="BR23" i="4"/>
  <c r="BQ23" i="4" s="1"/>
  <c r="BV23" i="4"/>
  <c r="CF25" i="4"/>
  <c r="CE25" i="4" s="1"/>
  <c r="CJ25" i="4"/>
  <c r="AF26" i="4"/>
  <c r="AO26" i="4"/>
  <c r="BD26" i="4"/>
  <c r="BC26" i="4" s="1"/>
  <c r="K28" i="4"/>
  <c r="R28" i="4"/>
  <c r="BQ28" i="4"/>
  <c r="U29" i="4"/>
  <c r="Y29" i="4"/>
  <c r="B29" i="4"/>
  <c r="AH29" i="4"/>
  <c r="CM29" i="4"/>
  <c r="CL29" i="4" s="1"/>
  <c r="CQ29" i="4"/>
  <c r="B33" i="4"/>
  <c r="T33" i="4"/>
  <c r="AI33" i="4"/>
  <c r="AH33" i="4"/>
  <c r="E17" i="4"/>
  <c r="K17" i="4" s="1"/>
  <c r="BD18" i="4"/>
  <c r="AI19" i="4"/>
  <c r="G19" i="4" s="1"/>
  <c r="AH19" i="4"/>
  <c r="F19" i="4" s="1"/>
  <c r="O24" i="4"/>
  <c r="H24" i="4" s="1"/>
  <c r="BY24" i="4"/>
  <c r="BY29" i="4"/>
  <c r="BX29" i="4" s="1"/>
  <c r="CC29" i="4"/>
  <c r="K31" i="4"/>
  <c r="AC32" i="4"/>
  <c r="U35" i="4"/>
  <c r="Y35" i="4"/>
  <c r="V37" i="4"/>
  <c r="W37" i="4"/>
  <c r="Y37" i="4"/>
  <c r="BC10" i="4"/>
  <c r="CE10" i="4"/>
  <c r="AH11" i="4"/>
  <c r="T12" i="4"/>
  <c r="BC12" i="4"/>
  <c r="CE12" i="4"/>
  <c r="AH13" i="4"/>
  <c r="R14" i="4"/>
  <c r="AA14" i="4"/>
  <c r="BQ14" i="4"/>
  <c r="BJ15" i="4"/>
  <c r="R16" i="4"/>
  <c r="N17" i="4"/>
  <c r="M17" i="4" s="1"/>
  <c r="BJ17" i="4"/>
  <c r="BQ20" i="4"/>
  <c r="N22" i="4"/>
  <c r="E22" i="4"/>
  <c r="K22" i="4" s="1"/>
  <c r="R24" i="4"/>
  <c r="AH25" i="4"/>
  <c r="CF26" i="4"/>
  <c r="CJ26" i="4"/>
  <c r="AB30" i="4"/>
  <c r="AF30" i="4"/>
  <c r="R32" i="4"/>
  <c r="B32" i="4"/>
  <c r="AF32" i="4"/>
  <c r="BY32" i="4"/>
  <c r="CC32" i="4"/>
  <c r="N34" i="4"/>
  <c r="M34" i="4" s="1"/>
  <c r="E34" i="4"/>
  <c r="K34" i="4" s="1"/>
  <c r="R34" i="4"/>
  <c r="AG55" i="4"/>
  <c r="AG58" i="4" s="1"/>
  <c r="AX55" i="4"/>
  <c r="AX58" i="4" s="1"/>
  <c r="BZ55" i="4"/>
  <c r="BZ58" i="4" s="1"/>
  <c r="BJ11" i="4"/>
  <c r="CL11" i="4"/>
  <c r="E12" i="4"/>
  <c r="K12" i="4" s="1"/>
  <c r="M12" i="4"/>
  <c r="J13" i="4"/>
  <c r="CQ13" i="4"/>
  <c r="AW14" i="4"/>
  <c r="AV14" i="4" s="1"/>
  <c r="CC14" i="4"/>
  <c r="CM14" i="4"/>
  <c r="CL14" i="4" s="1"/>
  <c r="I15" i="4"/>
  <c r="AP15" i="4"/>
  <c r="AO15" i="4" s="1"/>
  <c r="BV15" i="4"/>
  <c r="CF15" i="4"/>
  <c r="AB16" i="4"/>
  <c r="G16" i="4" s="1"/>
  <c r="CL16" i="4"/>
  <c r="Y17" i="4"/>
  <c r="AH17" i="4"/>
  <c r="CE17" i="4"/>
  <c r="CL18" i="4"/>
  <c r="E19" i="4"/>
  <c r="K19" i="4" s="1"/>
  <c r="H19" i="4"/>
  <c r="BQ19" i="4"/>
  <c r="CM19" i="4"/>
  <c r="CL19" i="4" s="1"/>
  <c r="BH20" i="4"/>
  <c r="AW21" i="4"/>
  <c r="AV21" i="4" s="1"/>
  <c r="B22" i="4"/>
  <c r="AA22" i="4"/>
  <c r="E23" i="4"/>
  <c r="K23" i="4" s="1"/>
  <c r="U24" i="4"/>
  <c r="T24" i="4"/>
  <c r="BD24" i="4"/>
  <c r="BC24" i="4" s="1"/>
  <c r="CC24" i="4"/>
  <c r="CE26" i="4"/>
  <c r="B27" i="4"/>
  <c r="AB27" i="4"/>
  <c r="AA27" i="4" s="1"/>
  <c r="AF27" i="4"/>
  <c r="AO29" i="4"/>
  <c r="AA30" i="4"/>
  <c r="BX32" i="4"/>
  <c r="AM33" i="4"/>
  <c r="BK33" i="4"/>
  <c r="BJ33" i="4" s="1"/>
  <c r="B35" i="4"/>
  <c r="B4" i="4"/>
  <c r="R4" i="4"/>
  <c r="Z55" i="4"/>
  <c r="Z58" i="4" s="1"/>
  <c r="AH4" i="4"/>
  <c r="AY55" i="4"/>
  <c r="AY58" i="4" s="1"/>
  <c r="BI55" i="4"/>
  <c r="BI58" i="4" s="1"/>
  <c r="CA55" i="4"/>
  <c r="CA58" i="4" s="1"/>
  <c r="CK55" i="4"/>
  <c r="T5" i="4"/>
  <c r="AJ5" i="4"/>
  <c r="B7" i="4"/>
  <c r="AA7" i="4"/>
  <c r="BC7" i="4"/>
  <c r="CE7" i="4"/>
  <c r="AH8" i="4"/>
  <c r="BJ8" i="4"/>
  <c r="CL8" i="4"/>
  <c r="E9" i="4"/>
  <c r="K9" i="4" s="1"/>
  <c r="M9" i="4"/>
  <c r="AC9" i="4"/>
  <c r="BC9" i="4"/>
  <c r="CE9" i="4"/>
  <c r="O10" i="4"/>
  <c r="H10" i="4" s="1"/>
  <c r="AV10" i="4"/>
  <c r="BX10" i="4"/>
  <c r="R11" i="4"/>
  <c r="AA11" i="4"/>
  <c r="AJ11" i="4"/>
  <c r="H11" i="4" s="1"/>
  <c r="AV12" i="4"/>
  <c r="BX12" i="4"/>
  <c r="BO13" i="4"/>
  <c r="BX13" i="4"/>
  <c r="B14" i="4"/>
  <c r="T14" i="4"/>
  <c r="B16" i="4"/>
  <c r="AC16" i="4"/>
  <c r="BQ16" i="4"/>
  <c r="CM16" i="4"/>
  <c r="BC17" i="4"/>
  <c r="R18" i="4"/>
  <c r="AA18" i="4"/>
  <c r="BH18" i="4"/>
  <c r="AM19" i="4"/>
  <c r="AV19" i="4"/>
  <c r="T20" i="4"/>
  <c r="BK21" i="4"/>
  <c r="BJ21" i="4" s="1"/>
  <c r="O22" i="4"/>
  <c r="BK22" i="4"/>
  <c r="CM22" i="4"/>
  <c r="CL22" i="4" s="1"/>
  <c r="CQ22" i="4"/>
  <c r="U23" i="4"/>
  <c r="T23" i="4" s="1"/>
  <c r="AM25" i="4"/>
  <c r="BO25" i="4"/>
  <c r="BK25" i="4"/>
  <c r="BJ25" i="4" s="1"/>
  <c r="CM25" i="4"/>
  <c r="CL25" i="4" s="1"/>
  <c r="M26" i="4"/>
  <c r="I27" i="4"/>
  <c r="H30" i="4"/>
  <c r="CM30" i="4"/>
  <c r="CL30" i="4" s="1"/>
  <c r="N32" i="4"/>
  <c r="S55" i="4"/>
  <c r="S58" i="4" s="1"/>
  <c r="AA4" i="4"/>
  <c r="AI4" i="4"/>
  <c r="AQ4" i="4"/>
  <c r="AQ55" i="4" s="1"/>
  <c r="AQ58" i="4" s="1"/>
  <c r="BJ4" i="4"/>
  <c r="BS4" i="4"/>
  <c r="BS55" i="4" s="1"/>
  <c r="BS58" i="4" s="1"/>
  <c r="CL4" i="4"/>
  <c r="E5" i="4"/>
  <c r="K5" i="4" s="1"/>
  <c r="J11" i="4"/>
  <c r="B13" i="4"/>
  <c r="AM13" i="4"/>
  <c r="BJ14" i="4"/>
  <c r="BC15" i="4"/>
  <c r="AM16" i="4"/>
  <c r="AW16" i="4"/>
  <c r="AV16" i="4" s="1"/>
  <c r="BR18" i="4"/>
  <c r="BQ18" i="4" s="1"/>
  <c r="AW19" i="4"/>
  <c r="J20" i="4"/>
  <c r="BJ20" i="4"/>
  <c r="CE20" i="4"/>
  <c r="B21" i="4"/>
  <c r="T21" i="4"/>
  <c r="F21" i="4" s="1"/>
  <c r="R22" i="4"/>
  <c r="AW23" i="4"/>
  <c r="AV23" i="4" s="1"/>
  <c r="BX23" i="4"/>
  <c r="J24" i="4"/>
  <c r="Y24" i="4"/>
  <c r="CE24" i="4"/>
  <c r="O26" i="4"/>
  <c r="J26" i="4"/>
  <c r="K26" i="4" s="1"/>
  <c r="BD27" i="4"/>
  <c r="BC27" i="4" s="1"/>
  <c r="BH27" i="4"/>
  <c r="M28" i="4"/>
  <c r="AA28" i="4"/>
  <c r="BD29" i="4"/>
  <c r="BC29" i="4" s="1"/>
  <c r="E30" i="4"/>
  <c r="K30" i="4" s="1"/>
  <c r="I30" i="4"/>
  <c r="BD30" i="4"/>
  <c r="BC30" i="4" s="1"/>
  <c r="BV30" i="4"/>
  <c r="BR30" i="4"/>
  <c r="BQ30" i="4" s="1"/>
  <c r="G31" i="4"/>
  <c r="AF31" i="4"/>
  <c r="AB31" i="4"/>
  <c r="AA31" i="4" s="1"/>
  <c r="B31" i="4"/>
  <c r="BY31" i="4"/>
  <c r="BX31" i="4" s="1"/>
  <c r="CC31" i="4"/>
  <c r="AO33" i="4"/>
  <c r="AH28" i="4"/>
  <c r="AT28" i="4"/>
  <c r="CL28" i="4"/>
  <c r="B30" i="4"/>
  <c r="AB33" i="4"/>
  <c r="AA33" i="4" s="1"/>
  <c r="W36" i="4"/>
  <c r="AL37" i="4"/>
  <c r="AK36" i="4"/>
  <c r="I36" i="4" s="1"/>
  <c r="U39" i="4"/>
  <c r="T39" i="4" s="1"/>
  <c r="B39" i="4"/>
  <c r="E39" i="4"/>
  <c r="K39" i="4" s="1"/>
  <c r="BR39" i="4"/>
  <c r="BQ39" i="4" s="1"/>
  <c r="BV39" i="4"/>
  <c r="AT40" i="4"/>
  <c r="AP40" i="4"/>
  <c r="AO40" i="4" s="1"/>
  <c r="B41" i="4"/>
  <c r="I44" i="4"/>
  <c r="AP45" i="4"/>
  <c r="AO45" i="4" s="1"/>
  <c r="AT45" i="4"/>
  <c r="I47" i="4"/>
  <c r="O47" i="4"/>
  <c r="H47" i="4" s="1"/>
  <c r="AM47" i="4"/>
  <c r="AH47" i="4"/>
  <c r="E47" i="4"/>
  <c r="K47" i="4" s="1"/>
  <c r="M36" i="4"/>
  <c r="E40" i="4"/>
  <c r="K40" i="4" s="1"/>
  <c r="AC40" i="4"/>
  <c r="I41" i="4"/>
  <c r="N45" i="4"/>
  <c r="E45" i="4"/>
  <c r="K45" i="4" s="1"/>
  <c r="BR34" i="4"/>
  <c r="BQ34" i="4" s="1"/>
  <c r="BV34" i="4"/>
  <c r="BC35" i="4"/>
  <c r="Y36" i="4"/>
  <c r="AP36" i="4"/>
  <c r="AO36" i="4" s="1"/>
  <c r="AT36" i="4"/>
  <c r="AA37" i="4"/>
  <c r="U38" i="4"/>
  <c r="Y38" i="4"/>
  <c r="AC38" i="4"/>
  <c r="AD40" i="4"/>
  <c r="T41" i="4"/>
  <c r="BK42" i="4"/>
  <c r="BJ42" i="4" s="1"/>
  <c r="BO42" i="4"/>
  <c r="P43" i="4"/>
  <c r="I43" i="4" s="1"/>
  <c r="J43" i="4"/>
  <c r="H45" i="4"/>
  <c r="AF46" i="4"/>
  <c r="AB46" i="4"/>
  <c r="AA46" i="4" s="1"/>
  <c r="BO38" i="4"/>
  <c r="BK38" i="4"/>
  <c r="BJ38" i="4" s="1"/>
  <c r="CM39" i="4"/>
  <c r="CL39" i="4" s="1"/>
  <c r="CQ39" i="4"/>
  <c r="BO40" i="4"/>
  <c r="CC40" i="4"/>
  <c r="BY40" i="4"/>
  <c r="BX40" i="4" s="1"/>
  <c r="H41" i="4"/>
  <c r="AI44" i="4"/>
  <c r="AH44" i="4"/>
  <c r="AM44" i="4"/>
  <c r="R45" i="4"/>
  <c r="R36" i="4"/>
  <c r="J36" i="4"/>
  <c r="B37" i="4"/>
  <c r="Q37" i="4"/>
  <c r="AI37" i="4"/>
  <c r="AH37" i="4" s="1"/>
  <c r="AM37" i="4"/>
  <c r="AW39" i="4"/>
  <c r="AV39" i="4" s="1"/>
  <c r="BA39" i="4"/>
  <c r="BX39" i="4"/>
  <c r="AF40" i="4"/>
  <c r="BK40" i="4"/>
  <c r="BJ40" i="4" s="1"/>
  <c r="Y41" i="4"/>
  <c r="U43" i="4"/>
  <c r="T43" i="4" s="1"/>
  <c r="Y43" i="4"/>
  <c r="Y45" i="4"/>
  <c r="U45" i="4"/>
  <c r="T45" i="4" s="1"/>
  <c r="R30" i="4"/>
  <c r="I32" i="4"/>
  <c r="E33" i="4"/>
  <c r="K33" i="4" s="1"/>
  <c r="W33" i="4"/>
  <c r="BD33" i="4"/>
  <c r="BC33" i="4"/>
  <c r="AW35" i="4"/>
  <c r="AV35" i="4" s="1"/>
  <c r="BA35" i="4"/>
  <c r="AE37" i="4"/>
  <c r="AC36" i="4"/>
  <c r="BY37" i="4"/>
  <c r="BX37" i="4" s="1"/>
  <c r="M38" i="4"/>
  <c r="E38" i="4"/>
  <c r="K38" i="4" s="1"/>
  <c r="R38" i="4"/>
  <c r="AK38" i="4"/>
  <c r="I38" i="4" s="1"/>
  <c r="BY39" i="4"/>
  <c r="N40" i="4"/>
  <c r="M40" i="4" s="1"/>
  <c r="BX41" i="4"/>
  <c r="CM41" i="4"/>
  <c r="CL41" i="4" s="1"/>
  <c r="AB42" i="4"/>
  <c r="AA42" i="4" s="1"/>
  <c r="AF42" i="4"/>
  <c r="AT42" i="4"/>
  <c r="AP42" i="4"/>
  <c r="AO42" i="4" s="1"/>
  <c r="AC22" i="4"/>
  <c r="CE22" i="4"/>
  <c r="AH23" i="4"/>
  <c r="BJ23" i="4"/>
  <c r="CL23" i="4"/>
  <c r="E24" i="4"/>
  <c r="M24" i="4"/>
  <c r="B25" i="4"/>
  <c r="AA25" i="4"/>
  <c r="AJ25" i="4"/>
  <c r="H25" i="4" s="1"/>
  <c r="Y26" i="4"/>
  <c r="BX26" i="4"/>
  <c r="J27" i="4"/>
  <c r="K27" i="4" s="1"/>
  <c r="B28" i="4"/>
  <c r="AO28" i="4"/>
  <c r="D29" i="4"/>
  <c r="BJ30" i="4"/>
  <c r="CF30" i="4"/>
  <c r="CE30" i="4" s="1"/>
  <c r="T31" i="4"/>
  <c r="AW31" i="4"/>
  <c r="AV31" i="4" s="1"/>
  <c r="CL31" i="4"/>
  <c r="J32" i="4"/>
  <c r="K32" i="4" s="1"/>
  <c r="AJ32" i="4"/>
  <c r="H32" i="4" s="1"/>
  <c r="O33" i="4"/>
  <c r="H34" i="4"/>
  <c r="I35" i="4"/>
  <c r="BY35" i="4"/>
  <c r="BX35" i="4" s="1"/>
  <c r="CC35" i="4"/>
  <c r="AF36" i="4"/>
  <c r="U37" i="4"/>
  <c r="T37" i="4" s="1"/>
  <c r="CJ38" i="4"/>
  <c r="O39" i="4"/>
  <c r="H39" i="4" s="1"/>
  <c r="AB39" i="4"/>
  <c r="AA39" i="4" s="1"/>
  <c r="H40" i="4"/>
  <c r="AJ40" i="4"/>
  <c r="AK40" i="4"/>
  <c r="B43" i="4"/>
  <c r="CL43" i="4"/>
  <c r="B45" i="4"/>
  <c r="BO47" i="4"/>
  <c r="BK47" i="4"/>
  <c r="BJ47" i="4" s="1"/>
  <c r="BX25" i="4"/>
  <c r="T26" i="4"/>
  <c r="T27" i="4"/>
  <c r="U28" i="4"/>
  <c r="G28" i="4" s="1"/>
  <c r="BY28" i="4"/>
  <c r="BX28" i="4" s="1"/>
  <c r="AA29" i="4"/>
  <c r="AV29" i="4"/>
  <c r="CE29" i="4"/>
  <c r="AO30" i="4"/>
  <c r="CM31" i="4"/>
  <c r="Y32" i="4"/>
  <c r="BR32" i="4"/>
  <c r="BQ32" i="4" s="1"/>
  <c r="G33" i="4"/>
  <c r="AW34" i="4"/>
  <c r="AV34" i="4" s="1"/>
  <c r="BX34" i="4"/>
  <c r="V36" i="4"/>
  <c r="AI36" i="4"/>
  <c r="D36" i="4" s="1"/>
  <c r="AH36" i="4"/>
  <c r="B36" i="4"/>
  <c r="E36" i="4"/>
  <c r="K36" i="4" s="1"/>
  <c r="AV36" i="4"/>
  <c r="BC37" i="4"/>
  <c r="AT38" i="4"/>
  <c r="AP38" i="4"/>
  <c r="AO38" i="4" s="1"/>
  <c r="CF38" i="4"/>
  <c r="CE38" i="4" s="1"/>
  <c r="R39" i="4"/>
  <c r="BC39" i="4"/>
  <c r="B40" i="4"/>
  <c r="I40" i="4"/>
  <c r="AM40" i="4"/>
  <c r="CE40" i="4"/>
  <c r="BD41" i="4"/>
  <c r="BC41" i="4" s="1"/>
  <c r="CC41" i="4"/>
  <c r="CM43" i="4"/>
  <c r="BR44" i="4"/>
  <c r="BQ44" i="4" s="1"/>
  <c r="AW46" i="4"/>
  <c r="AV46" i="4" s="1"/>
  <c r="BY46" i="4"/>
  <c r="BX46" i="4" s="1"/>
  <c r="CC46" i="4"/>
  <c r="BJ37" i="4"/>
  <c r="AO41" i="4"/>
  <c r="N43" i="4"/>
  <c r="M43" i="4"/>
  <c r="E43" i="4"/>
  <c r="K43" i="4" s="1"/>
  <c r="H44" i="4"/>
  <c r="CM44" i="4"/>
  <c r="CL44" i="4" s="1"/>
  <c r="U46" i="4"/>
  <c r="T46" i="4" s="1"/>
  <c r="BQ46" i="4"/>
  <c r="I48" i="4"/>
  <c r="BD50" i="4"/>
  <c r="BC50" i="4" s="1"/>
  <c r="BH50" i="4"/>
  <c r="CC52" i="4"/>
  <c r="BY52" i="4"/>
  <c r="BX52" i="4" s="1"/>
  <c r="E53" i="4"/>
  <c r="K53" i="4" s="1"/>
  <c r="N53" i="4"/>
  <c r="R53" i="4"/>
  <c r="BR53" i="4"/>
  <c r="BQ53" i="4" s="1"/>
  <c r="BV53" i="4"/>
  <c r="AJ56" i="4"/>
  <c r="I57" i="4"/>
  <c r="AC49" i="4"/>
  <c r="O50" i="4"/>
  <c r="J50" i="4"/>
  <c r="K50" i="4" s="1"/>
  <c r="R50" i="4"/>
  <c r="BK52" i="4"/>
  <c r="D52" i="4" s="1"/>
  <c r="BO52" i="4"/>
  <c r="BD53" i="4"/>
  <c r="BC53" i="4" s="1"/>
  <c r="BH53" i="4"/>
  <c r="BH55" i="4"/>
  <c r="BG58" i="4"/>
  <c r="CB58" i="4"/>
  <c r="CQ58" i="4"/>
  <c r="AM48" i="4"/>
  <c r="J48" i="4"/>
  <c r="K48" i="4" s="1"/>
  <c r="CC48" i="4"/>
  <c r="BY48" i="4"/>
  <c r="BX48" i="4" s="1"/>
  <c r="R51" i="4"/>
  <c r="E51" i="4"/>
  <c r="N51" i="4"/>
  <c r="BY51" i="4"/>
  <c r="BX51" i="4" s="1"/>
  <c r="CC51" i="4"/>
  <c r="X58" i="4"/>
  <c r="Y55" i="4"/>
  <c r="N54" i="4"/>
  <c r="R54" i="4"/>
  <c r="B54" i="4"/>
  <c r="E54" i="4"/>
  <c r="K54" i="4" s="1"/>
  <c r="AP54" i="4"/>
  <c r="AO54" i="4" s="1"/>
  <c r="AT54" i="4"/>
  <c r="BR54" i="4"/>
  <c r="BV54" i="4"/>
  <c r="N56" i="4"/>
  <c r="R56" i="4"/>
  <c r="B56" i="4"/>
  <c r="E56" i="4"/>
  <c r="K56" i="4" s="1"/>
  <c r="AM56" i="4"/>
  <c r="BD56" i="4"/>
  <c r="BC56" i="4" s="1"/>
  <c r="BH56" i="4"/>
  <c r="BX47" i="4"/>
  <c r="AM50" i="4"/>
  <c r="AI50" i="4"/>
  <c r="AH50" i="4" s="1"/>
  <c r="M54" i="4"/>
  <c r="BQ54" i="4"/>
  <c r="M56" i="4"/>
  <c r="AB57" i="4"/>
  <c r="AA57" i="4" s="1"/>
  <c r="B57" i="4"/>
  <c r="AF57" i="4"/>
  <c r="CM47" i="4"/>
  <c r="CL47" i="4" s="1"/>
  <c r="R48" i="4"/>
  <c r="B48" i="4"/>
  <c r="U48" i="4"/>
  <c r="T48" i="4" s="1"/>
  <c r="P49" i="4"/>
  <c r="AV49" i="4"/>
  <c r="BK50" i="4"/>
  <c r="BJ50" i="4" s="1"/>
  <c r="BX50" i="4"/>
  <c r="BY50" i="4"/>
  <c r="CC50" i="4"/>
  <c r="AJ51" i="4"/>
  <c r="B53" i="4"/>
  <c r="AI53" i="4"/>
  <c r="AH53" i="4" s="1"/>
  <c r="CM53" i="4"/>
  <c r="CL53" i="4" s="1"/>
  <c r="CQ53" i="4"/>
  <c r="AT55" i="4"/>
  <c r="AS58" i="4"/>
  <c r="BN58" i="4"/>
  <c r="BO55" i="4"/>
  <c r="BY56" i="4"/>
  <c r="CC56" i="4"/>
  <c r="BU59" i="4"/>
  <c r="BD43" i="4"/>
  <c r="BC43" i="4" s="1"/>
  <c r="R44" i="4"/>
  <c r="B44" i="4"/>
  <c r="BR45" i="4"/>
  <c r="BQ45" i="4"/>
  <c r="BD48" i="4"/>
  <c r="BC48" i="4" s="1"/>
  <c r="R49" i="4"/>
  <c r="AW49" i="4"/>
  <c r="B50" i="4"/>
  <c r="AM51" i="4"/>
  <c r="V53" i="4"/>
  <c r="H53" i="4" s="1"/>
  <c r="W53" i="4"/>
  <c r="I53" i="4" s="1"/>
  <c r="J53" i="4"/>
  <c r="BX56" i="4"/>
  <c r="CQ57" i="4"/>
  <c r="CP59" i="4"/>
  <c r="AH34" i="4"/>
  <c r="BJ34" i="4"/>
  <c r="CL34" i="4"/>
  <c r="E35" i="4"/>
  <c r="K35" i="4" s="1"/>
  <c r="M35" i="4"/>
  <c r="AO35" i="4"/>
  <c r="BQ35" i="4"/>
  <c r="AA36" i="4"/>
  <c r="BJ36" i="4"/>
  <c r="CL36" i="4"/>
  <c r="E37" i="4"/>
  <c r="M37" i="4"/>
  <c r="BQ37" i="4"/>
  <c r="CM37" i="4"/>
  <c r="CL37" i="4" s="1"/>
  <c r="AH38" i="4"/>
  <c r="BX38" i="4"/>
  <c r="AH40" i="4"/>
  <c r="BC40" i="4"/>
  <c r="AV41" i="4"/>
  <c r="B42" i="4"/>
  <c r="BK44" i="4"/>
  <c r="BJ44" i="4"/>
  <c r="AB47" i="4"/>
  <c r="AA47" i="4" s="1"/>
  <c r="B47" i="4"/>
  <c r="BD47" i="4"/>
  <c r="BC47" i="4"/>
  <c r="N48" i="4"/>
  <c r="M48" i="4" s="1"/>
  <c r="CF48" i="4"/>
  <c r="CE48" i="4" s="1"/>
  <c r="B49" i="4"/>
  <c r="U49" i="4"/>
  <c r="T49" i="4" s="1"/>
  <c r="Y50" i="4"/>
  <c r="B51" i="4"/>
  <c r="AC51" i="4"/>
  <c r="H51" i="4" s="1"/>
  <c r="AO51" i="4"/>
  <c r="AP51" i="4"/>
  <c r="AT51" i="4"/>
  <c r="CF51" i="4"/>
  <c r="CE51" i="4" s="1"/>
  <c r="B52" i="4"/>
  <c r="AP52" i="4"/>
  <c r="AO52" i="4" s="1"/>
  <c r="Y53" i="4"/>
  <c r="BO57" i="4"/>
  <c r="CM57" i="4"/>
  <c r="CL57" i="4" s="1"/>
  <c r="CJ58" i="4"/>
  <c r="CI59" i="4"/>
  <c r="E29" i="4"/>
  <c r="K29" i="4" s="1"/>
  <c r="AW37" i="4"/>
  <c r="AV37" i="4" s="1"/>
  <c r="BD38" i="4"/>
  <c r="BC38" i="4" s="1"/>
  <c r="AO39" i="4"/>
  <c r="CE39" i="4"/>
  <c r="AA40" i="4"/>
  <c r="CL40" i="4"/>
  <c r="AB41" i="4"/>
  <c r="AA41" i="4" s="1"/>
  <c r="CF41" i="4"/>
  <c r="CE41" i="4" s="1"/>
  <c r="M42" i="4"/>
  <c r="W42" i="4"/>
  <c r="I42" i="4" s="1"/>
  <c r="CM42" i="4"/>
  <c r="CL42" i="4" s="1"/>
  <c r="AI43" i="4"/>
  <c r="AH43" i="4" s="1"/>
  <c r="BH43" i="4"/>
  <c r="CF43" i="4"/>
  <c r="CE43" i="4"/>
  <c r="N44" i="4"/>
  <c r="AV45" i="4"/>
  <c r="BV45" i="4"/>
  <c r="B46" i="4"/>
  <c r="BD46" i="4"/>
  <c r="BC46" i="4" s="1"/>
  <c r="CF47" i="4"/>
  <c r="CE47" i="4" s="1"/>
  <c r="H48" i="4"/>
  <c r="AW48" i="4"/>
  <c r="AV48" i="4" s="1"/>
  <c r="CM49" i="4"/>
  <c r="CL49" i="4" s="1"/>
  <c r="AB50" i="4"/>
  <c r="AA50" i="4" s="1"/>
  <c r="C50" i="4" s="1"/>
  <c r="AO50" i="4"/>
  <c r="CE50" i="4"/>
  <c r="T51" i="4"/>
  <c r="AD51" i="4"/>
  <c r="AB53" i="4"/>
  <c r="AA53" i="4" s="1"/>
  <c r="AF53" i="4"/>
  <c r="BK57" i="4"/>
  <c r="BJ57" i="4" s="1"/>
  <c r="CM45" i="4"/>
  <c r="CL45" i="4" s="1"/>
  <c r="N46" i="4"/>
  <c r="AP46" i="4"/>
  <c r="AO46" i="4" s="1"/>
  <c r="BR46" i="4"/>
  <c r="U47" i="4"/>
  <c r="T47" i="4" s="1"/>
  <c r="AW47" i="4"/>
  <c r="AV47" i="4" s="1"/>
  <c r="BY47" i="4"/>
  <c r="AP48" i="4"/>
  <c r="AO48" i="4" s="1"/>
  <c r="BR48" i="4"/>
  <c r="BQ48" i="4" s="1"/>
  <c r="BC49" i="4"/>
  <c r="BQ51" i="4"/>
  <c r="BR51" i="4"/>
  <c r="AA52" i="4"/>
  <c r="AB52" i="4"/>
  <c r="AI56" i="4"/>
  <c r="AH56" i="4" s="1"/>
  <c r="AW56" i="4"/>
  <c r="AV56" i="4" s="1"/>
  <c r="BA56" i="4"/>
  <c r="AH57" i="4"/>
  <c r="E49" i="4"/>
  <c r="E52" i="4"/>
  <c r="K52" i="4" s="1"/>
  <c r="W55" i="4"/>
  <c r="W58" i="4" s="1"/>
  <c r="H54" i="4"/>
  <c r="M57" i="4"/>
  <c r="BD57" i="4"/>
  <c r="D57" i="4" s="1"/>
  <c r="BH57" i="4"/>
  <c r="Y83" i="4"/>
  <c r="X49" i="4" s="1"/>
  <c r="V43" i="4"/>
  <c r="N49" i="4"/>
  <c r="BJ49" i="4"/>
  <c r="CF49" i="4"/>
  <c r="CE49" i="4" s="1"/>
  <c r="AJ50" i="4"/>
  <c r="J51" i="4"/>
  <c r="O52" i="4"/>
  <c r="AH52" i="4"/>
  <c r="CM52" i="4"/>
  <c r="CL52" i="4" s="1"/>
  <c r="CF56" i="4"/>
  <c r="CE56" i="4" s="1"/>
  <c r="CF57" i="4"/>
  <c r="CJ57" i="4"/>
  <c r="E41" i="4"/>
  <c r="K41" i="4" s="1"/>
  <c r="E46" i="4"/>
  <c r="K46" i="4" s="1"/>
  <c r="CL48" i="4"/>
  <c r="AP49" i="4"/>
  <c r="AO49" i="4" s="1"/>
  <c r="AV50" i="4"/>
  <c r="I51" i="4"/>
  <c r="BD51" i="4"/>
  <c r="BC51" i="4" s="1"/>
  <c r="G52" i="4"/>
  <c r="AK52" i="4"/>
  <c r="AJ52" i="4" s="1"/>
  <c r="T54" i="4"/>
  <c r="AV54" i="4"/>
  <c r="BX54" i="4"/>
  <c r="T56" i="4"/>
  <c r="AF56" i="4"/>
  <c r="AC56" i="4"/>
  <c r="H56" i="4" s="1"/>
  <c r="CE57" i="4"/>
  <c r="BA58" i="4"/>
  <c r="AM83" i="4"/>
  <c r="AL49" i="4" s="1"/>
  <c r="E57" i="4"/>
  <c r="K57" i="4" s="1"/>
  <c r="AM54" i="4"/>
  <c r="BO54" i="4"/>
  <c r="CQ54" i="4"/>
  <c r="AK4" i="3"/>
  <c r="AJ4" i="3"/>
  <c r="AM4" i="3"/>
  <c r="Y5" i="3"/>
  <c r="AP7" i="3"/>
  <c r="CN55" i="3"/>
  <c r="CN58" i="3" s="1"/>
  <c r="AP12" i="3"/>
  <c r="AO12" i="3"/>
  <c r="CJ13" i="3"/>
  <c r="CF13" i="3"/>
  <c r="AF15" i="3"/>
  <c r="L55" i="3"/>
  <c r="L58" i="3" s="1"/>
  <c r="R4" i="3"/>
  <c r="B4" i="3"/>
  <c r="BE4" i="3"/>
  <c r="BE55" i="3" s="1"/>
  <c r="BE58" i="3" s="1"/>
  <c r="CH55" i="3"/>
  <c r="CH58" i="3" s="1"/>
  <c r="W5" i="3"/>
  <c r="V5" i="3" s="1"/>
  <c r="H5" i="3" s="1"/>
  <c r="O6" i="3"/>
  <c r="H6" i="3" s="1"/>
  <c r="Y6" i="3"/>
  <c r="O7" i="3"/>
  <c r="H7" i="3" s="1"/>
  <c r="BC8" i="3"/>
  <c r="BO9" i="3"/>
  <c r="BK9" i="3"/>
  <c r="BJ9" i="3" s="1"/>
  <c r="AP10" i="3"/>
  <c r="AO10" i="3"/>
  <c r="BR10" i="3"/>
  <c r="BQ10" i="3" s="1"/>
  <c r="Y11" i="3"/>
  <c r="T11" i="3"/>
  <c r="AD11" i="3"/>
  <c r="I11" i="3" s="1"/>
  <c r="J11" i="3"/>
  <c r="Y12" i="3"/>
  <c r="U12" i="3"/>
  <c r="G12" i="3" s="1"/>
  <c r="AH12" i="3"/>
  <c r="BA12" i="3"/>
  <c r="AV12" i="3"/>
  <c r="B13" i="3"/>
  <c r="BO13" i="3"/>
  <c r="BK13" i="3"/>
  <c r="BJ13" i="3" s="1"/>
  <c r="CL13" i="3"/>
  <c r="W14" i="3"/>
  <c r="V14" i="3" s="1"/>
  <c r="AJ14" i="3"/>
  <c r="CM15" i="3"/>
  <c r="CL15" i="3" s="1"/>
  <c r="CQ15" i="3"/>
  <c r="AM16" i="3"/>
  <c r="AH16" i="3"/>
  <c r="H18" i="3"/>
  <c r="BR20" i="3"/>
  <c r="BQ20" i="3"/>
  <c r="BV20" i="3"/>
  <c r="BZ55" i="3"/>
  <c r="BZ58" i="3" s="1"/>
  <c r="BR6" i="3"/>
  <c r="BQ6" i="3" s="1"/>
  <c r="O9" i="3"/>
  <c r="J12" i="3"/>
  <c r="BY13" i="3"/>
  <c r="BX13" i="3"/>
  <c r="N14" i="3"/>
  <c r="E14" i="3"/>
  <c r="M14" i="3"/>
  <c r="I15" i="3"/>
  <c r="O15" i="3"/>
  <c r="U16" i="3"/>
  <c r="Y16" i="3"/>
  <c r="BD21" i="3"/>
  <c r="BH21" i="3"/>
  <c r="BC21" i="3"/>
  <c r="R22" i="3"/>
  <c r="B22" i="3"/>
  <c r="E22" i="3"/>
  <c r="AO7" i="3"/>
  <c r="AH8" i="3"/>
  <c r="T13" i="3"/>
  <c r="AA14" i="3"/>
  <c r="AF14" i="3"/>
  <c r="AB14" i="3"/>
  <c r="AT15" i="3"/>
  <c r="AP15" i="3"/>
  <c r="AO15" i="3" s="1"/>
  <c r="BV15" i="3"/>
  <c r="BR15" i="3"/>
  <c r="BQ15" i="3"/>
  <c r="T16" i="3"/>
  <c r="AW18" i="3"/>
  <c r="AV18" i="3"/>
  <c r="BY18" i="3"/>
  <c r="BX18" i="3"/>
  <c r="AP20" i="3"/>
  <c r="AO20" i="3" s="1"/>
  <c r="N22" i="3"/>
  <c r="M4" i="3"/>
  <c r="BP55" i="3"/>
  <c r="BP58" i="3" s="1"/>
  <c r="BR4" i="3"/>
  <c r="AX55" i="3"/>
  <c r="AX58" i="3" s="1"/>
  <c r="U7" i="3"/>
  <c r="G7" i="3" s="1"/>
  <c r="BR8" i="3"/>
  <c r="BQ8" i="3" s="1"/>
  <c r="CQ9" i="3"/>
  <c r="CM9" i="3"/>
  <c r="CC10" i="3"/>
  <c r="BX10" i="3"/>
  <c r="BA11" i="3"/>
  <c r="AW11" i="3"/>
  <c r="AJ12" i="3"/>
  <c r="AM12" i="3"/>
  <c r="CC12" i="3"/>
  <c r="BY12" i="3"/>
  <c r="BY55" i="3" s="1"/>
  <c r="BY58" i="3" s="1"/>
  <c r="AI13" i="3"/>
  <c r="AH13" i="3" s="1"/>
  <c r="CC13" i="3"/>
  <c r="O14" i="3"/>
  <c r="J14" i="3"/>
  <c r="AC15" i="3"/>
  <c r="I19" i="3"/>
  <c r="O19" i="3"/>
  <c r="H19" i="3" s="1"/>
  <c r="CM19" i="3"/>
  <c r="CL19" i="3" s="1"/>
  <c r="CQ19" i="3"/>
  <c r="H20" i="3"/>
  <c r="CQ21" i="3"/>
  <c r="CM21" i="3"/>
  <c r="BR22" i="3"/>
  <c r="BQ22" i="3" s="1"/>
  <c r="AN55" i="3"/>
  <c r="AP4" i="3"/>
  <c r="X4" i="3"/>
  <c r="AB5" i="3"/>
  <c r="G5" i="3" s="1"/>
  <c r="AB6" i="3"/>
  <c r="AA6" i="3" s="1"/>
  <c r="H8" i="3"/>
  <c r="AV11" i="3"/>
  <c r="AF16" i="3"/>
  <c r="AB16" i="3"/>
  <c r="AA16" i="3"/>
  <c r="CC18" i="3"/>
  <c r="AI19" i="3"/>
  <c r="AH19" i="3" s="1"/>
  <c r="AM19" i="3"/>
  <c r="CL21" i="3"/>
  <c r="BQ4" i="3"/>
  <c r="AG55" i="3"/>
  <c r="AG58" i="3" s="1"/>
  <c r="AH4" i="3"/>
  <c r="BT55" i="3"/>
  <c r="BT58" i="3" s="1"/>
  <c r="R5" i="3"/>
  <c r="T6" i="3"/>
  <c r="Q4" i="3"/>
  <c r="AR55" i="3"/>
  <c r="AR58" i="3" s="1"/>
  <c r="BB55" i="3"/>
  <c r="BB58" i="3" s="1"/>
  <c r="BV4" i="3"/>
  <c r="CO55" i="3"/>
  <c r="CO58" i="3" s="1"/>
  <c r="T5" i="3"/>
  <c r="AW5" i="3"/>
  <c r="AW55" i="3" s="1"/>
  <c r="AW58" i="3" s="1"/>
  <c r="U6" i="3"/>
  <c r="CF6" i="3"/>
  <c r="BC7" i="3"/>
  <c r="CL7" i="3"/>
  <c r="I8" i="3"/>
  <c r="W9" i="3"/>
  <c r="I9" i="3" s="1"/>
  <c r="AM9" i="3"/>
  <c r="AI9" i="3"/>
  <c r="AH9" i="3" s="1"/>
  <c r="G11" i="3"/>
  <c r="D11" i="3"/>
  <c r="G13" i="3"/>
  <c r="AM13" i="3"/>
  <c r="CE13" i="3"/>
  <c r="B14" i="3"/>
  <c r="BD14" i="3"/>
  <c r="BC14" i="3" s="1"/>
  <c r="AP17" i="3"/>
  <c r="AO17" i="3" s="1"/>
  <c r="AT17" i="3"/>
  <c r="I18" i="3"/>
  <c r="AF18" i="3"/>
  <c r="B18" i="3"/>
  <c r="AB18" i="3"/>
  <c r="E19" i="3"/>
  <c r="K19" i="3" s="1"/>
  <c r="Y20" i="3"/>
  <c r="T20" i="3"/>
  <c r="E20" i="3"/>
  <c r="K20" i="3" s="1"/>
  <c r="BJ21" i="3"/>
  <c r="BV22" i="3"/>
  <c r="AF4" i="3"/>
  <c r="AJ5" i="3"/>
  <c r="CM5" i="3"/>
  <c r="CM55" i="3" s="1"/>
  <c r="CM58" i="3" s="1"/>
  <c r="CL5" i="3"/>
  <c r="BA10" i="3"/>
  <c r="AV10" i="3"/>
  <c r="CD55" i="3"/>
  <c r="CJ4" i="3"/>
  <c r="AM5" i="3"/>
  <c r="AV5" i="3"/>
  <c r="BR5" i="3"/>
  <c r="BQ5" i="3" s="1"/>
  <c r="AP6" i="3"/>
  <c r="AO6" i="3" s="1"/>
  <c r="CE6" i="3"/>
  <c r="E8" i="3"/>
  <c r="K8" i="3" s="1"/>
  <c r="AM8" i="3"/>
  <c r="R10" i="3"/>
  <c r="B10" i="3"/>
  <c r="N10" i="3"/>
  <c r="M10" i="3" s="1"/>
  <c r="S55" i="3"/>
  <c r="S58" i="3" s="1"/>
  <c r="BC4" i="3"/>
  <c r="BW55" i="3"/>
  <c r="BW58" i="3" s="1"/>
  <c r="AI7" i="3"/>
  <c r="AH7" i="3" s="1"/>
  <c r="J9" i="3"/>
  <c r="H10" i="3"/>
  <c r="B12" i="3"/>
  <c r="P12" i="3"/>
  <c r="I12" i="3" s="1"/>
  <c r="AT13" i="3"/>
  <c r="AP13" i="3"/>
  <c r="AO13" i="3" s="1"/>
  <c r="BH13" i="3"/>
  <c r="BD13" i="3"/>
  <c r="BC13" i="3" s="1"/>
  <c r="AI14" i="3"/>
  <c r="AH14" i="3" s="1"/>
  <c r="AM14" i="3"/>
  <c r="Y17" i="3"/>
  <c r="U17" i="3"/>
  <c r="AA18" i="3"/>
  <c r="B20" i="3"/>
  <c r="U20" i="3"/>
  <c r="BK21" i="3"/>
  <c r="BS55" i="3"/>
  <c r="BS58" i="3" s="1"/>
  <c r="N8" i="3"/>
  <c r="M8" i="3" s="1"/>
  <c r="AW8" i="3"/>
  <c r="AV8" i="3" s="1"/>
  <c r="CL9" i="3"/>
  <c r="AB12" i="3"/>
  <c r="AA12" i="3" s="1"/>
  <c r="AF12" i="3"/>
  <c r="BX12" i="3"/>
  <c r="AI4" i="3"/>
  <c r="G4" i="3" s="1"/>
  <c r="AT4" i="3"/>
  <c r="BL55" i="3"/>
  <c r="BL58" i="3" s="1"/>
  <c r="CF4" i="3"/>
  <c r="BK5" i="3"/>
  <c r="BK55" i="3" s="1"/>
  <c r="BK58" i="3" s="1"/>
  <c r="CQ5" i="3"/>
  <c r="B7" i="3"/>
  <c r="CM7" i="3"/>
  <c r="T4" i="3"/>
  <c r="AU55" i="3"/>
  <c r="BD4" i="3"/>
  <c r="BM55" i="3"/>
  <c r="BM58" i="3" s="1"/>
  <c r="BX4" i="3"/>
  <c r="CG4" i="3"/>
  <c r="CG55" i="3" s="1"/>
  <c r="CG58" i="3" s="1"/>
  <c r="B5" i="3"/>
  <c r="M5" i="3"/>
  <c r="AF5" i="3"/>
  <c r="N6" i="3"/>
  <c r="M6" i="3" s="1"/>
  <c r="E6" i="3"/>
  <c r="K6" i="3" s="1"/>
  <c r="AT6" i="3"/>
  <c r="BC6" i="3"/>
  <c r="E7" i="3"/>
  <c r="K7" i="3" s="1"/>
  <c r="D7" i="3"/>
  <c r="Y7" i="3"/>
  <c r="AV7" i="3"/>
  <c r="BH7" i="3"/>
  <c r="AP8" i="3"/>
  <c r="AO8" i="3" s="1"/>
  <c r="BX8" i="3"/>
  <c r="CM8" i="3"/>
  <c r="CL8" i="3"/>
  <c r="N9" i="3"/>
  <c r="M9" i="3" s="1"/>
  <c r="E9" i="3"/>
  <c r="K9" i="3" s="1"/>
  <c r="AA9" i="3"/>
  <c r="I10" i="3"/>
  <c r="AC11" i="3"/>
  <c r="H11" i="3" s="1"/>
  <c r="AP11" i="3"/>
  <c r="AO11" i="3"/>
  <c r="E12" i="3"/>
  <c r="K12" i="3" s="1"/>
  <c r="R12" i="3"/>
  <c r="AT12" i="3"/>
  <c r="H13" i="3"/>
  <c r="BX14" i="3"/>
  <c r="M15" i="3"/>
  <c r="E15" i="3"/>
  <c r="K15" i="3" s="1"/>
  <c r="R15" i="3"/>
  <c r="BK15" i="3"/>
  <c r="BJ15" i="3" s="1"/>
  <c r="BO15" i="3"/>
  <c r="T17" i="3"/>
  <c r="BA17" i="3"/>
  <c r="AW17" i="3"/>
  <c r="AV17" i="3" s="1"/>
  <c r="I21" i="3"/>
  <c r="BA22" i="3"/>
  <c r="AV22" i="3"/>
  <c r="H27" i="3"/>
  <c r="H29" i="3"/>
  <c r="CF23" i="3"/>
  <c r="CJ23" i="3"/>
  <c r="H24" i="3"/>
  <c r="AB25" i="3"/>
  <c r="AF25" i="3"/>
  <c r="CF27" i="3"/>
  <c r="CJ27" i="3"/>
  <c r="H28" i="3"/>
  <c r="U23" i="3"/>
  <c r="T23" i="3" s="1"/>
  <c r="AQ23" i="3"/>
  <c r="H23" i="3" s="1"/>
  <c r="CE23" i="3"/>
  <c r="AP24" i="3"/>
  <c r="AT24" i="3"/>
  <c r="AA25" i="3"/>
  <c r="BD25" i="3"/>
  <c r="BC25" i="3" s="1"/>
  <c r="BH25" i="3"/>
  <c r="CE27" i="3"/>
  <c r="AP28" i="3"/>
  <c r="AT28" i="3"/>
  <c r="AA29" i="3"/>
  <c r="AO24" i="3"/>
  <c r="BR24" i="3"/>
  <c r="BQ24" i="3" s="1"/>
  <c r="BV24" i="3"/>
  <c r="CF25" i="3"/>
  <c r="CJ25" i="3"/>
  <c r="H26" i="3"/>
  <c r="AW26" i="3"/>
  <c r="AV26" i="3" s="1"/>
  <c r="BX26" i="3"/>
  <c r="AO28" i="3"/>
  <c r="BR28" i="3"/>
  <c r="BQ28" i="3" s="1"/>
  <c r="BV28" i="3"/>
  <c r="AB29" i="3"/>
  <c r="CL14" i="3"/>
  <c r="BD16" i="3"/>
  <c r="BC16" i="3" s="1"/>
  <c r="R17" i="3"/>
  <c r="B17" i="3"/>
  <c r="BR17" i="3"/>
  <c r="BQ17" i="3" s="1"/>
  <c r="V19" i="3"/>
  <c r="BK19" i="3"/>
  <c r="BJ19" i="3" s="1"/>
  <c r="BO19" i="3"/>
  <c r="AB21" i="3"/>
  <c r="AA21" i="3" s="1"/>
  <c r="AF21" i="3"/>
  <c r="Y23" i="3"/>
  <c r="AH23" i="3"/>
  <c r="B25" i="3"/>
  <c r="O25" i="3"/>
  <c r="CE25" i="3"/>
  <c r="I26" i="3"/>
  <c r="BY26" i="3"/>
  <c r="AH27" i="3"/>
  <c r="E29" i="3"/>
  <c r="K29" i="3" s="1"/>
  <c r="U29" i="3"/>
  <c r="T29" i="3" s="1"/>
  <c r="Y29" i="3"/>
  <c r="D12" i="3"/>
  <c r="E13" i="3"/>
  <c r="K13" i="3" s="1"/>
  <c r="BR14" i="3"/>
  <c r="BQ14" i="3" s="1"/>
  <c r="N16" i="3"/>
  <c r="M16" i="3" s="1"/>
  <c r="E16" i="3"/>
  <c r="K16" i="3" s="1"/>
  <c r="BH16" i="3"/>
  <c r="CF16" i="3"/>
  <c r="CE16" i="3"/>
  <c r="N17" i="3"/>
  <c r="CF21" i="3"/>
  <c r="CJ21" i="3"/>
  <c r="H22" i="3"/>
  <c r="BY22" i="3"/>
  <c r="BX22" i="3" s="1"/>
  <c r="M23" i="3"/>
  <c r="BK23" i="3"/>
  <c r="BJ23" i="3" s="1"/>
  <c r="R24" i="3"/>
  <c r="B24" i="3"/>
  <c r="U25" i="3"/>
  <c r="D25" i="3" s="1"/>
  <c r="E25" i="3"/>
  <c r="F26" i="3"/>
  <c r="AP26" i="3"/>
  <c r="AO26" i="3" s="1"/>
  <c r="F27" i="3"/>
  <c r="BK27" i="3"/>
  <c r="BJ27" i="3" s="1"/>
  <c r="CL27" i="3"/>
  <c r="R28" i="3"/>
  <c r="B28" i="3"/>
  <c r="AW29" i="3"/>
  <c r="BA29" i="3"/>
  <c r="G30" i="3"/>
  <c r="AV9" i="3"/>
  <c r="AH10" i="3"/>
  <c r="M11" i="3"/>
  <c r="CL12" i="3"/>
  <c r="AF13" i="3"/>
  <c r="CE14" i="3"/>
  <c r="AA15" i="3"/>
  <c r="O16" i="3"/>
  <c r="H16" i="3" s="1"/>
  <c r="P16" i="3"/>
  <c r="I16" i="3" s="1"/>
  <c r="H17" i="3"/>
  <c r="U18" i="3"/>
  <c r="T18" i="3"/>
  <c r="BQ18" i="3"/>
  <c r="CE18" i="3"/>
  <c r="D19" i="3"/>
  <c r="N20" i="3"/>
  <c r="R20" i="3"/>
  <c r="I20" i="3"/>
  <c r="B21" i="3"/>
  <c r="CE21" i="3"/>
  <c r="I22" i="3"/>
  <c r="AB23" i="3"/>
  <c r="AA23" i="3" s="1"/>
  <c r="CM23" i="3"/>
  <c r="CL23" i="3" s="1"/>
  <c r="W25" i="3"/>
  <c r="V25" i="3" s="1"/>
  <c r="AI25" i="3"/>
  <c r="AH25" i="3" s="1"/>
  <c r="BR26" i="3"/>
  <c r="D26" i="3" s="1"/>
  <c r="AB27" i="3"/>
  <c r="G27" i="3" s="1"/>
  <c r="AF27" i="3"/>
  <c r="CM27" i="3"/>
  <c r="I29" i="3"/>
  <c r="AV29" i="3"/>
  <c r="BX9" i="3"/>
  <c r="Z55" i="3"/>
  <c r="Z58" i="3" s="1"/>
  <c r="AY55" i="3"/>
  <c r="AY58" i="3" s="1"/>
  <c r="BI55" i="3"/>
  <c r="CA55" i="3"/>
  <c r="CA58" i="3" s="1"/>
  <c r="CK55" i="3"/>
  <c r="CK58" i="3" s="1"/>
  <c r="E11" i="3"/>
  <c r="K11" i="3" s="1"/>
  <c r="BV11" i="3"/>
  <c r="BJ12" i="3"/>
  <c r="R13" i="3"/>
  <c r="AA13" i="3"/>
  <c r="BQ13" i="3"/>
  <c r="BK14" i="3"/>
  <c r="BJ14" i="3" s="1"/>
  <c r="CQ14" i="3"/>
  <c r="B16" i="3"/>
  <c r="R16" i="3"/>
  <c r="BJ16" i="3"/>
  <c r="CJ16" i="3"/>
  <c r="E17" i="3"/>
  <c r="K17" i="3" s="1"/>
  <c r="I17" i="3"/>
  <c r="BX17" i="3"/>
  <c r="CF18" i="3"/>
  <c r="AO19" i="3"/>
  <c r="AW20" i="3"/>
  <c r="AV20" i="3" s="1"/>
  <c r="J22" i="3"/>
  <c r="AP22" i="3"/>
  <c r="AO22" i="3" s="1"/>
  <c r="BD23" i="3"/>
  <c r="BC23" i="3" s="1"/>
  <c r="BH23" i="3"/>
  <c r="N24" i="3"/>
  <c r="AW24" i="3"/>
  <c r="AV24" i="3" s="1"/>
  <c r="BX24" i="3"/>
  <c r="J25" i="3"/>
  <c r="Y25" i="3"/>
  <c r="BK25" i="3"/>
  <c r="BJ25" i="3" s="1"/>
  <c r="CL25" i="3"/>
  <c r="R26" i="3"/>
  <c r="B26" i="3"/>
  <c r="AT26" i="3"/>
  <c r="AA27" i="3"/>
  <c r="BD27" i="3"/>
  <c r="BC27" i="3" s="1"/>
  <c r="C27" i="3" s="1"/>
  <c r="BH27" i="3"/>
  <c r="N28" i="3"/>
  <c r="AW28" i="3"/>
  <c r="AV28" i="3" s="1"/>
  <c r="BX28" i="3"/>
  <c r="BD15" i="3"/>
  <c r="BC15" i="3" s="1"/>
  <c r="BY16" i="3"/>
  <c r="BX16" i="3" s="1"/>
  <c r="AI17" i="3"/>
  <c r="AH17" i="3" s="1"/>
  <c r="BK17" i="3"/>
  <c r="BJ17" i="3" s="1"/>
  <c r="CM17" i="3"/>
  <c r="CL17" i="3" s="1"/>
  <c r="N18" i="3"/>
  <c r="AP18" i="3"/>
  <c r="AO18" i="3" s="1"/>
  <c r="BR18" i="3"/>
  <c r="U19" i="3"/>
  <c r="T19" i="3" s="1"/>
  <c r="AI20" i="3"/>
  <c r="AH20" i="3" s="1"/>
  <c r="BK20" i="3"/>
  <c r="BJ20" i="3" s="1"/>
  <c r="CM20" i="3"/>
  <c r="CL20" i="3" s="1"/>
  <c r="N21" i="3"/>
  <c r="AI22" i="3"/>
  <c r="AH22" i="3" s="1"/>
  <c r="BK22" i="3"/>
  <c r="BJ22" i="3" s="1"/>
  <c r="CM22" i="3"/>
  <c r="CL22" i="3" s="1"/>
  <c r="N23" i="3"/>
  <c r="CC29" i="3"/>
  <c r="R30" i="3"/>
  <c r="B30" i="3"/>
  <c r="U31" i="3"/>
  <c r="G31" i="3" s="1"/>
  <c r="T31" i="3"/>
  <c r="CM33" i="3"/>
  <c r="CL33" i="3" s="1"/>
  <c r="AK36" i="3"/>
  <c r="AJ36" i="3" s="1"/>
  <c r="H36" i="3" s="1"/>
  <c r="AM37" i="3"/>
  <c r="I39" i="3"/>
  <c r="M30" i="3"/>
  <c r="V31" i="3"/>
  <c r="W31" i="3"/>
  <c r="I31" i="3" s="1"/>
  <c r="AV31" i="3"/>
  <c r="BK31" i="3"/>
  <c r="BO31" i="3"/>
  <c r="BX31" i="3"/>
  <c r="CM31" i="3"/>
  <c r="CL31" i="3" s="1"/>
  <c r="CQ31" i="3"/>
  <c r="N34" i="3"/>
  <c r="M34" i="3" s="1"/>
  <c r="E34" i="3"/>
  <c r="M35" i="3"/>
  <c r="I36" i="3"/>
  <c r="O37" i="3"/>
  <c r="BA37" i="3"/>
  <c r="AW37" i="3"/>
  <c r="AV37" i="3" s="1"/>
  <c r="U38" i="3"/>
  <c r="Y38" i="3"/>
  <c r="CC39" i="3"/>
  <c r="BY39" i="3"/>
  <c r="BX39" i="3"/>
  <c r="BC29" i="3"/>
  <c r="CE29" i="3"/>
  <c r="AI30" i="3"/>
  <c r="BX30" i="3"/>
  <c r="Y31" i="3"/>
  <c r="BJ31" i="3"/>
  <c r="G32" i="3"/>
  <c r="CL32" i="3"/>
  <c r="R33" i="3"/>
  <c r="B33" i="3"/>
  <c r="AI33" i="3"/>
  <c r="AH33" i="3"/>
  <c r="P34" i="3"/>
  <c r="I34" i="3" s="1"/>
  <c r="O35" i="3"/>
  <c r="H35" i="3" s="1"/>
  <c r="AF35" i="3"/>
  <c r="AB35" i="3"/>
  <c r="AA35" i="3"/>
  <c r="B35" i="3"/>
  <c r="E35" i="3"/>
  <c r="K35" i="3" s="1"/>
  <c r="BR35" i="3"/>
  <c r="BQ35" i="3" s="1"/>
  <c r="BV35" i="3"/>
  <c r="AT36" i="3"/>
  <c r="AP36" i="3"/>
  <c r="R37" i="3"/>
  <c r="CE37" i="3"/>
  <c r="B38" i="3"/>
  <c r="T38" i="3"/>
  <c r="H42" i="3"/>
  <c r="BD29" i="3"/>
  <c r="CF29" i="3"/>
  <c r="AW30" i="3"/>
  <c r="AV30" i="3" s="1"/>
  <c r="M32" i="3"/>
  <c r="AA32" i="3"/>
  <c r="BK32" i="3"/>
  <c r="BJ32" i="3" s="1"/>
  <c r="AO36" i="3"/>
  <c r="U37" i="3"/>
  <c r="B37" i="3"/>
  <c r="AJ37" i="3"/>
  <c r="BQ38" i="3"/>
  <c r="AM30" i="3"/>
  <c r="AA31" i="3"/>
  <c r="AB32" i="3"/>
  <c r="N33" i="3"/>
  <c r="AM33" i="3"/>
  <c r="U34" i="3"/>
  <c r="T34" i="3" s="1"/>
  <c r="Y34" i="3"/>
  <c r="R35" i="3"/>
  <c r="J35" i="3"/>
  <c r="BQ31" i="3"/>
  <c r="R32" i="3"/>
  <c r="H33" i="3"/>
  <c r="BK33" i="3"/>
  <c r="BJ33" i="3" s="1"/>
  <c r="AW34" i="3"/>
  <c r="BA34" i="3"/>
  <c r="CM35" i="3"/>
  <c r="CL35" i="3" s="1"/>
  <c r="CQ35" i="3"/>
  <c r="AC37" i="3"/>
  <c r="AD37" i="3"/>
  <c r="BJ36" i="3"/>
  <c r="BO36" i="3"/>
  <c r="J37" i="3"/>
  <c r="AF37" i="3"/>
  <c r="BH38" i="3"/>
  <c r="BD38" i="3"/>
  <c r="H44" i="3"/>
  <c r="V16" i="3"/>
  <c r="B19" i="3"/>
  <c r="AA19" i="3"/>
  <c r="BC19" i="3"/>
  <c r="CE19" i="3"/>
  <c r="T21" i="3"/>
  <c r="AV21" i="3"/>
  <c r="BX21" i="3"/>
  <c r="AV23" i="3"/>
  <c r="BX23" i="3"/>
  <c r="AH24" i="3"/>
  <c r="BJ24" i="3"/>
  <c r="CL24" i="3"/>
  <c r="M25" i="3"/>
  <c r="AV25" i="3"/>
  <c r="BX25" i="3"/>
  <c r="T27" i="3"/>
  <c r="AV27" i="3"/>
  <c r="BX27" i="3"/>
  <c r="AH28" i="3"/>
  <c r="BJ28" i="3"/>
  <c r="CL28" i="3"/>
  <c r="M29" i="3"/>
  <c r="AO29" i="3"/>
  <c r="BQ29" i="3"/>
  <c r="BR30" i="3"/>
  <c r="BV30" i="3"/>
  <c r="B31" i="3"/>
  <c r="O31" i="3"/>
  <c r="H31" i="3" s="1"/>
  <c r="AP31" i="3"/>
  <c r="AO31" i="3" s="1"/>
  <c r="BR31" i="3"/>
  <c r="BD32" i="3"/>
  <c r="D32" i="3" s="1"/>
  <c r="BH32" i="3"/>
  <c r="CF32" i="3"/>
  <c r="CJ32" i="3"/>
  <c r="I33" i="3"/>
  <c r="AV34" i="3"/>
  <c r="BY34" i="3"/>
  <c r="BX34" i="3" s="1"/>
  <c r="CC34" i="3"/>
  <c r="AI35" i="3"/>
  <c r="D35" i="3" s="1"/>
  <c r="AW35" i="3"/>
  <c r="AV35" i="3"/>
  <c r="BA35" i="3"/>
  <c r="AF36" i="3"/>
  <c r="BC38" i="3"/>
  <c r="F48" i="3"/>
  <c r="E18" i="3"/>
  <c r="K18" i="3" s="1"/>
  <c r="E21" i="3"/>
  <c r="K21" i="3" s="1"/>
  <c r="E23" i="3"/>
  <c r="K23" i="3" s="1"/>
  <c r="E27" i="3"/>
  <c r="K27" i="3" s="1"/>
  <c r="CL29" i="3"/>
  <c r="AD30" i="3"/>
  <c r="AC30" i="3" s="1"/>
  <c r="H30" i="3" s="1"/>
  <c r="AP30" i="3"/>
  <c r="AO30" i="3" s="1"/>
  <c r="BQ30" i="3"/>
  <c r="R31" i="3"/>
  <c r="AF31" i="3"/>
  <c r="E32" i="3"/>
  <c r="K32" i="3" s="1"/>
  <c r="T32" i="3"/>
  <c r="BC32" i="3"/>
  <c r="CE32" i="3"/>
  <c r="E33" i="3"/>
  <c r="K33" i="3" s="1"/>
  <c r="AP33" i="3"/>
  <c r="AO33" i="3" s="1"/>
  <c r="BO33" i="3"/>
  <c r="J34" i="3"/>
  <c r="BY35" i="3"/>
  <c r="BX35" i="3" s="1"/>
  <c r="N36" i="3"/>
  <c r="AB37" i="3"/>
  <c r="AA37" i="3" s="1"/>
  <c r="O38" i="3"/>
  <c r="H38" i="3" s="1"/>
  <c r="I38" i="3"/>
  <c r="AA38" i="3"/>
  <c r="AM40" i="3"/>
  <c r="AI40" i="3"/>
  <c r="AH40" i="3"/>
  <c r="B40" i="3"/>
  <c r="V43" i="3"/>
  <c r="H43" i="3" s="1"/>
  <c r="AB33" i="3"/>
  <c r="AA33" i="3" s="1"/>
  <c r="J36" i="3"/>
  <c r="K36" i="3" s="1"/>
  <c r="CL36" i="3"/>
  <c r="X37" i="3"/>
  <c r="BC37" i="3"/>
  <c r="M39" i="3"/>
  <c r="O40" i="3"/>
  <c r="AB40" i="3"/>
  <c r="G40" i="3" s="1"/>
  <c r="I42" i="3"/>
  <c r="CL42" i="3"/>
  <c r="W43" i="3"/>
  <c r="I43" i="3" s="1"/>
  <c r="AK43" i="3"/>
  <c r="AJ43" i="3"/>
  <c r="AW47" i="3"/>
  <c r="AV47" i="3"/>
  <c r="CC48" i="3"/>
  <c r="BY48" i="3"/>
  <c r="BX48" i="3" s="1"/>
  <c r="U49" i="3"/>
  <c r="T49" i="3" s="1"/>
  <c r="B49" i="3"/>
  <c r="AB50" i="3"/>
  <c r="AA50" i="3"/>
  <c r="AF50" i="3"/>
  <c r="BJ52" i="3"/>
  <c r="BY52" i="3"/>
  <c r="BX52" i="3" s="1"/>
  <c r="CC52" i="3"/>
  <c r="AT58" i="3"/>
  <c r="O49" i="3"/>
  <c r="P49" i="3"/>
  <c r="P40" i="3"/>
  <c r="AD40" i="3"/>
  <c r="AC40" i="3"/>
  <c r="G44" i="3"/>
  <c r="Y45" i="3"/>
  <c r="B45" i="3"/>
  <c r="AC46" i="3"/>
  <c r="H46" i="3" s="1"/>
  <c r="BR46" i="3"/>
  <c r="BQ46" i="3"/>
  <c r="B47" i="3"/>
  <c r="J48" i="3"/>
  <c r="M50" i="3"/>
  <c r="E50" i="3"/>
  <c r="N50" i="3"/>
  <c r="R50" i="3"/>
  <c r="B50" i="3"/>
  <c r="AD50" i="3"/>
  <c r="AC50" i="3" s="1"/>
  <c r="I53" i="3"/>
  <c r="CJ38" i="3"/>
  <c r="CF38" i="3"/>
  <c r="CE38" i="3" s="1"/>
  <c r="AJ39" i="3"/>
  <c r="H39" i="3" s="1"/>
  <c r="Y43" i="3"/>
  <c r="AT43" i="3"/>
  <c r="AP43" i="3"/>
  <c r="AO43" i="3" s="1"/>
  <c r="BC43" i="3"/>
  <c r="BV43" i="3"/>
  <c r="BR43" i="3"/>
  <c r="BQ43" i="3" s="1"/>
  <c r="BX45" i="3"/>
  <c r="G48" i="3"/>
  <c r="AD48" i="3"/>
  <c r="AC48" i="3" s="1"/>
  <c r="H48" i="3" s="1"/>
  <c r="BA48" i="3"/>
  <c r="AW48" i="3"/>
  <c r="AV48" i="3" s="1"/>
  <c r="G52" i="3"/>
  <c r="CF44" i="3"/>
  <c r="D44" i="3" s="1"/>
  <c r="CJ44" i="3"/>
  <c r="CE44" i="3"/>
  <c r="CM45" i="3"/>
  <c r="CL45" i="3" s="1"/>
  <c r="CQ45" i="3"/>
  <c r="Y46" i="3"/>
  <c r="B46" i="3"/>
  <c r="BA46" i="3"/>
  <c r="AW46" i="3"/>
  <c r="BH47" i="3"/>
  <c r="BD47" i="3"/>
  <c r="BC47" i="3" s="1"/>
  <c r="AF54" i="3"/>
  <c r="AB54" i="3"/>
  <c r="BH54" i="3"/>
  <c r="BD54" i="3"/>
  <c r="BC54" i="3" s="1"/>
  <c r="AP39" i="3"/>
  <c r="AO39" i="3"/>
  <c r="BO40" i="3"/>
  <c r="BK40" i="3"/>
  <c r="CQ40" i="3"/>
  <c r="CM40" i="3"/>
  <c r="CL40" i="3" s="1"/>
  <c r="BD42" i="3"/>
  <c r="BC42" i="3" s="1"/>
  <c r="Y44" i="3"/>
  <c r="U44" i="3"/>
  <c r="AV46" i="3"/>
  <c r="M47" i="3"/>
  <c r="AA47" i="3"/>
  <c r="AW49" i="3"/>
  <c r="AV49" i="3"/>
  <c r="B54" i="3"/>
  <c r="AA54" i="3"/>
  <c r="BK37" i="3"/>
  <c r="BJ37" i="3" s="1"/>
  <c r="BJ40" i="3"/>
  <c r="R41" i="3"/>
  <c r="N41" i="3"/>
  <c r="AT41" i="3"/>
  <c r="AP41" i="3"/>
  <c r="AO41" i="3" s="1"/>
  <c r="BV41" i="3"/>
  <c r="BR41" i="3"/>
  <c r="BQ41" i="3" s="1"/>
  <c r="B42" i="3"/>
  <c r="CF42" i="3"/>
  <c r="CE42" i="3" s="1"/>
  <c r="R43" i="3"/>
  <c r="J43" i="3"/>
  <c r="AC43" i="3"/>
  <c r="T44" i="3"/>
  <c r="BO45" i="3"/>
  <c r="U46" i="3"/>
  <c r="T46" i="3" s="1"/>
  <c r="H47" i="3"/>
  <c r="AB47" i="3"/>
  <c r="BJ30" i="3"/>
  <c r="CL30" i="3"/>
  <c r="E31" i="3"/>
  <c r="K31" i="3" s="1"/>
  <c r="M31" i="3"/>
  <c r="BC31" i="3"/>
  <c r="CE31" i="3"/>
  <c r="O32" i="3"/>
  <c r="H32" i="3" s="1"/>
  <c r="AV32" i="3"/>
  <c r="BX32" i="3"/>
  <c r="AO34" i="3"/>
  <c r="BQ34" i="3"/>
  <c r="AH36" i="3"/>
  <c r="BC36" i="3"/>
  <c r="M37" i="3"/>
  <c r="E37" i="3"/>
  <c r="AH38" i="3"/>
  <c r="V40" i="3"/>
  <c r="M41" i="3"/>
  <c r="Y42" i="3"/>
  <c r="U42" i="3"/>
  <c r="G42" i="3" s="1"/>
  <c r="BA42" i="3"/>
  <c r="AW42" i="3"/>
  <c r="G43" i="3"/>
  <c r="AF43" i="3"/>
  <c r="I44" i="3"/>
  <c r="BO44" i="3"/>
  <c r="BK44" i="3"/>
  <c r="BJ44" i="3"/>
  <c r="I47" i="3"/>
  <c r="BA49" i="3"/>
  <c r="BY49" i="3"/>
  <c r="BX49" i="3" s="1"/>
  <c r="CC49" i="3"/>
  <c r="AO35" i="3"/>
  <c r="CE35" i="3"/>
  <c r="AA36" i="3"/>
  <c r="BY36" i="3"/>
  <c r="BX36" i="3" s="1"/>
  <c r="BO37" i="3"/>
  <c r="BY37" i="3"/>
  <c r="BX37" i="3" s="1"/>
  <c r="CM37" i="3"/>
  <c r="CL37" i="3"/>
  <c r="AI38" i="3"/>
  <c r="G38" i="3" s="1"/>
  <c r="BK38" i="3"/>
  <c r="BJ38" i="3" s="1"/>
  <c r="R39" i="3"/>
  <c r="B39" i="3"/>
  <c r="AT39" i="3"/>
  <c r="BR39" i="3"/>
  <c r="BQ39" i="3" s="1"/>
  <c r="B41" i="3"/>
  <c r="I41" i="3"/>
  <c r="T42" i="3"/>
  <c r="AV42" i="3"/>
  <c r="BJ42" i="3"/>
  <c r="CC42" i="3"/>
  <c r="BY42" i="3"/>
  <c r="BX42" i="3" s="1"/>
  <c r="AI43" i="3"/>
  <c r="D43" i="3" s="1"/>
  <c r="AH43" i="3"/>
  <c r="B43" i="3"/>
  <c r="AW43" i="3"/>
  <c r="AV43" i="3" s="1"/>
  <c r="AP45" i="3"/>
  <c r="AO45" i="3" s="1"/>
  <c r="BY47" i="3"/>
  <c r="BX47" i="3" s="1"/>
  <c r="CC47" i="3"/>
  <c r="N51" i="3"/>
  <c r="B51" i="3"/>
  <c r="M51" i="3"/>
  <c r="E51" i="3"/>
  <c r="K51" i="3" s="1"/>
  <c r="R51" i="3"/>
  <c r="CJ54" i="3"/>
  <c r="CF54" i="3"/>
  <c r="CE54" i="3" s="1"/>
  <c r="AB49" i="3"/>
  <c r="J50" i="3"/>
  <c r="CM50" i="3"/>
  <c r="CL50" i="3" s="1"/>
  <c r="CQ50" i="3"/>
  <c r="AW52" i="3"/>
  <c r="AV52" i="3" s="1"/>
  <c r="BA52" i="3"/>
  <c r="BV53" i="3"/>
  <c r="BR53" i="3"/>
  <c r="N54" i="3"/>
  <c r="M54" i="3"/>
  <c r="E54" i="3"/>
  <c r="K54" i="3" s="1"/>
  <c r="H57" i="3"/>
  <c r="AA49" i="3"/>
  <c r="BK50" i="3"/>
  <c r="BO50" i="3"/>
  <c r="BC53" i="3"/>
  <c r="BQ53" i="3"/>
  <c r="O54" i="3"/>
  <c r="H54" i="3" s="1"/>
  <c r="P54" i="3"/>
  <c r="I54" i="3" s="1"/>
  <c r="J54" i="3"/>
  <c r="BV55" i="3"/>
  <c r="I57" i="3"/>
  <c r="E38" i="3"/>
  <c r="K38" i="3" s="1"/>
  <c r="M38" i="3"/>
  <c r="AV38" i="3"/>
  <c r="BX38" i="3"/>
  <c r="AH39" i="3"/>
  <c r="T40" i="3"/>
  <c r="BC40" i="3"/>
  <c r="CE40" i="3"/>
  <c r="O41" i="3"/>
  <c r="H41" i="3" s="1"/>
  <c r="AH41" i="3"/>
  <c r="BJ41" i="3"/>
  <c r="CL41" i="3"/>
  <c r="E42" i="3"/>
  <c r="K42" i="3" s="1"/>
  <c r="M42" i="3"/>
  <c r="AO42" i="3"/>
  <c r="BQ42" i="3"/>
  <c r="AA43" i="3"/>
  <c r="BJ43" i="3"/>
  <c r="CL43" i="3"/>
  <c r="E44" i="3"/>
  <c r="K44" i="3" s="1"/>
  <c r="M44" i="3"/>
  <c r="AO44" i="3"/>
  <c r="I45" i="3"/>
  <c r="AH45" i="3"/>
  <c r="BQ45" i="3"/>
  <c r="N46" i="3"/>
  <c r="M46" i="3"/>
  <c r="E46" i="3"/>
  <c r="K46" i="3" s="1"/>
  <c r="BX46" i="3"/>
  <c r="D49" i="3"/>
  <c r="G49" i="3"/>
  <c r="BJ50" i="3"/>
  <c r="J53" i="3"/>
  <c r="V53" i="3"/>
  <c r="AT53" i="3"/>
  <c r="AP53" i="3"/>
  <c r="AO53" i="3" s="1"/>
  <c r="R54" i="3"/>
  <c r="BH55" i="3"/>
  <c r="AA39" i="3"/>
  <c r="CL39" i="3"/>
  <c r="E40" i="3"/>
  <c r="K40" i="3" s="1"/>
  <c r="M40" i="3"/>
  <c r="T43" i="3"/>
  <c r="F43" i="3" s="1"/>
  <c r="N45" i="3"/>
  <c r="BR45" i="3"/>
  <c r="BY46" i="3"/>
  <c r="E47" i="3"/>
  <c r="K47" i="3" s="1"/>
  <c r="U47" i="3"/>
  <c r="T47" i="3" s="1"/>
  <c r="V50" i="3"/>
  <c r="H50" i="3" s="1"/>
  <c r="W50" i="3"/>
  <c r="I50" i="3" s="1"/>
  <c r="BD51" i="3"/>
  <c r="BH51" i="3"/>
  <c r="CF51" i="3"/>
  <c r="CJ51" i="3"/>
  <c r="CE51" i="3"/>
  <c r="R52" i="3"/>
  <c r="B52" i="3"/>
  <c r="E52" i="3"/>
  <c r="K52" i="3" s="1"/>
  <c r="U54" i="3"/>
  <c r="T54" i="3"/>
  <c r="Y54" i="3"/>
  <c r="E43" i="3"/>
  <c r="K43" i="3" s="1"/>
  <c r="E45" i="3"/>
  <c r="K45" i="3" s="1"/>
  <c r="H45" i="3"/>
  <c r="AM45" i="3"/>
  <c r="R46" i="3"/>
  <c r="AB46" i="3"/>
  <c r="AA46" i="3" s="1"/>
  <c r="AP46" i="3"/>
  <c r="AO46" i="3"/>
  <c r="AH47" i="3"/>
  <c r="CF47" i="3"/>
  <c r="CE47" i="3" s="1"/>
  <c r="K48" i="3"/>
  <c r="I48" i="3"/>
  <c r="AP48" i="3"/>
  <c r="AO48" i="3" s="1"/>
  <c r="AT48" i="3"/>
  <c r="BR48" i="3"/>
  <c r="BQ48" i="3" s="1"/>
  <c r="BV48" i="3"/>
  <c r="Y50" i="3"/>
  <c r="BC51" i="3"/>
  <c r="M52" i="3"/>
  <c r="M53" i="3"/>
  <c r="AB53" i="3"/>
  <c r="G53" i="3" s="1"/>
  <c r="AA53" i="3"/>
  <c r="B53" i="3"/>
  <c r="E53" i="3"/>
  <c r="K53" i="3" s="1"/>
  <c r="AF53" i="3"/>
  <c r="CJ58" i="3"/>
  <c r="CF56" i="3"/>
  <c r="CE56" i="3" s="1"/>
  <c r="CJ56" i="3"/>
  <c r="BK53" i="3"/>
  <c r="BJ53" i="3"/>
  <c r="CM53" i="3"/>
  <c r="CL53" i="3" s="1"/>
  <c r="BY54" i="3"/>
  <c r="BX54" i="3" s="1"/>
  <c r="B57" i="3"/>
  <c r="R57" i="3"/>
  <c r="Y88" i="3"/>
  <c r="X49" i="3" s="1"/>
  <c r="J49" i="3" s="1"/>
  <c r="AO56" i="3"/>
  <c r="M57" i="3"/>
  <c r="AF88" i="3"/>
  <c r="AE49" i="3" s="1"/>
  <c r="E56" i="3"/>
  <c r="K56" i="3" s="1"/>
  <c r="U56" i="3"/>
  <c r="G56" i="3" s="1"/>
  <c r="BD56" i="3"/>
  <c r="BC56" i="3" s="1"/>
  <c r="BH56" i="3"/>
  <c r="BQ56" i="3"/>
  <c r="AM88" i="3"/>
  <c r="AL49" i="3" s="1"/>
  <c r="AM49" i="3" s="1"/>
  <c r="AC53" i="3"/>
  <c r="AD53" i="3"/>
  <c r="Y56" i="3"/>
  <c r="AI57" i="3"/>
  <c r="G57" i="3" s="1"/>
  <c r="AM57" i="3"/>
  <c r="BK57" i="3"/>
  <c r="BO57" i="3"/>
  <c r="CM57" i="3"/>
  <c r="CQ57" i="3"/>
  <c r="B48" i="3"/>
  <c r="AH48" i="3"/>
  <c r="BJ48" i="3"/>
  <c r="CL48" i="3"/>
  <c r="E49" i="3"/>
  <c r="M49" i="3"/>
  <c r="BQ49" i="3"/>
  <c r="AI50" i="3"/>
  <c r="AH50" i="3" s="1"/>
  <c r="AM50" i="3"/>
  <c r="H51" i="3"/>
  <c r="BJ57" i="3"/>
  <c r="CL57" i="3"/>
  <c r="BH58" i="3"/>
  <c r="CL49" i="3"/>
  <c r="CM49" i="3"/>
  <c r="AV50" i="3"/>
  <c r="BR50" i="3"/>
  <c r="BQ50" i="3" s="1"/>
  <c r="I51" i="3"/>
  <c r="AD52" i="3"/>
  <c r="AC52" i="3" s="1"/>
  <c r="H52" i="3" s="1"/>
  <c r="BD52" i="3"/>
  <c r="BC52" i="3" s="1"/>
  <c r="CF52" i="3"/>
  <c r="CE52" i="3" s="1"/>
  <c r="AW54" i="3"/>
  <c r="AV54" i="3" s="1"/>
  <c r="CB58" i="3"/>
  <c r="CC55" i="3"/>
  <c r="B56" i="3"/>
  <c r="AA56" i="3"/>
  <c r="BK56" i="3"/>
  <c r="BJ56" i="3" s="1"/>
  <c r="CL56" i="3"/>
  <c r="AA52" i="3"/>
  <c r="BD53" i="3"/>
  <c r="CF53" i="3"/>
  <c r="CE53" i="3" s="1"/>
  <c r="BR54" i="3"/>
  <c r="BQ54" i="3" s="1"/>
  <c r="BU58" i="3"/>
  <c r="AO52" i="3"/>
  <c r="BQ52" i="3"/>
  <c r="T53" i="3"/>
  <c r="AA57" i="3"/>
  <c r="BC57" i="3"/>
  <c r="CE57" i="3"/>
  <c r="CM57" i="2"/>
  <c r="CG57" i="2"/>
  <c r="BZ57" i="2"/>
  <c r="BY57" i="2"/>
  <c r="BS57" i="2"/>
  <c r="BR57" i="2"/>
  <c r="BV57" i="2"/>
  <c r="BL57" i="2"/>
  <c r="BK57" i="2"/>
  <c r="BJ57" i="2" s="1"/>
  <c r="BE57" i="2"/>
  <c r="BH57" i="2"/>
  <c r="BA57" i="2"/>
  <c r="AX57" i="2"/>
  <c r="AW57" i="2"/>
  <c r="AQ57" i="2"/>
  <c r="AI57" i="2"/>
  <c r="AH57" i="2" s="1"/>
  <c r="AC57" i="2"/>
  <c r="AB57" i="2"/>
  <c r="AA57" i="2" s="1"/>
  <c r="V57" i="2"/>
  <c r="U57" i="2"/>
  <c r="O57" i="2"/>
  <c r="N57" i="2"/>
  <c r="I57" i="2"/>
  <c r="CM56" i="2"/>
  <c r="CG56" i="2"/>
  <c r="CF56" i="2"/>
  <c r="CE56" i="2" s="1"/>
  <c r="CJ56" i="2"/>
  <c r="BZ56" i="2"/>
  <c r="BS56" i="2"/>
  <c r="BL56" i="2"/>
  <c r="BK56" i="2"/>
  <c r="BO56" i="2"/>
  <c r="BE56" i="2"/>
  <c r="BD56" i="2"/>
  <c r="BC56" i="2" s="1"/>
  <c r="AX56" i="2"/>
  <c r="AW56" i="2"/>
  <c r="AV56" i="2" s="1"/>
  <c r="BA56" i="2"/>
  <c r="AQ56" i="2"/>
  <c r="AP56" i="2"/>
  <c r="AJ56" i="2"/>
  <c r="AC56" i="2"/>
  <c r="AB56" i="2"/>
  <c r="AA56" i="2" s="1"/>
  <c r="V56" i="2"/>
  <c r="O56" i="2"/>
  <c r="I56" i="2"/>
  <c r="CO55" i="2"/>
  <c r="CO58" i="2" s="1"/>
  <c r="CH55" i="2"/>
  <c r="CH58" i="2" s="1"/>
  <c r="CA55" i="2"/>
  <c r="CA58" i="2" s="1"/>
  <c r="BT55" i="2"/>
  <c r="BT58" i="2" s="1"/>
  <c r="BM55" i="2"/>
  <c r="BM58" i="2" s="1"/>
  <c r="BF55" i="2"/>
  <c r="BF58" i="2" s="1"/>
  <c r="AY55" i="2"/>
  <c r="AY58" i="2" s="1"/>
  <c r="AR55" i="2"/>
  <c r="AR58" i="2" s="1"/>
  <c r="AK55" i="2"/>
  <c r="AK58" i="2" s="1"/>
  <c r="AD55" i="2"/>
  <c r="AD58" i="2" s="1"/>
  <c r="W55" i="2"/>
  <c r="W58" i="2" s="1"/>
  <c r="P55" i="2"/>
  <c r="P58" i="2" s="1"/>
  <c r="CN54" i="2"/>
  <c r="CQ54" i="2"/>
  <c r="CG54" i="2"/>
  <c r="BZ54" i="2"/>
  <c r="BY54" i="2"/>
  <c r="BX54" i="2" s="1"/>
  <c r="CC54" i="2"/>
  <c r="BS54" i="2"/>
  <c r="BR54" i="2"/>
  <c r="BL54" i="2"/>
  <c r="BK54" i="2"/>
  <c r="BO54" i="2"/>
  <c r="BE54" i="2"/>
  <c r="AX54" i="2"/>
  <c r="AP54" i="2"/>
  <c r="AJ54" i="2"/>
  <c r="AF54" i="2"/>
  <c r="AB54" i="2"/>
  <c r="AA54" i="2" s="1"/>
  <c r="V54" i="2"/>
  <c r="O54" i="2"/>
  <c r="I54" i="2"/>
  <c r="CN53" i="2"/>
  <c r="CM53" i="2"/>
  <c r="CL53" i="2" s="1"/>
  <c r="CG53" i="2"/>
  <c r="BZ53" i="2"/>
  <c r="BS53" i="2"/>
  <c r="BL53" i="2"/>
  <c r="BO53" i="2"/>
  <c r="BE53" i="2"/>
  <c r="BA53" i="2"/>
  <c r="AW53" i="2"/>
  <c r="AV53" i="2" s="1"/>
  <c r="AQ53" i="2"/>
  <c r="AJ53" i="2"/>
  <c r="AF53" i="2"/>
  <c r="AC53" i="2"/>
  <c r="U53" i="2"/>
  <c r="O53" i="2"/>
  <c r="I53" i="2"/>
  <c r="CN52" i="2"/>
  <c r="CG52" i="2"/>
  <c r="CF52" i="2"/>
  <c r="BZ52" i="2"/>
  <c r="BS52" i="2"/>
  <c r="BL52" i="2"/>
  <c r="BK52" i="2"/>
  <c r="BE52" i="2"/>
  <c r="AX52" i="2"/>
  <c r="AW52" i="2"/>
  <c r="AP52" i="2"/>
  <c r="AO52" i="2" s="1"/>
  <c r="AJ52" i="2"/>
  <c r="AC52" i="2"/>
  <c r="AB52" i="2"/>
  <c r="AA52" i="2" s="1"/>
  <c r="Y52" i="2"/>
  <c r="O52" i="2"/>
  <c r="R52" i="2"/>
  <c r="I52" i="2"/>
  <c r="CN51" i="2"/>
  <c r="CG51" i="2"/>
  <c r="CF51" i="2"/>
  <c r="BZ51" i="2"/>
  <c r="BS51" i="2"/>
  <c r="BK51" i="2"/>
  <c r="BE51" i="2"/>
  <c r="AX51" i="2"/>
  <c r="AW51" i="2"/>
  <c r="AQ51" i="2"/>
  <c r="AT51" i="2"/>
  <c r="AJ51" i="2"/>
  <c r="AI51" i="2"/>
  <c r="AH51" i="2" s="1"/>
  <c r="AC51" i="2"/>
  <c r="AF51" i="2"/>
  <c r="V51" i="2"/>
  <c r="U51" i="2"/>
  <c r="O51" i="2"/>
  <c r="N51" i="2"/>
  <c r="I51" i="2"/>
  <c r="CN50" i="2"/>
  <c r="CF50" i="2"/>
  <c r="BZ50" i="2"/>
  <c r="BY50" i="2"/>
  <c r="BS50" i="2"/>
  <c r="BR50" i="2"/>
  <c r="BQ50" i="2" s="1"/>
  <c r="BL50" i="2"/>
  <c r="BE50" i="2"/>
  <c r="AX50" i="2"/>
  <c r="AQ50" i="2"/>
  <c r="AT50" i="2"/>
  <c r="AJ50" i="2"/>
  <c r="AI50" i="2"/>
  <c r="AF50" i="2"/>
  <c r="AC50" i="2"/>
  <c r="AB50" i="2"/>
  <c r="AA50" i="2" s="1"/>
  <c r="U50" i="2"/>
  <c r="O50" i="2"/>
  <c r="N50" i="2"/>
  <c r="I50" i="2"/>
  <c r="CQ49" i="2"/>
  <c r="CM49" i="2"/>
  <c r="CG49" i="2"/>
  <c r="BZ49" i="2"/>
  <c r="BS49" i="2"/>
  <c r="BR49" i="2"/>
  <c r="BL49" i="2"/>
  <c r="BK49" i="2"/>
  <c r="BD49" i="2"/>
  <c r="AX49" i="2"/>
  <c r="AW49" i="2"/>
  <c r="AV49" i="2" s="1"/>
  <c r="AT49" i="2"/>
  <c r="AJ49" i="2"/>
  <c r="AI49" i="2"/>
  <c r="AH49" i="2" s="1"/>
  <c r="AC49" i="2"/>
  <c r="U49" i="2"/>
  <c r="T49" i="2" s="1"/>
  <c r="R49" i="2"/>
  <c r="I49" i="2"/>
  <c r="CM48" i="2"/>
  <c r="CG48" i="2"/>
  <c r="CF48" i="2"/>
  <c r="CE48" i="2" s="1"/>
  <c r="BZ48" i="2"/>
  <c r="BY48" i="2"/>
  <c r="BV48" i="2"/>
  <c r="BR48" i="2"/>
  <c r="BQ48" i="2" s="1"/>
  <c r="BL48" i="2"/>
  <c r="BO48" i="2"/>
  <c r="BE48" i="2"/>
  <c r="BD48" i="2"/>
  <c r="BA48" i="2"/>
  <c r="AQ48" i="2"/>
  <c r="AP48" i="2"/>
  <c r="AJ48" i="2"/>
  <c r="AF48" i="2"/>
  <c r="AB48" i="2"/>
  <c r="AA48" i="2" s="1"/>
  <c r="V48" i="2"/>
  <c r="U48" i="2"/>
  <c r="R48" i="2"/>
  <c r="M48" i="2"/>
  <c r="N48" i="2"/>
  <c r="I48" i="2"/>
  <c r="CN47" i="2"/>
  <c r="CM47" i="2"/>
  <c r="CG47" i="2"/>
  <c r="CJ47" i="2"/>
  <c r="CC47" i="2"/>
  <c r="BZ47" i="2"/>
  <c r="BY47" i="2"/>
  <c r="BX47" i="2" s="1"/>
  <c r="BS47" i="2"/>
  <c r="BR47" i="2"/>
  <c r="BO47" i="2"/>
  <c r="BL47" i="2"/>
  <c r="BK47" i="2"/>
  <c r="BE47" i="2"/>
  <c r="BD47" i="2"/>
  <c r="AX47" i="2"/>
  <c r="AW47" i="2"/>
  <c r="AV47" i="2" s="1"/>
  <c r="AQ47" i="2"/>
  <c r="AJ47" i="2"/>
  <c r="AI47" i="2"/>
  <c r="AF47" i="2"/>
  <c r="AC47" i="2"/>
  <c r="AB47" i="2"/>
  <c r="V47" i="2"/>
  <c r="U47" i="2"/>
  <c r="O47" i="2"/>
  <c r="R47" i="2"/>
  <c r="I47" i="2"/>
  <c r="CN46" i="2"/>
  <c r="CG46" i="2"/>
  <c r="BZ46" i="2"/>
  <c r="BV46" i="2"/>
  <c r="BS46" i="2"/>
  <c r="BR46" i="2"/>
  <c r="BQ46" i="2" s="1"/>
  <c r="BL46" i="2"/>
  <c r="BO46" i="2"/>
  <c r="BE46" i="2"/>
  <c r="AX46" i="2"/>
  <c r="AW46" i="2"/>
  <c r="AQ46" i="2"/>
  <c r="AT46" i="2"/>
  <c r="AJ46" i="2"/>
  <c r="AM46" i="2"/>
  <c r="AF46" i="2"/>
  <c r="AC46" i="2"/>
  <c r="AB46" i="2"/>
  <c r="V46" i="2"/>
  <c r="Y46" i="2"/>
  <c r="R46" i="2"/>
  <c r="O46" i="2"/>
  <c r="N46" i="2"/>
  <c r="M46" i="2" s="1"/>
  <c r="I46" i="2"/>
  <c r="CN45" i="2"/>
  <c r="CG45" i="2"/>
  <c r="BZ45" i="2"/>
  <c r="BY45" i="2"/>
  <c r="BS45" i="2"/>
  <c r="BR45" i="2"/>
  <c r="BQ45" i="2" s="1"/>
  <c r="BV45" i="2"/>
  <c r="BL45" i="2"/>
  <c r="BO45" i="2"/>
  <c r="BE45" i="2"/>
  <c r="BD45" i="2"/>
  <c r="AX45" i="2"/>
  <c r="AQ45" i="2"/>
  <c r="AP45" i="2"/>
  <c r="AJ45" i="2"/>
  <c r="AM45" i="2"/>
  <c r="AC45" i="2"/>
  <c r="V45" i="2"/>
  <c r="O45" i="2"/>
  <c r="N45" i="2"/>
  <c r="I45" i="2"/>
  <c r="CN44" i="2"/>
  <c r="CM44" i="2"/>
  <c r="CJ44" i="2"/>
  <c r="CG44" i="2"/>
  <c r="CF44" i="2"/>
  <c r="BZ44" i="2"/>
  <c r="BS44" i="2"/>
  <c r="BR44" i="2"/>
  <c r="BL44" i="2"/>
  <c r="BO44" i="2"/>
  <c r="BE44" i="2"/>
  <c r="BH44" i="2"/>
  <c r="AX44" i="2"/>
  <c r="AT44" i="2"/>
  <c r="AQ44" i="2"/>
  <c r="AO44" i="2"/>
  <c r="AP44" i="2"/>
  <c r="AJ44" i="2"/>
  <c r="AI44" i="2"/>
  <c r="AH44" i="2" s="1"/>
  <c r="AF44" i="2"/>
  <c r="AC44" i="2"/>
  <c r="AB44" i="2"/>
  <c r="V44" i="2"/>
  <c r="U44" i="2"/>
  <c r="O44" i="2"/>
  <c r="I44" i="2"/>
  <c r="CN43" i="2"/>
  <c r="CG43" i="2"/>
  <c r="CF43" i="2"/>
  <c r="BZ43" i="2"/>
  <c r="BY43" i="2"/>
  <c r="BX43" i="2" s="1"/>
  <c r="BS43" i="2"/>
  <c r="BL43" i="2"/>
  <c r="BO43" i="2"/>
  <c r="BD43" i="2"/>
  <c r="BC43" i="2" s="1"/>
  <c r="AX43" i="2"/>
  <c r="AQ43" i="2"/>
  <c r="AP43" i="2"/>
  <c r="AI43" i="2"/>
  <c r="AC43" i="2"/>
  <c r="AB43" i="2"/>
  <c r="AA43" i="2" s="1"/>
  <c r="V43" i="2"/>
  <c r="O43" i="2"/>
  <c r="R43" i="2"/>
  <c r="I43" i="2"/>
  <c r="CN42" i="2"/>
  <c r="CM42" i="2"/>
  <c r="CG42" i="2"/>
  <c r="CF42" i="2"/>
  <c r="CE42" i="2" s="1"/>
  <c r="BZ42" i="2"/>
  <c r="BV42" i="2"/>
  <c r="BS42" i="2"/>
  <c r="BQ42" i="2"/>
  <c r="BR42" i="2"/>
  <c r="BL42" i="2"/>
  <c r="BO42" i="2"/>
  <c r="BE42" i="2"/>
  <c r="BH42" i="2"/>
  <c r="AX42" i="2"/>
  <c r="BA42" i="2"/>
  <c r="AQ42" i="2"/>
  <c r="AJ42" i="2"/>
  <c r="AI42" i="2"/>
  <c r="AH42" i="2" s="1"/>
  <c r="AM42" i="2"/>
  <c r="AC42" i="2"/>
  <c r="AF42" i="2"/>
  <c r="V42" i="2"/>
  <c r="U42" i="2"/>
  <c r="O42" i="2"/>
  <c r="R42" i="2"/>
  <c r="J42" i="2"/>
  <c r="I42" i="2"/>
  <c r="CN41" i="2"/>
  <c r="CM41" i="2"/>
  <c r="CL41" i="2" s="1"/>
  <c r="CQ41" i="2"/>
  <c r="CG41" i="2"/>
  <c r="CC41" i="2"/>
  <c r="BZ41" i="2"/>
  <c r="BY41" i="2"/>
  <c r="BX41" i="2" s="1"/>
  <c r="BS41" i="2"/>
  <c r="BV41" i="2"/>
  <c r="BL41" i="2"/>
  <c r="BK41" i="2"/>
  <c r="BE41" i="2"/>
  <c r="AX41" i="2"/>
  <c r="AQ41" i="2"/>
  <c r="AT41" i="2"/>
  <c r="AJ41" i="2"/>
  <c r="AI41" i="2"/>
  <c r="AM41" i="2"/>
  <c r="AC41" i="2"/>
  <c r="AF41" i="2"/>
  <c r="V41" i="2"/>
  <c r="O41" i="2"/>
  <c r="R41" i="2"/>
  <c r="J41" i="2"/>
  <c r="I41" i="2"/>
  <c r="CN40" i="2"/>
  <c r="CQ40" i="2"/>
  <c r="CG40" i="2"/>
  <c r="BZ40" i="2"/>
  <c r="BS40" i="2"/>
  <c r="BL40" i="2"/>
  <c r="BO40" i="2"/>
  <c r="BE40" i="2"/>
  <c r="AX40" i="2"/>
  <c r="AW40" i="2"/>
  <c r="AQ40" i="2"/>
  <c r="AJ40" i="2"/>
  <c r="AC40" i="2"/>
  <c r="O40" i="2"/>
  <c r="I40" i="2"/>
  <c r="CN39" i="2"/>
  <c r="CG39" i="2"/>
  <c r="BZ39" i="2"/>
  <c r="BR39" i="2"/>
  <c r="BL39" i="2"/>
  <c r="BE39" i="2"/>
  <c r="BD39" i="2"/>
  <c r="BC39" i="2" s="1"/>
  <c r="AX39" i="2"/>
  <c r="AQ39" i="2"/>
  <c r="AP39" i="2"/>
  <c r="AJ39" i="2"/>
  <c r="AI39" i="2"/>
  <c r="AC39" i="2"/>
  <c r="AF39" i="2"/>
  <c r="V39" i="2"/>
  <c r="O39" i="2"/>
  <c r="N39" i="2"/>
  <c r="I39" i="2"/>
  <c r="CN38" i="2"/>
  <c r="CM38" i="2"/>
  <c r="CG38" i="2"/>
  <c r="CF38" i="2"/>
  <c r="BZ38" i="2"/>
  <c r="CC38" i="2"/>
  <c r="BS38" i="2"/>
  <c r="BL38" i="2"/>
  <c r="BK38" i="2"/>
  <c r="BE38" i="2"/>
  <c r="AX38" i="2"/>
  <c r="AQ38" i="2"/>
  <c r="AJ38" i="2"/>
  <c r="AC38" i="2"/>
  <c r="AB38" i="2"/>
  <c r="V38" i="2"/>
  <c r="O38" i="2"/>
  <c r="I38" i="2"/>
  <c r="CN37" i="2"/>
  <c r="CG37" i="2"/>
  <c r="CJ37" i="2"/>
  <c r="BZ37" i="2"/>
  <c r="BY37" i="2"/>
  <c r="BS37" i="2"/>
  <c r="BL37" i="2"/>
  <c r="AX37" i="2"/>
  <c r="AW37" i="2"/>
  <c r="AQ37" i="2"/>
  <c r="AC37" i="2"/>
  <c r="AB37" i="2"/>
  <c r="V37" i="2"/>
  <c r="O37" i="2"/>
  <c r="I37" i="2"/>
  <c r="CN36" i="2"/>
  <c r="CG36" i="2"/>
  <c r="BZ36" i="2"/>
  <c r="BS36" i="2"/>
  <c r="BR36" i="2"/>
  <c r="BL36" i="2"/>
  <c r="BE36" i="2"/>
  <c r="AW36" i="2"/>
  <c r="AQ36" i="2"/>
  <c r="AJ36" i="2"/>
  <c r="AM36" i="2"/>
  <c r="AC36" i="2"/>
  <c r="V36" i="2"/>
  <c r="U36" i="2"/>
  <c r="O36" i="2"/>
  <c r="I36" i="2"/>
  <c r="CQ35" i="2"/>
  <c r="CN35" i="2"/>
  <c r="CM35" i="2"/>
  <c r="CG35" i="2"/>
  <c r="CC35" i="2"/>
  <c r="BZ35" i="2"/>
  <c r="BY35" i="2"/>
  <c r="BX35" i="2" s="1"/>
  <c r="BS35" i="2"/>
  <c r="BV35" i="2"/>
  <c r="BL35" i="2"/>
  <c r="BO35" i="2"/>
  <c r="BE35" i="2"/>
  <c r="BD35" i="2"/>
  <c r="BC35" i="2" s="1"/>
  <c r="BH35" i="2"/>
  <c r="AX35" i="2"/>
  <c r="BA35" i="2"/>
  <c r="AQ35" i="2"/>
  <c r="AT35" i="2"/>
  <c r="AJ35" i="2"/>
  <c r="AC35" i="2"/>
  <c r="V35" i="2"/>
  <c r="O35" i="2"/>
  <c r="R35" i="2"/>
  <c r="J35" i="2"/>
  <c r="I35" i="2"/>
  <c r="CN34" i="2"/>
  <c r="CG34" i="2"/>
  <c r="CJ34" i="2"/>
  <c r="CC34" i="2"/>
  <c r="BZ34" i="2"/>
  <c r="BY34" i="2"/>
  <c r="BX34" i="2" s="1"/>
  <c r="BS34" i="2"/>
  <c r="BR34" i="2"/>
  <c r="BO34" i="2"/>
  <c r="BL34" i="2"/>
  <c r="BK34" i="2"/>
  <c r="BJ34" i="2" s="1"/>
  <c r="BE34" i="2"/>
  <c r="AX34" i="2"/>
  <c r="BA34" i="2"/>
  <c r="AQ34" i="2"/>
  <c r="AJ34" i="2"/>
  <c r="AC34" i="2"/>
  <c r="V34" i="2"/>
  <c r="O34" i="2"/>
  <c r="J34" i="2"/>
  <c r="I34" i="2"/>
  <c r="CN33" i="2"/>
  <c r="CG33" i="2"/>
  <c r="BZ33" i="2"/>
  <c r="BY33" i="2"/>
  <c r="BX33" i="2" s="1"/>
  <c r="CC33" i="2"/>
  <c r="BS33" i="2"/>
  <c r="BV33" i="2"/>
  <c r="BL33" i="2"/>
  <c r="BE33" i="2"/>
  <c r="AX33" i="2"/>
  <c r="AW33" i="2"/>
  <c r="AQ33" i="2"/>
  <c r="AM33" i="2"/>
  <c r="AJ33" i="2"/>
  <c r="AC33" i="2"/>
  <c r="AF33" i="2"/>
  <c r="V33" i="2"/>
  <c r="Y33" i="2"/>
  <c r="Q33" i="2"/>
  <c r="J33" i="2" s="1"/>
  <c r="I33" i="2"/>
  <c r="CN32" i="2"/>
  <c r="CQ32" i="2"/>
  <c r="CG32" i="2"/>
  <c r="CJ32" i="2"/>
  <c r="BZ32" i="2"/>
  <c r="BS32" i="2"/>
  <c r="BR32" i="2"/>
  <c r="BL32" i="2"/>
  <c r="BH32" i="2"/>
  <c r="BE32" i="2"/>
  <c r="AX32" i="2"/>
  <c r="AQ32" i="2"/>
  <c r="AL32" i="2"/>
  <c r="AJ32" i="2" s="1"/>
  <c r="AE32" i="2"/>
  <c r="AC32" i="2"/>
  <c r="X32" i="2"/>
  <c r="V32" i="2" s="1"/>
  <c r="U32" i="2"/>
  <c r="Q32" i="2"/>
  <c r="O32" i="2"/>
  <c r="N32" i="2"/>
  <c r="M32" i="2" s="1"/>
  <c r="J32" i="2"/>
  <c r="I32" i="2"/>
  <c r="CN31" i="2"/>
  <c r="CG31" i="2"/>
  <c r="CJ31" i="2"/>
  <c r="BZ31" i="2"/>
  <c r="BY31" i="2"/>
  <c r="BS31" i="2"/>
  <c r="BL31" i="2"/>
  <c r="BO31" i="2"/>
  <c r="BE31" i="2"/>
  <c r="AW31" i="2"/>
  <c r="AV31" i="2" s="1"/>
  <c r="AQ31" i="2"/>
  <c r="AJ31" i="2"/>
  <c r="AC31" i="2"/>
  <c r="V31" i="2"/>
  <c r="U31" i="2"/>
  <c r="O31" i="2"/>
  <c r="N31" i="2"/>
  <c r="M31" i="2" s="1"/>
  <c r="I31" i="2"/>
  <c r="CN30" i="2"/>
  <c r="CQ30" i="2"/>
  <c r="CG30" i="2"/>
  <c r="CF30" i="2"/>
  <c r="BZ30" i="2"/>
  <c r="BY30" i="2"/>
  <c r="BS30" i="2"/>
  <c r="BR30" i="2"/>
  <c r="BQ30" i="2" s="1"/>
  <c r="BL30" i="2"/>
  <c r="BE30" i="2"/>
  <c r="AX30" i="2"/>
  <c r="AW30" i="2"/>
  <c r="AQ30" i="2"/>
  <c r="AP30" i="2"/>
  <c r="AO30" i="2" s="1"/>
  <c r="AJ30" i="2"/>
  <c r="AC30" i="2"/>
  <c r="AB30" i="2"/>
  <c r="V30" i="2"/>
  <c r="O30" i="2"/>
  <c r="N30" i="2"/>
  <c r="I30" i="2"/>
  <c r="CN29" i="2"/>
  <c r="CQ29" i="2"/>
  <c r="CG29" i="2"/>
  <c r="BZ29" i="2"/>
  <c r="BS29" i="2"/>
  <c r="BR29" i="2"/>
  <c r="BL29" i="2"/>
  <c r="BE29" i="2"/>
  <c r="BD29" i="2"/>
  <c r="BA29" i="2"/>
  <c r="AX29" i="2"/>
  <c r="AW29" i="2"/>
  <c r="AQ29" i="2"/>
  <c r="AJ29" i="2"/>
  <c r="AM29" i="2"/>
  <c r="AC29" i="2"/>
  <c r="V29" i="2"/>
  <c r="Y29" i="2"/>
  <c r="O29" i="2"/>
  <c r="R29" i="2"/>
  <c r="J29" i="2"/>
  <c r="I29" i="2"/>
  <c r="CN28" i="2"/>
  <c r="CG28" i="2"/>
  <c r="CF28" i="2"/>
  <c r="BZ28" i="2"/>
  <c r="CC28" i="2"/>
  <c r="BS28" i="2"/>
  <c r="BV28" i="2"/>
  <c r="BL28" i="2"/>
  <c r="BK28" i="2"/>
  <c r="BE28" i="2"/>
  <c r="BD28" i="2"/>
  <c r="AX28" i="2"/>
  <c r="AW28" i="2"/>
  <c r="AQ28" i="2"/>
  <c r="AJ28" i="2"/>
  <c r="AC28" i="2"/>
  <c r="V28" i="2"/>
  <c r="Y28" i="2"/>
  <c r="O28" i="2"/>
  <c r="J28" i="2"/>
  <c r="I28" i="2"/>
  <c r="CN27" i="2"/>
  <c r="CM27" i="2"/>
  <c r="CJ27" i="2"/>
  <c r="CG27" i="2"/>
  <c r="CF27" i="2"/>
  <c r="BZ27" i="2"/>
  <c r="BS27" i="2"/>
  <c r="BV27" i="2"/>
  <c r="BL27" i="2"/>
  <c r="BK27" i="2"/>
  <c r="BJ27" i="2" s="1"/>
  <c r="BO27" i="2"/>
  <c r="BE27" i="2"/>
  <c r="BH27" i="2"/>
  <c r="AX27" i="2"/>
  <c r="AW27" i="2"/>
  <c r="AV27" i="2" s="1"/>
  <c r="BA27" i="2"/>
  <c r="AQ27" i="2"/>
  <c r="AT27" i="2"/>
  <c r="AJ27" i="2"/>
  <c r="AI27" i="2"/>
  <c r="AC27" i="2"/>
  <c r="AB27" i="2"/>
  <c r="V27" i="2"/>
  <c r="R27" i="2"/>
  <c r="O27" i="2"/>
  <c r="N27" i="2"/>
  <c r="J27" i="2"/>
  <c r="I27" i="2"/>
  <c r="CQ26" i="2"/>
  <c r="CN26" i="2"/>
  <c r="CM26" i="2"/>
  <c r="CL26" i="2" s="1"/>
  <c r="CG26" i="2"/>
  <c r="BZ26" i="2"/>
  <c r="BY26" i="2"/>
  <c r="BV26" i="2"/>
  <c r="BS26" i="2"/>
  <c r="BR26" i="2"/>
  <c r="BL26" i="2"/>
  <c r="BE26" i="2"/>
  <c r="BH26" i="2"/>
  <c r="AX26" i="2"/>
  <c r="AW26" i="2"/>
  <c r="AQ26" i="2"/>
  <c r="AT26" i="2"/>
  <c r="AJ26" i="2"/>
  <c r="AI26" i="2"/>
  <c r="AC26" i="2"/>
  <c r="AF26" i="2"/>
  <c r="V26" i="2"/>
  <c r="U26" i="2"/>
  <c r="O26" i="2"/>
  <c r="R26" i="2"/>
  <c r="J26" i="2"/>
  <c r="I26" i="2"/>
  <c r="CN25" i="2"/>
  <c r="CM25" i="2"/>
  <c r="CL25" i="2" s="1"/>
  <c r="CQ25" i="2"/>
  <c r="CG25" i="2"/>
  <c r="BZ25" i="2"/>
  <c r="BS25" i="2"/>
  <c r="BV25" i="2"/>
  <c r="BL25" i="2"/>
  <c r="BK25" i="2"/>
  <c r="BE25" i="2"/>
  <c r="AX25" i="2"/>
  <c r="AQ25" i="2"/>
  <c r="AJ25" i="2"/>
  <c r="AM25" i="2"/>
  <c r="AC25" i="2"/>
  <c r="Y25" i="2"/>
  <c r="V25" i="2"/>
  <c r="U25" i="2"/>
  <c r="T25" i="2" s="1"/>
  <c r="O25" i="2"/>
  <c r="J25" i="2"/>
  <c r="I25" i="2"/>
  <c r="CN24" i="2"/>
  <c r="CG24" i="2"/>
  <c r="CF24" i="2"/>
  <c r="BZ24" i="2"/>
  <c r="BV24" i="2"/>
  <c r="BS24" i="2"/>
  <c r="BR24" i="2"/>
  <c r="BL24" i="2"/>
  <c r="BE24" i="2"/>
  <c r="AX24" i="2"/>
  <c r="AQ24" i="2"/>
  <c r="AJ24" i="2"/>
  <c r="AI24" i="2"/>
  <c r="AC24" i="2"/>
  <c r="AF24" i="2"/>
  <c r="V24" i="2"/>
  <c r="U24" i="2"/>
  <c r="O24" i="2"/>
  <c r="N24" i="2"/>
  <c r="J24" i="2"/>
  <c r="I24" i="2"/>
  <c r="CN23" i="2"/>
  <c r="CG23" i="2"/>
  <c r="CF23" i="2"/>
  <c r="BZ23" i="2"/>
  <c r="CC23" i="2"/>
  <c r="BV23" i="2"/>
  <c r="BS23" i="2"/>
  <c r="BR23" i="2"/>
  <c r="BL23" i="2"/>
  <c r="BE23" i="2"/>
  <c r="BA23" i="2"/>
  <c r="AX23" i="2"/>
  <c r="AW23" i="2"/>
  <c r="AV23" i="2" s="1"/>
  <c r="AQ23" i="2"/>
  <c r="AJ23" i="2"/>
  <c r="AM23" i="2"/>
  <c r="AC23" i="2"/>
  <c r="V23" i="2"/>
  <c r="Y23" i="2"/>
  <c r="O23" i="2"/>
  <c r="J23" i="2"/>
  <c r="I23" i="2"/>
  <c r="CN22" i="2"/>
  <c r="CQ22" i="2"/>
  <c r="CG22" i="2"/>
  <c r="BZ22" i="2"/>
  <c r="CC22" i="2"/>
  <c r="BS22" i="2"/>
  <c r="BV22" i="2"/>
  <c r="BL22" i="2"/>
  <c r="BO22" i="2"/>
  <c r="BE22" i="2"/>
  <c r="BA22" i="2"/>
  <c r="AX22" i="2"/>
  <c r="AW22" i="2"/>
  <c r="AQ22" i="2"/>
  <c r="AP22" i="2"/>
  <c r="AJ22" i="2"/>
  <c r="AI22" i="2"/>
  <c r="AH22" i="2" s="1"/>
  <c r="AM22" i="2"/>
  <c r="AC22" i="2"/>
  <c r="AB22" i="2"/>
  <c r="V22" i="2"/>
  <c r="O22" i="2"/>
  <c r="J22" i="2"/>
  <c r="I22" i="2"/>
  <c r="CN21" i="2"/>
  <c r="CG21" i="2"/>
  <c r="BZ21" i="2"/>
  <c r="BY21" i="2"/>
  <c r="BS21" i="2"/>
  <c r="BV21" i="2"/>
  <c r="BL21" i="2"/>
  <c r="BE21" i="2"/>
  <c r="BH21" i="2"/>
  <c r="AX21" i="2"/>
  <c r="AQ21" i="2"/>
  <c r="AP21" i="2"/>
  <c r="AJ21" i="2"/>
  <c r="AM21" i="2"/>
  <c r="AC21" i="2"/>
  <c r="AA21" i="2"/>
  <c r="AB21" i="2"/>
  <c r="V21" i="2"/>
  <c r="Y21" i="2"/>
  <c r="O21" i="2"/>
  <c r="R21" i="2"/>
  <c r="J21" i="2"/>
  <c r="I21" i="2"/>
  <c r="CN20" i="2"/>
  <c r="CM20" i="2"/>
  <c r="CG20" i="2"/>
  <c r="CF20" i="2"/>
  <c r="BZ20" i="2"/>
  <c r="CC20" i="2"/>
  <c r="BS20" i="2"/>
  <c r="BL20" i="2"/>
  <c r="BO20" i="2"/>
  <c r="BE20" i="2"/>
  <c r="BH20" i="2"/>
  <c r="BA20" i="2"/>
  <c r="AX20" i="2"/>
  <c r="AQ20" i="2"/>
  <c r="AP20" i="2"/>
  <c r="AJ20" i="2"/>
  <c r="E20" i="2"/>
  <c r="K20" i="2" s="1"/>
  <c r="AC20" i="2"/>
  <c r="AF20" i="2"/>
  <c r="V20" i="2"/>
  <c r="U20" i="2"/>
  <c r="O20" i="2"/>
  <c r="N20" i="2"/>
  <c r="J20" i="2"/>
  <c r="I20" i="2"/>
  <c r="CQ19" i="2"/>
  <c r="CN19" i="2"/>
  <c r="CG19" i="2"/>
  <c r="CJ19" i="2"/>
  <c r="BZ19" i="2"/>
  <c r="CC19" i="2"/>
  <c r="BS19" i="2"/>
  <c r="BR19" i="2"/>
  <c r="BL19" i="2"/>
  <c r="BE19" i="2"/>
  <c r="AX19" i="2"/>
  <c r="AW19" i="2"/>
  <c r="AQ19" i="2"/>
  <c r="AP19" i="2"/>
  <c r="AO19" i="2" s="1"/>
  <c r="AT19" i="2"/>
  <c r="AJ19" i="2"/>
  <c r="AF19" i="2"/>
  <c r="AC19" i="2"/>
  <c r="AB19" i="2"/>
  <c r="AA19" i="2" s="1"/>
  <c r="V19" i="2"/>
  <c r="O19" i="2"/>
  <c r="R19" i="2"/>
  <c r="J19" i="2"/>
  <c r="I19" i="2"/>
  <c r="CN18" i="2"/>
  <c r="CM18" i="2"/>
  <c r="CG18" i="2"/>
  <c r="CF18" i="2"/>
  <c r="CE18" i="2" s="1"/>
  <c r="CJ18" i="2"/>
  <c r="BZ18" i="2"/>
  <c r="BS18" i="2"/>
  <c r="BV18" i="2"/>
  <c r="BL18" i="2"/>
  <c r="BO18" i="2"/>
  <c r="BE18" i="2"/>
  <c r="BD18" i="2"/>
  <c r="AX18" i="2"/>
  <c r="BA18" i="2"/>
  <c r="AT18" i="2"/>
  <c r="AQ18" i="2"/>
  <c r="AP18" i="2"/>
  <c r="AJ18" i="2"/>
  <c r="AM18" i="2"/>
  <c r="AC18" i="2"/>
  <c r="V18" i="2"/>
  <c r="Y18" i="2"/>
  <c r="O18" i="2"/>
  <c r="J18" i="2"/>
  <c r="I18" i="2"/>
  <c r="CN17" i="2"/>
  <c r="CM17" i="2"/>
  <c r="CG17" i="2"/>
  <c r="BZ17" i="2"/>
  <c r="BS17" i="2"/>
  <c r="BL17" i="2"/>
  <c r="BO17" i="2"/>
  <c r="BE17" i="2"/>
  <c r="AX17" i="2"/>
  <c r="BA17" i="2"/>
  <c r="AQ17" i="2"/>
  <c r="AM17" i="2"/>
  <c r="AJ17" i="2"/>
  <c r="AI17" i="2"/>
  <c r="AH17" i="2" s="1"/>
  <c r="AC17" i="2"/>
  <c r="V17" i="2"/>
  <c r="Y17" i="2"/>
  <c r="O17" i="2"/>
  <c r="R17" i="2"/>
  <c r="J17" i="2"/>
  <c r="I17" i="2"/>
  <c r="CN16" i="2"/>
  <c r="CG16" i="2"/>
  <c r="BZ16" i="2"/>
  <c r="BY16" i="2"/>
  <c r="BS16" i="2"/>
  <c r="BR16" i="2"/>
  <c r="BL16" i="2"/>
  <c r="BK16" i="2"/>
  <c r="BJ16" i="2" s="1"/>
  <c r="BE16" i="2"/>
  <c r="BD16" i="2"/>
  <c r="AX16" i="2"/>
  <c r="AQ16" i="2"/>
  <c r="AP16" i="2"/>
  <c r="AO16" i="2" s="1"/>
  <c r="AJ16" i="2"/>
  <c r="AC16" i="2"/>
  <c r="V16" i="2"/>
  <c r="Y16" i="2"/>
  <c r="O16" i="2"/>
  <c r="N16" i="2"/>
  <c r="I16" i="2"/>
  <c r="CN15" i="2"/>
  <c r="CL15" i="2"/>
  <c r="CM15" i="2"/>
  <c r="CG15" i="2"/>
  <c r="CF15" i="2"/>
  <c r="CE15" i="2" s="1"/>
  <c r="BZ15" i="2"/>
  <c r="BY15" i="2"/>
  <c r="BS15" i="2"/>
  <c r="BL15" i="2"/>
  <c r="BE15" i="2"/>
  <c r="BD15" i="2"/>
  <c r="BC15" i="2" s="1"/>
  <c r="AX15" i="2"/>
  <c r="AQ15" i="2"/>
  <c r="AP15" i="2"/>
  <c r="AJ15" i="2"/>
  <c r="AC15" i="2"/>
  <c r="V15" i="2"/>
  <c r="I15" i="2"/>
  <c r="CN14" i="2"/>
  <c r="CG14" i="2"/>
  <c r="BZ14" i="2"/>
  <c r="BY14" i="2"/>
  <c r="BS14" i="2"/>
  <c r="BL14" i="2"/>
  <c r="BK14" i="2"/>
  <c r="BE14" i="2"/>
  <c r="AX14" i="2"/>
  <c r="AQ14" i="2"/>
  <c r="AP14" i="2"/>
  <c r="AJ14" i="2"/>
  <c r="AI14" i="2"/>
  <c r="AC14" i="2"/>
  <c r="V14" i="2"/>
  <c r="U14" i="2"/>
  <c r="O14" i="2"/>
  <c r="N14" i="2"/>
  <c r="M14" i="2" s="1"/>
  <c r="I14" i="2"/>
  <c r="CN13" i="2"/>
  <c r="CQ13" i="2"/>
  <c r="CG13" i="2"/>
  <c r="CF13" i="2"/>
  <c r="BZ13" i="2"/>
  <c r="CC13" i="2"/>
  <c r="BS13" i="2"/>
  <c r="BL13" i="2"/>
  <c r="BK13" i="2"/>
  <c r="BE13" i="2"/>
  <c r="AX13" i="2"/>
  <c r="AQ13" i="2"/>
  <c r="AP13" i="2"/>
  <c r="AJ13" i="2"/>
  <c r="V13" i="2"/>
  <c r="I13" i="2"/>
  <c r="CN12" i="2"/>
  <c r="CG12" i="2"/>
  <c r="CF12" i="2"/>
  <c r="CE12" i="2" s="1"/>
  <c r="BZ12" i="2"/>
  <c r="BY12" i="2"/>
  <c r="BS12" i="2"/>
  <c r="BL12" i="2"/>
  <c r="BK12" i="2"/>
  <c r="BJ12" i="2" s="1"/>
  <c r="BE12" i="2"/>
  <c r="BD12" i="2"/>
  <c r="BC12" i="2" s="1"/>
  <c r="AX12" i="2"/>
  <c r="AW12" i="2"/>
  <c r="AQ12" i="2"/>
  <c r="AP12" i="2"/>
  <c r="AO12" i="2"/>
  <c r="AJ12" i="2"/>
  <c r="AI12" i="2"/>
  <c r="AH12" i="2" s="1"/>
  <c r="AC12" i="2"/>
  <c r="AF12" i="2"/>
  <c r="V12" i="2"/>
  <c r="U12" i="2"/>
  <c r="O12" i="2"/>
  <c r="I12" i="2"/>
  <c r="CN11" i="2"/>
  <c r="CM11" i="2"/>
  <c r="CL11" i="2" s="1"/>
  <c r="CG11" i="2"/>
  <c r="CJ11" i="2"/>
  <c r="BZ11" i="2"/>
  <c r="CC11" i="2"/>
  <c r="BS11" i="2"/>
  <c r="BR11" i="2"/>
  <c r="BO11" i="2"/>
  <c r="BL11" i="2"/>
  <c r="BK11" i="2"/>
  <c r="BJ11" i="2" s="1"/>
  <c r="BE11" i="2"/>
  <c r="BH11" i="2"/>
  <c r="BA11" i="2"/>
  <c r="AX11" i="2"/>
  <c r="AW11" i="2"/>
  <c r="AQ11" i="2"/>
  <c r="AP11" i="2"/>
  <c r="AJ11" i="2"/>
  <c r="AC11" i="2"/>
  <c r="AF11" i="2"/>
  <c r="V11" i="2"/>
  <c r="U11" i="2"/>
  <c r="N11" i="2"/>
  <c r="I11" i="2"/>
  <c r="CN10" i="2"/>
  <c r="CL10" i="2"/>
  <c r="CM10" i="2"/>
  <c r="CG10" i="2"/>
  <c r="BZ10" i="2"/>
  <c r="CC10" i="2"/>
  <c r="BS10" i="2"/>
  <c r="BR10" i="2"/>
  <c r="BQ10" i="2" s="1"/>
  <c r="BL10" i="2"/>
  <c r="BK10" i="2"/>
  <c r="BE10" i="2"/>
  <c r="BD10" i="2"/>
  <c r="AX10" i="2"/>
  <c r="AW10" i="2"/>
  <c r="AV10" i="2" s="1"/>
  <c r="AQ10" i="2"/>
  <c r="AJ10" i="2"/>
  <c r="AI10" i="2"/>
  <c r="AC10" i="2"/>
  <c r="AF10" i="2"/>
  <c r="U10" i="2"/>
  <c r="O10" i="2"/>
  <c r="R10" i="2"/>
  <c r="I10" i="2"/>
  <c r="CN9" i="2"/>
  <c r="CQ9" i="2"/>
  <c r="CG9" i="2"/>
  <c r="CF9" i="2"/>
  <c r="BY9" i="2"/>
  <c r="BS9" i="2"/>
  <c r="BV9" i="2"/>
  <c r="BO9" i="2"/>
  <c r="BL9" i="2"/>
  <c r="BD9" i="2"/>
  <c r="AW9" i="2"/>
  <c r="AV9" i="2" s="1"/>
  <c r="AQ9" i="2"/>
  <c r="AJ9" i="2"/>
  <c r="AI9" i="2"/>
  <c r="AC9" i="2"/>
  <c r="AB9" i="2"/>
  <c r="Y9" i="2"/>
  <c r="U9" i="2"/>
  <c r="T9" i="2" s="1"/>
  <c r="O9" i="2"/>
  <c r="I9" i="2"/>
  <c r="CN8" i="2"/>
  <c r="CQ8" i="2"/>
  <c r="CG8" i="2"/>
  <c r="CF8" i="2"/>
  <c r="CE8" i="2" s="1"/>
  <c r="BZ8" i="2"/>
  <c r="BY8" i="2"/>
  <c r="BV8" i="2"/>
  <c r="BS8" i="2"/>
  <c r="BR8" i="2"/>
  <c r="BQ8" i="2" s="1"/>
  <c r="BL8" i="2"/>
  <c r="BK8" i="2"/>
  <c r="BJ8" i="2" s="1"/>
  <c r="BE8" i="2"/>
  <c r="AX8" i="2"/>
  <c r="AW8" i="2"/>
  <c r="AQ8" i="2"/>
  <c r="AT8" i="2"/>
  <c r="AJ8" i="2"/>
  <c r="AI8" i="2"/>
  <c r="AC8" i="2"/>
  <c r="AF8" i="2"/>
  <c r="Y8" i="2"/>
  <c r="V8" i="2"/>
  <c r="U8" i="2"/>
  <c r="R8" i="2"/>
  <c r="I8" i="2"/>
  <c r="CM7" i="2"/>
  <c r="CG7" i="2"/>
  <c r="CF7" i="2"/>
  <c r="CE7" i="2" s="1"/>
  <c r="BZ7" i="2"/>
  <c r="BY7" i="2"/>
  <c r="BV7" i="2"/>
  <c r="BS7" i="2"/>
  <c r="BR7" i="2"/>
  <c r="BO7" i="2"/>
  <c r="BK7" i="2"/>
  <c r="BJ7" i="2" s="1"/>
  <c r="BE7" i="2"/>
  <c r="BA7" i="2"/>
  <c r="AX7" i="2"/>
  <c r="AQ7" i="2"/>
  <c r="AP7" i="2"/>
  <c r="AI7" i="2"/>
  <c r="AH7" i="2" s="1"/>
  <c r="AC7" i="2"/>
  <c r="AB7" i="2"/>
  <c r="AA7" i="2" s="1"/>
  <c r="V7" i="2"/>
  <c r="Y7" i="2"/>
  <c r="R7" i="2"/>
  <c r="N7" i="2"/>
  <c r="I7" i="2"/>
  <c r="CQ6" i="2"/>
  <c r="CM6" i="2"/>
  <c r="CF6" i="2"/>
  <c r="CE6" i="2" s="1"/>
  <c r="BZ6" i="2"/>
  <c r="BV6" i="2"/>
  <c r="BS6" i="2"/>
  <c r="BL6" i="2"/>
  <c r="BD6" i="2"/>
  <c r="BC6" i="2" s="1"/>
  <c r="AX6" i="2"/>
  <c r="AQ6" i="2"/>
  <c r="AJ6" i="2"/>
  <c r="AF6" i="2"/>
  <c r="AB6" i="2"/>
  <c r="AA6" i="2" s="1"/>
  <c r="V6" i="2"/>
  <c r="O6" i="2"/>
  <c r="R6" i="2"/>
  <c r="I6" i="2"/>
  <c r="CN5" i="2"/>
  <c r="CF5" i="2"/>
  <c r="BZ5" i="2"/>
  <c r="BY5" i="2"/>
  <c r="BX5" i="2" s="1"/>
  <c r="BS5" i="2"/>
  <c r="BR5" i="2"/>
  <c r="BQ5" i="2" s="1"/>
  <c r="BL5" i="2"/>
  <c r="BK5" i="2"/>
  <c r="BD5" i="2"/>
  <c r="AX5" i="2"/>
  <c r="AW5" i="2"/>
  <c r="AV5" i="2" s="1"/>
  <c r="AQ5" i="2"/>
  <c r="AP5" i="2"/>
  <c r="AO5" i="2" s="1"/>
  <c r="AJ5" i="2"/>
  <c r="AB5" i="2"/>
  <c r="V5" i="2"/>
  <c r="U5" i="2"/>
  <c r="T5" i="2" s="1"/>
  <c r="O5" i="2"/>
  <c r="N5" i="2"/>
  <c r="M5" i="2" s="1"/>
  <c r="I5" i="2"/>
  <c r="CN4" i="2"/>
  <c r="CM4" i="2"/>
  <c r="CL4" i="2" s="1"/>
  <c r="CG4" i="2"/>
  <c r="BZ4" i="2"/>
  <c r="BY4" i="2"/>
  <c r="BS4" i="2"/>
  <c r="BR4" i="2"/>
  <c r="BL4" i="2"/>
  <c r="BK4" i="2"/>
  <c r="BJ4" i="2" s="1"/>
  <c r="BE4" i="2"/>
  <c r="BH4" i="2"/>
  <c r="AW4" i="2"/>
  <c r="AQ4" i="2"/>
  <c r="AP4" i="2"/>
  <c r="AJ4" i="2"/>
  <c r="AI4" i="2"/>
  <c r="AC4" i="2"/>
  <c r="V4" i="2"/>
  <c r="U4" i="2"/>
  <c r="I4" i="2"/>
  <c r="CQ82" i="1"/>
  <c r="CJ82" i="1"/>
  <c r="CC82" i="1"/>
  <c r="BV82" i="1"/>
  <c r="BO82" i="1"/>
  <c r="BH82" i="1"/>
  <c r="BA82" i="1"/>
  <c r="AT82" i="1"/>
  <c r="Y78" i="1"/>
  <c r="AM77" i="1"/>
  <c r="AF77" i="1"/>
  <c r="Y77" i="1"/>
  <c r="AM76" i="1"/>
  <c r="Y76" i="1"/>
  <c r="AF75" i="1"/>
  <c r="Y75" i="1"/>
  <c r="AM74" i="1"/>
  <c r="AF74" i="1"/>
  <c r="Y74" i="1"/>
  <c r="R74" i="1"/>
  <c r="AM73" i="1"/>
  <c r="AF73" i="1"/>
  <c r="Y73" i="1"/>
  <c r="R72" i="1"/>
  <c r="AM71" i="1"/>
  <c r="AF71" i="1"/>
  <c r="R71" i="1"/>
  <c r="R70" i="1"/>
  <c r="AM69" i="1"/>
  <c r="AF69" i="1"/>
  <c r="Y69" i="1"/>
  <c r="R69" i="1"/>
  <c r="AM68" i="1"/>
  <c r="R68" i="1"/>
  <c r="AM67" i="1"/>
  <c r="AF67" i="1"/>
  <c r="Y67" i="1"/>
  <c r="R67" i="1"/>
  <c r="AF66" i="1"/>
  <c r="Y66" i="1"/>
  <c r="R66" i="1"/>
  <c r="R65" i="1"/>
  <c r="AM64" i="1"/>
  <c r="AF64" i="1"/>
  <c r="Y64" i="1"/>
  <c r="R64" i="1"/>
  <c r="AM63" i="1"/>
  <c r="AF63" i="1"/>
  <c r="Y63" i="1"/>
  <c r="R63" i="1"/>
  <c r="R62" i="1"/>
  <c r="AM61" i="1"/>
  <c r="AF61" i="1"/>
  <c r="Y61" i="1"/>
  <c r="R61" i="1"/>
  <c r="CP57" i="1"/>
  <c r="CJ57" i="1"/>
  <c r="CI57" i="1"/>
  <c r="CH57" i="1"/>
  <c r="CE57" i="1"/>
  <c r="CF57" i="1"/>
  <c r="CB57" i="1"/>
  <c r="CA57" i="1" s="1"/>
  <c r="BZ57" i="1"/>
  <c r="BU57" i="1"/>
  <c r="BR57" i="1"/>
  <c r="BN57" i="1"/>
  <c r="BK57" i="1"/>
  <c r="BJ57" i="1" s="1"/>
  <c r="BG57" i="1"/>
  <c r="BF57" i="1" s="1"/>
  <c r="BD57" i="1"/>
  <c r="AZ57" i="1"/>
  <c r="AY57" i="1" s="1"/>
  <c r="AX57" i="1" s="1"/>
  <c r="AS57" i="1"/>
  <c r="AR57" i="1"/>
  <c r="AQ57" i="1"/>
  <c r="AI57" i="1"/>
  <c r="AD57" i="1"/>
  <c r="W57" i="1"/>
  <c r="N57" i="1"/>
  <c r="CV56" i="1"/>
  <c r="AK56" i="1" s="1"/>
  <c r="CP56" i="1"/>
  <c r="CO56" i="1"/>
  <c r="CI56" i="1"/>
  <c r="CH56" i="1" s="1"/>
  <c r="CB56" i="1"/>
  <c r="CA56" i="1" s="1"/>
  <c r="BY56" i="1"/>
  <c r="CC56" i="1"/>
  <c r="BU56" i="1"/>
  <c r="BT56" i="1" s="1"/>
  <c r="BV56" i="1"/>
  <c r="BN56" i="1"/>
  <c r="BM56" i="1"/>
  <c r="BL56" i="1" s="1"/>
  <c r="BK56" i="1"/>
  <c r="BG56" i="1"/>
  <c r="BF56" i="1"/>
  <c r="BE56" i="1" s="1"/>
  <c r="AZ56" i="1"/>
  <c r="AS56" i="1"/>
  <c r="AP56" i="1"/>
  <c r="AO56" i="1" s="1"/>
  <c r="AD56" i="1"/>
  <c r="AF56" i="1"/>
  <c r="W56" i="1"/>
  <c r="U56" i="1"/>
  <c r="CT54" i="1"/>
  <c r="CP54" i="1"/>
  <c r="CO54" i="1" s="1"/>
  <c r="CN54" i="1" s="1"/>
  <c r="CI54" i="1"/>
  <c r="CB54" i="1"/>
  <c r="CA54" i="1" s="1"/>
  <c r="BZ54" i="1" s="1"/>
  <c r="CC54" i="1"/>
  <c r="BU54" i="1"/>
  <c r="BT54" i="1" s="1"/>
  <c r="BS54" i="1" s="1"/>
  <c r="BV54" i="1"/>
  <c r="BN54" i="1"/>
  <c r="BO54" i="1"/>
  <c r="BG54" i="1"/>
  <c r="AZ54" i="1"/>
  <c r="AY54" i="1" s="1"/>
  <c r="AX54" i="1" s="1"/>
  <c r="AS54" i="1"/>
  <c r="AP54" i="1"/>
  <c r="AO54" i="1" s="1"/>
  <c r="AK54" i="1"/>
  <c r="AI54" i="1"/>
  <c r="AH54" i="1" s="1"/>
  <c r="AB54" i="1"/>
  <c r="AA54" i="1" s="1"/>
  <c r="U54" i="1"/>
  <c r="CU53" i="1"/>
  <c r="CT53" i="1"/>
  <c r="CP53" i="1"/>
  <c r="CO53" i="1"/>
  <c r="CN53" i="1"/>
  <c r="CM53" i="1"/>
  <c r="CL53" i="1" s="1"/>
  <c r="CI53" i="1"/>
  <c r="CH53" i="1" s="1"/>
  <c r="CG53" i="1"/>
  <c r="CB53" i="1"/>
  <c r="CA53" i="1"/>
  <c r="BZ53" i="1" s="1"/>
  <c r="BU53" i="1"/>
  <c r="BT53" i="1"/>
  <c r="BS53" i="1"/>
  <c r="BV53" i="1"/>
  <c r="BN53" i="1"/>
  <c r="BG53" i="1"/>
  <c r="BF53" i="1"/>
  <c r="AZ53" i="1"/>
  <c r="AY53" i="1"/>
  <c r="AS53" i="1"/>
  <c r="AK53" i="1"/>
  <c r="AI53" i="1"/>
  <c r="AH53" i="1" s="1"/>
  <c r="AB53" i="1"/>
  <c r="W53" i="1"/>
  <c r="V53" i="1" s="1"/>
  <c r="P53" i="1"/>
  <c r="N53" i="1"/>
  <c r="M53" i="1"/>
  <c r="CV52" i="1"/>
  <c r="CU52" i="1"/>
  <c r="CT52" i="1"/>
  <c r="W52" i="1" s="1"/>
  <c r="CS52" i="1"/>
  <c r="P52" i="1" s="1"/>
  <c r="CP52" i="1"/>
  <c r="CJ52" i="1"/>
  <c r="CI52" i="1"/>
  <c r="CH52" i="1" s="1"/>
  <c r="CB52" i="1"/>
  <c r="CA52" i="1" s="1"/>
  <c r="BZ52" i="1" s="1"/>
  <c r="BY52" i="1"/>
  <c r="BX52" i="1" s="1"/>
  <c r="BU52" i="1"/>
  <c r="BN52" i="1"/>
  <c r="BM52" i="1" s="1"/>
  <c r="BL52" i="1" s="1"/>
  <c r="BG52" i="1"/>
  <c r="BF52" i="1"/>
  <c r="BE52" i="1"/>
  <c r="AZ52" i="1"/>
  <c r="BA52" i="1"/>
  <c r="AS52" i="1"/>
  <c r="AR52" i="1" s="1"/>
  <c r="U52" i="1"/>
  <c r="T52" i="1" s="1"/>
  <c r="CV51" i="1"/>
  <c r="CU51" i="1"/>
  <c r="CT51" i="1"/>
  <c r="CS51" i="1"/>
  <c r="CP51" i="1"/>
  <c r="CI51" i="1"/>
  <c r="CH51" i="1"/>
  <c r="CF51" i="1"/>
  <c r="CB51" i="1"/>
  <c r="CA51" i="1" s="1"/>
  <c r="BZ51" i="1" s="1"/>
  <c r="BU51" i="1"/>
  <c r="BT51" i="1"/>
  <c r="BR51" i="1"/>
  <c r="BQ51" i="1" s="1"/>
  <c r="BN51" i="1"/>
  <c r="BM51" i="1" s="1"/>
  <c r="BK51" i="1"/>
  <c r="BJ51" i="1" s="1"/>
  <c r="BG51" i="1"/>
  <c r="BF51" i="1" s="1"/>
  <c r="BE51" i="1" s="1"/>
  <c r="BD51" i="1"/>
  <c r="AZ51" i="1"/>
  <c r="AY51" i="1"/>
  <c r="AX51" i="1" s="1"/>
  <c r="BA51" i="1"/>
  <c r="AS51" i="1"/>
  <c r="AR51" i="1" s="1"/>
  <c r="AQ51" i="1" s="1"/>
  <c r="N51" i="1"/>
  <c r="CV50" i="1"/>
  <c r="CU50" i="1"/>
  <c r="CT50" i="1"/>
  <c r="CS50" i="1"/>
  <c r="CP50" i="1"/>
  <c r="CI50" i="1"/>
  <c r="CF50" i="1"/>
  <c r="CE50" i="1" s="1"/>
  <c r="CB50" i="1"/>
  <c r="CC50" i="1"/>
  <c r="BU50" i="1"/>
  <c r="BV50" i="1"/>
  <c r="BN50" i="1"/>
  <c r="BM50" i="1" s="1"/>
  <c r="BL50" i="1" s="1"/>
  <c r="BH50" i="1"/>
  <c r="BG50" i="1"/>
  <c r="BF50" i="1"/>
  <c r="BE50" i="1" s="1"/>
  <c r="BD50" i="1"/>
  <c r="BC50" i="1" s="1"/>
  <c r="AZ50" i="1"/>
  <c r="AS50" i="1"/>
  <c r="AR50" i="1"/>
  <c r="W50" i="1"/>
  <c r="U50" i="1"/>
  <c r="CP49" i="1"/>
  <c r="CQ49" i="1"/>
  <c r="CI49" i="1"/>
  <c r="CH49" i="1" s="1"/>
  <c r="CF49" i="1"/>
  <c r="CE49" i="1" s="1"/>
  <c r="CB49" i="1"/>
  <c r="CA49" i="1" s="1"/>
  <c r="BZ49" i="1" s="1"/>
  <c r="BU49" i="1"/>
  <c r="BN49" i="1"/>
  <c r="BM49" i="1" s="1"/>
  <c r="BJ49" i="1"/>
  <c r="BK49" i="1"/>
  <c r="BG49" i="1"/>
  <c r="BF49" i="1" s="1"/>
  <c r="BH49" i="1"/>
  <c r="BA49" i="1"/>
  <c r="AZ49" i="1"/>
  <c r="AY49" i="1" s="1"/>
  <c r="AW49" i="1"/>
  <c r="AV49" i="1" s="1"/>
  <c r="AS49" i="1"/>
  <c r="AI49" i="1"/>
  <c r="AH49" i="1" s="1"/>
  <c r="CV48" i="1"/>
  <c r="CU48" i="1"/>
  <c r="CT48" i="1"/>
  <c r="CS48" i="1"/>
  <c r="P48" i="1" s="1"/>
  <c r="CP48" i="1"/>
  <c r="CO48" i="1" s="1"/>
  <c r="CN48" i="1" s="1"/>
  <c r="CM48" i="1"/>
  <c r="CL48" i="1" s="1"/>
  <c r="CJ48" i="1"/>
  <c r="CI48" i="1"/>
  <c r="CH48" i="1" s="1"/>
  <c r="CG48" i="1" s="1"/>
  <c r="CF48" i="1"/>
  <c r="CE48" i="1" s="1"/>
  <c r="CB48" i="1"/>
  <c r="BU48" i="1"/>
  <c r="BT48" i="1"/>
  <c r="BS48" i="1" s="1"/>
  <c r="BR48" i="1"/>
  <c r="BQ48" i="1" s="1"/>
  <c r="BV48" i="1"/>
  <c r="BN48" i="1"/>
  <c r="BK48" i="1"/>
  <c r="BJ48" i="1" s="1"/>
  <c r="BG48" i="1"/>
  <c r="BF48" i="1" s="1"/>
  <c r="AZ48" i="1"/>
  <c r="AY48" i="1" s="1"/>
  <c r="AS48" i="1"/>
  <c r="AR48" i="1" s="1"/>
  <c r="AI48" i="1"/>
  <c r="AH48" i="1" s="1"/>
  <c r="W48" i="1"/>
  <c r="V48" i="1" s="1"/>
  <c r="CP47" i="1"/>
  <c r="CO47" i="1"/>
  <c r="CQ47" i="1"/>
  <c r="CJ47" i="1"/>
  <c r="CI47" i="1"/>
  <c r="CH47" i="1"/>
  <c r="CG47" i="1" s="1"/>
  <c r="CB47" i="1"/>
  <c r="CA47" i="1" s="1"/>
  <c r="BZ47" i="1"/>
  <c r="BY47" i="1"/>
  <c r="BX47" i="1" s="1"/>
  <c r="CC47" i="1"/>
  <c r="BU47" i="1"/>
  <c r="BT47" i="1"/>
  <c r="BV47" i="1"/>
  <c r="BN47" i="1"/>
  <c r="BM47" i="1" s="1"/>
  <c r="BH47" i="1"/>
  <c r="BG47" i="1"/>
  <c r="BF47" i="1" s="1"/>
  <c r="BD47" i="1"/>
  <c r="AZ47" i="1"/>
  <c r="AY47" i="1" s="1"/>
  <c r="AX47" i="1" s="1"/>
  <c r="BA47" i="1"/>
  <c r="AT47" i="1"/>
  <c r="AS47" i="1"/>
  <c r="AR47" i="1" s="1"/>
  <c r="AP47" i="1"/>
  <c r="AO47" i="1" s="1"/>
  <c r="AK47" i="1"/>
  <c r="AJ47" i="1" s="1"/>
  <c r="AB47" i="1"/>
  <c r="AF47" i="1"/>
  <c r="W47" i="1"/>
  <c r="V47" i="1" s="1"/>
  <c r="R47" i="1"/>
  <c r="P47" i="1"/>
  <c r="M47" i="1"/>
  <c r="N47" i="1"/>
  <c r="CP46" i="1"/>
  <c r="CO46" i="1"/>
  <c r="CN46" i="1" s="1"/>
  <c r="CQ46" i="1"/>
  <c r="CI46" i="1"/>
  <c r="CH46" i="1" s="1"/>
  <c r="CB46" i="1"/>
  <c r="BU46" i="1"/>
  <c r="BT46" i="1"/>
  <c r="BN46" i="1"/>
  <c r="BK46" i="1"/>
  <c r="BG46" i="1"/>
  <c r="BF46" i="1" s="1"/>
  <c r="AZ46" i="1"/>
  <c r="AY46" i="1"/>
  <c r="AW46" i="1"/>
  <c r="AV46" i="1" s="1"/>
  <c r="BA46" i="1"/>
  <c r="AS46" i="1"/>
  <c r="AR46" i="1"/>
  <c r="AQ46" i="1" s="1"/>
  <c r="AT46" i="1"/>
  <c r="AM46" i="1"/>
  <c r="AD46" i="1"/>
  <c r="P46" i="1"/>
  <c r="CP45" i="1"/>
  <c r="CQ45" i="1"/>
  <c r="CI45" i="1"/>
  <c r="CB45" i="1"/>
  <c r="CA45" i="1" s="1"/>
  <c r="BU45" i="1"/>
  <c r="BT45" i="1"/>
  <c r="BR45" i="1"/>
  <c r="BQ45" i="1" s="1"/>
  <c r="BN45" i="1"/>
  <c r="BM45" i="1"/>
  <c r="BL45" i="1" s="1"/>
  <c r="BK45" i="1"/>
  <c r="BJ45" i="1" s="1"/>
  <c r="BO45" i="1"/>
  <c r="BG45" i="1"/>
  <c r="BE45" i="1" s="1"/>
  <c r="BF45" i="1"/>
  <c r="BD45" i="1"/>
  <c r="BC45" i="1" s="1"/>
  <c r="BH45" i="1"/>
  <c r="AZ45" i="1"/>
  <c r="AY45" i="1"/>
  <c r="AX45" i="1"/>
  <c r="AS45" i="1"/>
  <c r="AR45" i="1" s="1"/>
  <c r="AD45" i="1"/>
  <c r="AB45" i="1"/>
  <c r="W45" i="1"/>
  <c r="V45" i="1" s="1"/>
  <c r="U45" i="1"/>
  <c r="P45" i="1"/>
  <c r="R45" i="1"/>
  <c r="CQ44" i="1"/>
  <c r="CP44" i="1"/>
  <c r="CO44" i="1" s="1"/>
  <c r="CN44" i="1" s="1"/>
  <c r="CM44" i="1"/>
  <c r="CI44" i="1"/>
  <c r="CB44" i="1"/>
  <c r="CA44" i="1"/>
  <c r="BZ44" i="1" s="1"/>
  <c r="BY44" i="1"/>
  <c r="BX44" i="1" s="1"/>
  <c r="CC44" i="1"/>
  <c r="BU44" i="1"/>
  <c r="BV44" i="1"/>
  <c r="BN44" i="1"/>
  <c r="BM44" i="1"/>
  <c r="BL44" i="1"/>
  <c r="BO44" i="1"/>
  <c r="BG44" i="1"/>
  <c r="BF44" i="1" s="1"/>
  <c r="AZ44" i="1"/>
  <c r="AS44" i="1"/>
  <c r="AR44" i="1"/>
  <c r="AM44" i="1"/>
  <c r="AK44" i="1"/>
  <c r="AI44" i="1"/>
  <c r="AD44" i="1"/>
  <c r="AF44" i="1"/>
  <c r="U44" i="1"/>
  <c r="T44" i="1" s="1"/>
  <c r="Y44" i="1"/>
  <c r="P44" i="1"/>
  <c r="O44" i="1" s="1"/>
  <c r="CV43" i="1"/>
  <c r="AK43" i="1" s="1"/>
  <c r="CU43" i="1"/>
  <c r="CT43" i="1"/>
  <c r="W43" i="1" s="1"/>
  <c r="CS43" i="1"/>
  <c r="CP43" i="1"/>
  <c r="CO43" i="1"/>
  <c r="CI43" i="1"/>
  <c r="CH43" i="1"/>
  <c r="CF43" i="1"/>
  <c r="CB43" i="1"/>
  <c r="CA43" i="1" s="1"/>
  <c r="BU43" i="1"/>
  <c r="BV43" i="1" s="1"/>
  <c r="BR43" i="1"/>
  <c r="BQ43" i="1" s="1"/>
  <c r="BN43" i="1"/>
  <c r="BM43" i="1"/>
  <c r="BL43" i="1" s="1"/>
  <c r="BG43" i="1"/>
  <c r="BF43" i="1" s="1"/>
  <c r="AZ43" i="1"/>
  <c r="AY43" i="1"/>
  <c r="AX43" i="1" s="1"/>
  <c r="AW43" i="1"/>
  <c r="AS43" i="1"/>
  <c r="AB43" i="1"/>
  <c r="U43" i="1"/>
  <c r="N43" i="1"/>
  <c r="CO42" i="1"/>
  <c r="CN42" i="1" s="1"/>
  <c r="CH42" i="1"/>
  <c r="CG42" i="1"/>
  <c r="CJ42" i="1"/>
  <c r="CA42" i="1"/>
  <c r="BZ42" i="1"/>
  <c r="BY42" i="1"/>
  <c r="BV42" i="1"/>
  <c r="BT42" i="1"/>
  <c r="BS42" i="1" s="1"/>
  <c r="BR42" i="1"/>
  <c r="BO42" i="1"/>
  <c r="BM42" i="1"/>
  <c r="BL42" i="1" s="1"/>
  <c r="BK42" i="1"/>
  <c r="BJ42" i="1" s="1"/>
  <c r="BF42" i="1"/>
  <c r="BE42" i="1"/>
  <c r="BH42" i="1"/>
  <c r="AY42" i="1"/>
  <c r="AX42" i="1" s="1"/>
  <c r="AR42" i="1"/>
  <c r="AP42" i="1"/>
  <c r="AK42" i="1"/>
  <c r="AJ42" i="1" s="1"/>
  <c r="AD42" i="1"/>
  <c r="AC42" i="1"/>
  <c r="AF42" i="1"/>
  <c r="W42" i="1"/>
  <c r="V42" i="1" s="1"/>
  <c r="U42" i="1"/>
  <c r="P42" i="1"/>
  <c r="O42" i="1" s="1"/>
  <c r="J42" i="1"/>
  <c r="CO41" i="1"/>
  <c r="CN41" i="1" s="1"/>
  <c r="CH41" i="1"/>
  <c r="CG41" i="1" s="1"/>
  <c r="CF41" i="1"/>
  <c r="CE41" i="1" s="1"/>
  <c r="CA41" i="1"/>
  <c r="BZ41" i="1" s="1"/>
  <c r="BY41" i="1"/>
  <c r="BT41" i="1"/>
  <c r="BS41" i="1"/>
  <c r="BR41" i="1"/>
  <c r="BM41" i="1"/>
  <c r="BL41" i="1" s="1"/>
  <c r="BH41" i="1"/>
  <c r="BF41" i="1"/>
  <c r="BE41" i="1" s="1"/>
  <c r="BD41" i="1"/>
  <c r="BC41" i="1" s="1"/>
  <c r="AY41" i="1"/>
  <c r="AX41" i="1"/>
  <c r="AT41" i="1"/>
  <c r="AR41" i="1"/>
  <c r="AQ41" i="1"/>
  <c r="AP41" i="1"/>
  <c r="AK41" i="1"/>
  <c r="AJ41" i="1" s="1"/>
  <c r="AF41" i="1"/>
  <c r="AD41" i="1"/>
  <c r="AC41" i="1" s="1"/>
  <c r="AB41" i="1"/>
  <c r="AA41" i="1" s="1"/>
  <c r="W41" i="1"/>
  <c r="V41" i="1"/>
  <c r="Y41" i="1"/>
  <c r="P41" i="1"/>
  <c r="O41" i="1" s="1"/>
  <c r="J41" i="1"/>
  <c r="CV40" i="1"/>
  <c r="CU40" i="1"/>
  <c r="CT40" i="1"/>
  <c r="CS40" i="1"/>
  <c r="P40" i="1" s="1"/>
  <c r="O40" i="1" s="1"/>
  <c r="CP40" i="1"/>
  <c r="CO40" i="1" s="1"/>
  <c r="CN40" i="1" s="1"/>
  <c r="CM40" i="1"/>
  <c r="CI40" i="1"/>
  <c r="CF40" i="1"/>
  <c r="CE40" i="1" s="1"/>
  <c r="CB40" i="1"/>
  <c r="BU40" i="1"/>
  <c r="BT40" i="1"/>
  <c r="BS40" i="1" s="1"/>
  <c r="BV40" i="1"/>
  <c r="BN40" i="1"/>
  <c r="BM40" i="1"/>
  <c r="BG40" i="1"/>
  <c r="AZ40" i="1"/>
  <c r="AY40" i="1" s="1"/>
  <c r="AS40" i="1"/>
  <c r="AM40" i="1"/>
  <c r="AI40" i="1"/>
  <c r="AD40" i="1"/>
  <c r="AB40" i="1"/>
  <c r="AA40" i="1" s="1"/>
  <c r="U40" i="1"/>
  <c r="T40" i="1" s="1"/>
  <c r="E40" i="1"/>
  <c r="CV39" i="1"/>
  <c r="CU39" i="1"/>
  <c r="CT39" i="1"/>
  <c r="CS39" i="1"/>
  <c r="P39" i="1" s="1"/>
  <c r="CP39" i="1"/>
  <c r="CO39" i="1"/>
  <c r="CI39" i="1"/>
  <c r="CH39" i="1" s="1"/>
  <c r="CG39" i="1" s="1"/>
  <c r="CB39" i="1"/>
  <c r="CA39" i="1"/>
  <c r="BZ39" i="1"/>
  <c r="CC39" i="1"/>
  <c r="BU39" i="1"/>
  <c r="BT39" i="1"/>
  <c r="BR39" i="1"/>
  <c r="BQ39" i="1" s="1"/>
  <c r="BN39" i="1"/>
  <c r="BM39" i="1"/>
  <c r="BL39" i="1"/>
  <c r="BO39" i="1"/>
  <c r="BG39" i="1"/>
  <c r="BF39" i="1"/>
  <c r="BE39" i="1" s="1"/>
  <c r="AZ39" i="1"/>
  <c r="AY39" i="1"/>
  <c r="AX39" i="1" s="1"/>
  <c r="BA39" i="1"/>
  <c r="AS39" i="1"/>
  <c r="AP39" i="1"/>
  <c r="AO39" i="1" s="1"/>
  <c r="AK39" i="1"/>
  <c r="W39" i="1"/>
  <c r="U39" i="1"/>
  <c r="N39" i="1"/>
  <c r="CU38" i="1"/>
  <c r="CT38" i="1"/>
  <c r="CS38" i="1"/>
  <c r="CP38" i="1"/>
  <c r="CQ38" i="1"/>
  <c r="CI38" i="1"/>
  <c r="CH38" i="1" s="1"/>
  <c r="CB38" i="1"/>
  <c r="BZ38" i="1" s="1"/>
  <c r="CA38" i="1"/>
  <c r="BU38" i="1"/>
  <c r="BT38" i="1"/>
  <c r="BR38" i="1"/>
  <c r="BN38" i="1"/>
  <c r="BM38" i="1" s="1"/>
  <c r="BL38" i="1" s="1"/>
  <c r="BG38" i="1"/>
  <c r="AZ38" i="1"/>
  <c r="AY38" i="1" s="1"/>
  <c r="AX38" i="1" s="1"/>
  <c r="AT38" i="1"/>
  <c r="AS38" i="1"/>
  <c r="AQ38" i="1" s="1"/>
  <c r="AR38" i="1"/>
  <c r="AP38" i="1"/>
  <c r="AO38" i="1" s="1"/>
  <c r="AB38" i="1"/>
  <c r="W38" i="1"/>
  <c r="N38" i="1"/>
  <c r="CT37" i="1"/>
  <c r="CS37" i="1"/>
  <c r="P37" i="1" s="1"/>
  <c r="CP37" i="1"/>
  <c r="CO37" i="1"/>
  <c r="CI37" i="1"/>
  <c r="CH37" i="1" s="1"/>
  <c r="CB37" i="1"/>
  <c r="BU37" i="1"/>
  <c r="BT37" i="1"/>
  <c r="BQ37" i="1"/>
  <c r="BR37" i="1"/>
  <c r="BN37" i="1"/>
  <c r="BM37" i="1"/>
  <c r="BL37" i="1"/>
  <c r="BG37" i="1"/>
  <c r="BD37" i="1"/>
  <c r="AZ37" i="1"/>
  <c r="AW37" i="1"/>
  <c r="AV37" i="1" s="1"/>
  <c r="AS37" i="1"/>
  <c r="AP37" i="1"/>
  <c r="AO37" i="1" s="1"/>
  <c r="AB37" i="1"/>
  <c r="CV36" i="1"/>
  <c r="CU36" i="1"/>
  <c r="CT36" i="1"/>
  <c r="CS36" i="1"/>
  <c r="CP36" i="1"/>
  <c r="CQ36" i="1" s="1"/>
  <c r="CM36" i="1"/>
  <c r="CL36" i="1" s="1"/>
  <c r="CI36" i="1"/>
  <c r="CH36" i="1" s="1"/>
  <c r="CG36" i="1" s="1"/>
  <c r="CJ36" i="1"/>
  <c r="CB36" i="1"/>
  <c r="CA36" i="1"/>
  <c r="BZ36" i="1" s="1"/>
  <c r="BU36" i="1"/>
  <c r="BT36" i="1"/>
  <c r="BR36" i="1"/>
  <c r="BN36" i="1"/>
  <c r="BK36" i="1"/>
  <c r="BG36" i="1"/>
  <c r="BF36" i="1" s="1"/>
  <c r="AZ36" i="1"/>
  <c r="AY36" i="1" s="1"/>
  <c r="AS36" i="1"/>
  <c r="AT36" i="1" s="1"/>
  <c r="AR36" i="1"/>
  <c r="AP36" i="1"/>
  <c r="AI36" i="1"/>
  <c r="CO35" i="1"/>
  <c r="CN35" i="1"/>
  <c r="CH35" i="1"/>
  <c r="CG35" i="1" s="1"/>
  <c r="CA35" i="1"/>
  <c r="BZ35" i="1" s="1"/>
  <c r="BY35" i="1"/>
  <c r="CC35" i="1"/>
  <c r="BT35" i="1"/>
  <c r="BS35" i="1" s="1"/>
  <c r="BV35" i="1"/>
  <c r="BM35" i="1"/>
  <c r="BL35" i="1"/>
  <c r="BK35" i="1"/>
  <c r="BJ35" i="1" s="1"/>
  <c r="BO35" i="1"/>
  <c r="BF35" i="1"/>
  <c r="BE35" i="1" s="1"/>
  <c r="BH35" i="1"/>
  <c r="BA35" i="1"/>
  <c r="AY35" i="1"/>
  <c r="AX35" i="1" s="1"/>
  <c r="AR35" i="1"/>
  <c r="AQ35" i="1" s="1"/>
  <c r="AP35" i="1"/>
  <c r="AO35" i="1" s="1"/>
  <c r="AT35" i="1"/>
  <c r="AK35" i="1"/>
  <c r="AJ35" i="1" s="1"/>
  <c r="AI35" i="1"/>
  <c r="AH35" i="1" s="1"/>
  <c r="AM35" i="1"/>
  <c r="AD35" i="1"/>
  <c r="AC35" i="1" s="1"/>
  <c r="Y35" i="1"/>
  <c r="W35" i="1"/>
  <c r="V35" i="1" s="1"/>
  <c r="U35" i="1"/>
  <c r="P35" i="1"/>
  <c r="O35" i="1"/>
  <c r="J35" i="1"/>
  <c r="B35" i="1"/>
  <c r="CQ34" i="1"/>
  <c r="CO34" i="1"/>
  <c r="CN34" i="1" s="1"/>
  <c r="CH34" i="1"/>
  <c r="CG34" i="1"/>
  <c r="CJ34" i="1"/>
  <c r="CA34" i="1"/>
  <c r="BZ34" i="1" s="1"/>
  <c r="BY34" i="1"/>
  <c r="CC34" i="1"/>
  <c r="BT34" i="1"/>
  <c r="BS34" i="1" s="1"/>
  <c r="BV34" i="1"/>
  <c r="BM34" i="1"/>
  <c r="BL34" i="1" s="1"/>
  <c r="BK34" i="1"/>
  <c r="BF34" i="1"/>
  <c r="BE34" i="1" s="1"/>
  <c r="BH34" i="1"/>
  <c r="AY34" i="1"/>
  <c r="AX34" i="1" s="1"/>
  <c r="AR34" i="1"/>
  <c r="AQ34" i="1"/>
  <c r="AP34" i="1"/>
  <c r="AK34" i="1"/>
  <c r="AJ34" i="1" s="1"/>
  <c r="AM34" i="1"/>
  <c r="AD34" i="1"/>
  <c r="AC34" i="1" s="1"/>
  <c r="AF34" i="1"/>
  <c r="Y34" i="1"/>
  <c r="W34" i="1"/>
  <c r="V34" i="1" s="1"/>
  <c r="U34" i="1"/>
  <c r="P34" i="1"/>
  <c r="O34" i="1"/>
  <c r="N34" i="1"/>
  <c r="J34" i="1"/>
  <c r="CQ33" i="1"/>
  <c r="CO33" i="1"/>
  <c r="CN33" i="1" s="1"/>
  <c r="CL33" i="1"/>
  <c r="CM33" i="1"/>
  <c r="CH33" i="1"/>
  <c r="CG33" i="1"/>
  <c r="CF33" i="1"/>
  <c r="CA33" i="1"/>
  <c r="BZ33" i="1"/>
  <c r="BT33" i="1"/>
  <c r="BS33" i="1" s="1"/>
  <c r="BV33" i="1"/>
  <c r="BM33" i="1"/>
  <c r="BL33" i="1" s="1"/>
  <c r="BF33" i="1"/>
  <c r="BE33" i="1"/>
  <c r="AY33" i="1"/>
  <c r="AX33" i="1"/>
  <c r="BA33" i="1"/>
  <c r="AR33" i="1"/>
  <c r="AQ33" i="1"/>
  <c r="AT33" i="1"/>
  <c r="AM33" i="1"/>
  <c r="AK33" i="1"/>
  <c r="AJ33" i="1" s="1"/>
  <c r="AI33" i="1"/>
  <c r="AD33" i="1"/>
  <c r="AC33" i="1"/>
  <c r="Y33" i="1"/>
  <c r="W33" i="1"/>
  <c r="V33" i="1" s="1"/>
  <c r="U33" i="1"/>
  <c r="Q33" i="1"/>
  <c r="J33" i="1" s="1"/>
  <c r="P33" i="1"/>
  <c r="O33" i="1"/>
  <c r="E33" i="1"/>
  <c r="K33" i="1" s="1"/>
  <c r="CO32" i="1"/>
  <c r="CN32" i="1"/>
  <c r="CM32" i="1"/>
  <c r="CL32" i="1" s="1"/>
  <c r="CQ32" i="1"/>
  <c r="CH32" i="1"/>
  <c r="CG32" i="1"/>
  <c r="CF32" i="1"/>
  <c r="CJ32" i="1"/>
  <c r="CA32" i="1"/>
  <c r="BZ32" i="1" s="1"/>
  <c r="BT32" i="1"/>
  <c r="BS32" i="1" s="1"/>
  <c r="BR32" i="1"/>
  <c r="BM32" i="1"/>
  <c r="BL32" i="1"/>
  <c r="BF32" i="1"/>
  <c r="BE32" i="1"/>
  <c r="BH32" i="1"/>
  <c r="AY32" i="1"/>
  <c r="AX32" i="1" s="1"/>
  <c r="AT32" i="1"/>
  <c r="AR32" i="1"/>
  <c r="AQ32" i="1" s="1"/>
  <c r="AP32" i="1"/>
  <c r="AL32" i="1"/>
  <c r="AI32" i="1"/>
  <c r="AH32" i="1" s="1"/>
  <c r="AE32" i="1"/>
  <c r="AD32" i="1"/>
  <c r="AC32" i="1"/>
  <c r="AB32" i="1"/>
  <c r="AA32" i="1" s="1"/>
  <c r="X32" i="1"/>
  <c r="W32" i="1"/>
  <c r="V32" i="1" s="1"/>
  <c r="Q32" i="1"/>
  <c r="P32" i="1"/>
  <c r="O32" i="1"/>
  <c r="N32" i="1"/>
  <c r="CU31" i="1"/>
  <c r="CT31" i="1"/>
  <c r="CS31" i="1"/>
  <c r="P31" i="1" s="1"/>
  <c r="CP31" i="1"/>
  <c r="CO31" i="1" s="1"/>
  <c r="CI31" i="1"/>
  <c r="CH31" i="1"/>
  <c r="CF31" i="1"/>
  <c r="CE31" i="1" s="1"/>
  <c r="CB31" i="1"/>
  <c r="CA31" i="1"/>
  <c r="BY31" i="1"/>
  <c r="BU31" i="1"/>
  <c r="BT31" i="1"/>
  <c r="BS31" i="1"/>
  <c r="BN31" i="1"/>
  <c r="BM31" i="1"/>
  <c r="BL31" i="1" s="1"/>
  <c r="BO31" i="1"/>
  <c r="BG31" i="1"/>
  <c r="BF31" i="1" s="1"/>
  <c r="BE31" i="1" s="1"/>
  <c r="BH31" i="1"/>
  <c r="AZ31" i="1"/>
  <c r="AS31" i="1"/>
  <c r="AR31" i="1"/>
  <c r="AK31" i="1"/>
  <c r="AI31" i="1"/>
  <c r="AB31" i="1"/>
  <c r="AA31" i="1" s="1"/>
  <c r="W31" i="1"/>
  <c r="U31" i="1"/>
  <c r="T31" i="1" s="1"/>
  <c r="CP30" i="1"/>
  <c r="CQ30" i="1" s="1"/>
  <c r="CO30" i="1"/>
  <c r="CM30" i="1"/>
  <c r="CL30" i="1" s="1"/>
  <c r="CI30" i="1"/>
  <c r="CH30" i="1"/>
  <c r="CG30" i="1" s="1"/>
  <c r="CB30" i="1"/>
  <c r="CA30" i="1" s="1"/>
  <c r="BZ30" i="1" s="1"/>
  <c r="BU30" i="1"/>
  <c r="BT30" i="1" s="1"/>
  <c r="BS30" i="1" s="1"/>
  <c r="BN30" i="1"/>
  <c r="BG30" i="1"/>
  <c r="BF30" i="1" s="1"/>
  <c r="AZ30" i="1"/>
  <c r="AS30" i="1"/>
  <c r="AR30" i="1" s="1"/>
  <c r="AP30" i="1"/>
  <c r="AO30" i="1" s="1"/>
  <c r="AK30" i="1"/>
  <c r="AI30" i="1"/>
  <c r="AH30" i="1" s="1"/>
  <c r="AB30" i="1"/>
  <c r="U30" i="1"/>
  <c r="P30" i="1"/>
  <c r="N30" i="1"/>
  <c r="M30" i="1" s="1"/>
  <c r="CO29" i="1"/>
  <c r="CN29" i="1"/>
  <c r="CH29" i="1"/>
  <c r="CG29" i="1" s="1"/>
  <c r="CF29" i="1"/>
  <c r="CA29" i="1"/>
  <c r="BZ29" i="1" s="1"/>
  <c r="BT29" i="1"/>
  <c r="BS29" i="1" s="1"/>
  <c r="BV29" i="1"/>
  <c r="BM29" i="1"/>
  <c r="BL29" i="1"/>
  <c r="BF29" i="1"/>
  <c r="BE29" i="1" s="1"/>
  <c r="BD29" i="1"/>
  <c r="AY29" i="1"/>
  <c r="AX29" i="1" s="1"/>
  <c r="AR29" i="1"/>
  <c r="AQ29" i="1" s="1"/>
  <c r="AK29" i="1"/>
  <c r="AJ29" i="1"/>
  <c r="AM29" i="1"/>
  <c r="AF29" i="1"/>
  <c r="AD29" i="1"/>
  <c r="AC29" i="1" s="1"/>
  <c r="Y29" i="1"/>
  <c r="W29" i="1"/>
  <c r="V29" i="1" s="1"/>
  <c r="U29" i="1"/>
  <c r="T29" i="1" s="1"/>
  <c r="R29" i="1"/>
  <c r="P29" i="1"/>
  <c r="O29" i="1" s="1"/>
  <c r="J29" i="1"/>
  <c r="CO28" i="1"/>
  <c r="CN28" i="1" s="1"/>
  <c r="CQ28" i="1"/>
  <c r="CH28" i="1"/>
  <c r="CG28" i="1" s="1"/>
  <c r="CA28" i="1"/>
  <c r="BZ28" i="1" s="1"/>
  <c r="BV28" i="1"/>
  <c r="BT28" i="1"/>
  <c r="BS28" i="1"/>
  <c r="BR28" i="1"/>
  <c r="BM28" i="1"/>
  <c r="BL28" i="1"/>
  <c r="BF28" i="1"/>
  <c r="BE28" i="1"/>
  <c r="BH28" i="1"/>
  <c r="AY28" i="1"/>
  <c r="AX28" i="1" s="1"/>
  <c r="AR28" i="1"/>
  <c r="AQ28" i="1" s="1"/>
  <c r="AT28" i="1"/>
  <c r="AK28" i="1"/>
  <c r="AJ28" i="1"/>
  <c r="AM28" i="1"/>
  <c r="AD28" i="1"/>
  <c r="AC28" i="1"/>
  <c r="W28" i="1"/>
  <c r="P28" i="1"/>
  <c r="O28" i="1"/>
  <c r="N28" i="1"/>
  <c r="J28" i="1"/>
  <c r="CQ27" i="1"/>
  <c r="CO27" i="1"/>
  <c r="CN27" i="1"/>
  <c r="CM27" i="1"/>
  <c r="CH27" i="1"/>
  <c r="CG27" i="1"/>
  <c r="CA27" i="1"/>
  <c r="BZ27" i="1" s="1"/>
  <c r="BT27" i="1"/>
  <c r="BS27" i="1" s="1"/>
  <c r="BM27" i="1"/>
  <c r="BL27" i="1"/>
  <c r="BO27" i="1"/>
  <c r="BF27" i="1"/>
  <c r="BE27" i="1"/>
  <c r="AY27" i="1"/>
  <c r="AX27" i="1" s="1"/>
  <c r="AR27" i="1"/>
  <c r="AQ27" i="1" s="1"/>
  <c r="AM27" i="1"/>
  <c r="AK27" i="1"/>
  <c r="AJ27" i="1"/>
  <c r="AI27" i="1"/>
  <c r="AD27" i="1"/>
  <c r="AC27" i="1" s="1"/>
  <c r="AB27" i="1"/>
  <c r="AF27" i="1"/>
  <c r="W27" i="1"/>
  <c r="V27" i="1" s="1"/>
  <c r="P27" i="1"/>
  <c r="O27" i="1" s="1"/>
  <c r="R27" i="1"/>
  <c r="J27" i="1"/>
  <c r="I27" i="1"/>
  <c r="CO26" i="1"/>
  <c r="CN26" i="1" s="1"/>
  <c r="CH26" i="1"/>
  <c r="CG26" i="1"/>
  <c r="CJ26" i="1"/>
  <c r="CA26" i="1"/>
  <c r="BZ26" i="1" s="1"/>
  <c r="BT26" i="1"/>
  <c r="BS26" i="1" s="1"/>
  <c r="BM26" i="1"/>
  <c r="BL26" i="1" s="1"/>
  <c r="BK26" i="1"/>
  <c r="BF26" i="1"/>
  <c r="BE26" i="1"/>
  <c r="BD26" i="1"/>
  <c r="BC26" i="1" s="1"/>
  <c r="BH26" i="1"/>
  <c r="AY26" i="1"/>
  <c r="AX26" i="1" s="1"/>
  <c r="AR26" i="1"/>
  <c r="AQ26" i="1" s="1"/>
  <c r="AK26" i="1"/>
  <c r="AJ26" i="1" s="1"/>
  <c r="AD26" i="1"/>
  <c r="AC26" i="1"/>
  <c r="AF26" i="1"/>
  <c r="W26" i="1"/>
  <c r="I26" i="1" s="1"/>
  <c r="P26" i="1"/>
  <c r="O26" i="1"/>
  <c r="J26" i="1"/>
  <c r="CO25" i="1"/>
  <c r="CN25" i="1" s="1"/>
  <c r="CM25" i="1"/>
  <c r="CL25" i="1" s="1"/>
  <c r="CQ25" i="1"/>
  <c r="CH25" i="1"/>
  <c r="CG25" i="1" s="1"/>
  <c r="CA25" i="1"/>
  <c r="BZ25" i="1" s="1"/>
  <c r="BY25" i="1"/>
  <c r="BT25" i="1"/>
  <c r="BS25" i="1" s="1"/>
  <c r="BR25" i="1"/>
  <c r="BM25" i="1"/>
  <c r="BL25" i="1"/>
  <c r="BO25" i="1"/>
  <c r="BH25" i="1"/>
  <c r="BF25" i="1"/>
  <c r="BE25" i="1" s="1"/>
  <c r="BC25" i="1"/>
  <c r="BD25" i="1"/>
  <c r="AY25" i="1"/>
  <c r="AX25" i="1" s="1"/>
  <c r="BA25" i="1"/>
  <c r="AR25" i="1"/>
  <c r="AQ25" i="1" s="1"/>
  <c r="AP25" i="1"/>
  <c r="AK25" i="1"/>
  <c r="AJ25" i="1" s="1"/>
  <c r="AI25" i="1"/>
  <c r="AM25" i="1"/>
  <c r="AD25" i="1"/>
  <c r="AC25" i="1" s="1"/>
  <c r="AB25" i="1"/>
  <c r="W25" i="1"/>
  <c r="V25" i="1" s="1"/>
  <c r="U25" i="1"/>
  <c r="T25" i="1" s="1"/>
  <c r="Y25" i="1"/>
  <c r="P25" i="1"/>
  <c r="O25" i="1" s="1"/>
  <c r="J25" i="1"/>
  <c r="CO24" i="1"/>
  <c r="CN24" i="1" s="1"/>
  <c r="CQ24" i="1"/>
  <c r="CJ24" i="1"/>
  <c r="CH24" i="1"/>
  <c r="CG24" i="1" s="1"/>
  <c r="CF24" i="1"/>
  <c r="CE24" i="1" s="1"/>
  <c r="CA24" i="1"/>
  <c r="BZ24" i="1" s="1"/>
  <c r="CC24" i="1"/>
  <c r="BT24" i="1"/>
  <c r="BS24" i="1" s="1"/>
  <c r="BR24" i="1"/>
  <c r="BO24" i="1"/>
  <c r="BM24" i="1"/>
  <c r="BL24" i="1" s="1"/>
  <c r="BF24" i="1"/>
  <c r="BE24" i="1" s="1"/>
  <c r="BH24" i="1"/>
  <c r="AY24" i="1"/>
  <c r="AX24" i="1" s="1"/>
  <c r="AW24" i="1"/>
  <c r="AV24" i="1" s="1"/>
  <c r="BA24" i="1"/>
  <c r="AR24" i="1"/>
  <c r="AQ24" i="1" s="1"/>
  <c r="AT24" i="1"/>
  <c r="AK24" i="1"/>
  <c r="AJ24" i="1"/>
  <c r="AF24" i="1"/>
  <c r="AD24" i="1"/>
  <c r="AC24" i="1" s="1"/>
  <c r="AB24" i="1"/>
  <c r="AA24" i="1" s="1"/>
  <c r="W24" i="1"/>
  <c r="V24" i="1"/>
  <c r="U24" i="1"/>
  <c r="T24" i="1" s="1"/>
  <c r="Y24" i="1"/>
  <c r="P24" i="1"/>
  <c r="O24" i="1" s="1"/>
  <c r="J24" i="1"/>
  <c r="CO23" i="1"/>
  <c r="CN23" i="1"/>
  <c r="CQ23" i="1"/>
  <c r="CJ23" i="1"/>
  <c r="CH23" i="1"/>
  <c r="CG23" i="1" s="1"/>
  <c r="CA23" i="1"/>
  <c r="BZ23" i="1" s="1"/>
  <c r="BY23" i="1"/>
  <c r="BX23" i="1" s="1"/>
  <c r="CC23" i="1"/>
  <c r="BT23" i="1"/>
  <c r="BS23" i="1" s="1"/>
  <c r="BV23" i="1"/>
  <c r="BM23" i="1"/>
  <c r="BL23" i="1"/>
  <c r="BO23" i="1"/>
  <c r="BF23" i="1"/>
  <c r="BE23" i="1" s="1"/>
  <c r="BH23" i="1"/>
  <c r="AY23" i="1"/>
  <c r="AX23" i="1" s="1"/>
  <c r="BA23" i="1"/>
  <c r="AR23" i="1"/>
  <c r="AQ23" i="1"/>
  <c r="AT23" i="1"/>
  <c r="AK23" i="1"/>
  <c r="AJ23" i="1"/>
  <c r="AI23" i="1"/>
  <c r="AH23" i="1" s="1"/>
  <c r="AF23" i="1"/>
  <c r="AD23" i="1"/>
  <c r="AC23" i="1"/>
  <c r="W23" i="1"/>
  <c r="V23" i="1" s="1"/>
  <c r="Y23" i="1"/>
  <c r="P23" i="1"/>
  <c r="O23" i="1" s="1"/>
  <c r="J23" i="1"/>
  <c r="CO22" i="1"/>
  <c r="CN22" i="1" s="1"/>
  <c r="CH22" i="1"/>
  <c r="CG22" i="1" s="1"/>
  <c r="CF22" i="1"/>
  <c r="CE22" i="1" s="1"/>
  <c r="CJ22" i="1"/>
  <c r="CC22" i="1"/>
  <c r="CA22" i="1"/>
  <c r="BZ22" i="1" s="1"/>
  <c r="BV22" i="1"/>
  <c r="BT22" i="1"/>
  <c r="BS22" i="1" s="1"/>
  <c r="BR22" i="1"/>
  <c r="BQ22" i="1"/>
  <c r="BM22" i="1"/>
  <c r="BL22" i="1" s="1"/>
  <c r="BF22" i="1"/>
  <c r="BE22" i="1"/>
  <c r="BD22" i="1"/>
  <c r="AY22" i="1"/>
  <c r="AX22" i="1" s="1"/>
  <c r="BA22" i="1"/>
  <c r="AR22" i="1"/>
  <c r="AQ22" i="1"/>
  <c r="AT22" i="1"/>
  <c r="AK22" i="1"/>
  <c r="AJ22" i="1"/>
  <c r="AM22" i="1"/>
  <c r="AD22" i="1"/>
  <c r="AC22" i="1"/>
  <c r="AB22" i="1"/>
  <c r="AA22" i="1" s="1"/>
  <c r="AF22" i="1"/>
  <c r="W22" i="1"/>
  <c r="V22" i="1" s="1"/>
  <c r="E22" i="1"/>
  <c r="K22" i="1" s="1"/>
  <c r="P22" i="1"/>
  <c r="O22" i="1"/>
  <c r="N22" i="1"/>
  <c r="R22" i="1"/>
  <c r="J22" i="1"/>
  <c r="CO21" i="1"/>
  <c r="CN21" i="1" s="1"/>
  <c r="CQ21" i="1"/>
  <c r="CH21" i="1"/>
  <c r="CG21" i="1" s="1"/>
  <c r="CJ21" i="1"/>
  <c r="CA21" i="1"/>
  <c r="BZ21" i="1" s="1"/>
  <c r="BV21" i="1"/>
  <c r="BT21" i="1"/>
  <c r="BS21" i="1" s="1"/>
  <c r="BM21" i="1"/>
  <c r="BL21" i="1" s="1"/>
  <c r="BO21" i="1"/>
  <c r="BF21" i="1"/>
  <c r="BE21" i="1" s="1"/>
  <c r="BH21" i="1"/>
  <c r="AY21" i="1"/>
  <c r="AX21" i="1"/>
  <c r="BA21" i="1"/>
  <c r="AR21" i="1"/>
  <c r="AQ21" i="1"/>
  <c r="AT21" i="1"/>
  <c r="AK21" i="1"/>
  <c r="AJ21" i="1" s="1"/>
  <c r="AM21" i="1"/>
  <c r="AD21" i="1"/>
  <c r="AC21" i="1"/>
  <c r="AF21" i="1"/>
  <c r="W21" i="1"/>
  <c r="I21" i="1" s="1"/>
  <c r="U21" i="1"/>
  <c r="T21" i="1" s="1"/>
  <c r="P21" i="1"/>
  <c r="O21" i="1"/>
  <c r="R21" i="1"/>
  <c r="J21" i="1"/>
  <c r="CO20" i="1"/>
  <c r="CN20" i="1" s="1"/>
  <c r="CH20" i="1"/>
  <c r="CG20" i="1" s="1"/>
  <c r="CF20" i="1"/>
  <c r="CE20" i="1" s="1"/>
  <c r="CA20" i="1"/>
  <c r="BZ20" i="1" s="1"/>
  <c r="CC20" i="1"/>
  <c r="BT20" i="1"/>
  <c r="BS20" i="1" s="1"/>
  <c r="BV20" i="1"/>
  <c r="BM20" i="1"/>
  <c r="BL20" i="1" s="1"/>
  <c r="BO20" i="1"/>
  <c r="BF20" i="1"/>
  <c r="BE20" i="1" s="1"/>
  <c r="BH20" i="1"/>
  <c r="AY20" i="1"/>
  <c r="AX20" i="1" s="1"/>
  <c r="BA20" i="1"/>
  <c r="AR20" i="1"/>
  <c r="AQ20" i="1" s="1"/>
  <c r="AK20" i="1"/>
  <c r="AJ20" i="1" s="1"/>
  <c r="AM20" i="1"/>
  <c r="AD20" i="1"/>
  <c r="AC20" i="1" s="1"/>
  <c r="W20" i="1"/>
  <c r="I20" i="1" s="1"/>
  <c r="Y20" i="1"/>
  <c r="P20" i="1"/>
  <c r="O20" i="1"/>
  <c r="R20" i="1"/>
  <c r="J20" i="1"/>
  <c r="CO19" i="1"/>
  <c r="CN19" i="1" s="1"/>
  <c r="CQ19" i="1"/>
  <c r="CJ19" i="1"/>
  <c r="CH19" i="1"/>
  <c r="CG19" i="1" s="1"/>
  <c r="CC19" i="1"/>
  <c r="CA19" i="1"/>
  <c r="BZ19" i="1" s="1"/>
  <c r="BY19" i="1"/>
  <c r="BX19" i="1" s="1"/>
  <c r="BT19" i="1"/>
  <c r="BS19" i="1" s="1"/>
  <c r="BV19" i="1"/>
  <c r="BM19" i="1"/>
  <c r="BL19" i="1"/>
  <c r="BK19" i="1"/>
  <c r="BF19" i="1"/>
  <c r="BE19" i="1" s="1"/>
  <c r="BH19" i="1"/>
  <c r="AY19" i="1"/>
  <c r="AX19" i="1" s="1"/>
  <c r="BA19" i="1"/>
  <c r="AR19" i="1"/>
  <c r="AQ19" i="1" s="1"/>
  <c r="AT19" i="1"/>
  <c r="AK19" i="1"/>
  <c r="AJ19" i="1"/>
  <c r="AM19" i="1"/>
  <c r="AD19" i="1"/>
  <c r="AC19" i="1" s="1"/>
  <c r="Y19" i="1"/>
  <c r="W19" i="1"/>
  <c r="V19" i="1" s="1"/>
  <c r="U19" i="1"/>
  <c r="T19" i="1" s="1"/>
  <c r="P19" i="1"/>
  <c r="O19" i="1"/>
  <c r="N19" i="1"/>
  <c r="J19" i="1"/>
  <c r="CO18" i="1"/>
  <c r="CN18" i="1" s="1"/>
  <c r="CH18" i="1"/>
  <c r="CG18" i="1"/>
  <c r="CJ18" i="1"/>
  <c r="CA18" i="1"/>
  <c r="BZ18" i="1" s="1"/>
  <c r="BT18" i="1"/>
  <c r="BS18" i="1" s="1"/>
  <c r="BR18" i="1"/>
  <c r="BV18" i="1"/>
  <c r="BM18" i="1"/>
  <c r="BL18" i="1" s="1"/>
  <c r="BO18" i="1"/>
  <c r="BF18" i="1"/>
  <c r="BE18" i="1"/>
  <c r="BH18" i="1"/>
  <c r="AY18" i="1"/>
  <c r="AX18" i="1" s="1"/>
  <c r="BA18" i="1"/>
  <c r="AR18" i="1"/>
  <c r="AQ18" i="1" s="1"/>
  <c r="AT18" i="1"/>
  <c r="AK18" i="1"/>
  <c r="AJ18" i="1" s="1"/>
  <c r="AI18" i="1"/>
  <c r="AH18" i="1" s="1"/>
  <c r="AM18" i="1"/>
  <c r="AD18" i="1"/>
  <c r="AC18" i="1"/>
  <c r="Y18" i="1"/>
  <c r="W18" i="1"/>
  <c r="V18" i="1" s="1"/>
  <c r="P18" i="1"/>
  <c r="O18" i="1" s="1"/>
  <c r="R18" i="1"/>
  <c r="J18" i="1"/>
  <c r="E18" i="1"/>
  <c r="K18" i="1" s="1"/>
  <c r="CO17" i="1"/>
  <c r="CN17" i="1"/>
  <c r="CH17" i="1"/>
  <c r="CG17" i="1" s="1"/>
  <c r="CJ17" i="1"/>
  <c r="CA17" i="1"/>
  <c r="BZ17" i="1"/>
  <c r="BY17" i="1"/>
  <c r="BX17" i="1" s="1"/>
  <c r="CC17" i="1"/>
  <c r="BT17" i="1"/>
  <c r="BS17" i="1" s="1"/>
  <c r="BV17" i="1"/>
  <c r="BO17" i="1"/>
  <c r="BM17" i="1"/>
  <c r="BL17" i="1" s="1"/>
  <c r="BK17" i="1"/>
  <c r="BJ17" i="1" s="1"/>
  <c r="BF17" i="1"/>
  <c r="BE17" i="1" s="1"/>
  <c r="BH17" i="1"/>
  <c r="BA17" i="1"/>
  <c r="AY17" i="1"/>
  <c r="AX17" i="1"/>
  <c r="AW17" i="1"/>
  <c r="AR17" i="1"/>
  <c r="AQ17" i="1" s="1"/>
  <c r="AT17" i="1"/>
  <c r="AM17" i="1"/>
  <c r="AK17" i="1"/>
  <c r="AJ17" i="1" s="1"/>
  <c r="AI17" i="1"/>
  <c r="AH17" i="1" s="1"/>
  <c r="AD17" i="1"/>
  <c r="AC17" i="1" s="1"/>
  <c r="AF17" i="1"/>
  <c r="W17" i="1"/>
  <c r="V17" i="1"/>
  <c r="Y17" i="1"/>
  <c r="P17" i="1"/>
  <c r="O17" i="1" s="1"/>
  <c r="J17" i="1"/>
  <c r="CV16" i="1"/>
  <c r="CU16" i="1"/>
  <c r="CT16" i="1"/>
  <c r="W16" i="1" s="1"/>
  <c r="CS16" i="1"/>
  <c r="CP16" i="1"/>
  <c r="CO16" i="1" s="1"/>
  <c r="CI16" i="1"/>
  <c r="CH16" i="1"/>
  <c r="CG16" i="1" s="1"/>
  <c r="CB16" i="1"/>
  <c r="CC16" i="1" s="1"/>
  <c r="BY16" i="1"/>
  <c r="BU16" i="1"/>
  <c r="BR16" i="1"/>
  <c r="BN16" i="1"/>
  <c r="BM16" i="1" s="1"/>
  <c r="BK16" i="1"/>
  <c r="BG16" i="1"/>
  <c r="BF16" i="1"/>
  <c r="BH16" i="1"/>
  <c r="AZ16" i="1"/>
  <c r="AW16" i="1"/>
  <c r="AS16" i="1"/>
  <c r="AQ16" i="1" s="1"/>
  <c r="AR16" i="1"/>
  <c r="AB16" i="1"/>
  <c r="AA16" i="1" s="1"/>
  <c r="V16" i="1"/>
  <c r="CV15" i="1"/>
  <c r="CU15" i="1"/>
  <c r="CT15" i="1"/>
  <c r="W15" i="1" s="1"/>
  <c r="CS15" i="1"/>
  <c r="CQ15" i="1"/>
  <c r="CP15" i="1"/>
  <c r="CN15" i="1" s="1"/>
  <c r="CO15" i="1"/>
  <c r="CM15" i="1"/>
  <c r="CI15" i="1"/>
  <c r="CF15" i="1"/>
  <c r="CE15" i="1" s="1"/>
  <c r="CB15" i="1"/>
  <c r="CA15" i="1" s="1"/>
  <c r="BZ15" i="1" s="1"/>
  <c r="BY15" i="1"/>
  <c r="BU15" i="1"/>
  <c r="BT15" i="1" s="1"/>
  <c r="BS15" i="1" s="1"/>
  <c r="BN15" i="1"/>
  <c r="BM15" i="1"/>
  <c r="BL15" i="1"/>
  <c r="BO15" i="1"/>
  <c r="BG15" i="1"/>
  <c r="BD15" i="1"/>
  <c r="AZ15" i="1"/>
  <c r="AY15" i="1"/>
  <c r="AW15" i="1"/>
  <c r="AS15" i="1"/>
  <c r="AI15" i="1"/>
  <c r="U15" i="1"/>
  <c r="T15" i="1" s="1"/>
  <c r="E15" i="1"/>
  <c r="CV14" i="1"/>
  <c r="CU14" i="1"/>
  <c r="CT14" i="1"/>
  <c r="CS14" i="1"/>
  <c r="CP14" i="1"/>
  <c r="CO14" i="1"/>
  <c r="CM14" i="1"/>
  <c r="CL14" i="1" s="1"/>
  <c r="CI14" i="1"/>
  <c r="CH14" i="1" s="1"/>
  <c r="CC14" i="1"/>
  <c r="CB14" i="1"/>
  <c r="CA14" i="1" s="1"/>
  <c r="BZ14" i="1"/>
  <c r="BY14" i="1"/>
  <c r="BU14" i="1"/>
  <c r="BT14" i="1"/>
  <c r="BR14" i="1"/>
  <c r="BN14" i="1"/>
  <c r="BL14" i="1" s="1"/>
  <c r="BM14" i="1"/>
  <c r="BG14" i="1"/>
  <c r="BF14" i="1"/>
  <c r="BE14" i="1" s="1"/>
  <c r="AZ14" i="1"/>
  <c r="AY14" i="1" s="1"/>
  <c r="AX14" i="1" s="1"/>
  <c r="AS14" i="1"/>
  <c r="AP14" i="1"/>
  <c r="AO14" i="1" s="1"/>
  <c r="AK14" i="1"/>
  <c r="U14" i="1"/>
  <c r="N14" i="1"/>
  <c r="CV13" i="1"/>
  <c r="CT13" i="1"/>
  <c r="CS13" i="1"/>
  <c r="CP13" i="1"/>
  <c r="CI13" i="1"/>
  <c r="CJ13" i="1" s="1"/>
  <c r="CB13" i="1"/>
  <c r="CA13" i="1" s="1"/>
  <c r="BU13" i="1"/>
  <c r="BV13" i="1" s="1"/>
  <c r="BT13" i="1"/>
  <c r="BS13" i="1"/>
  <c r="BR13" i="1"/>
  <c r="BN13" i="1"/>
  <c r="BM13" i="1" s="1"/>
  <c r="BG13" i="1"/>
  <c r="BF13" i="1"/>
  <c r="AZ13" i="1"/>
  <c r="AX13" i="1" s="1"/>
  <c r="AY13" i="1"/>
  <c r="AW13" i="1"/>
  <c r="AV13" i="1" s="1"/>
  <c r="AS13" i="1"/>
  <c r="AR13" i="1"/>
  <c r="AQ13" i="1"/>
  <c r="AI13" i="1"/>
  <c r="AB13" i="1"/>
  <c r="P13" i="1"/>
  <c r="O13" i="1"/>
  <c r="R13" i="1"/>
  <c r="CV12" i="1"/>
  <c r="CU12" i="1"/>
  <c r="AD12" i="1" s="1"/>
  <c r="CT12" i="1"/>
  <c r="CS12" i="1"/>
  <c r="CP12" i="1"/>
  <c r="CN12" i="1" s="1"/>
  <c r="CO12" i="1"/>
  <c r="CQ12" i="1"/>
  <c r="CI12" i="1"/>
  <c r="CH12" i="1"/>
  <c r="CG12" i="1"/>
  <c r="CJ12" i="1"/>
  <c r="CB12" i="1"/>
  <c r="BU12" i="1"/>
  <c r="BQ12" i="1"/>
  <c r="BR12" i="1"/>
  <c r="BN12" i="1"/>
  <c r="BM12" i="1"/>
  <c r="BL12" i="1"/>
  <c r="BH12" i="1"/>
  <c r="BG12" i="1"/>
  <c r="BD12" i="1"/>
  <c r="AZ12" i="1"/>
  <c r="AY12" i="1"/>
  <c r="AW12" i="1"/>
  <c r="AV12" i="1" s="1"/>
  <c r="AS12" i="1"/>
  <c r="AR12" i="1" s="1"/>
  <c r="AP12" i="1"/>
  <c r="AO12" i="1" s="1"/>
  <c r="AB12" i="1"/>
  <c r="U12" i="1"/>
  <c r="T12" i="1" s="1"/>
  <c r="P12" i="1"/>
  <c r="CP11" i="1"/>
  <c r="CQ11" i="1"/>
  <c r="CI11" i="1"/>
  <c r="CH11" i="1" s="1"/>
  <c r="CB11" i="1"/>
  <c r="CA11" i="1" s="1"/>
  <c r="CC11" i="1"/>
  <c r="BU11" i="1"/>
  <c r="BT11" i="1" s="1"/>
  <c r="BS11" i="1" s="1"/>
  <c r="BR11" i="1"/>
  <c r="BN11" i="1"/>
  <c r="BM11" i="1"/>
  <c r="BO11" i="1"/>
  <c r="BG11" i="1"/>
  <c r="BE11" i="1" s="1"/>
  <c r="BF11" i="1"/>
  <c r="AZ11" i="1"/>
  <c r="AY11" i="1"/>
  <c r="AX11" i="1" s="1"/>
  <c r="AS11" i="1"/>
  <c r="AR11" i="1"/>
  <c r="AQ11" i="1"/>
  <c r="AT11" i="1"/>
  <c r="AM11" i="1"/>
  <c r="AI11" i="1"/>
  <c r="AH11" i="1" s="1"/>
  <c r="AD11" i="1"/>
  <c r="Y11" i="1"/>
  <c r="P11" i="1"/>
  <c r="O11" i="1" s="1"/>
  <c r="R11" i="1"/>
  <c r="CV10" i="1"/>
  <c r="AK10" i="1" s="1"/>
  <c r="AJ10" i="1" s="1"/>
  <c r="CU10" i="1"/>
  <c r="CT10" i="1"/>
  <c r="CS10" i="1"/>
  <c r="CP10" i="1"/>
  <c r="CO10" i="1"/>
  <c r="CN10" i="1" s="1"/>
  <c r="CQ10" i="1"/>
  <c r="CJ10" i="1"/>
  <c r="CI10" i="1"/>
  <c r="CG10" i="1" s="1"/>
  <c r="CH10" i="1"/>
  <c r="CF10" i="1"/>
  <c r="CE10" i="1" s="1"/>
  <c r="CB10" i="1"/>
  <c r="CC10" i="1"/>
  <c r="BU10" i="1"/>
  <c r="BV10" i="1"/>
  <c r="BN10" i="1"/>
  <c r="BG10" i="1"/>
  <c r="BF10" i="1"/>
  <c r="BE10" i="1"/>
  <c r="BD10" i="1"/>
  <c r="AZ10" i="1"/>
  <c r="AY10" i="1" s="1"/>
  <c r="AS10" i="1"/>
  <c r="AI10" i="1"/>
  <c r="AH10" i="1" s="1"/>
  <c r="CV9" i="1"/>
  <c r="AK9" i="1" s="1"/>
  <c r="CU9" i="1"/>
  <c r="CT9" i="1"/>
  <c r="CS9" i="1"/>
  <c r="CP9" i="1"/>
  <c r="CO9" i="1"/>
  <c r="CQ9" i="1"/>
  <c r="CI9" i="1"/>
  <c r="CH9" i="1" s="1"/>
  <c r="CB9" i="1"/>
  <c r="CA9" i="1" s="1"/>
  <c r="BY9" i="1"/>
  <c r="BX9" i="1" s="1"/>
  <c r="BU9" i="1"/>
  <c r="BT9" i="1"/>
  <c r="BS9" i="1"/>
  <c r="BN9" i="1"/>
  <c r="BM9" i="1" s="1"/>
  <c r="BG9" i="1"/>
  <c r="BA9" i="1"/>
  <c r="AZ9" i="1"/>
  <c r="AY9" i="1"/>
  <c r="AW9" i="1"/>
  <c r="AS9" i="1"/>
  <c r="AR9" i="1"/>
  <c r="AQ9" i="1"/>
  <c r="AI9" i="1"/>
  <c r="AH9" i="1" s="1"/>
  <c r="AB9" i="1"/>
  <c r="W9" i="1"/>
  <c r="M9" i="1"/>
  <c r="N9" i="1"/>
  <c r="CP8" i="1"/>
  <c r="CO8" i="1"/>
  <c r="CQ8" i="1"/>
  <c r="CI8" i="1"/>
  <c r="CH8" i="1" s="1"/>
  <c r="CG8" i="1" s="1"/>
  <c r="CJ8" i="1"/>
  <c r="CB8" i="1"/>
  <c r="CA8" i="1" s="1"/>
  <c r="BZ8" i="1"/>
  <c r="CC8" i="1"/>
  <c r="BU8" i="1"/>
  <c r="BV8" i="1"/>
  <c r="BN8" i="1"/>
  <c r="BM8" i="1" s="1"/>
  <c r="BK8" i="1"/>
  <c r="BG8" i="1"/>
  <c r="BF8" i="1"/>
  <c r="BE8" i="1" s="1"/>
  <c r="BA8" i="1"/>
  <c r="AZ8" i="1"/>
  <c r="AY8" i="1"/>
  <c r="AX8" i="1"/>
  <c r="AW8" i="1"/>
  <c r="AV8" i="1" s="1"/>
  <c r="AS8" i="1"/>
  <c r="AT8" i="1"/>
  <c r="AK8" i="1"/>
  <c r="AI8" i="1"/>
  <c r="AD8" i="1"/>
  <c r="AF8" i="1"/>
  <c r="Y8" i="1"/>
  <c r="U8" i="1"/>
  <c r="P8" i="1"/>
  <c r="R8" i="1"/>
  <c r="CV7" i="1"/>
  <c r="CS7" i="1"/>
  <c r="CP7" i="1"/>
  <c r="CO7" i="1"/>
  <c r="CM7" i="1"/>
  <c r="CI7" i="1"/>
  <c r="CH7" i="1" s="1"/>
  <c r="CB7" i="1"/>
  <c r="CC7" i="1" s="1"/>
  <c r="CA7" i="1"/>
  <c r="BY7" i="1"/>
  <c r="BV7" i="1"/>
  <c r="BU7" i="1"/>
  <c r="BT7" i="1"/>
  <c r="BS7" i="1"/>
  <c r="BR7" i="1"/>
  <c r="BQ7" i="1" s="1"/>
  <c r="BN7" i="1"/>
  <c r="BM7" i="1" s="1"/>
  <c r="BL7" i="1" s="1"/>
  <c r="BO7" i="1"/>
  <c r="BG7" i="1"/>
  <c r="BF7" i="1"/>
  <c r="BE7" i="1" s="1"/>
  <c r="BH7" i="1"/>
  <c r="AZ7" i="1"/>
  <c r="AX7" i="1" s="1"/>
  <c r="AY7" i="1"/>
  <c r="AS7" i="1"/>
  <c r="AT7" i="1"/>
  <c r="AI7" i="1"/>
  <c r="AD7" i="1"/>
  <c r="W7" i="1"/>
  <c r="U7" i="1"/>
  <c r="CP6" i="1"/>
  <c r="CO6" i="1" s="1"/>
  <c r="CM6" i="1"/>
  <c r="CI6" i="1"/>
  <c r="CF6" i="1"/>
  <c r="CB6" i="1"/>
  <c r="CA6" i="1"/>
  <c r="BZ6" i="1"/>
  <c r="BY6" i="1"/>
  <c r="BU6" i="1"/>
  <c r="BS6" i="1" s="1"/>
  <c r="BT6" i="1"/>
  <c r="BV6" i="1"/>
  <c r="BN6" i="1"/>
  <c r="BM6" i="1"/>
  <c r="BL6" i="1"/>
  <c r="BG6" i="1"/>
  <c r="BD6" i="1"/>
  <c r="BC6" i="1" s="1"/>
  <c r="AZ6" i="1"/>
  <c r="AY6" i="1"/>
  <c r="AW6" i="1"/>
  <c r="AS6" i="1"/>
  <c r="AR6" i="1" s="1"/>
  <c r="AK6" i="1"/>
  <c r="AI6" i="1"/>
  <c r="AD6" i="1"/>
  <c r="AB6" i="1"/>
  <c r="AA6" i="1" s="1"/>
  <c r="P6" i="1"/>
  <c r="O6" i="1" s="1"/>
  <c r="CV5" i="1"/>
  <c r="CU5" i="1"/>
  <c r="CU4" i="1" s="1"/>
  <c r="CT5" i="1"/>
  <c r="CT4" i="1" s="1"/>
  <c r="CS5" i="1"/>
  <c r="CP5" i="1"/>
  <c r="CO5" i="1" s="1"/>
  <c r="CM5" i="1"/>
  <c r="CI5" i="1"/>
  <c r="CH5" i="1" s="1"/>
  <c r="CB5" i="1"/>
  <c r="CA5" i="1"/>
  <c r="BY5" i="1"/>
  <c r="BV5" i="1"/>
  <c r="BU5" i="1"/>
  <c r="BS5" i="1" s="1"/>
  <c r="BT5" i="1"/>
  <c r="BR5" i="1"/>
  <c r="BQ5" i="1" s="1"/>
  <c r="BN5" i="1"/>
  <c r="BM5" i="1"/>
  <c r="BL5" i="1" s="1"/>
  <c r="BO5" i="1"/>
  <c r="BG5" i="1"/>
  <c r="BF5" i="1"/>
  <c r="BE5" i="1" s="1"/>
  <c r="AZ5" i="1"/>
  <c r="AY5" i="1"/>
  <c r="AX5" i="1"/>
  <c r="AS5" i="1"/>
  <c r="AP5" i="1"/>
  <c r="AK5" i="1"/>
  <c r="AI5" i="1"/>
  <c r="AD5" i="1"/>
  <c r="E5" i="1"/>
  <c r="U5" i="1"/>
  <c r="N5" i="1"/>
  <c r="CP4" i="1"/>
  <c r="CO4" i="1"/>
  <c r="CN4" i="1"/>
  <c r="CQ4" i="1"/>
  <c r="CI4" i="1"/>
  <c r="CD55" i="1"/>
  <c r="CD58" i="1" s="1"/>
  <c r="CB4" i="1"/>
  <c r="BU4" i="1"/>
  <c r="BT4" i="1"/>
  <c r="BN4" i="1"/>
  <c r="BK4" i="1"/>
  <c r="BG4" i="1"/>
  <c r="BG55" i="1" s="1"/>
  <c r="BD4" i="1"/>
  <c r="AZ4" i="1"/>
  <c r="AS4" i="1"/>
  <c r="AR4" i="1"/>
  <c r="AQ4" i="1"/>
  <c r="AP4" i="1"/>
  <c r="H31" i="13" l="1"/>
  <c r="K9" i="13"/>
  <c r="AJ55" i="15"/>
  <c r="AJ58" i="15" s="1"/>
  <c r="AX55" i="13"/>
  <c r="AX58" i="13" s="1"/>
  <c r="AQ55" i="13"/>
  <c r="AQ58" i="13" s="1"/>
  <c r="H47" i="15"/>
  <c r="AQ55" i="15"/>
  <c r="AQ58" i="15" s="1"/>
  <c r="H37" i="13"/>
  <c r="H40" i="13"/>
  <c r="H16" i="13"/>
  <c r="K14" i="13"/>
  <c r="I55" i="15"/>
  <c r="I58" i="15" s="1"/>
  <c r="BL55" i="15"/>
  <c r="BL58" i="15" s="1"/>
  <c r="K57" i="13"/>
  <c r="K32" i="13"/>
  <c r="H14" i="13"/>
  <c r="F52" i="4"/>
  <c r="D53" i="5"/>
  <c r="T48" i="5"/>
  <c r="F48" i="5" s="1"/>
  <c r="N55" i="5"/>
  <c r="N58" i="5" s="1"/>
  <c r="D7" i="5"/>
  <c r="D48" i="6"/>
  <c r="BP58" i="7"/>
  <c r="BV55" i="7"/>
  <c r="F10" i="8"/>
  <c r="C10" i="8"/>
  <c r="D28" i="8"/>
  <c r="AH28" i="8"/>
  <c r="D35" i="4"/>
  <c r="D48" i="5"/>
  <c r="T37" i="5"/>
  <c r="BY55" i="5"/>
  <c r="BY58" i="5" s="1"/>
  <c r="D10" i="5"/>
  <c r="G42" i="6"/>
  <c r="AA42" i="6"/>
  <c r="C42" i="6" s="1"/>
  <c r="BK55" i="6"/>
  <c r="BK58" i="6" s="1"/>
  <c r="BR55" i="5"/>
  <c r="BR58" i="5" s="1"/>
  <c r="BX10" i="5"/>
  <c r="C6" i="5"/>
  <c r="G54" i="6"/>
  <c r="D12" i="6"/>
  <c r="AO12" i="6"/>
  <c r="BR55" i="7"/>
  <c r="BR58" i="7" s="1"/>
  <c r="D12" i="8"/>
  <c r="G12" i="8"/>
  <c r="D16" i="8"/>
  <c r="BJ16" i="8"/>
  <c r="AH35" i="9"/>
  <c r="C35" i="9" s="1"/>
  <c r="G32" i="9"/>
  <c r="AH32" i="9"/>
  <c r="G27" i="9"/>
  <c r="D50" i="6"/>
  <c r="AA50" i="6"/>
  <c r="D24" i="6"/>
  <c r="AV24" i="6"/>
  <c r="AW55" i="7"/>
  <c r="AW58" i="7" s="1"/>
  <c r="D7" i="7"/>
  <c r="AO7" i="7"/>
  <c r="AP55" i="7"/>
  <c r="AP58" i="7" s="1"/>
  <c r="G57" i="4"/>
  <c r="D39" i="4"/>
  <c r="CC55" i="4"/>
  <c r="BJ52" i="4"/>
  <c r="D25" i="4"/>
  <c r="CF55" i="4"/>
  <c r="CF58" i="4" s="1"/>
  <c r="BD55" i="4"/>
  <c r="BD58" i="4" s="1"/>
  <c r="AA56" i="5"/>
  <c r="BA55" i="5"/>
  <c r="F16" i="5"/>
  <c r="T19" i="6"/>
  <c r="G37" i="7"/>
  <c r="T37" i="7"/>
  <c r="D38" i="7"/>
  <c r="C7" i="7"/>
  <c r="G42" i="8"/>
  <c r="D42" i="8"/>
  <c r="AA42" i="8"/>
  <c r="T37" i="8"/>
  <c r="G37" i="8"/>
  <c r="CF55" i="8"/>
  <c r="CF58" i="8" s="1"/>
  <c r="AU58" i="9"/>
  <c r="BA58" i="9"/>
  <c r="D18" i="9"/>
  <c r="BC57" i="4"/>
  <c r="D50" i="4"/>
  <c r="BK55" i="4"/>
  <c r="BK58" i="4" s="1"/>
  <c r="CF55" i="5"/>
  <c r="CF58" i="5" s="1"/>
  <c r="D4" i="5"/>
  <c r="D23" i="5"/>
  <c r="G22" i="6"/>
  <c r="D32" i="6"/>
  <c r="T32" i="6"/>
  <c r="D11" i="6"/>
  <c r="BI58" i="6"/>
  <c r="BO55" i="6"/>
  <c r="G18" i="6"/>
  <c r="AA18" i="6"/>
  <c r="F18" i="6" s="1"/>
  <c r="G54" i="7"/>
  <c r="BH58" i="7"/>
  <c r="D27" i="7"/>
  <c r="AV27" i="7"/>
  <c r="D18" i="7"/>
  <c r="D57" i="8"/>
  <c r="D26" i="8"/>
  <c r="D4" i="4"/>
  <c r="D24" i="4"/>
  <c r="D9" i="4"/>
  <c r="N55" i="4"/>
  <c r="N58" i="4" s="1"/>
  <c r="D54" i="5"/>
  <c r="G54" i="5"/>
  <c r="F37" i="5"/>
  <c r="AW55" i="5"/>
  <c r="AW58" i="5" s="1"/>
  <c r="D20" i="6"/>
  <c r="D18" i="6"/>
  <c r="F15" i="6"/>
  <c r="D10" i="6"/>
  <c r="T54" i="7"/>
  <c r="CK58" i="7"/>
  <c r="CQ58" i="7"/>
  <c r="BW58" i="7"/>
  <c r="CC55" i="7"/>
  <c r="BJ48" i="8"/>
  <c r="G17" i="8"/>
  <c r="N55" i="8"/>
  <c r="N58" i="8" s="1"/>
  <c r="D43" i="9"/>
  <c r="D52" i="9"/>
  <c r="G52" i="9"/>
  <c r="D36" i="9"/>
  <c r="T24" i="9"/>
  <c r="B55" i="9"/>
  <c r="B58" i="9" s="1"/>
  <c r="AW55" i="9"/>
  <c r="AW58" i="9" s="1"/>
  <c r="D35" i="5"/>
  <c r="C25" i="4"/>
  <c r="G39" i="4"/>
  <c r="T40" i="5"/>
  <c r="G7" i="5"/>
  <c r="D15" i="6"/>
  <c r="D23" i="6"/>
  <c r="D30" i="7"/>
  <c r="AI55" i="8"/>
  <c r="AI58" i="8" s="1"/>
  <c r="D47" i="9"/>
  <c r="AA34" i="9"/>
  <c r="F34" i="9" s="1"/>
  <c r="D33" i="9"/>
  <c r="H45" i="10"/>
  <c r="F32" i="9"/>
  <c r="F5" i="13"/>
  <c r="D22" i="13"/>
  <c r="D46" i="10"/>
  <c r="I12" i="10"/>
  <c r="BT55" i="10"/>
  <c r="BT58" i="10" s="1"/>
  <c r="G12" i="13"/>
  <c r="CN58" i="13"/>
  <c r="C15" i="15"/>
  <c r="C36" i="15"/>
  <c r="F20" i="16"/>
  <c r="AA55" i="16"/>
  <c r="AA58" i="16" s="1"/>
  <c r="G44" i="13"/>
  <c r="F10" i="5"/>
  <c r="D49" i="6"/>
  <c r="G51" i="6"/>
  <c r="D28" i="6"/>
  <c r="D51" i="6"/>
  <c r="D38" i="6"/>
  <c r="D53" i="8"/>
  <c r="G47" i="8"/>
  <c r="F7" i="8"/>
  <c r="BK55" i="8"/>
  <c r="BK58" i="8" s="1"/>
  <c r="D34" i="9"/>
  <c r="D53" i="10"/>
  <c r="K51" i="10"/>
  <c r="G32" i="10"/>
  <c r="AH39" i="10"/>
  <c r="V55" i="13"/>
  <c r="V58" i="13" s="1"/>
  <c r="G22" i="13"/>
  <c r="D28" i="13"/>
  <c r="D29" i="13"/>
  <c r="BD55" i="13"/>
  <c r="BD58" i="13" s="1"/>
  <c r="BE55" i="13"/>
  <c r="BE58" i="13" s="1"/>
  <c r="CG55" i="13"/>
  <c r="CG58" i="13" s="1"/>
  <c r="AC55" i="15"/>
  <c r="AC58" i="15" s="1"/>
  <c r="AA55" i="15"/>
  <c r="AA58" i="15" s="1"/>
  <c r="C43" i="16"/>
  <c r="C47" i="16"/>
  <c r="C25" i="16"/>
  <c r="G14" i="6"/>
  <c r="K57" i="10"/>
  <c r="K38" i="10"/>
  <c r="AR55" i="10"/>
  <c r="AR58" i="10" s="1"/>
  <c r="D34" i="10"/>
  <c r="G16" i="10"/>
  <c r="G52" i="13"/>
  <c r="D54" i="13"/>
  <c r="H53" i="13"/>
  <c r="G29" i="13"/>
  <c r="AI55" i="13"/>
  <c r="AI58" i="13" s="1"/>
  <c r="BS55" i="13"/>
  <c r="BS58" i="13" s="1"/>
  <c r="CE55" i="16"/>
  <c r="CE58" i="16" s="1"/>
  <c r="C23" i="15"/>
  <c r="K12" i="13"/>
  <c r="G57" i="7"/>
  <c r="D34" i="6"/>
  <c r="D15" i="7"/>
  <c r="N55" i="7"/>
  <c r="N58" i="7" s="1"/>
  <c r="D22" i="8"/>
  <c r="CQ55" i="9"/>
  <c r="G47" i="9"/>
  <c r="I46" i="10"/>
  <c r="C14" i="10"/>
  <c r="D32" i="10"/>
  <c r="D15" i="10"/>
  <c r="I15" i="10"/>
  <c r="I5" i="10"/>
  <c r="AB55" i="10"/>
  <c r="AB58" i="10" s="1"/>
  <c r="D57" i="13"/>
  <c r="G48" i="13"/>
  <c r="G34" i="13"/>
  <c r="C15" i="13"/>
  <c r="J55" i="13"/>
  <c r="J58" i="13" s="1"/>
  <c r="J59" i="13" s="1"/>
  <c r="BK55" i="13"/>
  <c r="BK58" i="13" s="1"/>
  <c r="C32" i="15"/>
  <c r="F50" i="16"/>
  <c r="G14" i="9"/>
  <c r="G21" i="6"/>
  <c r="M18" i="5"/>
  <c r="G18" i="5"/>
  <c r="F14" i="4"/>
  <c r="D18" i="4"/>
  <c r="D50" i="5"/>
  <c r="D26" i="5"/>
  <c r="D46" i="6"/>
  <c r="AA47" i="6"/>
  <c r="C24" i="6"/>
  <c r="AP55" i="6"/>
  <c r="AP58" i="6" s="1"/>
  <c r="D36" i="7"/>
  <c r="AA22" i="7"/>
  <c r="U55" i="7"/>
  <c r="U58" i="7" s="1"/>
  <c r="T10" i="7"/>
  <c r="G22" i="8"/>
  <c r="AA23" i="8"/>
  <c r="C23" i="8" s="1"/>
  <c r="F8" i="8"/>
  <c r="T41" i="9"/>
  <c r="D27" i="9"/>
  <c r="Y49" i="10"/>
  <c r="AQ45" i="10"/>
  <c r="K31" i="10"/>
  <c r="D52" i="10"/>
  <c r="D37" i="10"/>
  <c r="D19" i="10"/>
  <c r="G33" i="10"/>
  <c r="AK55" i="10"/>
  <c r="AK58" i="10" s="1"/>
  <c r="H52" i="13"/>
  <c r="D38" i="13"/>
  <c r="K36" i="13"/>
  <c r="D43" i="13"/>
  <c r="K38" i="13"/>
  <c r="K5" i="13"/>
  <c r="H36" i="13"/>
  <c r="K30" i="13"/>
  <c r="D10" i="13"/>
  <c r="F27" i="16"/>
  <c r="AH18" i="4"/>
  <c r="G17" i="5"/>
  <c r="G36" i="5"/>
  <c r="BD55" i="5"/>
  <c r="BD58" i="5" s="1"/>
  <c r="D21" i="5"/>
  <c r="B55" i="5"/>
  <c r="B58" i="5" s="1"/>
  <c r="G52" i="6"/>
  <c r="C36" i="7"/>
  <c r="CM55" i="7"/>
  <c r="CM58" i="7" s="1"/>
  <c r="C48" i="8"/>
  <c r="D8" i="8"/>
  <c r="D14" i="8"/>
  <c r="D32" i="9"/>
  <c r="AI55" i="9"/>
  <c r="AI58" i="9" s="1"/>
  <c r="I44" i="10"/>
  <c r="K39" i="10"/>
  <c r="AP55" i="10"/>
  <c r="AP58" i="10" s="1"/>
  <c r="AA18" i="10"/>
  <c r="C18" i="10" s="1"/>
  <c r="AA34" i="10"/>
  <c r="C34" i="10" s="1"/>
  <c r="V9" i="10"/>
  <c r="I10" i="10"/>
  <c r="AY55" i="10"/>
  <c r="AY58" i="10" s="1"/>
  <c r="D6" i="10"/>
  <c r="K6" i="10"/>
  <c r="AH52" i="13"/>
  <c r="C52" i="13" s="1"/>
  <c r="G14" i="13"/>
  <c r="F38" i="16"/>
  <c r="G38" i="13"/>
  <c r="G12" i="9"/>
  <c r="AP55" i="9"/>
  <c r="AP58" i="9" s="1"/>
  <c r="I36" i="10"/>
  <c r="D16" i="10"/>
  <c r="G27" i="10"/>
  <c r="I6" i="10"/>
  <c r="CM55" i="13"/>
  <c r="CM58" i="13" s="1"/>
  <c r="AA22" i="13"/>
  <c r="F22" i="13" s="1"/>
  <c r="D18" i="5"/>
  <c r="F11" i="16"/>
  <c r="C11" i="16"/>
  <c r="C24" i="16"/>
  <c r="F6" i="16"/>
  <c r="C6" i="16"/>
  <c r="C39" i="16"/>
  <c r="O55" i="16"/>
  <c r="O58" i="16" s="1"/>
  <c r="H4" i="16"/>
  <c r="F37" i="16"/>
  <c r="C37" i="16"/>
  <c r="AE58" i="16"/>
  <c r="AF55" i="16"/>
  <c r="F9" i="16"/>
  <c r="C9" i="16"/>
  <c r="I4" i="16"/>
  <c r="I55" i="16" s="1"/>
  <c r="I58" i="16" s="1"/>
  <c r="V49" i="16"/>
  <c r="H49" i="16" s="1"/>
  <c r="D55" i="16"/>
  <c r="D58" i="16" s="1"/>
  <c r="C42" i="16"/>
  <c r="F42" i="16"/>
  <c r="C13" i="16"/>
  <c r="F13" i="16"/>
  <c r="F51" i="16"/>
  <c r="C51" i="16"/>
  <c r="F33" i="16"/>
  <c r="C33" i="16"/>
  <c r="C12" i="16"/>
  <c r="C4" i="16"/>
  <c r="X58" i="16"/>
  <c r="Y55" i="16"/>
  <c r="J55" i="16"/>
  <c r="R58" i="16"/>
  <c r="Q59" i="16"/>
  <c r="M55" i="16"/>
  <c r="M58" i="16" s="1"/>
  <c r="C17" i="16"/>
  <c r="F17" i="16"/>
  <c r="C22" i="16"/>
  <c r="F22" i="16"/>
  <c r="F40" i="16"/>
  <c r="C40" i="16"/>
  <c r="C5" i="16"/>
  <c r="G55" i="16"/>
  <c r="G58" i="16" s="1"/>
  <c r="F54" i="16"/>
  <c r="C54" i="16"/>
  <c r="T55" i="16"/>
  <c r="T58" i="16" s="1"/>
  <c r="C15" i="16"/>
  <c r="F15" i="16"/>
  <c r="BC55" i="16"/>
  <c r="BC58" i="16" s="1"/>
  <c r="AC4" i="16"/>
  <c r="AC55" i="16" s="1"/>
  <c r="AC58" i="16" s="1"/>
  <c r="C46" i="16"/>
  <c r="F46" i="16"/>
  <c r="AL58" i="16"/>
  <c r="AM55" i="16"/>
  <c r="CB59" i="15"/>
  <c r="CC58" i="15"/>
  <c r="AL59" i="15"/>
  <c r="AM58" i="15"/>
  <c r="D55" i="15"/>
  <c r="D58" i="15" s="1"/>
  <c r="F5" i="15"/>
  <c r="C5" i="15"/>
  <c r="BO58" i="15"/>
  <c r="BN59" i="15"/>
  <c r="BZ55" i="15"/>
  <c r="BZ58" i="15" s="1"/>
  <c r="CP59" i="15"/>
  <c r="CQ58" i="15"/>
  <c r="G55" i="15"/>
  <c r="G58" i="15" s="1"/>
  <c r="AE59" i="15"/>
  <c r="AF58" i="15"/>
  <c r="AH55" i="15"/>
  <c r="AH58" i="15" s="1"/>
  <c r="F52" i="15"/>
  <c r="C52" i="15"/>
  <c r="BV58" i="15"/>
  <c r="BU59" i="15"/>
  <c r="F28" i="15"/>
  <c r="C28" i="15"/>
  <c r="CI59" i="15"/>
  <c r="CJ58" i="15"/>
  <c r="AO55" i="15"/>
  <c r="AO58" i="15" s="1"/>
  <c r="R58" i="15"/>
  <c r="Q59" i="15"/>
  <c r="K55" i="15"/>
  <c r="C47" i="15"/>
  <c r="F47" i="15"/>
  <c r="BH58" i="15"/>
  <c r="BG59" i="15"/>
  <c r="F12" i="15"/>
  <c r="C12" i="15"/>
  <c r="F25" i="15"/>
  <c r="C25" i="15"/>
  <c r="AX55" i="15"/>
  <c r="AX58" i="15" s="1"/>
  <c r="H13" i="15"/>
  <c r="K58" i="15"/>
  <c r="J59" i="15"/>
  <c r="C39" i="15"/>
  <c r="F39" i="15"/>
  <c r="H7" i="15"/>
  <c r="F15" i="15"/>
  <c r="C7" i="15"/>
  <c r="C33" i="15"/>
  <c r="H4" i="15"/>
  <c r="AZ59" i="15"/>
  <c r="BA58" i="15"/>
  <c r="H6" i="15"/>
  <c r="AT58" i="15"/>
  <c r="AS59" i="15"/>
  <c r="O55" i="15"/>
  <c r="O58" i="15" s="1"/>
  <c r="F34" i="15"/>
  <c r="C34" i="15"/>
  <c r="M55" i="15"/>
  <c r="M58" i="15" s="1"/>
  <c r="F4" i="15"/>
  <c r="C4" i="15"/>
  <c r="C48" i="15"/>
  <c r="F48" i="15"/>
  <c r="C29" i="15"/>
  <c r="F29" i="15"/>
  <c r="T55" i="15"/>
  <c r="T58" i="15" s="1"/>
  <c r="X59" i="15"/>
  <c r="Y58" i="15"/>
  <c r="F38" i="15"/>
  <c r="F56" i="13"/>
  <c r="C56" i="13"/>
  <c r="F33" i="13"/>
  <c r="C33" i="13"/>
  <c r="C39" i="13"/>
  <c r="F39" i="13"/>
  <c r="F49" i="13"/>
  <c r="C49" i="13"/>
  <c r="F47" i="13"/>
  <c r="C47" i="13"/>
  <c r="F26" i="13"/>
  <c r="C26" i="13"/>
  <c r="C11" i="13"/>
  <c r="F17" i="13"/>
  <c r="C17" i="13"/>
  <c r="C9" i="13"/>
  <c r="C22" i="13"/>
  <c r="F13" i="13"/>
  <c r="C13" i="13"/>
  <c r="F24" i="13"/>
  <c r="C24" i="13"/>
  <c r="C32" i="13"/>
  <c r="G53" i="13"/>
  <c r="D53" i="13"/>
  <c r="D50" i="13"/>
  <c r="G50" i="13"/>
  <c r="M50" i="13"/>
  <c r="D35" i="13"/>
  <c r="T35" i="13"/>
  <c r="AA43" i="13"/>
  <c r="F43" i="13" s="1"/>
  <c r="G23" i="13"/>
  <c r="D23" i="13"/>
  <c r="D16" i="13"/>
  <c r="G16" i="13"/>
  <c r="K39" i="13"/>
  <c r="F32" i="13"/>
  <c r="CF55" i="13"/>
  <c r="CF58" i="13" s="1"/>
  <c r="T18" i="13"/>
  <c r="BQ10" i="13"/>
  <c r="CE4" i="13"/>
  <c r="CE55" i="13" s="1"/>
  <c r="CE58" i="13" s="1"/>
  <c r="G21" i="13"/>
  <c r="D21" i="13"/>
  <c r="F15" i="13"/>
  <c r="G19" i="13"/>
  <c r="D19" i="13"/>
  <c r="G8" i="13"/>
  <c r="BO55" i="13"/>
  <c r="BN58" i="13"/>
  <c r="BO58" i="13" s="1"/>
  <c r="F25" i="13"/>
  <c r="C25" i="13"/>
  <c r="C7" i="13"/>
  <c r="F7" i="13"/>
  <c r="CI58" i="13"/>
  <c r="CJ58" i="13" s="1"/>
  <c r="CJ55" i="13"/>
  <c r="G27" i="13"/>
  <c r="D27" i="13"/>
  <c r="C29" i="13"/>
  <c r="BU58" i="13"/>
  <c r="BV58" i="13" s="1"/>
  <c r="BV55" i="13"/>
  <c r="BL55" i="13"/>
  <c r="BL58" i="13" s="1"/>
  <c r="G56" i="13"/>
  <c r="D56" i="13"/>
  <c r="F42" i="13"/>
  <c r="D39" i="13"/>
  <c r="G45" i="13"/>
  <c r="D45" i="13"/>
  <c r="AV42" i="13"/>
  <c r="C42" i="13" s="1"/>
  <c r="AH55" i="13"/>
  <c r="AH58" i="13" s="1"/>
  <c r="BJ44" i="13"/>
  <c r="C44" i="13" s="1"/>
  <c r="AO11" i="13"/>
  <c r="AZ58" i="13"/>
  <c r="BA58" i="13" s="1"/>
  <c r="BA55" i="13"/>
  <c r="C40" i="13"/>
  <c r="F29" i="13"/>
  <c r="E55" i="13"/>
  <c r="K4" i="13"/>
  <c r="G13" i="13"/>
  <c r="D13" i="13"/>
  <c r="BX55" i="13"/>
  <c r="BX58" i="13" s="1"/>
  <c r="D8" i="13"/>
  <c r="F41" i="13"/>
  <c r="C41" i="13"/>
  <c r="D26" i="13"/>
  <c r="G26" i="13"/>
  <c r="G24" i="13"/>
  <c r="D24" i="13"/>
  <c r="F54" i="13"/>
  <c r="C54" i="13"/>
  <c r="D49" i="13"/>
  <c r="G49" i="13"/>
  <c r="G46" i="13"/>
  <c r="C38" i="13"/>
  <c r="C28" i="13"/>
  <c r="F28" i="13"/>
  <c r="F10" i="13"/>
  <c r="C10" i="13"/>
  <c r="X58" i="13"/>
  <c r="Y55" i="13"/>
  <c r="G30" i="13"/>
  <c r="D30" i="13"/>
  <c r="M30" i="13"/>
  <c r="D34" i="13"/>
  <c r="N55" i="13"/>
  <c r="N58" i="13" s="1"/>
  <c r="D4" i="13"/>
  <c r="G4" i="13"/>
  <c r="AS58" i="13"/>
  <c r="AT58" i="13" s="1"/>
  <c r="AT55" i="13"/>
  <c r="AP55" i="13"/>
  <c r="AP58" i="13" s="1"/>
  <c r="F9" i="13"/>
  <c r="C34" i="13"/>
  <c r="F34" i="13"/>
  <c r="F4" i="13"/>
  <c r="BR55" i="13"/>
  <c r="BR58" i="13" s="1"/>
  <c r="F44" i="13"/>
  <c r="AA48" i="13"/>
  <c r="G41" i="13"/>
  <c r="D41" i="13"/>
  <c r="F37" i="13"/>
  <c r="C37" i="13"/>
  <c r="D31" i="13"/>
  <c r="C16" i="13"/>
  <c r="F16" i="13"/>
  <c r="F6" i="13"/>
  <c r="AB55" i="13"/>
  <c r="AB58" i="13" s="1"/>
  <c r="AW55" i="13"/>
  <c r="AW58" i="13" s="1"/>
  <c r="AH8" i="13"/>
  <c r="BQ4" i="13"/>
  <c r="L58" i="13"/>
  <c r="R55" i="13"/>
  <c r="G25" i="13"/>
  <c r="D25" i="13"/>
  <c r="AO4" i="13"/>
  <c r="AO55" i="13" s="1"/>
  <c r="AO58" i="13" s="1"/>
  <c r="G17" i="13"/>
  <c r="D17" i="13"/>
  <c r="D18" i="13"/>
  <c r="F36" i="13"/>
  <c r="C36" i="13"/>
  <c r="D48" i="13"/>
  <c r="M45" i="13"/>
  <c r="G33" i="13"/>
  <c r="D33" i="13"/>
  <c r="D46" i="13"/>
  <c r="G39" i="13"/>
  <c r="C20" i="13"/>
  <c r="F20" i="13"/>
  <c r="D37" i="13"/>
  <c r="D47" i="13"/>
  <c r="G47" i="13"/>
  <c r="G31" i="13"/>
  <c r="T14" i="13"/>
  <c r="AM55" i="13"/>
  <c r="AL58" i="13"/>
  <c r="BH55" i="13"/>
  <c r="BG58" i="13"/>
  <c r="BH58" i="13" s="1"/>
  <c r="B55" i="13"/>
  <c r="B58" i="13" s="1"/>
  <c r="BC6" i="13"/>
  <c r="BC55" i="13" s="1"/>
  <c r="BC58" i="13" s="1"/>
  <c r="G7" i="13"/>
  <c r="D7" i="13"/>
  <c r="U55" i="13"/>
  <c r="U58" i="13" s="1"/>
  <c r="AE59" i="13"/>
  <c r="AF58" i="13"/>
  <c r="D6" i="13"/>
  <c r="AC55" i="13"/>
  <c r="AC58" i="13" s="1"/>
  <c r="K53" i="13"/>
  <c r="G51" i="13"/>
  <c r="D51" i="13"/>
  <c r="M51" i="13"/>
  <c r="G40" i="13"/>
  <c r="D40" i="13"/>
  <c r="G36" i="13"/>
  <c r="D36" i="13"/>
  <c r="F31" i="13"/>
  <c r="C31" i="13"/>
  <c r="G20" i="13"/>
  <c r="D20" i="13"/>
  <c r="G32" i="13"/>
  <c r="D32" i="13"/>
  <c r="D14" i="13"/>
  <c r="AA4" i="13"/>
  <c r="AV4" i="13"/>
  <c r="D5" i="13"/>
  <c r="AF55" i="13"/>
  <c r="K6" i="13"/>
  <c r="H4" i="13"/>
  <c r="K48" i="13"/>
  <c r="F57" i="13"/>
  <c r="C57" i="13"/>
  <c r="M53" i="13"/>
  <c r="K56" i="13"/>
  <c r="T46" i="13"/>
  <c r="F46" i="13" s="1"/>
  <c r="G35" i="13"/>
  <c r="M23" i="13"/>
  <c r="CL55" i="13"/>
  <c r="CL58" i="13" s="1"/>
  <c r="F12" i="13"/>
  <c r="C12" i="13"/>
  <c r="CC55" i="13"/>
  <c r="CB58" i="13"/>
  <c r="CC58" i="13" s="1"/>
  <c r="H39" i="13"/>
  <c r="C8" i="13"/>
  <c r="F8" i="13"/>
  <c r="CP58" i="13"/>
  <c r="CQ58" i="13" s="1"/>
  <c r="CQ55" i="13"/>
  <c r="AJ55" i="13"/>
  <c r="AJ58" i="13" s="1"/>
  <c r="M21" i="13"/>
  <c r="D9" i="13"/>
  <c r="M19" i="13"/>
  <c r="BY55" i="13"/>
  <c r="BY58" i="13" s="1"/>
  <c r="C5" i="13"/>
  <c r="T4" i="13"/>
  <c r="M27" i="13"/>
  <c r="F49" i="10"/>
  <c r="C49" i="10"/>
  <c r="H38" i="10"/>
  <c r="C57" i="10"/>
  <c r="F57" i="10"/>
  <c r="H51" i="10"/>
  <c r="BL55" i="10"/>
  <c r="BL58" i="10" s="1"/>
  <c r="F44" i="10"/>
  <c r="C44" i="10"/>
  <c r="F42" i="10"/>
  <c r="C42" i="10"/>
  <c r="C43" i="10"/>
  <c r="F29" i="10"/>
  <c r="C29" i="10"/>
  <c r="AV55" i="10"/>
  <c r="AV58" i="10" s="1"/>
  <c r="Y55" i="10"/>
  <c r="X58" i="10"/>
  <c r="H43" i="10"/>
  <c r="F48" i="10"/>
  <c r="CE52" i="10"/>
  <c r="C52" i="10" s="1"/>
  <c r="D38" i="10"/>
  <c r="M38" i="10"/>
  <c r="G38" i="10"/>
  <c r="C51" i="10"/>
  <c r="AA46" i="10"/>
  <c r="F46" i="10" s="1"/>
  <c r="D51" i="10"/>
  <c r="T37" i="10"/>
  <c r="K50" i="10"/>
  <c r="I30" i="10"/>
  <c r="D23" i="10"/>
  <c r="CJ55" i="10"/>
  <c r="CI58" i="10"/>
  <c r="BF55" i="10"/>
  <c r="BF58" i="10" s="1"/>
  <c r="AH10" i="10"/>
  <c r="G9" i="10"/>
  <c r="C19" i="10"/>
  <c r="I32" i="10"/>
  <c r="K12" i="10"/>
  <c r="CH55" i="10"/>
  <c r="CH58" i="10" s="1"/>
  <c r="BD55" i="10"/>
  <c r="BD58" i="10" s="1"/>
  <c r="AA7" i="10"/>
  <c r="F7" i="10" s="1"/>
  <c r="AA5" i="10"/>
  <c r="H16" i="10"/>
  <c r="H7" i="10"/>
  <c r="B55" i="10"/>
  <c r="B58" i="10" s="1"/>
  <c r="BK55" i="10"/>
  <c r="BK58" i="10" s="1"/>
  <c r="BJ4" i="10"/>
  <c r="BJ55" i="10" s="1"/>
  <c r="BJ58" i="10" s="1"/>
  <c r="H57" i="10"/>
  <c r="I56" i="10"/>
  <c r="C56" i="10"/>
  <c r="F56" i="10"/>
  <c r="K37" i="10"/>
  <c r="G45" i="10"/>
  <c r="M45" i="10"/>
  <c r="D45" i="10"/>
  <c r="D40" i="10"/>
  <c r="G40" i="10"/>
  <c r="M40" i="10"/>
  <c r="G46" i="10"/>
  <c r="I40" i="10"/>
  <c r="C39" i="10"/>
  <c r="F39" i="10"/>
  <c r="D33" i="10"/>
  <c r="H30" i="10"/>
  <c r="C32" i="10"/>
  <c r="F32" i="10"/>
  <c r="AW55" i="10"/>
  <c r="AW58" i="10" s="1"/>
  <c r="G29" i="10"/>
  <c r="D29" i="10"/>
  <c r="F27" i="10"/>
  <c r="AA13" i="10"/>
  <c r="F13" i="10" s="1"/>
  <c r="V10" i="10"/>
  <c r="H10" i="10" s="1"/>
  <c r="F8" i="10"/>
  <c r="C8" i="10"/>
  <c r="T33" i="10"/>
  <c r="F33" i="10" s="1"/>
  <c r="D25" i="10"/>
  <c r="G25" i="10"/>
  <c r="T25" i="10"/>
  <c r="BQ11" i="10"/>
  <c r="C11" i="10" s="1"/>
  <c r="BY55" i="10"/>
  <c r="BY58" i="10" s="1"/>
  <c r="AI55" i="10"/>
  <c r="AI58" i="10" s="1"/>
  <c r="D10" i="10"/>
  <c r="O14" i="10"/>
  <c r="H14" i="10" s="1"/>
  <c r="H6" i="10"/>
  <c r="O5" i="10"/>
  <c r="H5" i="10" s="1"/>
  <c r="D8" i="10"/>
  <c r="D54" i="10"/>
  <c r="F52" i="10"/>
  <c r="I54" i="10"/>
  <c r="BC53" i="10"/>
  <c r="BC55" i="10" s="1"/>
  <c r="BC58" i="10" s="1"/>
  <c r="G57" i="10"/>
  <c r="D57" i="10"/>
  <c r="CG46" i="10"/>
  <c r="CG55" i="10" s="1"/>
  <c r="CG58" i="10" s="1"/>
  <c r="D44" i="10"/>
  <c r="G44" i="10"/>
  <c r="I48" i="10"/>
  <c r="F50" i="10"/>
  <c r="C50" i="10"/>
  <c r="I53" i="10"/>
  <c r="H15" i="10"/>
  <c r="AH35" i="10"/>
  <c r="C35" i="10" s="1"/>
  <c r="AO55" i="10"/>
  <c r="AO58" i="10" s="1"/>
  <c r="O12" i="10"/>
  <c r="H12" i="10" s="1"/>
  <c r="F9" i="10"/>
  <c r="C9" i="10"/>
  <c r="C28" i="10"/>
  <c r="F28" i="10"/>
  <c r="D39" i="10"/>
  <c r="D13" i="10"/>
  <c r="V4" i="10"/>
  <c r="U55" i="10"/>
  <c r="U58" i="10" s="1"/>
  <c r="CA55" i="10"/>
  <c r="CA58" i="10" s="1"/>
  <c r="BZ4" i="10"/>
  <c r="BZ55" i="10" s="1"/>
  <c r="BZ58" i="10" s="1"/>
  <c r="I8" i="10"/>
  <c r="AE55" i="10"/>
  <c r="AF4" i="10"/>
  <c r="AD4" i="10"/>
  <c r="AC4" i="10"/>
  <c r="AQ55" i="10"/>
  <c r="AQ58" i="10" s="1"/>
  <c r="G54" i="10"/>
  <c r="C53" i="10"/>
  <c r="F53" i="10"/>
  <c r="C46" i="10"/>
  <c r="H46" i="10"/>
  <c r="K49" i="10"/>
  <c r="CN55" i="10"/>
  <c r="CN58" i="10" s="1"/>
  <c r="F20" i="10"/>
  <c r="C20" i="10"/>
  <c r="G20" i="10"/>
  <c r="D20" i="10"/>
  <c r="G22" i="10"/>
  <c r="D22" i="10"/>
  <c r="M22" i="10"/>
  <c r="BG58" i="10"/>
  <c r="BH55" i="10"/>
  <c r="E55" i="10"/>
  <c r="E58" i="10" s="1"/>
  <c r="K4" i="10"/>
  <c r="AT55" i="10"/>
  <c r="AS58" i="10"/>
  <c r="CC55" i="10"/>
  <c r="CB58" i="10"/>
  <c r="AH6" i="10"/>
  <c r="C6" i="10" s="1"/>
  <c r="G6" i="10"/>
  <c r="AJ55" i="10"/>
  <c r="AJ58" i="10" s="1"/>
  <c r="H56" i="10"/>
  <c r="H53" i="10"/>
  <c r="H40" i="10"/>
  <c r="I51" i="10"/>
  <c r="G42" i="10"/>
  <c r="D49" i="10"/>
  <c r="G49" i="10"/>
  <c r="G35" i="10"/>
  <c r="D5" i="10"/>
  <c r="G5" i="10"/>
  <c r="I38" i="10"/>
  <c r="F34" i="10"/>
  <c r="G26" i="10"/>
  <c r="D26" i="10"/>
  <c r="M26" i="10"/>
  <c r="H13" i="10"/>
  <c r="F11" i="10"/>
  <c r="BM55" i="10"/>
  <c r="BM58" i="10" s="1"/>
  <c r="F4" i="10"/>
  <c r="G8" i="10"/>
  <c r="BS8" i="10"/>
  <c r="H8" i="10" s="1"/>
  <c r="W49" i="10"/>
  <c r="V49" i="10" s="1"/>
  <c r="H48" i="10"/>
  <c r="D48" i="10"/>
  <c r="H50" i="10"/>
  <c r="K32" i="10"/>
  <c r="AH36" i="10"/>
  <c r="AX44" i="10"/>
  <c r="AX55" i="10" s="1"/>
  <c r="AX58" i="10" s="1"/>
  <c r="F30" i="10"/>
  <c r="C30" i="10"/>
  <c r="F21" i="10"/>
  <c r="C21" i="10"/>
  <c r="CO55" i="10"/>
  <c r="CO58" i="10" s="1"/>
  <c r="K15" i="10"/>
  <c r="G12" i="10"/>
  <c r="D12" i="10"/>
  <c r="BN58" i="10"/>
  <c r="BO55" i="10"/>
  <c r="D31" i="10"/>
  <c r="AH31" i="10"/>
  <c r="F31" i="10" s="1"/>
  <c r="G31" i="10"/>
  <c r="G24" i="10"/>
  <c r="D24" i="10"/>
  <c r="H11" i="10"/>
  <c r="G34" i="10"/>
  <c r="F15" i="10"/>
  <c r="C15" i="10"/>
  <c r="I13" i="10"/>
  <c r="CF55" i="10"/>
  <c r="CF58" i="10" s="1"/>
  <c r="F18" i="10"/>
  <c r="I7" i="10"/>
  <c r="BS55" i="10"/>
  <c r="BS58" i="10" s="1"/>
  <c r="H54" i="10"/>
  <c r="I57" i="10"/>
  <c r="AD49" i="10"/>
  <c r="AC49" i="10" s="1"/>
  <c r="G56" i="10"/>
  <c r="D56" i="10"/>
  <c r="I50" i="10"/>
  <c r="I52" i="10"/>
  <c r="O52" i="10"/>
  <c r="H52" i="10" s="1"/>
  <c r="AF49" i="10"/>
  <c r="F41" i="10"/>
  <c r="C41" i="10"/>
  <c r="H47" i="10"/>
  <c r="H39" i="10"/>
  <c r="C25" i="10"/>
  <c r="F25" i="10"/>
  <c r="G30" i="10"/>
  <c r="D30" i="10"/>
  <c r="F16" i="10"/>
  <c r="C16" i="10"/>
  <c r="H36" i="10"/>
  <c r="F43" i="10"/>
  <c r="H9" i="10"/>
  <c r="G21" i="10"/>
  <c r="D21" i="10"/>
  <c r="D18" i="10"/>
  <c r="BE4" i="10"/>
  <c r="BE55" i="10" s="1"/>
  <c r="BE58" i="10" s="1"/>
  <c r="M12" i="10"/>
  <c r="M24" i="10"/>
  <c r="H31" i="10"/>
  <c r="I4" i="10"/>
  <c r="BA55" i="10"/>
  <c r="AZ58" i="10"/>
  <c r="I16" i="10"/>
  <c r="AM55" i="10"/>
  <c r="AL58" i="10"/>
  <c r="BU58" i="10"/>
  <c r="BV55" i="10"/>
  <c r="F54" i="10"/>
  <c r="C54" i="10"/>
  <c r="P49" i="10"/>
  <c r="O49" i="10" s="1"/>
  <c r="J49" i="10"/>
  <c r="J55" i="10" s="1"/>
  <c r="AA48" i="10"/>
  <c r="C48" i="10" s="1"/>
  <c r="G47" i="10"/>
  <c r="D47" i="10"/>
  <c r="M47" i="10"/>
  <c r="D42" i="10"/>
  <c r="D36" i="10"/>
  <c r="T36" i="10"/>
  <c r="C36" i="10" s="1"/>
  <c r="AD37" i="10"/>
  <c r="AC37" i="10" s="1"/>
  <c r="G41" i="10"/>
  <c r="D41" i="10"/>
  <c r="G50" i="10"/>
  <c r="D50" i="10"/>
  <c r="I47" i="10"/>
  <c r="I39" i="10"/>
  <c r="D27" i="10"/>
  <c r="AA23" i="10"/>
  <c r="C23" i="10" s="1"/>
  <c r="C27" i="10"/>
  <c r="BX55" i="10"/>
  <c r="BX58" i="10" s="1"/>
  <c r="T17" i="10"/>
  <c r="K14" i="10"/>
  <c r="AF37" i="10"/>
  <c r="I31" i="10"/>
  <c r="G19" i="10"/>
  <c r="D17" i="10"/>
  <c r="O37" i="10"/>
  <c r="CQ55" i="10"/>
  <c r="CP58" i="10"/>
  <c r="BR55" i="10"/>
  <c r="BR58" i="10" s="1"/>
  <c r="Q55" i="10"/>
  <c r="N55" i="10"/>
  <c r="N58" i="10" s="1"/>
  <c r="G4" i="10"/>
  <c r="D4" i="10"/>
  <c r="G7" i="10"/>
  <c r="CM55" i="10"/>
  <c r="CM58" i="10" s="1"/>
  <c r="CL4" i="10"/>
  <c r="CL55" i="10" s="1"/>
  <c r="CL58" i="10" s="1"/>
  <c r="C29" i="9"/>
  <c r="F29" i="9"/>
  <c r="BQ55" i="9"/>
  <c r="BQ58" i="9" s="1"/>
  <c r="C54" i="9"/>
  <c r="F54" i="9"/>
  <c r="C49" i="9"/>
  <c r="Y55" i="9"/>
  <c r="X58" i="9"/>
  <c r="C42" i="9"/>
  <c r="F24" i="9"/>
  <c r="D54" i="9"/>
  <c r="D48" i="9"/>
  <c r="G48" i="9"/>
  <c r="I48" i="9"/>
  <c r="C40" i="9"/>
  <c r="F42" i="9"/>
  <c r="H52" i="9"/>
  <c r="D24" i="9"/>
  <c r="D20" i="9"/>
  <c r="G25" i="9"/>
  <c r="D25" i="9"/>
  <c r="AV32" i="9"/>
  <c r="C32" i="9" s="1"/>
  <c r="C18" i="9"/>
  <c r="F18" i="9"/>
  <c r="D16" i="9"/>
  <c r="G33" i="9"/>
  <c r="BJ5" i="9"/>
  <c r="C5" i="9" s="1"/>
  <c r="T18" i="9"/>
  <c r="D7" i="9"/>
  <c r="I5" i="9"/>
  <c r="F5" i="9"/>
  <c r="AK55" i="9"/>
  <c r="AK58" i="9" s="1"/>
  <c r="C56" i="9"/>
  <c r="I51" i="9"/>
  <c r="O51" i="9"/>
  <c r="H51" i="9" s="1"/>
  <c r="CP59" i="9"/>
  <c r="CQ58" i="9"/>
  <c r="C48" i="9"/>
  <c r="F48" i="9"/>
  <c r="AA37" i="9"/>
  <c r="G28" i="9"/>
  <c r="D28" i="9"/>
  <c r="C15" i="9"/>
  <c r="CF55" i="9"/>
  <c r="CF58" i="9" s="1"/>
  <c r="C23" i="9"/>
  <c r="F23" i="9"/>
  <c r="C13" i="9"/>
  <c r="F13" i="9"/>
  <c r="F22" i="9"/>
  <c r="C22" i="9"/>
  <c r="D14" i="9"/>
  <c r="AV14" i="9"/>
  <c r="C14" i="9" s="1"/>
  <c r="F10" i="9"/>
  <c r="C10" i="9"/>
  <c r="F6" i="9"/>
  <c r="F14" i="9"/>
  <c r="P55" i="9"/>
  <c r="P58" i="9" s="1"/>
  <c r="I4" i="9"/>
  <c r="AM55" i="9"/>
  <c r="AL58" i="9"/>
  <c r="AA52" i="9"/>
  <c r="F52" i="9" s="1"/>
  <c r="G45" i="9"/>
  <c r="D45" i="9"/>
  <c r="W37" i="9"/>
  <c r="V37" i="9" s="1"/>
  <c r="H37" i="9" s="1"/>
  <c r="Y37" i="9"/>
  <c r="C43" i="9"/>
  <c r="F43" i="9"/>
  <c r="BX33" i="9"/>
  <c r="D26" i="9"/>
  <c r="C19" i="9"/>
  <c r="F19" i="9"/>
  <c r="T17" i="9"/>
  <c r="C12" i="9"/>
  <c r="F12" i="9"/>
  <c r="AO7" i="9"/>
  <c r="AO55" i="9" s="1"/>
  <c r="AO58" i="9" s="1"/>
  <c r="CC55" i="9"/>
  <c r="BW58" i="9"/>
  <c r="C16" i="9"/>
  <c r="D9" i="9"/>
  <c r="G9" i="9"/>
  <c r="G22" i="9"/>
  <c r="D22" i="9"/>
  <c r="CM55" i="9"/>
  <c r="CM58" i="9" s="1"/>
  <c r="CL4" i="9"/>
  <c r="CL55" i="9" s="1"/>
  <c r="CL58" i="9" s="1"/>
  <c r="F26" i="9"/>
  <c r="G10" i="9"/>
  <c r="D10" i="9"/>
  <c r="D6" i="9"/>
  <c r="O12" i="9"/>
  <c r="H12" i="9" s="1"/>
  <c r="BY55" i="9"/>
  <c r="BY58" i="9" s="1"/>
  <c r="F36" i="9"/>
  <c r="C36" i="9"/>
  <c r="AS59" i="9"/>
  <c r="AT58" i="9"/>
  <c r="C44" i="9"/>
  <c r="F44" i="9"/>
  <c r="C41" i="9"/>
  <c r="F27" i="9"/>
  <c r="F41" i="9"/>
  <c r="G29" i="9"/>
  <c r="D29" i="9"/>
  <c r="BC27" i="9"/>
  <c r="C27" i="9" s="1"/>
  <c r="O55" i="9"/>
  <c r="O58" i="9" s="1"/>
  <c r="U55" i="9"/>
  <c r="U58" i="9" s="1"/>
  <c r="T4" i="9"/>
  <c r="M9" i="9"/>
  <c r="BK55" i="9"/>
  <c r="BK58" i="9" s="1"/>
  <c r="BJ4" i="9"/>
  <c r="F16" i="9"/>
  <c r="AH11" i="9"/>
  <c r="AH55" i="9" s="1"/>
  <c r="AH58" i="9" s="1"/>
  <c r="R58" i="9"/>
  <c r="Q59" i="9"/>
  <c r="BP58" i="9"/>
  <c r="BV55" i="9"/>
  <c r="G7" i="9"/>
  <c r="F53" i="9"/>
  <c r="C53" i="9"/>
  <c r="F46" i="9"/>
  <c r="C46" i="9"/>
  <c r="F57" i="9"/>
  <c r="C57" i="9"/>
  <c r="F47" i="9"/>
  <c r="K52" i="9"/>
  <c r="D44" i="9"/>
  <c r="G44" i="9"/>
  <c r="F38" i="9"/>
  <c r="C38" i="9"/>
  <c r="F33" i="9"/>
  <c r="C33" i="9"/>
  <c r="C31" i="9"/>
  <c r="F31" i="9"/>
  <c r="BD55" i="9"/>
  <c r="BD58" i="9" s="1"/>
  <c r="C24" i="9"/>
  <c r="F4" i="9"/>
  <c r="C21" i="9"/>
  <c r="F21" i="9"/>
  <c r="BR55" i="9"/>
  <c r="BR58" i="9" s="1"/>
  <c r="G56" i="9"/>
  <c r="G53" i="9"/>
  <c r="D53" i="9"/>
  <c r="G57" i="9"/>
  <c r="D57" i="9"/>
  <c r="BC47" i="9"/>
  <c r="C47" i="9" s="1"/>
  <c r="D41" i="9"/>
  <c r="G51" i="9"/>
  <c r="D40" i="9"/>
  <c r="D49" i="9"/>
  <c r="F39" i="9"/>
  <c r="C39" i="9"/>
  <c r="K32" i="9"/>
  <c r="D17" i="9"/>
  <c r="V26" i="9"/>
  <c r="H26" i="9" s="1"/>
  <c r="I26" i="9"/>
  <c r="F35" i="9"/>
  <c r="T20" i="9"/>
  <c r="BX55" i="9"/>
  <c r="BX58" i="9" s="1"/>
  <c r="D8" i="9"/>
  <c r="E55" i="9"/>
  <c r="E58" i="9" s="1"/>
  <c r="K4" i="9"/>
  <c r="D21" i="9"/>
  <c r="G21" i="9"/>
  <c r="D19" i="9"/>
  <c r="G19" i="9"/>
  <c r="T15" i="9"/>
  <c r="F15" i="9" s="1"/>
  <c r="D15" i="9"/>
  <c r="AV6" i="9"/>
  <c r="C6" i="9" s="1"/>
  <c r="AC9" i="9"/>
  <c r="H9" i="9" s="1"/>
  <c r="D56" i="9"/>
  <c r="D50" i="9"/>
  <c r="C52" i="9"/>
  <c r="K33" i="9"/>
  <c r="D51" i="9"/>
  <c r="AA50" i="9"/>
  <c r="AA55" i="9" s="1"/>
  <c r="AA58" i="9" s="1"/>
  <c r="G46" i="9"/>
  <c r="D42" i="9"/>
  <c r="D38" i="9"/>
  <c r="G38" i="9"/>
  <c r="I50" i="9"/>
  <c r="D37" i="9"/>
  <c r="G31" i="9"/>
  <c r="D31" i="9"/>
  <c r="C28" i="9"/>
  <c r="F28" i="9"/>
  <c r="F30" i="9"/>
  <c r="C30" i="9"/>
  <c r="V4" i="9"/>
  <c r="H4" i="9" s="1"/>
  <c r="H55" i="9" s="1"/>
  <c r="H58" i="9" s="1"/>
  <c r="CE4" i="9"/>
  <c r="CE55" i="9" s="1"/>
  <c r="CE58" i="9" s="1"/>
  <c r="T8" i="9"/>
  <c r="AB55" i="9"/>
  <c r="AB58" i="9" s="1"/>
  <c r="G6" i="9"/>
  <c r="AD55" i="9"/>
  <c r="AD58" i="9" s="1"/>
  <c r="C51" i="9"/>
  <c r="F51" i="9"/>
  <c r="D46" i="9"/>
  <c r="M45" i="9"/>
  <c r="D39" i="9"/>
  <c r="G39" i="9"/>
  <c r="J37" i="9"/>
  <c r="J55" i="9" s="1"/>
  <c r="M25" i="9"/>
  <c r="G30" i="9"/>
  <c r="D30" i="9"/>
  <c r="D35" i="9"/>
  <c r="N55" i="9"/>
  <c r="N58" i="9" s="1"/>
  <c r="G4" i="9"/>
  <c r="D4" i="9"/>
  <c r="D23" i="9"/>
  <c r="G23" i="9"/>
  <c r="F7" i="9"/>
  <c r="C7" i="9"/>
  <c r="G8" i="9"/>
  <c r="AJ4" i="9"/>
  <c r="AJ55" i="9" s="1"/>
  <c r="AJ58" i="9" s="1"/>
  <c r="AF55" i="9"/>
  <c r="AE58" i="9"/>
  <c r="AL58" i="8"/>
  <c r="AM55" i="8"/>
  <c r="BC55" i="8"/>
  <c r="BC58" i="8" s="1"/>
  <c r="C51" i="8"/>
  <c r="F51" i="8"/>
  <c r="F50" i="8"/>
  <c r="C50" i="8"/>
  <c r="C15" i="8"/>
  <c r="F15" i="8"/>
  <c r="F54" i="8"/>
  <c r="C54" i="8"/>
  <c r="F30" i="8"/>
  <c r="C30" i="8"/>
  <c r="CL55" i="8"/>
  <c r="CL58" i="8" s="1"/>
  <c r="C57" i="8"/>
  <c r="BJ55" i="8"/>
  <c r="BJ58" i="8" s="1"/>
  <c r="AC55" i="8"/>
  <c r="AC58" i="8" s="1"/>
  <c r="R55" i="8"/>
  <c r="Q58" i="8"/>
  <c r="C53" i="8"/>
  <c r="F53" i="8"/>
  <c r="AH45" i="8"/>
  <c r="F52" i="8"/>
  <c r="C52" i="8"/>
  <c r="K48" i="8"/>
  <c r="G56" i="8"/>
  <c r="BJ36" i="8"/>
  <c r="O50" i="8"/>
  <c r="H50" i="8" s="1"/>
  <c r="AX55" i="8"/>
  <c r="AX58" i="8" s="1"/>
  <c r="AH18" i="8"/>
  <c r="C18" i="8" s="1"/>
  <c r="D27" i="8"/>
  <c r="BX55" i="8"/>
  <c r="BX58" i="8" s="1"/>
  <c r="I16" i="8"/>
  <c r="C7" i="8"/>
  <c r="C5" i="8"/>
  <c r="G53" i="8"/>
  <c r="G52" i="8"/>
  <c r="M41" i="8"/>
  <c r="G41" i="8"/>
  <c r="D41" i="8"/>
  <c r="F42" i="8"/>
  <c r="C42" i="8"/>
  <c r="G33" i="8"/>
  <c r="D33" i="8"/>
  <c r="G30" i="8"/>
  <c r="D30" i="8"/>
  <c r="F25" i="8"/>
  <c r="C25" i="8"/>
  <c r="F17" i="8"/>
  <c r="C17" i="8"/>
  <c r="G24" i="8"/>
  <c r="D24" i="8"/>
  <c r="M24" i="8"/>
  <c r="G28" i="8"/>
  <c r="G20" i="8"/>
  <c r="D20" i="8"/>
  <c r="F5" i="8"/>
  <c r="AB55" i="8"/>
  <c r="AB58" i="8" s="1"/>
  <c r="BR55" i="8"/>
  <c r="BR58" i="8" s="1"/>
  <c r="H4" i="8"/>
  <c r="C45" i="8"/>
  <c r="F45" i="8"/>
  <c r="AZ59" i="8"/>
  <c r="BA58" i="8"/>
  <c r="D52" i="8"/>
  <c r="D45" i="8"/>
  <c r="M33" i="8"/>
  <c r="CE13" i="8"/>
  <c r="CE55" i="8" s="1"/>
  <c r="CE58" i="8" s="1"/>
  <c r="F14" i="8"/>
  <c r="C14" i="8"/>
  <c r="AW55" i="8"/>
  <c r="AW58" i="8" s="1"/>
  <c r="AV8" i="8"/>
  <c r="C8" i="8" s="1"/>
  <c r="AV4" i="8"/>
  <c r="C4" i="8" s="1"/>
  <c r="C28" i="8"/>
  <c r="F28" i="8"/>
  <c r="O14" i="8"/>
  <c r="H14" i="8" s="1"/>
  <c r="U55" i="8"/>
  <c r="U58" i="8" s="1"/>
  <c r="CM55" i="8"/>
  <c r="CM58" i="8" s="1"/>
  <c r="D4" i="8"/>
  <c r="BI58" i="8"/>
  <c r="BO58" i="8"/>
  <c r="F23" i="8"/>
  <c r="I4" i="8"/>
  <c r="G49" i="8"/>
  <c r="M49" i="8"/>
  <c r="D49" i="8"/>
  <c r="F37" i="8"/>
  <c r="C37" i="8"/>
  <c r="D44" i="8"/>
  <c r="F32" i="8"/>
  <c r="C32" i="8"/>
  <c r="K36" i="8"/>
  <c r="AN58" i="8"/>
  <c r="AT55" i="8"/>
  <c r="G21" i="8"/>
  <c r="D21" i="8"/>
  <c r="D11" i="8"/>
  <c r="G11" i="8"/>
  <c r="E55" i="8"/>
  <c r="E58" i="8" s="1"/>
  <c r="M20" i="8"/>
  <c r="I26" i="8"/>
  <c r="AD55" i="8"/>
  <c r="AD58" i="8" s="1"/>
  <c r="G50" i="8"/>
  <c r="D50" i="8"/>
  <c r="CC58" i="8"/>
  <c r="CB59" i="8"/>
  <c r="C43" i="8"/>
  <c r="F43" i="8"/>
  <c r="F31" i="8"/>
  <c r="C31" i="8"/>
  <c r="G51" i="8"/>
  <c r="D51" i="8"/>
  <c r="K43" i="8"/>
  <c r="C44" i="8"/>
  <c r="F44" i="8"/>
  <c r="D29" i="8"/>
  <c r="F35" i="8"/>
  <c r="C35" i="8"/>
  <c r="F40" i="8"/>
  <c r="C40" i="8"/>
  <c r="V37" i="8"/>
  <c r="W37" i="8"/>
  <c r="D34" i="8"/>
  <c r="F22" i="8"/>
  <c r="C22" i="8"/>
  <c r="F13" i="8"/>
  <c r="C13" i="8"/>
  <c r="W55" i="8"/>
  <c r="W58" i="8" s="1"/>
  <c r="D23" i="8"/>
  <c r="M11" i="8"/>
  <c r="AP55" i="8"/>
  <c r="AP58" i="8" s="1"/>
  <c r="AE58" i="8"/>
  <c r="AF55" i="8"/>
  <c r="BU59" i="8"/>
  <c r="BV58" i="8"/>
  <c r="F46" i="8"/>
  <c r="C46" i="8"/>
  <c r="D31" i="8"/>
  <c r="G31" i="8"/>
  <c r="G43" i="8"/>
  <c r="C47" i="8"/>
  <c r="F47" i="8"/>
  <c r="D43" i="8"/>
  <c r="G35" i="8"/>
  <c r="D35" i="8"/>
  <c r="D37" i="8"/>
  <c r="AK37" i="8"/>
  <c r="AK55" i="8" s="1"/>
  <c r="AK58" i="8" s="1"/>
  <c r="D19" i="8"/>
  <c r="O27" i="8"/>
  <c r="H27" i="8" s="1"/>
  <c r="X55" i="8"/>
  <c r="M21" i="8"/>
  <c r="AH13" i="8"/>
  <c r="AH55" i="8" s="1"/>
  <c r="AH58" i="8" s="1"/>
  <c r="G26" i="8"/>
  <c r="D18" i="8"/>
  <c r="O10" i="8"/>
  <c r="H10" i="8" s="1"/>
  <c r="F18" i="8"/>
  <c r="AJ5" i="8"/>
  <c r="H5" i="8" s="1"/>
  <c r="I5" i="8"/>
  <c r="AK49" i="8"/>
  <c r="AJ49" i="8" s="1"/>
  <c r="D46" i="8"/>
  <c r="G46" i="8"/>
  <c r="AM49" i="8"/>
  <c r="AA39" i="8"/>
  <c r="C39" i="8" s="1"/>
  <c r="D56" i="8"/>
  <c r="F38" i="8"/>
  <c r="C38" i="8"/>
  <c r="G57" i="8"/>
  <c r="D47" i="8"/>
  <c r="C34" i="8"/>
  <c r="F34" i="8"/>
  <c r="AA29" i="8"/>
  <c r="F29" i="8" s="1"/>
  <c r="AA36" i="8"/>
  <c r="C36" i="8" s="1"/>
  <c r="T26" i="8"/>
  <c r="C26" i="8" s="1"/>
  <c r="BQ55" i="8"/>
  <c r="BQ58" i="8" s="1"/>
  <c r="C19" i="8"/>
  <c r="F19" i="8"/>
  <c r="G15" i="8"/>
  <c r="D15" i="8"/>
  <c r="D13" i="8"/>
  <c r="G13" i="8"/>
  <c r="I9" i="8"/>
  <c r="I37" i="8"/>
  <c r="D17" i="8"/>
  <c r="AA16" i="8"/>
  <c r="C16" i="8" s="1"/>
  <c r="O16" i="8"/>
  <c r="H16" i="8" s="1"/>
  <c r="K5" i="8"/>
  <c r="J49" i="8"/>
  <c r="K49" i="8" s="1"/>
  <c r="P49" i="8"/>
  <c r="I49" i="8" s="1"/>
  <c r="D54" i="8"/>
  <c r="G54" i="8"/>
  <c r="F56" i="8"/>
  <c r="C56" i="8"/>
  <c r="F57" i="8"/>
  <c r="G25" i="8"/>
  <c r="D25" i="8"/>
  <c r="G34" i="8"/>
  <c r="G32" i="8"/>
  <c r="D32" i="8"/>
  <c r="G40" i="8"/>
  <c r="D40" i="8"/>
  <c r="Y37" i="8"/>
  <c r="V12" i="8"/>
  <c r="V55" i="8" s="1"/>
  <c r="V58" i="8" s="1"/>
  <c r="F6" i="8"/>
  <c r="C6" i="8"/>
  <c r="BY55" i="8"/>
  <c r="BY58" i="8" s="1"/>
  <c r="AO27" i="8"/>
  <c r="C27" i="8" s="1"/>
  <c r="T12" i="8"/>
  <c r="AA9" i="8"/>
  <c r="J37" i="8"/>
  <c r="K37" i="8" s="1"/>
  <c r="BD55" i="8"/>
  <c r="BD58" i="8" s="1"/>
  <c r="G29" i="8"/>
  <c r="CK58" i="8"/>
  <c r="CQ55" i="8"/>
  <c r="B55" i="8"/>
  <c r="B58" i="8" s="1"/>
  <c r="G9" i="8"/>
  <c r="C44" i="7"/>
  <c r="F44" i="7"/>
  <c r="C56" i="7"/>
  <c r="F26" i="7"/>
  <c r="C26" i="7"/>
  <c r="CE55" i="7"/>
  <c r="CE58" i="7" s="1"/>
  <c r="C48" i="7"/>
  <c r="F48" i="7"/>
  <c r="F42" i="7"/>
  <c r="C42" i="7"/>
  <c r="J55" i="7"/>
  <c r="BJ55" i="7"/>
  <c r="BJ58" i="7" s="1"/>
  <c r="F16" i="7"/>
  <c r="C16" i="7"/>
  <c r="F21" i="7"/>
  <c r="C21" i="7"/>
  <c r="C6" i="7"/>
  <c r="F6" i="7"/>
  <c r="AM55" i="7"/>
  <c r="AL58" i="7"/>
  <c r="CL55" i="7"/>
  <c r="CL58" i="7" s="1"/>
  <c r="F29" i="7"/>
  <c r="C29" i="7"/>
  <c r="AE58" i="7"/>
  <c r="AF55" i="7"/>
  <c r="C15" i="7"/>
  <c r="D57" i="7"/>
  <c r="D47" i="7"/>
  <c r="G52" i="7"/>
  <c r="G51" i="7"/>
  <c r="D51" i="7"/>
  <c r="AC48" i="7"/>
  <c r="G49" i="7"/>
  <c r="G35" i="7"/>
  <c r="D35" i="7"/>
  <c r="AA32" i="7"/>
  <c r="F50" i="7"/>
  <c r="C50" i="7"/>
  <c r="T13" i="7"/>
  <c r="T55" i="7" s="1"/>
  <c r="T58" i="7" s="1"/>
  <c r="O39" i="7"/>
  <c r="H39" i="7" s="1"/>
  <c r="D12" i="7"/>
  <c r="AO8" i="7"/>
  <c r="AO55" i="7" s="1"/>
  <c r="Y55" i="7"/>
  <c r="X58" i="7"/>
  <c r="D13" i="7"/>
  <c r="AU58" i="7"/>
  <c r="BA55" i="7"/>
  <c r="O49" i="7"/>
  <c r="R49" i="7"/>
  <c r="P49" i="7"/>
  <c r="J49" i="7"/>
  <c r="AC56" i="7"/>
  <c r="H56" i="7" s="1"/>
  <c r="D56" i="7"/>
  <c r="F37" i="7"/>
  <c r="C37" i="7"/>
  <c r="O35" i="7"/>
  <c r="H35" i="7" s="1"/>
  <c r="D34" i="7"/>
  <c r="G34" i="7"/>
  <c r="C35" i="7"/>
  <c r="F35" i="7"/>
  <c r="G41" i="7"/>
  <c r="D41" i="7"/>
  <c r="D24" i="7"/>
  <c r="G24" i="7"/>
  <c r="AA19" i="7"/>
  <c r="G29" i="7"/>
  <c r="D29" i="7"/>
  <c r="D21" i="7"/>
  <c r="G21" i="7"/>
  <c r="AA14" i="7"/>
  <c r="C14" i="7" s="1"/>
  <c r="BC55" i="7"/>
  <c r="BC58" i="7" s="1"/>
  <c r="G19" i="7"/>
  <c r="M5" i="7"/>
  <c r="F13" i="7"/>
  <c r="V19" i="7"/>
  <c r="H19" i="7" s="1"/>
  <c r="BQ5" i="7"/>
  <c r="BQ55" i="7" s="1"/>
  <c r="BQ58" i="7" s="1"/>
  <c r="AB55" i="7"/>
  <c r="AB58" i="7" s="1"/>
  <c r="P55" i="7"/>
  <c r="P58" i="7" s="1"/>
  <c r="D44" i="7"/>
  <c r="G44" i="7"/>
  <c r="AA30" i="7"/>
  <c r="G32" i="7"/>
  <c r="AA39" i="7"/>
  <c r="C18" i="7"/>
  <c r="F18" i="7"/>
  <c r="AV11" i="7"/>
  <c r="D20" i="7"/>
  <c r="G11" i="7"/>
  <c r="M11" i="7"/>
  <c r="D11" i="7"/>
  <c r="G9" i="7"/>
  <c r="D9" i="7"/>
  <c r="CF55" i="7"/>
  <c r="CF58" i="7" s="1"/>
  <c r="D10" i="7"/>
  <c r="I22" i="7"/>
  <c r="F15" i="7"/>
  <c r="CB59" i="7"/>
  <c r="CC58" i="7"/>
  <c r="AC52" i="7"/>
  <c r="F46" i="7"/>
  <c r="C46" i="7"/>
  <c r="K40" i="7"/>
  <c r="D42" i="7"/>
  <c r="G42" i="7"/>
  <c r="M24" i="7"/>
  <c r="G26" i="7"/>
  <c r="D26" i="7"/>
  <c r="G25" i="7"/>
  <c r="D25" i="7"/>
  <c r="F20" i="7"/>
  <c r="C20" i="7"/>
  <c r="AI55" i="7"/>
  <c r="AI58" i="7" s="1"/>
  <c r="D4" i="7"/>
  <c r="AH4" i="7"/>
  <c r="AH55" i="7" s="1"/>
  <c r="AH58" i="7" s="1"/>
  <c r="BK55" i="7"/>
  <c r="BK58" i="7" s="1"/>
  <c r="E55" i="7"/>
  <c r="E58" i="7" s="1"/>
  <c r="F12" i="7"/>
  <c r="C12" i="7"/>
  <c r="BI58" i="7"/>
  <c r="BO58" i="7"/>
  <c r="BO55" i="7"/>
  <c r="F54" i="7"/>
  <c r="C54" i="7"/>
  <c r="C52" i="7"/>
  <c r="F47" i="7"/>
  <c r="C47" i="7"/>
  <c r="C53" i="7"/>
  <c r="F53" i="7"/>
  <c r="G48" i="7"/>
  <c r="D48" i="7"/>
  <c r="I30" i="7"/>
  <c r="V30" i="7"/>
  <c r="H30" i="7" s="1"/>
  <c r="F38" i="7"/>
  <c r="C38" i="7"/>
  <c r="T38" i="7"/>
  <c r="D28" i="7"/>
  <c r="G28" i="7"/>
  <c r="M28" i="7"/>
  <c r="G17" i="7"/>
  <c r="M17" i="7"/>
  <c r="D17" i="7"/>
  <c r="F9" i="7"/>
  <c r="C9" i="7"/>
  <c r="D5" i="7"/>
  <c r="G5" i="7"/>
  <c r="H16" i="7"/>
  <c r="G16" i="7"/>
  <c r="D16" i="7"/>
  <c r="H52" i="7"/>
  <c r="D52" i="7"/>
  <c r="AO57" i="7"/>
  <c r="C57" i="7" s="1"/>
  <c r="D46" i="7"/>
  <c r="D49" i="7"/>
  <c r="G53" i="7"/>
  <c r="D53" i="7"/>
  <c r="AD37" i="7"/>
  <c r="I37" i="7" s="1"/>
  <c r="AC37" i="7"/>
  <c r="T49" i="7"/>
  <c r="G30" i="7"/>
  <c r="H42" i="7"/>
  <c r="M34" i="7"/>
  <c r="C43" i="7"/>
  <c r="F43" i="7"/>
  <c r="D40" i="7"/>
  <c r="M40" i="7"/>
  <c r="G40" i="7"/>
  <c r="G45" i="7"/>
  <c r="D45" i="7"/>
  <c r="D50" i="7"/>
  <c r="G50" i="7"/>
  <c r="M45" i="7"/>
  <c r="G38" i="7"/>
  <c r="M25" i="7"/>
  <c r="K22" i="7"/>
  <c r="H9" i="7"/>
  <c r="T23" i="7"/>
  <c r="K5" i="7"/>
  <c r="O55" i="7"/>
  <c r="O58" i="7" s="1"/>
  <c r="H4" i="7"/>
  <c r="G15" i="7"/>
  <c r="F8" i="7"/>
  <c r="I16" i="7"/>
  <c r="F57" i="7"/>
  <c r="F56" i="7"/>
  <c r="K53" i="7"/>
  <c r="I42" i="7"/>
  <c r="H40" i="7"/>
  <c r="AJ36" i="7"/>
  <c r="G43" i="7"/>
  <c r="D43" i="7"/>
  <c r="F31" i="7"/>
  <c r="C31" i="7"/>
  <c r="F33" i="7"/>
  <c r="C33" i="7"/>
  <c r="G6" i="7"/>
  <c r="BD55" i="7"/>
  <c r="BD58" i="7" s="1"/>
  <c r="Q55" i="7"/>
  <c r="D14" i="7"/>
  <c r="BX55" i="7"/>
  <c r="BX58" i="7" s="1"/>
  <c r="G20" i="7"/>
  <c r="G8" i="7"/>
  <c r="D8" i="7"/>
  <c r="B55" i="7"/>
  <c r="B58" i="7" s="1"/>
  <c r="F7" i="7"/>
  <c r="K49" i="7"/>
  <c r="AD49" i="7"/>
  <c r="AC49" i="7"/>
  <c r="H48" i="7"/>
  <c r="M51" i="7"/>
  <c r="D37" i="7"/>
  <c r="AK37" i="7"/>
  <c r="AJ37" i="7" s="1"/>
  <c r="AJ55" i="7" s="1"/>
  <c r="AJ58" i="7" s="1"/>
  <c r="H36" i="7"/>
  <c r="G31" i="7"/>
  <c r="D31" i="7"/>
  <c r="M41" i="7"/>
  <c r="G33" i="7"/>
  <c r="D33" i="7"/>
  <c r="K50" i="7"/>
  <c r="G23" i="7"/>
  <c r="D22" i="7"/>
  <c r="C10" i="7"/>
  <c r="F10" i="7"/>
  <c r="C27" i="7"/>
  <c r="C19" i="7"/>
  <c r="F19" i="7"/>
  <c r="K21" i="7"/>
  <c r="K12" i="7"/>
  <c r="BY55" i="7"/>
  <c r="BY58" i="7" s="1"/>
  <c r="W55" i="7"/>
  <c r="W58" i="7" s="1"/>
  <c r="V4" i="7"/>
  <c r="AV55" i="7"/>
  <c r="AV58" i="7" s="1"/>
  <c r="BQ55" i="6"/>
  <c r="BQ58" i="6" s="1"/>
  <c r="F31" i="6"/>
  <c r="C31" i="6"/>
  <c r="BX55" i="6"/>
  <c r="BX58" i="6" s="1"/>
  <c r="H10" i="6"/>
  <c r="G39" i="6"/>
  <c r="D39" i="6"/>
  <c r="I28" i="6"/>
  <c r="V28" i="6"/>
  <c r="H28" i="6" s="1"/>
  <c r="F8" i="6"/>
  <c r="F43" i="6"/>
  <c r="C43" i="6"/>
  <c r="G57" i="6"/>
  <c r="D57" i="6"/>
  <c r="I52" i="6"/>
  <c r="AA28" i="6"/>
  <c r="C28" i="6" s="1"/>
  <c r="K37" i="6"/>
  <c r="AO37" i="6"/>
  <c r="C37" i="6" s="1"/>
  <c r="AV20" i="6"/>
  <c r="AV55" i="6" s="1"/>
  <c r="AV58" i="6" s="1"/>
  <c r="D25" i="6"/>
  <c r="AA38" i="6"/>
  <c r="V32" i="6"/>
  <c r="H32" i="6" s="1"/>
  <c r="AK37" i="6"/>
  <c r="AJ37" i="6"/>
  <c r="AM37" i="6"/>
  <c r="F42" i="6"/>
  <c r="D19" i="6"/>
  <c r="AW55" i="6"/>
  <c r="AW58" i="6" s="1"/>
  <c r="D26" i="6"/>
  <c r="G5" i="6"/>
  <c r="D5" i="6"/>
  <c r="N55" i="6"/>
  <c r="N58" i="6" s="1"/>
  <c r="G4" i="6"/>
  <c r="D4" i="6"/>
  <c r="BD55" i="6"/>
  <c r="BD58" i="6" s="1"/>
  <c r="D13" i="6"/>
  <c r="U55" i="6"/>
  <c r="U58" i="6" s="1"/>
  <c r="T4" i="6"/>
  <c r="D44" i="6"/>
  <c r="G44" i="6"/>
  <c r="M44" i="6"/>
  <c r="BG59" i="6"/>
  <c r="BH58" i="6"/>
  <c r="K43" i="6"/>
  <c r="G40" i="6"/>
  <c r="D40" i="6"/>
  <c r="M40" i="6"/>
  <c r="F25" i="6"/>
  <c r="C25" i="6"/>
  <c r="G46" i="6"/>
  <c r="C19" i="6"/>
  <c r="F19" i="6"/>
  <c r="C12" i="6"/>
  <c r="F12" i="6"/>
  <c r="D8" i="6"/>
  <c r="O16" i="6"/>
  <c r="H16" i="6" s="1"/>
  <c r="G32" i="6"/>
  <c r="T10" i="6"/>
  <c r="F10" i="6" s="1"/>
  <c r="AF49" i="6"/>
  <c r="AD49" i="6"/>
  <c r="I49" i="6" s="1"/>
  <c r="AC49" i="6"/>
  <c r="H49" i="6" s="1"/>
  <c r="AA56" i="6"/>
  <c r="BN59" i="6"/>
  <c r="BO58" i="6"/>
  <c r="AC50" i="6"/>
  <c r="H50" i="6" s="1"/>
  <c r="D45" i="6"/>
  <c r="T45" i="6"/>
  <c r="F48" i="6"/>
  <c r="C48" i="6"/>
  <c r="C50" i="6"/>
  <c r="F50" i="6"/>
  <c r="C49" i="6"/>
  <c r="F49" i="6"/>
  <c r="V39" i="6"/>
  <c r="H39" i="6" s="1"/>
  <c r="G33" i="6"/>
  <c r="D33" i="6"/>
  <c r="M33" i="6"/>
  <c r="I38" i="6"/>
  <c r="G36" i="6"/>
  <c r="D36" i="6"/>
  <c r="F29" i="6"/>
  <c r="C29" i="6"/>
  <c r="F27" i="6"/>
  <c r="C27" i="6"/>
  <c r="C23" i="6"/>
  <c r="F23" i="6"/>
  <c r="G31" i="6"/>
  <c r="D31" i="6"/>
  <c r="AA55" i="6"/>
  <c r="BP58" i="6"/>
  <c r="BV55" i="6"/>
  <c r="G23" i="6"/>
  <c r="G17" i="6"/>
  <c r="T11" i="6"/>
  <c r="M9" i="6"/>
  <c r="D9" i="6"/>
  <c r="G9" i="6"/>
  <c r="BY55" i="6"/>
  <c r="BY58" i="6" s="1"/>
  <c r="B55" i="6"/>
  <c r="B58" i="6" s="1"/>
  <c r="AQ55" i="6"/>
  <c r="AQ58" i="6" s="1"/>
  <c r="G13" i="6"/>
  <c r="D56" i="6"/>
  <c r="BX52" i="6"/>
  <c r="G53" i="6"/>
  <c r="D53" i="6"/>
  <c r="M53" i="6"/>
  <c r="M39" i="6"/>
  <c r="BJ38" i="6"/>
  <c r="V22" i="6"/>
  <c r="H22" i="6" s="1"/>
  <c r="BW58" i="6"/>
  <c r="CC55" i="6"/>
  <c r="D22" i="6"/>
  <c r="T22" i="6"/>
  <c r="G27" i="6"/>
  <c r="D27" i="6"/>
  <c r="F46" i="6"/>
  <c r="C46" i="6"/>
  <c r="Q55" i="6"/>
  <c r="P4" i="6"/>
  <c r="O4" i="6" s="1"/>
  <c r="J4" i="6"/>
  <c r="J55" i="6" s="1"/>
  <c r="BC16" i="6"/>
  <c r="C16" i="6" s="1"/>
  <c r="I11" i="6"/>
  <c r="H36" i="6"/>
  <c r="BE55" i="6"/>
  <c r="BE58" i="6" s="1"/>
  <c r="AO7" i="6"/>
  <c r="O5" i="6"/>
  <c r="H5" i="6" s="1"/>
  <c r="G11" i="6"/>
  <c r="AL55" i="6"/>
  <c r="AK4" i="6"/>
  <c r="AK55" i="6" s="1"/>
  <c r="AK58" i="6" s="1"/>
  <c r="AJ4" i="6"/>
  <c r="AJ55" i="6" s="1"/>
  <c r="AJ58" i="6" s="1"/>
  <c r="BJ20" i="6"/>
  <c r="BJ55" i="6" s="1"/>
  <c r="BJ58" i="6" s="1"/>
  <c r="F52" i="6"/>
  <c r="C52" i="6"/>
  <c r="D47" i="6"/>
  <c r="F28" i="6"/>
  <c r="AU58" i="6"/>
  <c r="BA58" i="6"/>
  <c r="H26" i="6"/>
  <c r="O38" i="6"/>
  <c r="H38" i="6" s="1"/>
  <c r="G29" i="6"/>
  <c r="D29" i="6"/>
  <c r="G28" i="6"/>
  <c r="F30" i="6"/>
  <c r="C30" i="6"/>
  <c r="AN58" i="6"/>
  <c r="AT55" i="6"/>
  <c r="CM55" i="6"/>
  <c r="CM58" i="6" s="1"/>
  <c r="CL4" i="6"/>
  <c r="CL55" i="6" s="1"/>
  <c r="CL58" i="6" s="1"/>
  <c r="I36" i="6"/>
  <c r="AH17" i="6"/>
  <c r="G8" i="6"/>
  <c r="X55" i="6"/>
  <c r="V4" i="6"/>
  <c r="Y4" i="6"/>
  <c r="W4" i="6"/>
  <c r="W55" i="6" s="1"/>
  <c r="W58" i="6" s="1"/>
  <c r="C15" i="6"/>
  <c r="AI55" i="6"/>
  <c r="AI58" i="6" s="1"/>
  <c r="H12" i="6"/>
  <c r="G41" i="6"/>
  <c r="D41" i="6"/>
  <c r="F36" i="6"/>
  <c r="C36" i="6"/>
  <c r="J37" i="6"/>
  <c r="P37" i="6"/>
  <c r="I37" i="6" s="1"/>
  <c r="O37" i="6"/>
  <c r="H37" i="6" s="1"/>
  <c r="AH55" i="6"/>
  <c r="AH58" i="6" s="1"/>
  <c r="C47" i="6"/>
  <c r="F47" i="6"/>
  <c r="K32" i="6"/>
  <c r="M57" i="6"/>
  <c r="G45" i="6"/>
  <c r="D42" i="6"/>
  <c r="M41" i="6"/>
  <c r="D43" i="6"/>
  <c r="C26" i="6"/>
  <c r="F26" i="6"/>
  <c r="O19" i="6"/>
  <c r="H19" i="6" s="1"/>
  <c r="G34" i="6"/>
  <c r="D30" i="6"/>
  <c r="G30" i="6"/>
  <c r="CE55" i="6"/>
  <c r="CE58" i="6" s="1"/>
  <c r="AB55" i="6"/>
  <c r="AB58" i="6" s="1"/>
  <c r="D14" i="6"/>
  <c r="C8" i="6"/>
  <c r="BR55" i="6"/>
  <c r="BR58" i="6" s="1"/>
  <c r="C18" i="6"/>
  <c r="F14" i="6"/>
  <c r="C14" i="6"/>
  <c r="C10" i="6"/>
  <c r="E55" i="6"/>
  <c r="E58" i="6" s="1"/>
  <c r="I12" i="6"/>
  <c r="M5" i="6"/>
  <c r="H15" i="6"/>
  <c r="I10" i="6"/>
  <c r="F32" i="6"/>
  <c r="C32" i="6"/>
  <c r="C38" i="6"/>
  <c r="F38" i="6"/>
  <c r="T54" i="6"/>
  <c r="D54" i="6"/>
  <c r="F51" i="6"/>
  <c r="C51" i="6"/>
  <c r="K49" i="6"/>
  <c r="O52" i="6"/>
  <c r="H52" i="6" s="1"/>
  <c r="C34" i="6"/>
  <c r="F34" i="6"/>
  <c r="G35" i="6"/>
  <c r="D35" i="6"/>
  <c r="M35" i="6"/>
  <c r="K38" i="6"/>
  <c r="O24" i="6"/>
  <c r="H24" i="6" s="1"/>
  <c r="I9" i="6"/>
  <c r="CF55" i="6"/>
  <c r="CF58" i="6" s="1"/>
  <c r="R4" i="6"/>
  <c r="T7" i="6"/>
  <c r="D7" i="6"/>
  <c r="F6" i="6"/>
  <c r="C6" i="6"/>
  <c r="M4" i="6"/>
  <c r="BC4" i="6"/>
  <c r="T13" i="6"/>
  <c r="C13" i="6" s="1"/>
  <c r="AE55" i="6"/>
  <c r="AD4" i="6"/>
  <c r="AD55" i="6" s="1"/>
  <c r="AD58" i="6" s="1"/>
  <c r="AF4" i="6"/>
  <c r="AJ17" i="6"/>
  <c r="H17" i="6" s="1"/>
  <c r="F49" i="5"/>
  <c r="C49" i="5"/>
  <c r="C27" i="5"/>
  <c r="F27" i="5"/>
  <c r="F46" i="5"/>
  <c r="C46" i="5"/>
  <c r="C56" i="5"/>
  <c r="F51" i="5"/>
  <c r="C51" i="5"/>
  <c r="AA50" i="5"/>
  <c r="G45" i="5"/>
  <c r="D45" i="5"/>
  <c r="M45" i="5"/>
  <c r="T34" i="5"/>
  <c r="D47" i="5"/>
  <c r="I51" i="5"/>
  <c r="H53" i="5"/>
  <c r="F47" i="5"/>
  <c r="G41" i="5"/>
  <c r="BX26" i="5"/>
  <c r="BX55" i="5" s="1"/>
  <c r="BX58" i="5" s="1"/>
  <c r="D40" i="5"/>
  <c r="D36" i="5"/>
  <c r="H31" i="5"/>
  <c r="D31" i="5"/>
  <c r="I31" i="5"/>
  <c r="H12" i="5"/>
  <c r="U55" i="5"/>
  <c r="U58" i="5" s="1"/>
  <c r="G4" i="5"/>
  <c r="D29" i="5"/>
  <c r="T4" i="5"/>
  <c r="D25" i="5"/>
  <c r="F11" i="5"/>
  <c r="C11" i="5"/>
  <c r="AH23" i="5"/>
  <c r="BQ55" i="5"/>
  <c r="BQ58" i="5" s="1"/>
  <c r="AH21" i="5"/>
  <c r="C21" i="5" s="1"/>
  <c r="V16" i="5"/>
  <c r="H16" i="5" s="1"/>
  <c r="G22" i="5"/>
  <c r="D22" i="5"/>
  <c r="V17" i="5"/>
  <c r="W55" i="5"/>
  <c r="W58" i="5" s="1"/>
  <c r="C10" i="5"/>
  <c r="AT58" i="5"/>
  <c r="AN58" i="5"/>
  <c r="F6" i="5"/>
  <c r="I13" i="5"/>
  <c r="C13" i="5"/>
  <c r="F53" i="5"/>
  <c r="AF49" i="5"/>
  <c r="AD49" i="5"/>
  <c r="G51" i="5"/>
  <c r="D51" i="5"/>
  <c r="F43" i="5"/>
  <c r="C43" i="5"/>
  <c r="AA54" i="5"/>
  <c r="F54" i="5" s="1"/>
  <c r="C31" i="5"/>
  <c r="F31" i="5"/>
  <c r="C36" i="5"/>
  <c r="AH29" i="5"/>
  <c r="F29" i="5" s="1"/>
  <c r="G28" i="5"/>
  <c r="O25" i="5"/>
  <c r="H25" i="5" s="1"/>
  <c r="T20" i="5"/>
  <c r="AV16" i="5"/>
  <c r="CE12" i="5"/>
  <c r="CE55" i="5" s="1"/>
  <c r="CE58" i="5" s="1"/>
  <c r="F17" i="5"/>
  <c r="C17" i="5"/>
  <c r="AL55" i="5"/>
  <c r="AK4" i="5"/>
  <c r="AJ4" i="5"/>
  <c r="Y55" i="5"/>
  <c r="X58" i="5"/>
  <c r="C26" i="5"/>
  <c r="AK49" i="5"/>
  <c r="AJ49" i="5" s="1"/>
  <c r="AM49" i="5"/>
  <c r="G43" i="5"/>
  <c r="D43" i="5"/>
  <c r="G46" i="5"/>
  <c r="D46" i="5"/>
  <c r="AA36" i="5"/>
  <c r="F36" i="5" s="1"/>
  <c r="G50" i="5"/>
  <c r="G34" i="5"/>
  <c r="F30" i="5"/>
  <c r="C30" i="5"/>
  <c r="H26" i="5"/>
  <c r="G39" i="5"/>
  <c r="D39" i="5"/>
  <c r="AH32" i="5"/>
  <c r="C32" i="5" s="1"/>
  <c r="G33" i="5"/>
  <c r="P37" i="5"/>
  <c r="O37" i="5"/>
  <c r="R37" i="5"/>
  <c r="J37" i="5"/>
  <c r="K37" i="5" s="1"/>
  <c r="E55" i="5"/>
  <c r="E58" i="5" s="1"/>
  <c r="K4" i="5"/>
  <c r="D28" i="5"/>
  <c r="D27" i="5"/>
  <c r="G27" i="5"/>
  <c r="M14" i="5"/>
  <c r="F19" i="5"/>
  <c r="C19" i="5"/>
  <c r="H13" i="5"/>
  <c r="F8" i="5"/>
  <c r="C8" i="5"/>
  <c r="G21" i="5"/>
  <c r="D12" i="5"/>
  <c r="BJ55" i="5"/>
  <c r="BJ58" i="5" s="1"/>
  <c r="AV53" i="5"/>
  <c r="C53" i="5" s="1"/>
  <c r="C39" i="5"/>
  <c r="F39" i="5"/>
  <c r="AO35" i="5"/>
  <c r="AF37" i="5"/>
  <c r="AD37" i="5"/>
  <c r="AC37" i="5" s="1"/>
  <c r="G30" i="5"/>
  <c r="D30" i="5"/>
  <c r="C42" i="5"/>
  <c r="F42" i="5"/>
  <c r="AC32" i="5"/>
  <c r="CM55" i="5"/>
  <c r="CM58" i="5" s="1"/>
  <c r="AI55" i="5"/>
  <c r="AI58" i="5" s="1"/>
  <c r="AH4" i="5"/>
  <c r="G14" i="5"/>
  <c r="D14" i="5"/>
  <c r="V10" i="5"/>
  <c r="H10" i="5" s="1"/>
  <c r="BK55" i="5"/>
  <c r="BK58" i="5" s="1"/>
  <c r="F56" i="5"/>
  <c r="F57" i="5"/>
  <c r="C57" i="5"/>
  <c r="G52" i="5"/>
  <c r="D52" i="5"/>
  <c r="M52" i="5"/>
  <c r="G44" i="5"/>
  <c r="D44" i="5"/>
  <c r="D49" i="5"/>
  <c r="G49" i="5"/>
  <c r="D33" i="5"/>
  <c r="CD58" i="5"/>
  <c r="CJ58" i="5"/>
  <c r="F12" i="5"/>
  <c r="F5" i="5"/>
  <c r="C5" i="5"/>
  <c r="D16" i="5"/>
  <c r="F24" i="5"/>
  <c r="C24" i="5"/>
  <c r="D20" i="5"/>
  <c r="Q55" i="5"/>
  <c r="O5" i="5"/>
  <c r="H5" i="5" s="1"/>
  <c r="BI58" i="5"/>
  <c r="BO55" i="5"/>
  <c r="F40" i="5"/>
  <c r="C40" i="5"/>
  <c r="G57" i="5"/>
  <c r="D57" i="5"/>
  <c r="J49" i="5"/>
  <c r="K49" i="5" s="1"/>
  <c r="C35" i="5"/>
  <c r="F35" i="5"/>
  <c r="G38" i="5"/>
  <c r="D38" i="5"/>
  <c r="M38" i="5"/>
  <c r="C33" i="5"/>
  <c r="F33" i="5"/>
  <c r="G32" i="5"/>
  <c r="G31" i="5"/>
  <c r="V50" i="5"/>
  <c r="H50" i="5" s="1"/>
  <c r="C37" i="5"/>
  <c r="F32" i="5"/>
  <c r="F28" i="5"/>
  <c r="C28" i="5"/>
  <c r="D19" i="5"/>
  <c r="K5" i="5"/>
  <c r="G24" i="5"/>
  <c r="D24" i="5"/>
  <c r="AM4" i="5"/>
  <c r="CC55" i="5"/>
  <c r="BW58" i="5"/>
  <c r="D56" i="5"/>
  <c r="K40" i="5"/>
  <c r="K28" i="5"/>
  <c r="I48" i="5"/>
  <c r="O48" i="5"/>
  <c r="H48" i="5" s="1"/>
  <c r="M44" i="5"/>
  <c r="G47" i="5"/>
  <c r="BA58" i="5"/>
  <c r="AZ59" i="5"/>
  <c r="O43" i="5"/>
  <c r="H43" i="5" s="1"/>
  <c r="G42" i="5"/>
  <c r="D42" i="5"/>
  <c r="H38" i="5"/>
  <c r="D37" i="5"/>
  <c r="G23" i="5"/>
  <c r="BC55" i="5"/>
  <c r="BC58" i="5" s="1"/>
  <c r="BB58" i="5"/>
  <c r="BH55" i="5"/>
  <c r="CL4" i="5"/>
  <c r="CL55" i="5" s="1"/>
  <c r="CL58" i="5" s="1"/>
  <c r="AE55" i="5"/>
  <c r="K22" i="5"/>
  <c r="AP55" i="5"/>
  <c r="AP58" i="5" s="1"/>
  <c r="AO4" i="5"/>
  <c r="AO55" i="5" s="1"/>
  <c r="AO58" i="5" s="1"/>
  <c r="F9" i="5"/>
  <c r="C9" i="5"/>
  <c r="P55" i="5"/>
  <c r="P58" i="5" s="1"/>
  <c r="AB55" i="5"/>
  <c r="AB58" i="5" s="1"/>
  <c r="C41" i="5"/>
  <c r="F41" i="5"/>
  <c r="H51" i="5"/>
  <c r="AA41" i="5"/>
  <c r="O36" i="5"/>
  <c r="H36" i="5" s="1"/>
  <c r="H32" i="5"/>
  <c r="F7" i="5"/>
  <c r="C7" i="5"/>
  <c r="C25" i="5"/>
  <c r="F25" i="5"/>
  <c r="F21" i="5"/>
  <c r="H17" i="5"/>
  <c r="O22" i="5"/>
  <c r="H22" i="5" s="1"/>
  <c r="M22" i="5"/>
  <c r="F15" i="5"/>
  <c r="C15" i="5"/>
  <c r="V4" i="5"/>
  <c r="V55" i="5" s="1"/>
  <c r="V58" i="5" s="1"/>
  <c r="G16" i="5"/>
  <c r="C48" i="4"/>
  <c r="F48" i="4"/>
  <c r="F20" i="4"/>
  <c r="C20" i="4"/>
  <c r="C39" i="4"/>
  <c r="F39" i="4"/>
  <c r="BQ55" i="4"/>
  <c r="BQ58" i="4" s="1"/>
  <c r="C33" i="4"/>
  <c r="F33" i="4"/>
  <c r="BC55" i="4"/>
  <c r="BC58" i="4" s="1"/>
  <c r="C40" i="4"/>
  <c r="F40" i="4"/>
  <c r="C52" i="4"/>
  <c r="C14" i="4"/>
  <c r="F27" i="4"/>
  <c r="C7" i="4"/>
  <c r="C30" i="4"/>
  <c r="F47" i="4"/>
  <c r="C47" i="4"/>
  <c r="F41" i="4"/>
  <c r="C41" i="4"/>
  <c r="AV55" i="4"/>
  <c r="AV58" i="4" s="1"/>
  <c r="H52" i="4"/>
  <c r="AS59" i="4"/>
  <c r="AT58" i="4"/>
  <c r="I52" i="4"/>
  <c r="H33" i="4"/>
  <c r="AJ38" i="4"/>
  <c r="H38" i="4" s="1"/>
  <c r="D33" i="4"/>
  <c r="G45" i="4"/>
  <c r="D45" i="4"/>
  <c r="H26" i="4"/>
  <c r="D26" i="4"/>
  <c r="D27" i="4"/>
  <c r="G22" i="4"/>
  <c r="D22" i="4"/>
  <c r="CE15" i="4"/>
  <c r="CE55" i="4" s="1"/>
  <c r="CE58" i="4" s="1"/>
  <c r="BC18" i="4"/>
  <c r="F18" i="4"/>
  <c r="C18" i="4"/>
  <c r="D15" i="4"/>
  <c r="AA26" i="4"/>
  <c r="G23" i="4"/>
  <c r="D23" i="4"/>
  <c r="M23" i="4"/>
  <c r="CM55" i="4"/>
  <c r="CM58" i="4" s="1"/>
  <c r="G27" i="4"/>
  <c r="D16" i="4"/>
  <c r="AE55" i="4"/>
  <c r="AF4" i="4"/>
  <c r="AD4" i="4"/>
  <c r="AD55" i="4" s="1"/>
  <c r="AD58" i="4" s="1"/>
  <c r="AO5" i="4"/>
  <c r="AO55" i="4" s="1"/>
  <c r="AO58" i="4" s="1"/>
  <c r="F7" i="4"/>
  <c r="E55" i="4"/>
  <c r="E58" i="4" s="1"/>
  <c r="G9" i="4"/>
  <c r="W49" i="4"/>
  <c r="I49" i="4" s="1"/>
  <c r="J49" i="4"/>
  <c r="V42" i="4"/>
  <c r="H42" i="4" s="1"/>
  <c r="D41" i="4"/>
  <c r="F56" i="4"/>
  <c r="C56" i="4"/>
  <c r="CB59" i="4"/>
  <c r="CC58" i="4"/>
  <c r="AD37" i="4"/>
  <c r="AC37" i="4"/>
  <c r="AF37" i="4"/>
  <c r="D28" i="4"/>
  <c r="CL55" i="4"/>
  <c r="CL58" i="4" s="1"/>
  <c r="C26" i="4"/>
  <c r="F26" i="4"/>
  <c r="G21" i="4"/>
  <c r="D21" i="4"/>
  <c r="CD58" i="4"/>
  <c r="CJ55" i="4"/>
  <c r="BR55" i="4"/>
  <c r="BR58" i="4" s="1"/>
  <c r="Q55" i="4"/>
  <c r="J4" i="4"/>
  <c r="P4" i="4"/>
  <c r="O4" i="4"/>
  <c r="D46" i="4"/>
  <c r="G46" i="4"/>
  <c r="G44" i="4"/>
  <c r="D44" i="4"/>
  <c r="C42" i="4"/>
  <c r="F42" i="4"/>
  <c r="BG59" i="4"/>
  <c r="BH58" i="4"/>
  <c r="D42" i="4"/>
  <c r="G42" i="4"/>
  <c r="G36" i="4"/>
  <c r="O37" i="4"/>
  <c r="R37" i="4"/>
  <c r="J37" i="4"/>
  <c r="P37" i="4"/>
  <c r="T38" i="4"/>
  <c r="F38" i="4" s="1"/>
  <c r="D38" i="4"/>
  <c r="G32" i="4"/>
  <c r="D32" i="4"/>
  <c r="AH55" i="4"/>
  <c r="AH58" i="4" s="1"/>
  <c r="M32" i="4"/>
  <c r="BJ22" i="4"/>
  <c r="BJ55" i="4" s="1"/>
  <c r="BJ58" i="4" s="1"/>
  <c r="T35" i="4"/>
  <c r="C35" i="4" s="1"/>
  <c r="C27" i="4"/>
  <c r="D14" i="4"/>
  <c r="BP58" i="4"/>
  <c r="BV55" i="4"/>
  <c r="C4" i="4"/>
  <c r="U55" i="4"/>
  <c r="U58" i="4" s="1"/>
  <c r="F30" i="4"/>
  <c r="G8" i="4"/>
  <c r="D8" i="4"/>
  <c r="D56" i="4"/>
  <c r="G56" i="4"/>
  <c r="D54" i="4"/>
  <c r="G54" i="4"/>
  <c r="G53" i="4"/>
  <c r="D53" i="4"/>
  <c r="F43" i="4"/>
  <c r="C43" i="4"/>
  <c r="O43" i="4"/>
  <c r="H43" i="4" s="1"/>
  <c r="F9" i="4"/>
  <c r="C9" i="4"/>
  <c r="F12" i="4"/>
  <c r="C12" i="4"/>
  <c r="C34" i="4"/>
  <c r="F34" i="4"/>
  <c r="BX24" i="4"/>
  <c r="C24" i="4" s="1"/>
  <c r="F17" i="4"/>
  <c r="C17" i="4"/>
  <c r="V20" i="4"/>
  <c r="H20" i="4" s="1"/>
  <c r="F25" i="4"/>
  <c r="F6" i="4"/>
  <c r="C6" i="4"/>
  <c r="D7" i="4"/>
  <c r="F57" i="4"/>
  <c r="C57" i="4"/>
  <c r="G48" i="4"/>
  <c r="D48" i="4"/>
  <c r="F54" i="4"/>
  <c r="C54" i="4"/>
  <c r="H50" i="4"/>
  <c r="G43" i="4"/>
  <c r="D43" i="4"/>
  <c r="G37" i="4"/>
  <c r="F50" i="4"/>
  <c r="C36" i="4"/>
  <c r="F36" i="4"/>
  <c r="H22" i="4"/>
  <c r="G20" i="4"/>
  <c r="D20" i="4"/>
  <c r="O16" i="4"/>
  <c r="H16" i="4" s="1"/>
  <c r="G6" i="4"/>
  <c r="D6" i="4"/>
  <c r="F8" i="4"/>
  <c r="C8" i="4"/>
  <c r="F4" i="4"/>
  <c r="G50" i="4"/>
  <c r="D47" i="4"/>
  <c r="G41" i="4"/>
  <c r="F35" i="4"/>
  <c r="D51" i="4"/>
  <c r="G51" i="4"/>
  <c r="M53" i="4"/>
  <c r="G40" i="4"/>
  <c r="D40" i="4"/>
  <c r="C38" i="4"/>
  <c r="D37" i="4"/>
  <c r="AK37" i="4"/>
  <c r="AJ37" i="4"/>
  <c r="AI55" i="4"/>
  <c r="AI58" i="4" s="1"/>
  <c r="B55" i="4"/>
  <c r="B58" i="4" s="1"/>
  <c r="G34" i="4"/>
  <c r="D34" i="4"/>
  <c r="D30" i="4"/>
  <c r="G30" i="4"/>
  <c r="G17" i="4"/>
  <c r="D17" i="4"/>
  <c r="G29" i="4"/>
  <c r="T29" i="4"/>
  <c r="BA55" i="4"/>
  <c r="AU58" i="4"/>
  <c r="C21" i="4"/>
  <c r="H9" i="4"/>
  <c r="BY55" i="4"/>
  <c r="BY58" i="4" s="1"/>
  <c r="F10" i="4"/>
  <c r="C10" i="4"/>
  <c r="AC5" i="4"/>
  <c r="H5" i="4" s="1"/>
  <c r="K49" i="4"/>
  <c r="F37" i="4"/>
  <c r="C37" i="4"/>
  <c r="O49" i="4"/>
  <c r="M51" i="4"/>
  <c r="K51" i="4"/>
  <c r="G38" i="4"/>
  <c r="F31" i="4"/>
  <c r="C31" i="4"/>
  <c r="T28" i="4"/>
  <c r="C28" i="4" s="1"/>
  <c r="F24" i="4"/>
  <c r="M46" i="4"/>
  <c r="G35" i="4"/>
  <c r="AJ36" i="4"/>
  <c r="H36" i="4" s="1"/>
  <c r="D31" i="4"/>
  <c r="AA55" i="4"/>
  <c r="AA58" i="4" s="1"/>
  <c r="CQ55" i="4"/>
  <c r="CK58" i="4"/>
  <c r="AA16" i="4"/>
  <c r="C19" i="4"/>
  <c r="F11" i="4"/>
  <c r="C11" i="4"/>
  <c r="AB55" i="4"/>
  <c r="AB58" i="4" s="1"/>
  <c r="AP55" i="4"/>
  <c r="AP58" i="4" s="1"/>
  <c r="AL55" i="4"/>
  <c r="G10" i="4"/>
  <c r="D10" i="4"/>
  <c r="AK49" i="4"/>
  <c r="AK55" i="4" s="1"/>
  <c r="AK58" i="4" s="1"/>
  <c r="AJ49" i="4"/>
  <c r="AM49" i="4"/>
  <c r="D49" i="4"/>
  <c r="G49" i="4"/>
  <c r="M49" i="4"/>
  <c r="G47" i="4"/>
  <c r="Y49" i="4"/>
  <c r="M44" i="4"/>
  <c r="K37" i="4"/>
  <c r="BN59" i="4"/>
  <c r="BO58" i="4"/>
  <c r="X59" i="4"/>
  <c r="Y58" i="4"/>
  <c r="K24" i="4"/>
  <c r="V33" i="4"/>
  <c r="I33" i="4"/>
  <c r="M45" i="4"/>
  <c r="M22" i="4"/>
  <c r="D19" i="4"/>
  <c r="F15" i="4"/>
  <c r="C15" i="4"/>
  <c r="AA5" i="4"/>
  <c r="F5" i="4" s="1"/>
  <c r="AW55" i="4"/>
  <c r="AW58" i="4" s="1"/>
  <c r="F6" i="3"/>
  <c r="C6" i="3"/>
  <c r="C13" i="3"/>
  <c r="F34" i="3"/>
  <c r="C34" i="3"/>
  <c r="F16" i="3"/>
  <c r="C16" i="3"/>
  <c r="F9" i="3"/>
  <c r="C9" i="3"/>
  <c r="CL55" i="3"/>
  <c r="CL58" i="3" s="1"/>
  <c r="F19" i="3"/>
  <c r="C19" i="3"/>
  <c r="F10" i="3"/>
  <c r="C10" i="3"/>
  <c r="AV55" i="3"/>
  <c r="AV58" i="3" s="1"/>
  <c r="C48" i="3"/>
  <c r="F8" i="3"/>
  <c r="C8" i="3"/>
  <c r="CQ55" i="3"/>
  <c r="C53" i="3"/>
  <c r="F53" i="3"/>
  <c r="D45" i="3"/>
  <c r="G45" i="3"/>
  <c r="F42" i="3"/>
  <c r="C42" i="3"/>
  <c r="D52" i="3"/>
  <c r="K50" i="3"/>
  <c r="W37" i="3"/>
  <c r="I37" i="3" s="1"/>
  <c r="V37" i="3"/>
  <c r="Y37" i="3"/>
  <c r="D31" i="3"/>
  <c r="D37" i="3"/>
  <c r="G37" i="3"/>
  <c r="D30" i="3"/>
  <c r="D27" i="3"/>
  <c r="C11" i="3"/>
  <c r="F11" i="3"/>
  <c r="G17" i="3"/>
  <c r="D17" i="3"/>
  <c r="M17" i="3"/>
  <c r="BD55" i="3"/>
  <c r="BD58" i="3" s="1"/>
  <c r="BJ5" i="3"/>
  <c r="BJ55" i="3" s="1"/>
  <c r="BJ58" i="3" s="1"/>
  <c r="F13" i="3"/>
  <c r="AQ55" i="3"/>
  <c r="AQ58" i="3" s="1"/>
  <c r="V9" i="3"/>
  <c r="H9" i="3" s="1"/>
  <c r="AP55" i="3"/>
  <c r="AP58" i="3" s="1"/>
  <c r="F4" i="3"/>
  <c r="K22" i="3"/>
  <c r="I14" i="3"/>
  <c r="F49" i="3"/>
  <c r="C49" i="3"/>
  <c r="D53" i="3"/>
  <c r="F44" i="3"/>
  <c r="C44" i="3"/>
  <c r="F41" i="3"/>
  <c r="C41" i="3"/>
  <c r="G47" i="3"/>
  <c r="C50" i="3"/>
  <c r="F50" i="3"/>
  <c r="AA40" i="3"/>
  <c r="F29" i="3"/>
  <c r="C29" i="3"/>
  <c r="G34" i="3"/>
  <c r="D34" i="3"/>
  <c r="BQ26" i="3"/>
  <c r="BQ55" i="3" s="1"/>
  <c r="BQ58" i="3" s="1"/>
  <c r="G20" i="3"/>
  <c r="D20" i="3"/>
  <c r="T25" i="3"/>
  <c r="C23" i="3"/>
  <c r="F23" i="3"/>
  <c r="G6" i="3"/>
  <c r="G55" i="3" s="1"/>
  <c r="G58" i="3" s="1"/>
  <c r="D6" i="3"/>
  <c r="AU58" i="3"/>
  <c r="BA55" i="3"/>
  <c r="BA58" i="3"/>
  <c r="O12" i="3"/>
  <c r="H12" i="3" s="1"/>
  <c r="BC55" i="3"/>
  <c r="BC58" i="3" s="1"/>
  <c r="AN58" i="3"/>
  <c r="AT55" i="3"/>
  <c r="D22" i="3"/>
  <c r="G22" i="3"/>
  <c r="H15" i="3"/>
  <c r="U55" i="3"/>
  <c r="U58" i="3" s="1"/>
  <c r="I5" i="3"/>
  <c r="K49" i="3"/>
  <c r="I52" i="3"/>
  <c r="AD49" i="3"/>
  <c r="AC49" i="3" s="1"/>
  <c r="AC55" i="3" s="1"/>
  <c r="AC58" i="3" s="1"/>
  <c r="C52" i="3"/>
  <c r="F52" i="3"/>
  <c r="F40" i="3"/>
  <c r="C40" i="3"/>
  <c r="H53" i="3"/>
  <c r="F46" i="3"/>
  <c r="C46" i="3"/>
  <c r="F31" i="3"/>
  <c r="C31" i="3"/>
  <c r="D47" i="3"/>
  <c r="F25" i="3"/>
  <c r="C25" i="3"/>
  <c r="I30" i="3"/>
  <c r="C30" i="3"/>
  <c r="F30" i="3"/>
  <c r="D18" i="3"/>
  <c r="G18" i="3"/>
  <c r="G28" i="3"/>
  <c r="D28" i="3"/>
  <c r="K25" i="3"/>
  <c r="AB55" i="3"/>
  <c r="AB58" i="3" s="1"/>
  <c r="CF55" i="3"/>
  <c r="CF58" i="3" s="1"/>
  <c r="I25" i="3"/>
  <c r="T7" i="3"/>
  <c r="B55" i="3"/>
  <c r="B58" i="3" s="1"/>
  <c r="BV58" i="3"/>
  <c r="AK49" i="3"/>
  <c r="AK55" i="3" s="1"/>
  <c r="AK58" i="3" s="1"/>
  <c r="G46" i="3"/>
  <c r="D46" i="3"/>
  <c r="C47" i="3"/>
  <c r="F47" i="3"/>
  <c r="H40" i="3"/>
  <c r="AH35" i="3"/>
  <c r="C35" i="3" s="1"/>
  <c r="O34" i="3"/>
  <c r="H34" i="3" s="1"/>
  <c r="H37" i="3"/>
  <c r="D21" i="3"/>
  <c r="G21" i="3"/>
  <c r="BO55" i="3"/>
  <c r="BI58" i="3"/>
  <c r="BO58" i="3"/>
  <c r="H25" i="3"/>
  <c r="M21" i="3"/>
  <c r="G9" i="3"/>
  <c r="D9" i="3"/>
  <c r="G10" i="3"/>
  <c r="D10" i="3"/>
  <c r="AH55" i="3"/>
  <c r="H14" i="3"/>
  <c r="C14" i="3"/>
  <c r="F14" i="3"/>
  <c r="CE4" i="3"/>
  <c r="CE55" i="3" s="1"/>
  <c r="CE58" i="3" s="1"/>
  <c r="D57" i="3"/>
  <c r="F38" i="3"/>
  <c r="C38" i="3"/>
  <c r="F51" i="3"/>
  <c r="C51" i="3"/>
  <c r="C43" i="3"/>
  <c r="C39" i="3"/>
  <c r="F39" i="3"/>
  <c r="G35" i="3"/>
  <c r="D33" i="3"/>
  <c r="M33" i="3"/>
  <c r="G33" i="3"/>
  <c r="M28" i="3"/>
  <c r="G29" i="3"/>
  <c r="M18" i="3"/>
  <c r="G8" i="3"/>
  <c r="D8" i="3"/>
  <c r="D15" i="3"/>
  <c r="K14" i="3"/>
  <c r="AH57" i="3"/>
  <c r="C57" i="3" s="1"/>
  <c r="W49" i="3"/>
  <c r="I49" i="3" s="1"/>
  <c r="Y49" i="3"/>
  <c r="F54" i="3"/>
  <c r="C54" i="3"/>
  <c r="D42" i="3"/>
  <c r="D38" i="3"/>
  <c r="G36" i="3"/>
  <c r="D36" i="3"/>
  <c r="M36" i="3"/>
  <c r="F32" i="3"/>
  <c r="C32" i="3"/>
  <c r="F35" i="3"/>
  <c r="D29" i="3"/>
  <c r="G25" i="3"/>
  <c r="F15" i="3"/>
  <c r="C15" i="3"/>
  <c r="AA5" i="3"/>
  <c r="AA55" i="3" s="1"/>
  <c r="AA58" i="3" s="1"/>
  <c r="BR55" i="3"/>
  <c r="BR58" i="3" s="1"/>
  <c r="D14" i="3"/>
  <c r="G14" i="3"/>
  <c r="AD55" i="3"/>
  <c r="AD58" i="3" s="1"/>
  <c r="T12" i="3"/>
  <c r="D5" i="3"/>
  <c r="CC58" i="3"/>
  <c r="G54" i="3"/>
  <c r="D54" i="3"/>
  <c r="AF49" i="3"/>
  <c r="G51" i="3"/>
  <c r="D51" i="3"/>
  <c r="D40" i="3"/>
  <c r="K37" i="3"/>
  <c r="G41" i="3"/>
  <c r="D41" i="3"/>
  <c r="M20" i="3"/>
  <c r="G16" i="3"/>
  <c r="D16" i="3"/>
  <c r="BX55" i="3"/>
  <c r="BX58" i="3" s="1"/>
  <c r="AI55" i="3"/>
  <c r="AI58" i="3" s="1"/>
  <c r="N55" i="3"/>
  <c r="N58" i="3" s="1"/>
  <c r="D13" i="3"/>
  <c r="AE55" i="3"/>
  <c r="D4" i="3"/>
  <c r="AL55" i="3"/>
  <c r="D56" i="3"/>
  <c r="CQ58" i="3"/>
  <c r="T56" i="3"/>
  <c r="D48" i="3"/>
  <c r="M45" i="3"/>
  <c r="C37" i="3"/>
  <c r="F37" i="3"/>
  <c r="D39" i="3"/>
  <c r="G50" i="3"/>
  <c r="D50" i="3"/>
  <c r="I40" i="3"/>
  <c r="T37" i="3"/>
  <c r="AH30" i="3"/>
  <c r="K34" i="3"/>
  <c r="D23" i="3"/>
  <c r="G23" i="3"/>
  <c r="G19" i="3"/>
  <c r="G24" i="3"/>
  <c r="D24" i="3"/>
  <c r="M24" i="3"/>
  <c r="CD58" i="3"/>
  <c r="CJ55" i="3"/>
  <c r="Q55" i="3"/>
  <c r="J4" i="3"/>
  <c r="P4" i="3"/>
  <c r="O4" i="3" s="1"/>
  <c r="X55" i="3"/>
  <c r="W4" i="3"/>
  <c r="V4" i="3"/>
  <c r="Y4" i="3"/>
  <c r="M22" i="3"/>
  <c r="E55" i="3"/>
  <c r="E58" i="3" s="1"/>
  <c r="AO4" i="3"/>
  <c r="AO55" i="3" s="1"/>
  <c r="AO58" i="3" s="1"/>
  <c r="AD15" i="1"/>
  <c r="AF15" i="1"/>
  <c r="P38" i="1"/>
  <c r="O38" i="1"/>
  <c r="AP49" i="1"/>
  <c r="AO49" i="1" s="1"/>
  <c r="AI51" i="1"/>
  <c r="AH51" i="1" s="1"/>
  <c r="AM51" i="1"/>
  <c r="AR54" i="1"/>
  <c r="AQ54" i="1"/>
  <c r="AT54" i="1"/>
  <c r="CQ54" i="1"/>
  <c r="CM54" i="1"/>
  <c r="CL54" i="1" s="1"/>
  <c r="BH9" i="2"/>
  <c r="BE9" i="2"/>
  <c r="AM6" i="1"/>
  <c r="AF7" i="1"/>
  <c r="BO8" i="1"/>
  <c r="AX9" i="1"/>
  <c r="BV9" i="1"/>
  <c r="BA10" i="1"/>
  <c r="N13" i="1"/>
  <c r="E14" i="1"/>
  <c r="CJ14" i="1"/>
  <c r="Y16" i="1"/>
  <c r="CA16" i="1"/>
  <c r="BZ16" i="1" s="1"/>
  <c r="BD18" i="1"/>
  <c r="BC18" i="1" s="1"/>
  <c r="AP19" i="1"/>
  <c r="AO19" i="1" s="1"/>
  <c r="E20" i="1"/>
  <c r="K20" i="1" s="1"/>
  <c r="CJ20" i="1"/>
  <c r="AI21" i="1"/>
  <c r="AH21" i="1" s="1"/>
  <c r="I22" i="1"/>
  <c r="AI22" i="1"/>
  <c r="BR23" i="1"/>
  <c r="BQ23" i="1" s="1"/>
  <c r="AP28" i="1"/>
  <c r="AB29" i="1"/>
  <c r="AA29" i="1" s="1"/>
  <c r="CE29" i="1"/>
  <c r="O30" i="1"/>
  <c r="BX31" i="1"/>
  <c r="CJ31" i="1"/>
  <c r="AW33" i="1"/>
  <c r="AV33" i="1" s="1"/>
  <c r="AQ36" i="1"/>
  <c r="BO38" i="1"/>
  <c r="BV39" i="1"/>
  <c r="BS39" i="1"/>
  <c r="BL40" i="1"/>
  <c r="CC41" i="1"/>
  <c r="BX41" i="1"/>
  <c r="AB42" i="1"/>
  <c r="AA42" i="1" s="1"/>
  <c r="CF42" i="1"/>
  <c r="CE42" i="1" s="1"/>
  <c r="BA43" i="1"/>
  <c r="AV43" i="1"/>
  <c r="BT44" i="1"/>
  <c r="BS44" i="1" s="1"/>
  <c r="AR49" i="1"/>
  <c r="AQ49" i="1"/>
  <c r="CC52" i="1"/>
  <c r="BA54" i="1"/>
  <c r="BR54" i="1"/>
  <c r="BQ54" i="1" s="1"/>
  <c r="BH56" i="1"/>
  <c r="BD56" i="1"/>
  <c r="BC56" i="1" s="1"/>
  <c r="R82" i="1"/>
  <c r="CS49" i="1" s="1"/>
  <c r="U15" i="2"/>
  <c r="T15" i="2" s="1"/>
  <c r="H18" i="1"/>
  <c r="BV25" i="1"/>
  <c r="E29" i="1"/>
  <c r="K29" i="1" s="1"/>
  <c r="N29" i="1"/>
  <c r="CM31" i="1"/>
  <c r="CQ31" i="1"/>
  <c r="CF45" i="1"/>
  <c r="CJ45" i="1"/>
  <c r="BM46" i="1"/>
  <c r="BL46" i="1" s="1"/>
  <c r="CG49" i="1"/>
  <c r="W54" i="1"/>
  <c r="V54" i="1"/>
  <c r="BE57" i="1"/>
  <c r="BN55" i="1"/>
  <c r="BV11" i="1"/>
  <c r="N15" i="1"/>
  <c r="V21" i="1"/>
  <c r="BD21" i="1"/>
  <c r="BC21" i="1" s="1"/>
  <c r="CM23" i="1"/>
  <c r="AO25" i="1"/>
  <c r="BK27" i="1"/>
  <c r="H29" i="1"/>
  <c r="BR29" i="1"/>
  <c r="BQ29" i="1" s="1"/>
  <c r="CJ29" i="1"/>
  <c r="BJ34" i="1"/>
  <c r="I35" i="1"/>
  <c r="CN37" i="1"/>
  <c r="BK39" i="1"/>
  <c r="BJ39" i="1" s="1"/>
  <c r="BY39" i="1"/>
  <c r="BR40" i="1"/>
  <c r="AF43" i="1"/>
  <c r="AD43" i="1"/>
  <c r="AC43" i="1" s="1"/>
  <c r="CE51" i="1"/>
  <c r="AP52" i="1"/>
  <c r="AO52" i="1" s="1"/>
  <c r="AT52" i="1"/>
  <c r="J57" i="1"/>
  <c r="P57" i="1"/>
  <c r="AW31" i="1"/>
  <c r="AV31" i="1" s="1"/>
  <c r="N42" i="1"/>
  <c r="R42" i="1"/>
  <c r="AF45" i="1"/>
  <c r="CM49" i="1"/>
  <c r="CL49" i="1" s="1"/>
  <c r="BO51" i="1"/>
  <c r="BD54" i="1"/>
  <c r="BC54" i="1"/>
  <c r="BH54" i="1"/>
  <c r="J56" i="1"/>
  <c r="CJ56" i="1"/>
  <c r="Y57" i="1"/>
  <c r="Y34" i="2"/>
  <c r="U34" i="2"/>
  <c r="T34" i="2" s="1"/>
  <c r="CO50" i="1"/>
  <c r="CN50" i="1"/>
  <c r="BU55" i="1"/>
  <c r="BJ8" i="1"/>
  <c r="BV16" i="1"/>
  <c r="AP22" i="1"/>
  <c r="AO22" i="1" s="1"/>
  <c r="BD32" i="1"/>
  <c r="AB35" i="1"/>
  <c r="AF35" i="1"/>
  <c r="BS36" i="1"/>
  <c r="AM38" i="1"/>
  <c r="AI38" i="1"/>
  <c r="BV38" i="1"/>
  <c r="BS38" i="1"/>
  <c r="N45" i="1"/>
  <c r="AX46" i="1"/>
  <c r="CH50" i="1"/>
  <c r="CG50" i="1"/>
  <c r="B7" i="1"/>
  <c r="N11" i="1"/>
  <c r="BO9" i="1"/>
  <c r="H22" i="1"/>
  <c r="AT25" i="1"/>
  <c r="H27" i="1"/>
  <c r="AI29" i="1"/>
  <c r="BH5" i="1"/>
  <c r="BR6" i="1"/>
  <c r="BQ6" i="1" s="1"/>
  <c r="AP7" i="1"/>
  <c r="O8" i="1"/>
  <c r="BL8" i="1"/>
  <c r="BK9" i="1"/>
  <c r="BE13" i="1"/>
  <c r="CC13" i="1"/>
  <c r="AT14" i="1"/>
  <c r="BV15" i="1"/>
  <c r="AT16" i="1"/>
  <c r="CM19" i="1"/>
  <c r="CL19" i="1" s="1"/>
  <c r="CM28" i="1"/>
  <c r="CL28" i="1" s="1"/>
  <c r="BH29" i="1"/>
  <c r="AW34" i="1"/>
  <c r="BA34" i="1"/>
  <c r="BO34" i="1"/>
  <c r="BV36" i="1"/>
  <c r="CN36" i="1"/>
  <c r="CG37" i="1"/>
  <c r="E39" i="1"/>
  <c r="BQ41" i="1"/>
  <c r="E43" i="1"/>
  <c r="CJ50" i="1"/>
  <c r="CM8" i="1"/>
  <c r="CM9" i="1"/>
  <c r="CL9" i="1" s="1"/>
  <c r="CM10" i="1"/>
  <c r="BD7" i="1"/>
  <c r="N8" i="1"/>
  <c r="M8" i="1" s="1"/>
  <c r="AF9" i="1"/>
  <c r="BK11" i="1"/>
  <c r="BJ11" i="1" s="1"/>
  <c r="AB17" i="1"/>
  <c r="AA17" i="1" s="1"/>
  <c r="BK18" i="1"/>
  <c r="BJ18" i="1" s="1"/>
  <c r="AP23" i="1"/>
  <c r="AO23" i="1" s="1"/>
  <c r="AZ55" i="1"/>
  <c r="CN8" i="1"/>
  <c r="AT5" i="1"/>
  <c r="BD5" i="1"/>
  <c r="AV9" i="1"/>
  <c r="BL9" i="1"/>
  <c r="AW10" i="1"/>
  <c r="AV10" i="1" s="1"/>
  <c r="BO10" i="1"/>
  <c r="BL11" i="1"/>
  <c r="BA13" i="1"/>
  <c r="BO13" i="1"/>
  <c r="BZ13" i="1"/>
  <c r="Y14" i="1"/>
  <c r="BA15" i="1"/>
  <c r="BE16" i="1"/>
  <c r="CQ16" i="1"/>
  <c r="U20" i="1"/>
  <c r="T20" i="1" s="1"/>
  <c r="AW25" i="1"/>
  <c r="AV25" i="1" s="1"/>
  <c r="R28" i="1"/>
  <c r="BD28" i="1"/>
  <c r="BO29" i="1"/>
  <c r="BK29" i="1"/>
  <c r="BJ29" i="1" s="1"/>
  <c r="AY30" i="1"/>
  <c r="AX30" i="1" s="1"/>
  <c r="CC30" i="1"/>
  <c r="CN30" i="1"/>
  <c r="CG31" i="1"/>
  <c r="CO36" i="1"/>
  <c r="AY37" i="1"/>
  <c r="AX37" i="1" s="1"/>
  <c r="CA40" i="1"/>
  <c r="BZ40" i="1" s="1"/>
  <c r="U41" i="1"/>
  <c r="T41" i="1" s="1"/>
  <c r="CJ41" i="1"/>
  <c r="BE43" i="1"/>
  <c r="BS45" i="1"/>
  <c r="AQ50" i="1"/>
  <c r="BD52" i="1"/>
  <c r="BC52" i="1" s="1"/>
  <c r="BH52" i="1"/>
  <c r="AY56" i="1"/>
  <c r="AX56" i="1" s="1"/>
  <c r="R23" i="2"/>
  <c r="N23" i="2"/>
  <c r="BR46" i="1"/>
  <c r="BV46" i="1"/>
  <c r="CQ57" i="1"/>
  <c r="Y82" i="1"/>
  <c r="CT49" i="1" s="1"/>
  <c r="BR12" i="2"/>
  <c r="BQ12" i="2" s="1"/>
  <c r="BV12" i="2"/>
  <c r="CJ14" i="2"/>
  <c r="AF28" i="2"/>
  <c r="AB28" i="2"/>
  <c r="BY44" i="2"/>
  <c r="BX44" i="2" s="1"/>
  <c r="CC44" i="2"/>
  <c r="BY49" i="2"/>
  <c r="BX49" i="2" s="1"/>
  <c r="CC49" i="2"/>
  <c r="BH5" i="2"/>
  <c r="AP6" i="2"/>
  <c r="AT6" i="2"/>
  <c r="AI16" i="2"/>
  <c r="AH16" i="2"/>
  <c r="CJ22" i="2"/>
  <c r="CF22" i="2"/>
  <c r="CE22" i="2" s="1"/>
  <c r="CC24" i="2"/>
  <c r="BY24" i="2"/>
  <c r="BX24" i="2" s="1"/>
  <c r="AF32" i="2"/>
  <c r="AB32" i="2"/>
  <c r="AA32" i="2" s="1"/>
  <c r="O33" i="2"/>
  <c r="M36" i="2"/>
  <c r="N36" i="2"/>
  <c r="N4" i="2"/>
  <c r="M4" i="2"/>
  <c r="AM20" i="2"/>
  <c r="AI20" i="2"/>
  <c r="AH20" i="2" s="1"/>
  <c r="AT33" i="2"/>
  <c r="AP33" i="2"/>
  <c r="AO33" i="2" s="1"/>
  <c r="G57" i="2"/>
  <c r="U17" i="2"/>
  <c r="T17" i="2" s="1"/>
  <c r="AW18" i="2"/>
  <c r="AV18" i="2" s="1"/>
  <c r="BK44" i="2"/>
  <c r="BJ44" i="2" s="1"/>
  <c r="CQ45" i="2"/>
  <c r="CM45" i="2"/>
  <c r="CL45" i="2" s="1"/>
  <c r="BV10" i="2"/>
  <c r="AI11" i="2"/>
  <c r="AH11" i="2" s="1"/>
  <c r="AM11" i="2"/>
  <c r="CJ13" i="2"/>
  <c r="BO24" i="2"/>
  <c r="BK24" i="2"/>
  <c r="BJ24" i="2" s="1"/>
  <c r="BA36" i="1"/>
  <c r="CQ37" i="1"/>
  <c r="BH43" i="1"/>
  <c r="CG43" i="1"/>
  <c r="CH44" i="1"/>
  <c r="CG44" i="1" s="1"/>
  <c r="AF48" i="1"/>
  <c r="BH48" i="1"/>
  <c r="Y49" i="1"/>
  <c r="CO49" i="1"/>
  <c r="CN49" i="1"/>
  <c r="AF50" i="1"/>
  <c r="CN56" i="1"/>
  <c r="AM82" i="1"/>
  <c r="CV49" i="1" s="1"/>
  <c r="CC6" i="2"/>
  <c r="BH7" i="2"/>
  <c r="BC9" i="2"/>
  <c r="J13" i="2"/>
  <c r="AT16" i="2"/>
  <c r="E17" i="2"/>
  <c r="K17" i="2" s="1"/>
  <c r="CC25" i="2"/>
  <c r="BY25" i="2"/>
  <c r="BX25" i="2" s="1"/>
  <c r="Y35" i="2"/>
  <c r="U35" i="2"/>
  <c r="T35" i="2" s="1"/>
  <c r="BV31" i="1"/>
  <c r="CC31" i="1"/>
  <c r="AF32" i="1"/>
  <c r="T33" i="1"/>
  <c r="AO41" i="1"/>
  <c r="BD42" i="1"/>
  <c r="BC42" i="1" s="1"/>
  <c r="BD43" i="1"/>
  <c r="BC43" i="1" s="1"/>
  <c r="AI46" i="1"/>
  <c r="AH46" i="1" s="1"/>
  <c r="U49" i="1"/>
  <c r="T49" i="1" s="1"/>
  <c r="E53" i="1"/>
  <c r="Y54" i="1"/>
  <c r="R56" i="1"/>
  <c r="Z55" i="2"/>
  <c r="Z58" i="2" s="1"/>
  <c r="BA4" i="2"/>
  <c r="BH6" i="2"/>
  <c r="J7" i="2"/>
  <c r="BD7" i="2"/>
  <c r="BC7" i="2" s="1"/>
  <c r="AB8" i="2"/>
  <c r="AA8" i="2" s="1"/>
  <c r="BH8" i="2"/>
  <c r="BX9" i="2"/>
  <c r="BC10" i="2"/>
  <c r="Y13" i="2"/>
  <c r="J15" i="2"/>
  <c r="O15" i="2"/>
  <c r="BO15" i="2"/>
  <c r="AW17" i="2"/>
  <c r="BY17" i="2"/>
  <c r="BX17" i="2" s="1"/>
  <c r="CC17" i="2"/>
  <c r="AT24" i="2"/>
  <c r="AP24" i="2"/>
  <c r="AT31" i="2"/>
  <c r="AP31" i="2"/>
  <c r="AT32" i="2"/>
  <c r="AP32" i="2"/>
  <c r="AO32" i="2"/>
  <c r="BD42" i="2"/>
  <c r="AH48" i="2"/>
  <c r="AI48" i="2"/>
  <c r="Q55" i="2"/>
  <c r="CJ4" i="2"/>
  <c r="CQ5" i="2"/>
  <c r="BA6" i="2"/>
  <c r="T10" i="2"/>
  <c r="AT10" i="2"/>
  <c r="AM13" i="2"/>
  <c r="CJ16" i="2"/>
  <c r="CJ20" i="2"/>
  <c r="CJ28" i="2"/>
  <c r="BX31" i="2"/>
  <c r="BV43" i="2"/>
  <c r="Y44" i="2"/>
  <c r="BH47" i="2"/>
  <c r="BA52" i="2"/>
  <c r="BH56" i="2"/>
  <c r="CJ57" i="2"/>
  <c r="BX21" i="2"/>
  <c r="R33" i="2"/>
  <c r="CC40" i="2"/>
  <c r="AC48" i="2"/>
  <c r="CL49" i="2"/>
  <c r="T47" i="2"/>
  <c r="AF21" i="2"/>
  <c r="CC21" i="2"/>
  <c r="BD20" i="2"/>
  <c r="BC20" i="2" s="1"/>
  <c r="BK22" i="2"/>
  <c r="BJ22" i="2" s="1"/>
  <c r="AH25" i="2"/>
  <c r="CM32" i="2"/>
  <c r="BR33" i="2"/>
  <c r="H34" i="2"/>
  <c r="U41" i="2"/>
  <c r="T41" i="2" s="1"/>
  <c r="AI45" i="2"/>
  <c r="AH45" i="2" s="1"/>
  <c r="AP46" i="2"/>
  <c r="AO46" i="2" s="1"/>
  <c r="BY46" i="2"/>
  <c r="BX46" i="2" s="1"/>
  <c r="E47" i="2"/>
  <c r="K47" i="2" s="1"/>
  <c r="BC47" i="2"/>
  <c r="AM49" i="2"/>
  <c r="BH49" i="2"/>
  <c r="CM54" i="2"/>
  <c r="AF56" i="2"/>
  <c r="J57" i="2"/>
  <c r="AT48" i="1"/>
  <c r="BA50" i="1"/>
  <c r="BO53" i="1"/>
  <c r="CQ53" i="1"/>
  <c r="BA56" i="1"/>
  <c r="BA57" i="1"/>
  <c r="Y6" i="2"/>
  <c r="CJ6" i="2"/>
  <c r="J8" i="2"/>
  <c r="AT9" i="2"/>
  <c r="CC9" i="2"/>
  <c r="R12" i="2"/>
  <c r="BH14" i="2"/>
  <c r="CJ23" i="2"/>
  <c r="AI25" i="2"/>
  <c r="AT30" i="2"/>
  <c r="AT37" i="2"/>
  <c r="Y43" i="2"/>
  <c r="CE44" i="2"/>
  <c r="Y47" i="2"/>
  <c r="CQ47" i="2"/>
  <c r="Y49" i="2"/>
  <c r="CC51" i="2"/>
  <c r="BJ52" i="2"/>
  <c r="AM56" i="2"/>
  <c r="AM57" i="2"/>
  <c r="BX57" i="2"/>
  <c r="AQ47" i="1"/>
  <c r="CJ49" i="1"/>
  <c r="CJ53" i="1"/>
  <c r="AF82" i="1"/>
  <c r="CU49" i="1" s="1"/>
  <c r="AD49" i="1" s="1"/>
  <c r="AC49" i="1" s="1"/>
  <c r="CC4" i="2"/>
  <c r="AF5" i="2"/>
  <c r="CJ5" i="2"/>
  <c r="CJ10" i="2"/>
  <c r="AM15" i="2"/>
  <c r="R20" i="2"/>
  <c r="B28" i="2"/>
  <c r="AF30" i="2"/>
  <c r="Y41" i="2"/>
  <c r="H42" i="2"/>
  <c r="CJ42" i="2"/>
  <c r="BD44" i="2"/>
  <c r="BC44" i="2" s="1"/>
  <c r="E46" i="2"/>
  <c r="K46" i="2" s="1"/>
  <c r="CC46" i="2"/>
  <c r="AA47" i="2"/>
  <c r="B48" i="2"/>
  <c r="CJ48" i="2"/>
  <c r="AF49" i="2"/>
  <c r="AP49" i="2"/>
  <c r="AO49" i="2" s="1"/>
  <c r="Y56" i="2"/>
  <c r="CC56" i="2"/>
  <c r="CQ56" i="2"/>
  <c r="AI14" i="1"/>
  <c r="AH14" i="1"/>
  <c r="U28" i="1"/>
  <c r="Y28" i="1"/>
  <c r="BD30" i="1"/>
  <c r="BH30" i="1"/>
  <c r="AW32" i="1"/>
  <c r="BA32" i="1"/>
  <c r="N41" i="1"/>
  <c r="M41" i="1"/>
  <c r="AI42" i="1"/>
  <c r="G42" i="1" s="1"/>
  <c r="AM42" i="1"/>
  <c r="AM47" i="1"/>
  <c r="AI47" i="1"/>
  <c r="AH47" i="1" s="1"/>
  <c r="AP53" i="1"/>
  <c r="AO53" i="1" s="1"/>
  <c r="B5" i="1"/>
  <c r="AW5" i="1"/>
  <c r="AV5" i="1" s="1"/>
  <c r="BA5" i="1"/>
  <c r="Y6" i="1"/>
  <c r="U6" i="1"/>
  <c r="CE6" i="1"/>
  <c r="CF8" i="1"/>
  <c r="E10" i="1"/>
  <c r="CM11" i="1"/>
  <c r="CL11" i="1" s="1"/>
  <c r="AB15" i="1"/>
  <c r="AA15" i="1" s="1"/>
  <c r="AP16" i="1"/>
  <c r="AO16" i="1" s="1"/>
  <c r="B17" i="1"/>
  <c r="AP20" i="1"/>
  <c r="AO20" i="1" s="1"/>
  <c r="AT20" i="1"/>
  <c r="CM21" i="1"/>
  <c r="CL21" i="1" s="1"/>
  <c r="BO22" i="1"/>
  <c r="BK22" i="1"/>
  <c r="BJ22" i="1" s="1"/>
  <c r="B24" i="1"/>
  <c r="BQ24" i="1"/>
  <c r="BV24" i="1"/>
  <c r="AA30" i="1"/>
  <c r="AM30" i="1"/>
  <c r="BC30" i="1"/>
  <c r="BR31" i="1"/>
  <c r="AV32" i="1"/>
  <c r="N33" i="1"/>
  <c r="AB33" i="1"/>
  <c r="AF33" i="1"/>
  <c r="W36" i="1"/>
  <c r="V36" i="1"/>
  <c r="CJ37" i="1"/>
  <c r="CF37" i="1"/>
  <c r="CE37" i="1" s="1"/>
  <c r="O39" i="1"/>
  <c r="W40" i="1"/>
  <c r="V40" i="1" s="1"/>
  <c r="W44" i="1"/>
  <c r="V44" i="1" s="1"/>
  <c r="AP44" i="1"/>
  <c r="AT44" i="1"/>
  <c r="CL44" i="1"/>
  <c r="T45" i="1"/>
  <c r="Y45" i="1"/>
  <c r="AP45" i="1"/>
  <c r="AT45" i="1"/>
  <c r="Y47" i="1"/>
  <c r="E47" i="1"/>
  <c r="K47" i="1" s="1"/>
  <c r="AM12" i="1"/>
  <c r="AI12" i="1"/>
  <c r="CQ13" i="1"/>
  <c r="CM13" i="1"/>
  <c r="CL13" i="1" s="1"/>
  <c r="AP18" i="1"/>
  <c r="AO18" i="1" s="1"/>
  <c r="BX21" i="1"/>
  <c r="CC21" i="1"/>
  <c r="CJ27" i="1"/>
  <c r="CF27" i="1"/>
  <c r="AW29" i="1"/>
  <c r="AV29" i="1" s="1"/>
  <c r="BA29" i="1"/>
  <c r="G30" i="1"/>
  <c r="CF34" i="1"/>
  <c r="CE34" i="1" s="1"/>
  <c r="BO36" i="1"/>
  <c r="P36" i="1"/>
  <c r="O36" i="1" s="1"/>
  <c r="CM38" i="1"/>
  <c r="CL38" i="1" s="1"/>
  <c r="CM41" i="1"/>
  <c r="CQ41" i="1"/>
  <c r="AB46" i="1"/>
  <c r="AF46" i="1"/>
  <c r="BD46" i="1"/>
  <c r="BC46" i="1" s="1"/>
  <c r="BH46" i="1"/>
  <c r="AC5" i="1"/>
  <c r="N7" i="1"/>
  <c r="M7" i="1" s="1"/>
  <c r="U10" i="1"/>
  <c r="T10" i="1" s="1"/>
  <c r="BQ14" i="1"/>
  <c r="U16" i="1"/>
  <c r="T16" i="1" s="1"/>
  <c r="N18" i="1"/>
  <c r="M18" i="1" s="1"/>
  <c r="BJ19" i="1"/>
  <c r="BO19" i="1"/>
  <c r="AB21" i="1"/>
  <c r="AA21" i="1" s="1"/>
  <c r="BY21" i="1"/>
  <c r="B34" i="1"/>
  <c r="R35" i="1"/>
  <c r="N35" i="1"/>
  <c r="G35" i="1" s="1"/>
  <c r="BK38" i="1"/>
  <c r="BJ38" i="1" s="1"/>
  <c r="AW40" i="1"/>
  <c r="AV40" i="1" s="1"/>
  <c r="BK41" i="1"/>
  <c r="BO41" i="1"/>
  <c r="CM42" i="1"/>
  <c r="CL42" i="1" s="1"/>
  <c r="CQ42" i="1"/>
  <c r="AB44" i="1"/>
  <c r="AA44" i="1" s="1"/>
  <c r="AA46" i="1"/>
  <c r="AK50" i="1"/>
  <c r="AJ50" i="1" s="1"/>
  <c r="AA52" i="1"/>
  <c r="AB52" i="1"/>
  <c r="CL4" i="1"/>
  <c r="CJ6" i="1"/>
  <c r="AB20" i="1"/>
  <c r="AA20" i="1" s="1"/>
  <c r="AF20" i="1"/>
  <c r="BD24" i="1"/>
  <c r="BC24" i="1" s="1"/>
  <c r="BO28" i="1"/>
  <c r="BY28" i="1"/>
  <c r="CC28" i="1"/>
  <c r="E31" i="1"/>
  <c r="BD34" i="1"/>
  <c r="BC34" i="1" s="1"/>
  <c r="AH36" i="1"/>
  <c r="AI41" i="1"/>
  <c r="AM41" i="1"/>
  <c r="AT42" i="1"/>
  <c r="BV45" i="1"/>
  <c r="P54" i="1"/>
  <c r="O54" i="1" s="1"/>
  <c r="AA12" i="1"/>
  <c r="AF5" i="1"/>
  <c r="M5" i="1"/>
  <c r="BR20" i="1"/>
  <c r="BQ20" i="1" s="1"/>
  <c r="BV32" i="1"/>
  <c r="R36" i="1"/>
  <c r="BA38" i="1"/>
  <c r="AW38" i="1"/>
  <c r="AV38" i="1" s="1"/>
  <c r="AW42" i="1"/>
  <c r="BA42" i="1"/>
  <c r="CC45" i="1"/>
  <c r="BV49" i="1"/>
  <c r="BR49" i="1"/>
  <c r="BQ49" i="1" s="1"/>
  <c r="BC10" i="1"/>
  <c r="CQ22" i="1"/>
  <c r="CM22" i="1"/>
  <c r="CL22" i="1" s="1"/>
  <c r="AP8" i="1"/>
  <c r="AO8" i="1" s="1"/>
  <c r="CM4" i="1"/>
  <c r="BX6" i="1"/>
  <c r="AJ9" i="1"/>
  <c r="AG55" i="1"/>
  <c r="AG58" i="1" s="1"/>
  <c r="AM9" i="1"/>
  <c r="CF9" i="1"/>
  <c r="CE9" i="1" s="1"/>
  <c r="BK13" i="1"/>
  <c r="BJ13" i="1" s="1"/>
  <c r="BC15" i="1"/>
  <c r="AF6" i="1"/>
  <c r="BO14" i="1"/>
  <c r="BK14" i="1"/>
  <c r="BJ14" i="1" s="1"/>
  <c r="AC16" i="1"/>
  <c r="AD16" i="1"/>
  <c r="AW19" i="1"/>
  <c r="U23" i="1"/>
  <c r="T23" i="1" s="1"/>
  <c r="AJ30" i="1"/>
  <c r="BV30" i="1"/>
  <c r="BY32" i="1"/>
  <c r="CC32" i="1"/>
  <c r="CJ33" i="1"/>
  <c r="BY43" i="1"/>
  <c r="BX43" i="1" s="1"/>
  <c r="BD44" i="1"/>
  <c r="BC44" i="1" s="1"/>
  <c r="BH44" i="1"/>
  <c r="BR44" i="1"/>
  <c r="CF44" i="1"/>
  <c r="CE44" i="1" s="1"/>
  <c r="CJ44" i="1"/>
  <c r="BY45" i="1"/>
  <c r="BX45" i="1" s="1"/>
  <c r="N46" i="1"/>
  <c r="M46" i="1" s="1"/>
  <c r="R46" i="1"/>
  <c r="B48" i="1"/>
  <c r="G50" i="2"/>
  <c r="AD10" i="1"/>
  <c r="AC10" i="1" s="1"/>
  <c r="W8" i="1"/>
  <c r="V8" i="1" s="1"/>
  <c r="AA9" i="1"/>
  <c r="BR15" i="1"/>
  <c r="BQ15" i="1" s="1"/>
  <c r="CM17" i="1"/>
  <c r="CL17" i="1" s="1"/>
  <c r="CQ17" i="1"/>
  <c r="CF18" i="1"/>
  <c r="CE18" i="1" s="1"/>
  <c r="AV19" i="1"/>
  <c r="BK21" i="1"/>
  <c r="BJ21" i="1" s="1"/>
  <c r="AW23" i="1"/>
  <c r="AV23" i="1" s="1"/>
  <c r="BX25" i="1"/>
  <c r="CC25" i="1"/>
  <c r="AB26" i="1"/>
  <c r="AA26" i="1" s="1"/>
  <c r="CF26" i="1"/>
  <c r="CE26" i="1" s="1"/>
  <c r="BK28" i="1"/>
  <c r="BJ28" i="1" s="1"/>
  <c r="CQ29" i="1"/>
  <c r="CM29" i="1"/>
  <c r="BC4" i="1"/>
  <c r="AO4" i="1"/>
  <c r="E7" i="1"/>
  <c r="Y7" i="1"/>
  <c r="V7" i="1"/>
  <c r="AW7" i="1"/>
  <c r="AV7" i="1" s="1"/>
  <c r="BA7" i="1"/>
  <c r="J8" i="1"/>
  <c r="BH11" i="1"/>
  <c r="BD11" i="1"/>
  <c r="AT13" i="1"/>
  <c r="AP13" i="1"/>
  <c r="AO13" i="1" s="1"/>
  <c r="BQ18" i="1"/>
  <c r="BD20" i="1"/>
  <c r="BC20" i="1" s="1"/>
  <c r="AI28" i="1"/>
  <c r="AH28" i="1" s="1"/>
  <c r="M29" i="1"/>
  <c r="BY29" i="1"/>
  <c r="BX29" i="1" s="1"/>
  <c r="CC29" i="1"/>
  <c r="W30" i="1"/>
  <c r="V30" i="1" s="1"/>
  <c r="BR30" i="1"/>
  <c r="BQ30" i="1" s="1"/>
  <c r="BK32" i="1"/>
  <c r="BJ32" i="1" s="1"/>
  <c r="BO32" i="1"/>
  <c r="BD33" i="1"/>
  <c r="BH33" i="1"/>
  <c r="BY33" i="1"/>
  <c r="BX33" i="1" s="1"/>
  <c r="CC33" i="1"/>
  <c r="CF35" i="1"/>
  <c r="CE35" i="1" s="1"/>
  <c r="CJ35" i="1"/>
  <c r="N36" i="1"/>
  <c r="M36" i="1" s="1"/>
  <c r="CL40" i="1"/>
  <c r="AJ44" i="1"/>
  <c r="AK46" i="1"/>
  <c r="AJ46" i="1" s="1"/>
  <c r="CF46" i="1"/>
  <c r="CE46" i="1"/>
  <c r="CJ46" i="1"/>
  <c r="AD47" i="1"/>
  <c r="AC47" i="1" s="1"/>
  <c r="AM48" i="1"/>
  <c r="T5" i="1"/>
  <c r="CC5" i="1"/>
  <c r="W6" i="1"/>
  <c r="V6" i="1" s="1"/>
  <c r="AM10" i="1"/>
  <c r="BH10" i="1"/>
  <c r="M13" i="1"/>
  <c r="R14" i="1"/>
  <c r="AV15" i="1"/>
  <c r="AV16" i="1"/>
  <c r="BJ16" i="1"/>
  <c r="CM16" i="1"/>
  <c r="CL16" i="1" s="1"/>
  <c r="B27" i="1"/>
  <c r="M28" i="1"/>
  <c r="AO28" i="1"/>
  <c r="BY30" i="1"/>
  <c r="T34" i="1"/>
  <c r="AI34" i="1"/>
  <c r="BC37" i="1"/>
  <c r="BQ40" i="1"/>
  <c r="AD48" i="1"/>
  <c r="AC48" i="1" s="1"/>
  <c r="CQ48" i="1"/>
  <c r="V52" i="1"/>
  <c r="V57" i="1"/>
  <c r="E6" i="2"/>
  <c r="O7" i="2"/>
  <c r="CC7" i="2"/>
  <c r="CQ7" i="2"/>
  <c r="BO8" i="2"/>
  <c r="BA9" i="2"/>
  <c r="E10" i="2"/>
  <c r="BA10" i="2"/>
  <c r="CQ11" i="2"/>
  <c r="AM12" i="2"/>
  <c r="O13" i="2"/>
  <c r="BH18" i="2"/>
  <c r="CQ18" i="2"/>
  <c r="BA19" i="2"/>
  <c r="BV19" i="2"/>
  <c r="AT21" i="2"/>
  <c r="AT22" i="2"/>
  <c r="CJ24" i="2"/>
  <c r="AF27" i="2"/>
  <c r="AA28" i="2"/>
  <c r="BV29" i="2"/>
  <c r="E30" i="2"/>
  <c r="Y31" i="2"/>
  <c r="BV32" i="2"/>
  <c r="BA33" i="2"/>
  <c r="CL35" i="2"/>
  <c r="AV36" i="2"/>
  <c r="AF37" i="2"/>
  <c r="AM44" i="2"/>
  <c r="BV44" i="2"/>
  <c r="AT45" i="2"/>
  <c r="BA46" i="2"/>
  <c r="AM47" i="2"/>
  <c r="BA47" i="2"/>
  <c r="BA50" i="2"/>
  <c r="CJ50" i="2"/>
  <c r="BO51" i="2"/>
  <c r="M57" i="2"/>
  <c r="F57" i="2" s="1"/>
  <c r="Y57" i="2"/>
  <c r="AJ6" i="1"/>
  <c r="V9" i="1"/>
  <c r="AC15" i="1"/>
  <c r="AV17" i="1"/>
  <c r="CL23" i="1"/>
  <c r="E30" i="1"/>
  <c r="Y31" i="1"/>
  <c r="M38" i="1"/>
  <c r="V38" i="1"/>
  <c r="AF39" i="1"/>
  <c r="B46" i="1"/>
  <c r="BJ46" i="1"/>
  <c r="Y48" i="1"/>
  <c r="Y52" i="1"/>
  <c r="AF53" i="1"/>
  <c r="AM53" i="1"/>
  <c r="B56" i="1"/>
  <c r="B4" i="2"/>
  <c r="Y4" i="2"/>
  <c r="AX4" i="2"/>
  <c r="AC5" i="2"/>
  <c r="BE5" i="2"/>
  <c r="CG5" i="2"/>
  <c r="AC6" i="2"/>
  <c r="AC55" i="2" s="1"/>
  <c r="AC58" i="2" s="1"/>
  <c r="CN6" i="2"/>
  <c r="CJ7" i="2"/>
  <c r="AM8" i="2"/>
  <c r="V9" i="2"/>
  <c r="J10" i="2"/>
  <c r="AM16" i="2"/>
  <c r="H21" i="2"/>
  <c r="M23" i="2"/>
  <c r="BQ23" i="2"/>
  <c r="Y24" i="2"/>
  <c r="AM26" i="2"/>
  <c r="BA26" i="2"/>
  <c r="BO28" i="2"/>
  <c r="CE28" i="2"/>
  <c r="BH29" i="2"/>
  <c r="BH39" i="2"/>
  <c r="CJ43" i="2"/>
  <c r="CQ44" i="2"/>
  <c r="R45" i="2"/>
  <c r="BH45" i="2"/>
  <c r="O48" i="2"/>
  <c r="AX48" i="2"/>
  <c r="BH48" i="2"/>
  <c r="BS48" i="2"/>
  <c r="E49" i="2"/>
  <c r="V49" i="2"/>
  <c r="AQ49" i="2"/>
  <c r="BE49" i="2"/>
  <c r="BO49" i="2"/>
  <c r="CN49" i="2"/>
  <c r="CC50" i="2"/>
  <c r="CQ50" i="2"/>
  <c r="BH51" i="2"/>
  <c r="BV51" i="2"/>
  <c r="V52" i="2"/>
  <c r="E53" i="2"/>
  <c r="AX53" i="2"/>
  <c r="BV53" i="2"/>
  <c r="AC54" i="2"/>
  <c r="H54" i="2" s="1"/>
  <c r="BA54" i="2"/>
  <c r="CN56" i="2"/>
  <c r="AF57" i="2"/>
  <c r="CE45" i="2"/>
  <c r="J48" i="2"/>
  <c r="BQ56" i="1"/>
  <c r="BQ57" i="1"/>
  <c r="AO4" i="2"/>
  <c r="BK6" i="2"/>
  <c r="BJ6" i="2" s="1"/>
  <c r="BY6" i="2"/>
  <c r="BX6" i="2" s="1"/>
  <c r="AM7" i="2"/>
  <c r="N8" i="2"/>
  <c r="D8" i="2" s="1"/>
  <c r="AP8" i="2"/>
  <c r="AO8" i="2" s="1"/>
  <c r="BR9" i="2"/>
  <c r="BQ9" i="2" s="1"/>
  <c r="N10" i="2"/>
  <c r="M10" i="2" s="1"/>
  <c r="AB10" i="2"/>
  <c r="AA10" i="2" s="1"/>
  <c r="CE10" i="2"/>
  <c r="N12" i="2"/>
  <c r="M12" i="2" s="1"/>
  <c r="BO14" i="2"/>
  <c r="BX15" i="2"/>
  <c r="AP17" i="2"/>
  <c r="AO17" i="2" s="1"/>
  <c r="AI18" i="2"/>
  <c r="AH18" i="2" s="1"/>
  <c r="BQ21" i="2"/>
  <c r="AB24" i="2"/>
  <c r="AB26" i="2"/>
  <c r="AA26" i="2" s="1"/>
  <c r="BD26" i="2"/>
  <c r="H29" i="2"/>
  <c r="CM30" i="2"/>
  <c r="CL30" i="2" s="1"/>
  <c r="AA33" i="2"/>
  <c r="AP35" i="2"/>
  <c r="T36" i="2"/>
  <c r="BD37" i="2"/>
  <c r="BC37" i="2" s="1"/>
  <c r="AP41" i="2"/>
  <c r="AO41" i="2" s="1"/>
  <c r="CC43" i="2"/>
  <c r="J45" i="2"/>
  <c r="CF45" i="2"/>
  <c r="BQ49" i="2"/>
  <c r="T50" i="2"/>
  <c r="CE52" i="2"/>
  <c r="AP57" i="2"/>
  <c r="AO57" i="2" s="1"/>
  <c r="BO57" i="2"/>
  <c r="CL57" i="2"/>
  <c r="AM50" i="1"/>
  <c r="BY50" i="1"/>
  <c r="BX50" i="1" s="1"/>
  <c r="AF52" i="1"/>
  <c r="AW52" i="1"/>
  <c r="BR56" i="1"/>
  <c r="AF4" i="2"/>
  <c r="BQ4" i="2"/>
  <c r="B5" i="2"/>
  <c r="AI6" i="2"/>
  <c r="AH6" i="2" s="1"/>
  <c r="B7" i="2"/>
  <c r="B9" i="2"/>
  <c r="AA9" i="2"/>
  <c r="CF10" i="2"/>
  <c r="AO11" i="2"/>
  <c r="H12" i="2"/>
  <c r="E13" i="2"/>
  <c r="K13" i="2" s="1"/>
  <c r="U13" i="2"/>
  <c r="T13" i="2" s="1"/>
  <c r="BY13" i="2"/>
  <c r="BX13" i="2" s="1"/>
  <c r="T14" i="2"/>
  <c r="BC14" i="2"/>
  <c r="CF14" i="2"/>
  <c r="CE14" i="2" s="1"/>
  <c r="AT15" i="2"/>
  <c r="CQ15" i="2"/>
  <c r="U16" i="2"/>
  <c r="G16" i="2" s="1"/>
  <c r="BQ16" i="2"/>
  <c r="CF16" i="2"/>
  <c r="CE16" i="2" s="1"/>
  <c r="BR18" i="2"/>
  <c r="BQ18" i="2" s="1"/>
  <c r="N19" i="2"/>
  <c r="H19" i="2"/>
  <c r="Y20" i="2"/>
  <c r="BY20" i="2"/>
  <c r="BX20" i="2" s="1"/>
  <c r="U21" i="2"/>
  <c r="T21" i="2" s="1"/>
  <c r="BR21" i="2"/>
  <c r="CM22" i="2"/>
  <c r="CL22" i="2" s="1"/>
  <c r="R24" i="2"/>
  <c r="AP25" i="2"/>
  <c r="AO25" i="2" s="1"/>
  <c r="AO27" i="2"/>
  <c r="BR27" i="2"/>
  <c r="AI29" i="2"/>
  <c r="AH29" i="2" s="1"/>
  <c r="T31" i="2"/>
  <c r="BK31" i="2"/>
  <c r="BJ31" i="2" s="1"/>
  <c r="CF32" i="2"/>
  <c r="AB33" i="2"/>
  <c r="BK33" i="2"/>
  <c r="BJ33" i="2" s="1"/>
  <c r="AA34" i="2"/>
  <c r="E36" i="2"/>
  <c r="BX36" i="2"/>
  <c r="CM40" i="2"/>
  <c r="CL40" i="2" s="1"/>
  <c r="N41" i="2"/>
  <c r="M41" i="2" s="1"/>
  <c r="BO41" i="2"/>
  <c r="Y42" i="2"/>
  <c r="CQ42" i="2"/>
  <c r="U43" i="2"/>
  <c r="T43" i="2" s="1"/>
  <c r="BR43" i="2"/>
  <c r="BQ43" i="2" s="1"/>
  <c r="BK45" i="2"/>
  <c r="BJ45" i="2" s="1"/>
  <c r="AO48" i="2"/>
  <c r="BK48" i="2"/>
  <c r="BJ48" i="2" s="1"/>
  <c r="CF54" i="2"/>
  <c r="CE54" i="2" s="1"/>
  <c r="U56" i="2"/>
  <c r="T56" i="2" s="1"/>
  <c r="B57" i="2"/>
  <c r="R57" i="2"/>
  <c r="BD57" i="2"/>
  <c r="BC57" i="2" s="1"/>
  <c r="BQ57" i="2"/>
  <c r="CC57" i="2"/>
  <c r="AI50" i="1"/>
  <c r="AW50" i="1"/>
  <c r="AV50" i="1" s="1"/>
  <c r="R53" i="1"/>
  <c r="BK54" i="1"/>
  <c r="BJ54" i="1" s="1"/>
  <c r="BX54" i="1"/>
  <c r="N56" i="1"/>
  <c r="M56" i="1" s="1"/>
  <c r="E5" i="2"/>
  <c r="U6" i="2"/>
  <c r="T6" i="2" s="1"/>
  <c r="AW6" i="2"/>
  <c r="AV6" i="2" s="1"/>
  <c r="CJ8" i="2"/>
  <c r="M11" i="2"/>
  <c r="BD11" i="2"/>
  <c r="BC11" i="2" s="1"/>
  <c r="AO13" i="2"/>
  <c r="BD14" i="2"/>
  <c r="BK15" i="2"/>
  <c r="BJ15" i="2" s="1"/>
  <c r="BC16" i="2"/>
  <c r="AT17" i="2"/>
  <c r="CL18" i="2"/>
  <c r="AV19" i="2"/>
  <c r="CF19" i="2"/>
  <c r="CE19" i="2" s="1"/>
  <c r="BK20" i="2"/>
  <c r="BJ20" i="2" s="1"/>
  <c r="BD21" i="2"/>
  <c r="BC21" i="2" s="1"/>
  <c r="BD22" i="2"/>
  <c r="BC22" i="2" s="1"/>
  <c r="AP27" i="2"/>
  <c r="U28" i="2"/>
  <c r="T28" i="2" s="1"/>
  <c r="U29" i="2"/>
  <c r="BQ29" i="2"/>
  <c r="R30" i="2"/>
  <c r="AV30" i="2"/>
  <c r="CC30" i="2"/>
  <c r="BQ32" i="2"/>
  <c r="AV33" i="2"/>
  <c r="AB34" i="2"/>
  <c r="BY36" i="2"/>
  <c r="AI38" i="2"/>
  <c r="AH38" i="2" s="1"/>
  <c r="BY38" i="2"/>
  <c r="BX38" i="2" s="1"/>
  <c r="AA39" i="2"/>
  <c r="H41" i="2"/>
  <c r="CE43" i="2"/>
  <c r="CL44" i="2"/>
  <c r="M45" i="2"/>
  <c r="AO45" i="2"/>
  <c r="BC45" i="2"/>
  <c r="U46" i="2"/>
  <c r="T46" i="2" s="1"/>
  <c r="AV46" i="2"/>
  <c r="AH47" i="2"/>
  <c r="BV47" i="2"/>
  <c r="CF47" i="2"/>
  <c r="CE47" i="2" s="1"/>
  <c r="E48" i="2"/>
  <c r="K48" i="2" s="1"/>
  <c r="BC48" i="2"/>
  <c r="BX48" i="2"/>
  <c r="N49" i="2"/>
  <c r="M49" i="2" s="1"/>
  <c r="BJ49" i="2"/>
  <c r="CE50" i="2"/>
  <c r="BJ51" i="2"/>
  <c r="BV54" i="2"/>
  <c r="CQ57" i="2"/>
  <c r="J49" i="1"/>
  <c r="CL6" i="1"/>
  <c r="R7" i="1"/>
  <c r="AC7" i="1"/>
  <c r="R9" i="1"/>
  <c r="AF10" i="1"/>
  <c r="BA12" i="1"/>
  <c r="BX16" i="1"/>
  <c r="B28" i="1"/>
  <c r="Y30" i="1"/>
  <c r="R38" i="1"/>
  <c r="T43" i="1"/>
  <c r="BO46" i="1"/>
  <c r="AW47" i="1"/>
  <c r="AV47" i="1" s="1"/>
  <c r="CF47" i="1"/>
  <c r="CE47" i="1" s="1"/>
  <c r="AB48" i="1"/>
  <c r="AA48" i="1" s="1"/>
  <c r="AT49" i="1"/>
  <c r="AJ53" i="1"/>
  <c r="BY54" i="1"/>
  <c r="AH4" i="2"/>
  <c r="AS55" i="2"/>
  <c r="AS58" i="2" s="1"/>
  <c r="J5" i="2"/>
  <c r="K5" i="2" s="1"/>
  <c r="AM5" i="2"/>
  <c r="BA5" i="2"/>
  <c r="BO5" i="2"/>
  <c r="CC5" i="2"/>
  <c r="BO6" i="2"/>
  <c r="AF7" i="2"/>
  <c r="CL7" i="2"/>
  <c r="AH8" i="2"/>
  <c r="R9" i="2"/>
  <c r="AF9" i="2"/>
  <c r="BJ10" i="2"/>
  <c r="BY10" i="2"/>
  <c r="BX10" i="2" s="1"/>
  <c r="J11" i="2"/>
  <c r="BJ13" i="2"/>
  <c r="AO14" i="2"/>
  <c r="CC14" i="2"/>
  <c r="AI15" i="2"/>
  <c r="AH15" i="2" s="1"/>
  <c r="R16" i="2"/>
  <c r="BV16" i="2"/>
  <c r="N17" i="2"/>
  <c r="M17" i="2" s="1"/>
  <c r="AB20" i="2"/>
  <c r="AA20" i="2" s="1"/>
  <c r="AO22" i="2"/>
  <c r="E24" i="2"/>
  <c r="K24" i="2" s="1"/>
  <c r="T24" i="2"/>
  <c r="AT25" i="2"/>
  <c r="AH26" i="2"/>
  <c r="AV26" i="2"/>
  <c r="H28" i="2"/>
  <c r="BJ28" i="2"/>
  <c r="BX28" i="2"/>
  <c r="BC29" i="2"/>
  <c r="BO33" i="2"/>
  <c r="CF34" i="2"/>
  <c r="CE34" i="2" s="1"/>
  <c r="R37" i="2"/>
  <c r="CF37" i="2"/>
  <c r="CE37" i="2" s="1"/>
  <c r="AB39" i="2"/>
  <c r="BY40" i="2"/>
  <c r="BX40" i="2" s="1"/>
  <c r="BK42" i="2"/>
  <c r="BJ42" i="2" s="1"/>
  <c r="B43" i="2"/>
  <c r="E44" i="2"/>
  <c r="K44" i="2" s="1"/>
  <c r="AA44" i="2"/>
  <c r="CJ45" i="2"/>
  <c r="BK46" i="2"/>
  <c r="BJ46" i="2" s="1"/>
  <c r="CL48" i="2"/>
  <c r="BV49" i="2"/>
  <c r="M50" i="2"/>
  <c r="AM51" i="2"/>
  <c r="CE51" i="2"/>
  <c r="N52" i="2"/>
  <c r="M52" i="2" s="1"/>
  <c r="CJ54" i="2"/>
  <c r="AI56" i="2"/>
  <c r="AH56" i="2" s="1"/>
  <c r="BJ56" i="2"/>
  <c r="BY56" i="2"/>
  <c r="BX56" i="2" s="1"/>
  <c r="T57" i="2"/>
  <c r="AT57" i="2"/>
  <c r="R5" i="1"/>
  <c r="T7" i="1"/>
  <c r="CJ9" i="1"/>
  <c r="BC12" i="1"/>
  <c r="W13" i="1"/>
  <c r="V13" i="1" s="1"/>
  <c r="P14" i="1"/>
  <c r="O14" i="1" s="1"/>
  <c r="E24" i="1"/>
  <c r="K24" i="1" s="1"/>
  <c r="V31" i="1"/>
  <c r="AJ31" i="1"/>
  <c r="BX35" i="1"/>
  <c r="Y36" i="1"/>
  <c r="BQ38" i="1"/>
  <c r="CC38" i="1"/>
  <c r="CQ40" i="1"/>
  <c r="AH44" i="1"/>
  <c r="AW51" i="1"/>
  <c r="AV51" i="1" s="1"/>
  <c r="CF52" i="1"/>
  <c r="CE52" i="1" s="1"/>
  <c r="AW57" i="1"/>
  <c r="AV57" i="1" s="1"/>
  <c r="E4" i="2"/>
  <c r="R5" i="2"/>
  <c r="AA5" i="2"/>
  <c r="AT5" i="2"/>
  <c r="BC5" i="2"/>
  <c r="BV5" i="2"/>
  <c r="CE5" i="2"/>
  <c r="AM6" i="2"/>
  <c r="AT7" i="2"/>
  <c r="BX8" i="2"/>
  <c r="CM8" i="2"/>
  <c r="CL8" i="2" s="1"/>
  <c r="AX9" i="2"/>
  <c r="B10" i="2"/>
  <c r="R11" i="2"/>
  <c r="AT11" i="2"/>
  <c r="R13" i="2"/>
  <c r="J14" i="2"/>
  <c r="BX14" i="2"/>
  <c r="BH15" i="2"/>
  <c r="M16" i="2"/>
  <c r="H17" i="2"/>
  <c r="AV17" i="2"/>
  <c r="M20" i="2"/>
  <c r="CE20" i="2"/>
  <c r="BH22" i="2"/>
  <c r="U23" i="2"/>
  <c r="T23" i="2" s="1"/>
  <c r="BY23" i="2"/>
  <c r="BX23" i="2" s="1"/>
  <c r="BR25" i="2"/>
  <c r="BQ25" i="2" s="1"/>
  <c r="H26" i="2"/>
  <c r="H27" i="2"/>
  <c r="BY28" i="2"/>
  <c r="E29" i="2"/>
  <c r="K29" i="2" s="1"/>
  <c r="BA30" i="2"/>
  <c r="CE30" i="2"/>
  <c r="AO31" i="2"/>
  <c r="CC31" i="2"/>
  <c r="CL32" i="2"/>
  <c r="AF34" i="2"/>
  <c r="BV34" i="2"/>
  <c r="N35" i="2"/>
  <c r="M35" i="2" s="1"/>
  <c r="BR35" i="2"/>
  <c r="BQ35" i="2" s="1"/>
  <c r="Y36" i="2"/>
  <c r="CC36" i="2"/>
  <c r="N37" i="2"/>
  <c r="G37" i="2" s="1"/>
  <c r="AM38" i="2"/>
  <c r="BJ38" i="2"/>
  <c r="M39" i="2"/>
  <c r="U40" i="2"/>
  <c r="T40" i="2" s="1"/>
  <c r="BK40" i="2"/>
  <c r="BJ40" i="2" s="1"/>
  <c r="B41" i="2"/>
  <c r="AH41" i="2"/>
  <c r="BR41" i="2"/>
  <c r="BQ41" i="2" s="1"/>
  <c r="AW42" i="2"/>
  <c r="AV42" i="2" s="1"/>
  <c r="BX45" i="2"/>
  <c r="Y48" i="2"/>
  <c r="AT48" i="2"/>
  <c r="BA49" i="2"/>
  <c r="CG50" i="2"/>
  <c r="BL51" i="2"/>
  <c r="BJ54" i="2"/>
  <c r="CL54" i="2"/>
  <c r="CL56" i="2"/>
  <c r="CF57" i="2"/>
  <c r="CE57" i="2" s="1"/>
  <c r="AO20" i="2"/>
  <c r="BR14" i="2"/>
  <c r="BQ14" i="2"/>
  <c r="AW15" i="2"/>
  <c r="AV15" i="2" s="1"/>
  <c r="AB16" i="2"/>
  <c r="B16" i="2"/>
  <c r="BD19" i="2"/>
  <c r="BC19" i="2" s="1"/>
  <c r="CF21" i="2"/>
  <c r="CE21" i="2"/>
  <c r="R25" i="2"/>
  <c r="E25" i="2"/>
  <c r="K25" i="2" s="1"/>
  <c r="N25" i="2"/>
  <c r="B25" i="2"/>
  <c r="AB25" i="2"/>
  <c r="AA25" i="2" s="1"/>
  <c r="AF25" i="2"/>
  <c r="BO26" i="2"/>
  <c r="BK26" i="2"/>
  <c r="BJ26" i="2" s="1"/>
  <c r="BO30" i="2"/>
  <c r="BK30" i="2"/>
  <c r="BJ30" i="2"/>
  <c r="AI32" i="2"/>
  <c r="G32" i="2" s="1"/>
  <c r="AM32" i="2"/>
  <c r="N38" i="2"/>
  <c r="M38" i="2" s="1"/>
  <c r="E38" i="2"/>
  <c r="R38" i="2"/>
  <c r="B38" i="2"/>
  <c r="BR38" i="2"/>
  <c r="BQ38" i="2"/>
  <c r="BV38" i="2"/>
  <c r="BH50" i="2"/>
  <c r="BD50" i="2"/>
  <c r="BC50" i="2" s="1"/>
  <c r="X55" i="2"/>
  <c r="AG55" i="2"/>
  <c r="AG58" i="2" s="1"/>
  <c r="AZ55" i="2"/>
  <c r="BI55" i="2"/>
  <c r="BI58" i="2" s="1"/>
  <c r="CB55" i="2"/>
  <c r="CK55" i="2"/>
  <c r="CK58" i="2" s="1"/>
  <c r="B6" i="2"/>
  <c r="J6" i="2"/>
  <c r="K6" i="2" s="1"/>
  <c r="G8" i="2"/>
  <c r="O8" i="2"/>
  <c r="H8" i="2" s="1"/>
  <c r="AM9" i="2"/>
  <c r="CJ9" i="2"/>
  <c r="BH10" i="2"/>
  <c r="E11" i="2"/>
  <c r="K11" i="2" s="1"/>
  <c r="O11" i="2"/>
  <c r="H11" i="2" s="1"/>
  <c r="Y11" i="2"/>
  <c r="BV11" i="2"/>
  <c r="AT12" i="2"/>
  <c r="CJ12" i="2"/>
  <c r="AC13" i="2"/>
  <c r="H13" i="2" s="1"/>
  <c r="AF13" i="2"/>
  <c r="CM13" i="2"/>
  <c r="CL13" i="2"/>
  <c r="R14" i="2"/>
  <c r="B14" i="2"/>
  <c r="AF18" i="2"/>
  <c r="AB18" i="2"/>
  <c r="AA18" i="2"/>
  <c r="AF22" i="2"/>
  <c r="AA22" i="2"/>
  <c r="BR22" i="2"/>
  <c r="BQ22" i="2" s="1"/>
  <c r="AT23" i="2"/>
  <c r="AP23" i="2"/>
  <c r="AO23" i="2" s="1"/>
  <c r="BD23" i="2"/>
  <c r="BC23" i="2" s="1"/>
  <c r="BH23" i="2"/>
  <c r="M25" i="2"/>
  <c r="CJ26" i="2"/>
  <c r="CF26" i="2"/>
  <c r="CE26" i="2"/>
  <c r="BH28" i="2"/>
  <c r="BC28" i="2"/>
  <c r="AI30" i="2"/>
  <c r="AH30" i="2" s="1"/>
  <c r="AM30" i="2"/>
  <c r="AB31" i="2"/>
  <c r="AA31" i="2" s="1"/>
  <c r="AF31" i="2"/>
  <c r="E31" i="2"/>
  <c r="CM33" i="2"/>
  <c r="CL33" i="2" s="1"/>
  <c r="CQ33" i="2"/>
  <c r="BV37" i="2"/>
  <c r="BR37" i="2"/>
  <c r="BQ37" i="2" s="1"/>
  <c r="H38" i="2"/>
  <c r="BS39" i="2"/>
  <c r="BS55" i="2" s="1"/>
  <c r="BS58" i="2" s="1"/>
  <c r="BV39" i="2"/>
  <c r="CF41" i="2"/>
  <c r="CE41" i="2"/>
  <c r="CJ41" i="2"/>
  <c r="U45" i="2"/>
  <c r="Y45" i="2"/>
  <c r="E45" i="2"/>
  <c r="K45" i="2" s="1"/>
  <c r="B45" i="2"/>
  <c r="AW45" i="2"/>
  <c r="AV45" i="2" s="1"/>
  <c r="BA45" i="2"/>
  <c r="BD46" i="2"/>
  <c r="BC46" i="2"/>
  <c r="BH46" i="2"/>
  <c r="O4" i="2"/>
  <c r="BE6" i="2"/>
  <c r="CG6" i="2"/>
  <c r="AJ7" i="2"/>
  <c r="BL7" i="2"/>
  <c r="BL55" i="2" s="1"/>
  <c r="BL58" i="2" s="1"/>
  <c r="CN7" i="2"/>
  <c r="BD8" i="2"/>
  <c r="BC8" i="2" s="1"/>
  <c r="BZ9" i="2"/>
  <c r="V10" i="2"/>
  <c r="H10" i="2" s="1"/>
  <c r="AP10" i="2"/>
  <c r="D10" i="2" s="1"/>
  <c r="CF11" i="2"/>
  <c r="CE11" i="2" s="1"/>
  <c r="AB12" i="2"/>
  <c r="AV12" i="2"/>
  <c r="BX12" i="2"/>
  <c r="CC12" i="2"/>
  <c r="CQ12" i="2"/>
  <c r="CM12" i="2"/>
  <c r="CL12" i="2" s="1"/>
  <c r="AB14" i="2"/>
  <c r="AF14" i="2"/>
  <c r="BV14" i="2"/>
  <c r="BA15" i="2"/>
  <c r="H16" i="2"/>
  <c r="AF16" i="2"/>
  <c r="CQ16" i="2"/>
  <c r="CM16" i="2"/>
  <c r="CL16" i="2" s="1"/>
  <c r="BV17" i="2"/>
  <c r="BR17" i="2"/>
  <c r="BQ17" i="2" s="1"/>
  <c r="CF17" i="2"/>
  <c r="CE17" i="2" s="1"/>
  <c r="CJ17" i="2"/>
  <c r="BY18" i="2"/>
  <c r="BX18" i="2" s="1"/>
  <c r="CC18" i="2"/>
  <c r="BH19" i="2"/>
  <c r="CQ20" i="2"/>
  <c r="CL20" i="2"/>
  <c r="CJ21" i="2"/>
  <c r="CM23" i="2"/>
  <c r="CL23" i="2" s="1"/>
  <c r="CQ24" i="2"/>
  <c r="CM24" i="2"/>
  <c r="CL24" i="2" s="1"/>
  <c r="M27" i="2"/>
  <c r="CC27" i="2"/>
  <c r="BY27" i="2"/>
  <c r="BX27" i="2" s="1"/>
  <c r="U30" i="2"/>
  <c r="T30" i="2"/>
  <c r="B30" i="2"/>
  <c r="Y30" i="2"/>
  <c r="J31" i="2"/>
  <c r="R31" i="2"/>
  <c r="BD32" i="2"/>
  <c r="BC32" i="2" s="1"/>
  <c r="AM34" i="2"/>
  <c r="AI34" i="2"/>
  <c r="AH34" i="2" s="1"/>
  <c r="V40" i="2"/>
  <c r="H40" i="2" s="1"/>
  <c r="Y40" i="2"/>
  <c r="BU55" i="2"/>
  <c r="CD55" i="2"/>
  <c r="CD58" i="2" s="1"/>
  <c r="J12" i="2"/>
  <c r="AW13" i="2"/>
  <c r="AV13" i="2" s="1"/>
  <c r="BA13" i="2"/>
  <c r="E16" i="2"/>
  <c r="B18" i="2"/>
  <c r="N18" i="2"/>
  <c r="M18" i="2" s="1"/>
  <c r="E18" i="2"/>
  <c r="K18" i="2" s="1"/>
  <c r="BK19" i="2"/>
  <c r="CM21" i="2"/>
  <c r="CL21" i="2" s="1"/>
  <c r="B22" i="2"/>
  <c r="AF23" i="2"/>
  <c r="AB23" i="2"/>
  <c r="AA23" i="2" s="1"/>
  <c r="BJ23" i="2"/>
  <c r="BA25" i="2"/>
  <c r="AW25" i="2"/>
  <c r="AV25" i="2"/>
  <c r="CF25" i="2"/>
  <c r="CE25" i="2" s="1"/>
  <c r="BO29" i="2"/>
  <c r="CQ34" i="2"/>
  <c r="CM34" i="2"/>
  <c r="CL34" i="2" s="1"/>
  <c r="AX36" i="2"/>
  <c r="H36" i="2" s="1"/>
  <c r="BA36" i="2"/>
  <c r="CQ36" i="2"/>
  <c r="CM36" i="2"/>
  <c r="CL36" i="2" s="1"/>
  <c r="AI37" i="2"/>
  <c r="AH37" i="2"/>
  <c r="AM37" i="2"/>
  <c r="N44" i="2"/>
  <c r="M44" i="2" s="1"/>
  <c r="R44" i="2"/>
  <c r="B44" i="2"/>
  <c r="AQ54" i="2"/>
  <c r="AT54" i="2"/>
  <c r="AT4" i="2"/>
  <c r="AO6" i="2"/>
  <c r="CM14" i="2"/>
  <c r="CL14" i="2" s="1"/>
  <c r="BR15" i="2"/>
  <c r="BQ15" i="2" s="1"/>
  <c r="BH17" i="2"/>
  <c r="BD17" i="2"/>
  <c r="BK18" i="2"/>
  <c r="BJ18" i="2" s="1"/>
  <c r="N22" i="2"/>
  <c r="BK23" i="2"/>
  <c r="CQ23" i="2"/>
  <c r="AT28" i="2"/>
  <c r="CQ28" i="2"/>
  <c r="CM28" i="2"/>
  <c r="CL28" i="2" s="1"/>
  <c r="BK29" i="2"/>
  <c r="BJ29" i="2" s="1"/>
  <c r="AM31" i="2"/>
  <c r="AI31" i="2"/>
  <c r="AH31" i="2" s="1"/>
  <c r="AP34" i="2"/>
  <c r="AO34" i="2"/>
  <c r="AT34" i="2"/>
  <c r="AI35" i="2"/>
  <c r="AH35" i="2"/>
  <c r="Y37" i="2"/>
  <c r="U37" i="2"/>
  <c r="E37" i="2"/>
  <c r="CJ39" i="2"/>
  <c r="Q58" i="2"/>
  <c r="Y5" i="2"/>
  <c r="BJ5" i="2"/>
  <c r="BX7" i="2"/>
  <c r="AB11" i="2"/>
  <c r="AA11" i="2" s="1"/>
  <c r="AV11" i="2"/>
  <c r="AT14" i="2"/>
  <c r="E15" i="2"/>
  <c r="K15" i="2" s="1"/>
  <c r="R15" i="2"/>
  <c r="B15" i="2"/>
  <c r="AW16" i="2"/>
  <c r="AV16" i="2" s="1"/>
  <c r="J4" i="2"/>
  <c r="S55" i="2"/>
  <c r="S58" i="2" s="1"/>
  <c r="AB4" i="2"/>
  <c r="AL55" i="2"/>
  <c r="AU55" i="2"/>
  <c r="AU58" i="2" s="1"/>
  <c r="BD4" i="2"/>
  <c r="BC4" i="2" s="1"/>
  <c r="BN55" i="2"/>
  <c r="BW55" i="2"/>
  <c r="BW58" i="2" s="1"/>
  <c r="CF4" i="2"/>
  <c r="CE4" i="2" s="1"/>
  <c r="CP55" i="2"/>
  <c r="AI5" i="2"/>
  <c r="G5" i="2" s="1"/>
  <c r="CM5" i="2"/>
  <c r="CL5" i="2" s="1"/>
  <c r="N6" i="2"/>
  <c r="M6" i="2" s="1"/>
  <c r="BR6" i="2"/>
  <c r="BQ6" i="2" s="1"/>
  <c r="U7" i="2"/>
  <c r="G7" i="2" s="1"/>
  <c r="AW7" i="2"/>
  <c r="D7" i="2" s="1"/>
  <c r="B8" i="2"/>
  <c r="T8" i="2"/>
  <c r="E9" i="2"/>
  <c r="N9" i="2"/>
  <c r="AH9" i="2"/>
  <c r="BK9" i="2"/>
  <c r="BJ9" i="2" s="1"/>
  <c r="CQ10" i="2"/>
  <c r="T11" i="2"/>
  <c r="F11" i="2" s="1"/>
  <c r="BA12" i="2"/>
  <c r="B13" i="2"/>
  <c r="BH13" i="2"/>
  <c r="BO13" i="2"/>
  <c r="BA14" i="2"/>
  <c r="AW14" i="2"/>
  <c r="AV14" i="2" s="1"/>
  <c r="N15" i="2"/>
  <c r="AF15" i="2"/>
  <c r="AB15" i="2"/>
  <c r="AA15" i="2" s="1"/>
  <c r="AB17" i="2"/>
  <c r="AF17" i="2"/>
  <c r="BC17" i="2"/>
  <c r="R18" i="2"/>
  <c r="Y19" i="2"/>
  <c r="B19" i="2"/>
  <c r="U19" i="2"/>
  <c r="AI19" i="2"/>
  <c r="G19" i="2" s="1"/>
  <c r="AM19" i="2"/>
  <c r="BO19" i="2"/>
  <c r="B21" i="2"/>
  <c r="BA21" i="2"/>
  <c r="AW21" i="2"/>
  <c r="AV21" i="2" s="1"/>
  <c r="BK21" i="2"/>
  <c r="BJ21" i="2"/>
  <c r="BO21" i="2"/>
  <c r="CQ21" i="2"/>
  <c r="H22" i="2"/>
  <c r="H23" i="2"/>
  <c r="AM24" i="2"/>
  <c r="B24" i="2"/>
  <c r="AW24" i="2"/>
  <c r="AV24" i="2"/>
  <c r="BA24" i="2"/>
  <c r="BH25" i="2"/>
  <c r="CJ25" i="2"/>
  <c r="AP28" i="2"/>
  <c r="AO28" i="2" s="1"/>
  <c r="CJ29" i="2"/>
  <c r="AT36" i="2"/>
  <c r="J39" i="2"/>
  <c r="CF39" i="2"/>
  <c r="CE39" i="2" s="1"/>
  <c r="I55" i="2"/>
  <c r="I58" i="2" s="1"/>
  <c r="AA4" i="2"/>
  <c r="BV4" i="2"/>
  <c r="Y10" i="2"/>
  <c r="B12" i="2"/>
  <c r="T12" i="2"/>
  <c r="AI13" i="2"/>
  <c r="AH13" i="2" s="1"/>
  <c r="H14" i="2"/>
  <c r="AH14" i="2"/>
  <c r="AM14" i="2"/>
  <c r="Y15" i="2"/>
  <c r="CL17" i="2"/>
  <c r="T4" i="2"/>
  <c r="AM4" i="2"/>
  <c r="AV4" i="2"/>
  <c r="BO4" i="2"/>
  <c r="BX4" i="2"/>
  <c r="CQ4" i="2"/>
  <c r="CL6" i="2"/>
  <c r="E7" i="2"/>
  <c r="K7" i="2" s="1"/>
  <c r="M7" i="2"/>
  <c r="AO7" i="2"/>
  <c r="BQ7" i="2"/>
  <c r="CC8" i="2"/>
  <c r="CE9" i="2"/>
  <c r="BO10" i="2"/>
  <c r="B11" i="2"/>
  <c r="BQ11" i="2"/>
  <c r="E12" i="2"/>
  <c r="BH12" i="2"/>
  <c r="M13" i="2"/>
  <c r="BD13" i="2"/>
  <c r="BC13" i="2" s="1"/>
  <c r="BV13" i="2"/>
  <c r="BR13" i="2"/>
  <c r="BQ13" i="2" s="1"/>
  <c r="E14" i="2"/>
  <c r="CQ14" i="2"/>
  <c r="H15" i="2"/>
  <c r="BV15" i="2"/>
  <c r="J16" i="2"/>
  <c r="BA16" i="2"/>
  <c r="B17" i="2"/>
  <c r="T19" i="2"/>
  <c r="H20" i="2"/>
  <c r="BR20" i="2"/>
  <c r="BQ20" i="2" s="1"/>
  <c r="BV20" i="2"/>
  <c r="E22" i="2"/>
  <c r="K22" i="2" s="1"/>
  <c r="R22" i="2"/>
  <c r="B23" i="2"/>
  <c r="AI23" i="2"/>
  <c r="AH23" i="2" s="1"/>
  <c r="BO23" i="2"/>
  <c r="AH24" i="2"/>
  <c r="BD25" i="2"/>
  <c r="BC25" i="2" s="1"/>
  <c r="CF29" i="2"/>
  <c r="CE29" i="2" s="1"/>
  <c r="BV30" i="2"/>
  <c r="J30" i="2"/>
  <c r="AX31" i="2"/>
  <c r="H31" i="2" s="1"/>
  <c r="BA31" i="2"/>
  <c r="B32" i="2"/>
  <c r="AM35" i="2"/>
  <c r="AP36" i="2"/>
  <c r="AO36" i="2" s="1"/>
  <c r="BO36" i="2"/>
  <c r="BK36" i="2"/>
  <c r="BJ36" i="2" s="1"/>
  <c r="B37" i="2"/>
  <c r="AB41" i="2"/>
  <c r="J53" i="2"/>
  <c r="K53" i="2" s="1"/>
  <c r="V53" i="2"/>
  <c r="AT53" i="2"/>
  <c r="BH53" i="2"/>
  <c r="BB55" i="2"/>
  <c r="BB58" i="2" s="1"/>
  <c r="R4" i="2"/>
  <c r="AV8" i="2"/>
  <c r="AP9" i="2"/>
  <c r="AO9" i="2" s="1"/>
  <c r="CM9" i="2"/>
  <c r="CL9" i="2" s="1"/>
  <c r="AH10" i="2"/>
  <c r="BY11" i="2"/>
  <c r="BX11" i="2" s="1"/>
  <c r="C11" i="2" s="1"/>
  <c r="L55" i="2"/>
  <c r="L58" i="2" s="1"/>
  <c r="AE55" i="2"/>
  <c r="AN55" i="2"/>
  <c r="AN58" i="2" s="1"/>
  <c r="BG55" i="2"/>
  <c r="BP55" i="2"/>
  <c r="BP58" i="2" s="1"/>
  <c r="CI55" i="2"/>
  <c r="E8" i="2"/>
  <c r="K8" i="2" s="1"/>
  <c r="M8" i="2"/>
  <c r="BA8" i="2"/>
  <c r="J9" i="2"/>
  <c r="AM10" i="2"/>
  <c r="D12" i="2"/>
  <c r="Y12" i="2"/>
  <c r="N13" i="2"/>
  <c r="CC15" i="2"/>
  <c r="BH16" i="2"/>
  <c r="G17" i="2"/>
  <c r="BK17" i="2"/>
  <c r="BJ17" i="2" s="1"/>
  <c r="CQ17" i="2"/>
  <c r="H18" i="2"/>
  <c r="AT20" i="2"/>
  <c r="B20" i="2"/>
  <c r="AI21" i="2"/>
  <c r="AH21" i="2" s="1"/>
  <c r="H24" i="2"/>
  <c r="BH24" i="2"/>
  <c r="BD24" i="2"/>
  <c r="BC24" i="2"/>
  <c r="B26" i="2"/>
  <c r="E26" i="2"/>
  <c r="K26" i="2" s="1"/>
  <c r="N26" i="2"/>
  <c r="M26" i="2" s="1"/>
  <c r="BD27" i="2"/>
  <c r="BC27" i="2" s="1"/>
  <c r="N28" i="2"/>
  <c r="M28" i="2" s="1"/>
  <c r="E28" i="2"/>
  <c r="K28" i="2" s="1"/>
  <c r="R28" i="2"/>
  <c r="G30" i="2"/>
  <c r="M30" i="2"/>
  <c r="BD31" i="2"/>
  <c r="BC31" i="2" s="1"/>
  <c r="BH31" i="2"/>
  <c r="BD33" i="2"/>
  <c r="BC33" i="2" s="1"/>
  <c r="BH33" i="2"/>
  <c r="B33" i="2"/>
  <c r="N34" i="2"/>
  <c r="M34" i="2" s="1"/>
  <c r="R34" i="2"/>
  <c r="E34" i="2"/>
  <c r="K34" i="2" s="1"/>
  <c r="B34" i="2"/>
  <c r="BK37" i="2"/>
  <c r="BJ37" i="2" s="1"/>
  <c r="BO37" i="2"/>
  <c r="J38" i="2"/>
  <c r="BA38" i="2"/>
  <c r="AW38" i="2"/>
  <c r="AV38" i="2" s="1"/>
  <c r="AP53" i="2"/>
  <c r="AO53" i="2" s="1"/>
  <c r="BD53" i="2"/>
  <c r="BC53" i="2" s="1"/>
  <c r="CC53" i="2"/>
  <c r="BY53" i="2"/>
  <c r="BX53" i="2"/>
  <c r="BH54" i="2"/>
  <c r="BD54" i="2"/>
  <c r="BC54" i="2" s="1"/>
  <c r="BX16" i="2"/>
  <c r="U18" i="2"/>
  <c r="T18" i="2" s="1"/>
  <c r="BQ19" i="2"/>
  <c r="G20" i="2"/>
  <c r="AA27" i="2"/>
  <c r="BR28" i="2"/>
  <c r="BQ28" i="2" s="1"/>
  <c r="CC29" i="2"/>
  <c r="BY29" i="2"/>
  <c r="BX29" i="2" s="1"/>
  <c r="H30" i="2"/>
  <c r="BD30" i="2"/>
  <c r="BH30" i="2"/>
  <c r="CM31" i="2"/>
  <c r="CL31" i="2" s="1"/>
  <c r="CQ31" i="2"/>
  <c r="R32" i="2"/>
  <c r="E32" i="2"/>
  <c r="K32" i="2" s="1"/>
  <c r="BQ33" i="2"/>
  <c r="CJ33" i="2"/>
  <c r="CF33" i="2"/>
  <c r="CE33" i="2" s="1"/>
  <c r="BH34" i="2"/>
  <c r="BD34" i="2"/>
  <c r="BC34" i="2" s="1"/>
  <c r="CF35" i="2"/>
  <c r="CE35" i="2" s="1"/>
  <c r="CJ35" i="2"/>
  <c r="BD36" i="2"/>
  <c r="BC36" i="2" s="1"/>
  <c r="BH36" i="2"/>
  <c r="BA37" i="2"/>
  <c r="AV37" i="2"/>
  <c r="AO39" i="2"/>
  <c r="G41" i="2"/>
  <c r="AT43" i="2"/>
  <c r="AO43" i="2"/>
  <c r="BE43" i="2"/>
  <c r="BH43" i="2"/>
  <c r="J51" i="2"/>
  <c r="AA13" i="2"/>
  <c r="CC16" i="2"/>
  <c r="U22" i="2"/>
  <c r="T22" i="2" s="1"/>
  <c r="G24" i="2"/>
  <c r="B27" i="2"/>
  <c r="AF29" i="2"/>
  <c r="AB29" i="2"/>
  <c r="AA29" i="2" s="1"/>
  <c r="AP29" i="2"/>
  <c r="AO29" i="2" s="1"/>
  <c r="AT29" i="2"/>
  <c r="CJ30" i="2"/>
  <c r="BO32" i="2"/>
  <c r="BK32" i="2"/>
  <c r="BJ32" i="2" s="1"/>
  <c r="BY32" i="2"/>
  <c r="BX32" i="2" s="1"/>
  <c r="CC32" i="2"/>
  <c r="H33" i="2"/>
  <c r="AB35" i="2"/>
  <c r="AA35" i="2" s="1"/>
  <c r="B35" i="2"/>
  <c r="E35" i="2"/>
  <c r="K35" i="2" s="1"/>
  <c r="AB36" i="2"/>
  <c r="AA36" i="2" s="1"/>
  <c r="AF36" i="2"/>
  <c r="AJ37" i="2"/>
  <c r="J37" i="2"/>
  <c r="Y38" i="2"/>
  <c r="U38" i="2"/>
  <c r="T38" i="2" s="1"/>
  <c r="AM40" i="2"/>
  <c r="CF40" i="2"/>
  <c r="CE40" i="2" s="1"/>
  <c r="CJ40" i="2"/>
  <c r="BD41" i="2"/>
  <c r="BC41" i="2" s="1"/>
  <c r="Y50" i="2"/>
  <c r="V50" i="2"/>
  <c r="H50" i="2" s="1"/>
  <c r="BK50" i="2"/>
  <c r="BJ50" i="2" s="1"/>
  <c r="BO50" i="2"/>
  <c r="BO12" i="2"/>
  <c r="AB13" i="2"/>
  <c r="CJ15" i="2"/>
  <c r="BO16" i="2"/>
  <c r="AO18" i="2"/>
  <c r="BC18" i="2"/>
  <c r="BX19" i="2"/>
  <c r="CM19" i="2"/>
  <c r="CL19" i="2" s="1"/>
  <c r="T20" i="2"/>
  <c r="AV22" i="2"/>
  <c r="CE23" i="2"/>
  <c r="M24" i="2"/>
  <c r="AA24" i="2"/>
  <c r="AO24" i="2"/>
  <c r="BQ24" i="2"/>
  <c r="CE24" i="2"/>
  <c r="H25" i="2"/>
  <c r="BQ26" i="2"/>
  <c r="Y27" i="2"/>
  <c r="U27" i="2"/>
  <c r="T27" i="2" s="1"/>
  <c r="CE27" i="2"/>
  <c r="CM29" i="2"/>
  <c r="CL29" i="2" s="1"/>
  <c r="CF31" i="2"/>
  <c r="CE31" i="2" s="1"/>
  <c r="Y32" i="2"/>
  <c r="T32" i="2"/>
  <c r="BH38" i="2"/>
  <c r="BD38" i="2"/>
  <c r="BC38" i="2" s="1"/>
  <c r="CL38" i="2"/>
  <c r="BQ39" i="2"/>
  <c r="AI40" i="2"/>
  <c r="AH40" i="2" s="1"/>
  <c r="BA40" i="2"/>
  <c r="BV40" i="2"/>
  <c r="BR40" i="2"/>
  <c r="BQ40" i="2" s="1"/>
  <c r="CM43" i="2"/>
  <c r="CL43" i="2" s="1"/>
  <c r="CQ43" i="2"/>
  <c r="CF46" i="2"/>
  <c r="CE46" i="2" s="1"/>
  <c r="CJ46" i="2"/>
  <c r="AQ52" i="2"/>
  <c r="AT52" i="2"/>
  <c r="AT13" i="2"/>
  <c r="CE13" i="2"/>
  <c r="Y14" i="2"/>
  <c r="BJ14" i="2"/>
  <c r="AO15" i="2"/>
  <c r="M19" i="2"/>
  <c r="BY19" i="2"/>
  <c r="AW20" i="2"/>
  <c r="E21" i="2"/>
  <c r="K21" i="2" s="1"/>
  <c r="N21" i="2"/>
  <c r="M21" i="2" s="1"/>
  <c r="AO21" i="2"/>
  <c r="Y22" i="2"/>
  <c r="BY22" i="2"/>
  <c r="BX22" i="2"/>
  <c r="AP26" i="2"/>
  <c r="AO26" i="2"/>
  <c r="BC26" i="2"/>
  <c r="BQ27" i="2"/>
  <c r="AM28" i="2"/>
  <c r="AI28" i="2"/>
  <c r="AH28" i="2" s="1"/>
  <c r="B29" i="2"/>
  <c r="N29" i="2"/>
  <c r="AV29" i="2"/>
  <c r="BA32" i="2"/>
  <c r="AW32" i="2"/>
  <c r="AV32" i="2" s="1"/>
  <c r="CE32" i="2"/>
  <c r="H35" i="2"/>
  <c r="AF35" i="2"/>
  <c r="BE37" i="2"/>
  <c r="BH37" i="2"/>
  <c r="U39" i="2"/>
  <c r="G39" i="2" s="1"/>
  <c r="T39" i="2"/>
  <c r="Y39" i="2"/>
  <c r="B39" i="2"/>
  <c r="BH41" i="2"/>
  <c r="BO25" i="2"/>
  <c r="Y26" i="2"/>
  <c r="CC26" i="2"/>
  <c r="AM27" i="2"/>
  <c r="CQ27" i="2"/>
  <c r="BA28" i="2"/>
  <c r="N33" i="2"/>
  <c r="M33" i="2" s="1"/>
  <c r="E33" i="2"/>
  <c r="K33" i="2" s="1"/>
  <c r="AW34" i="2"/>
  <c r="AV34" i="2"/>
  <c r="AO35" i="2"/>
  <c r="B36" i="2"/>
  <c r="R36" i="2"/>
  <c r="BV36" i="2"/>
  <c r="BQ36" i="2"/>
  <c r="CF36" i="2"/>
  <c r="CE36" i="2" s="1"/>
  <c r="CJ36" i="2"/>
  <c r="CC37" i="2"/>
  <c r="BX37" i="2"/>
  <c r="CM37" i="2"/>
  <c r="CL37" i="2" s="1"/>
  <c r="CQ37" i="2"/>
  <c r="AF38" i="2"/>
  <c r="AA38" i="2"/>
  <c r="AP38" i="2"/>
  <c r="AO38" i="2" s="1"/>
  <c r="AT38" i="2"/>
  <c r="J40" i="2"/>
  <c r="AV40" i="2"/>
  <c r="AP47" i="2"/>
  <c r="AO47" i="2" s="1"/>
  <c r="AT47" i="2"/>
  <c r="B50" i="2"/>
  <c r="B51" i="2"/>
  <c r="T51" i="2"/>
  <c r="Y51" i="2"/>
  <c r="AM52" i="2"/>
  <c r="AI52" i="2"/>
  <c r="AH52" i="2" s="1"/>
  <c r="H56" i="2"/>
  <c r="J43" i="2"/>
  <c r="H44" i="2"/>
  <c r="AW44" i="2"/>
  <c r="AV44" i="2" s="1"/>
  <c r="BA44" i="2"/>
  <c r="CQ46" i="2"/>
  <c r="CF49" i="2"/>
  <c r="CJ49" i="2"/>
  <c r="CM51" i="2"/>
  <c r="CL51" i="2" s="1"/>
  <c r="CQ51" i="2"/>
  <c r="R53" i="2"/>
  <c r="N53" i="2"/>
  <c r="M53" i="2" s="1"/>
  <c r="B53" i="2"/>
  <c r="BV31" i="2"/>
  <c r="H32" i="2"/>
  <c r="J36" i="2"/>
  <c r="CQ39" i="2"/>
  <c r="CL39" i="2"/>
  <c r="AT40" i="2"/>
  <c r="BD40" i="2"/>
  <c r="BC40" i="2" s="1"/>
  <c r="BH40" i="2"/>
  <c r="E41" i="2"/>
  <c r="K41" i="2" s="1"/>
  <c r="BA41" i="2"/>
  <c r="AW41" i="2"/>
  <c r="B42" i="2"/>
  <c r="M42" i="2"/>
  <c r="E42" i="2"/>
  <c r="K42" i="2" s="1"/>
  <c r="AP42" i="2"/>
  <c r="AO42" i="2" s="1"/>
  <c r="AF43" i="2"/>
  <c r="BA43" i="2"/>
  <c r="BK43" i="2"/>
  <c r="BJ43" i="2" s="1"/>
  <c r="J44" i="2"/>
  <c r="CM46" i="2"/>
  <c r="CL46" i="2" s="1"/>
  <c r="H47" i="2"/>
  <c r="BQ47" i="2"/>
  <c r="AB49" i="2"/>
  <c r="G49" i="2" s="1"/>
  <c r="B49" i="2"/>
  <c r="AA49" i="2"/>
  <c r="CE49" i="2"/>
  <c r="BH52" i="2"/>
  <c r="CF53" i="2"/>
  <c r="CE53" i="2" s="1"/>
  <c r="R54" i="2"/>
  <c r="N54" i="2"/>
  <c r="E54" i="2"/>
  <c r="B54" i="2"/>
  <c r="BJ25" i="2"/>
  <c r="T26" i="2"/>
  <c r="BX26" i="2"/>
  <c r="AH27" i="2"/>
  <c r="CL27" i="2"/>
  <c r="AV28" i="2"/>
  <c r="AA30" i="2"/>
  <c r="AI33" i="2"/>
  <c r="AH33" i="2" s="1"/>
  <c r="BQ34" i="2"/>
  <c r="BK35" i="2"/>
  <c r="BJ35" i="2" s="1"/>
  <c r="CQ38" i="2"/>
  <c r="AT39" i="2"/>
  <c r="BO39" i="2"/>
  <c r="BY39" i="2"/>
  <c r="BX39" i="2" s="1"/>
  <c r="CC39" i="2"/>
  <c r="CM39" i="2"/>
  <c r="B40" i="2"/>
  <c r="R40" i="2"/>
  <c r="E40" i="2"/>
  <c r="AB40" i="2"/>
  <c r="AA40" i="2" s="1"/>
  <c r="AF40" i="2"/>
  <c r="AP40" i="2"/>
  <c r="AO40" i="2" s="1"/>
  <c r="AV41" i="2"/>
  <c r="N42" i="2"/>
  <c r="AB42" i="2"/>
  <c r="AA42" i="2" s="1"/>
  <c r="N43" i="2"/>
  <c r="E43" i="2"/>
  <c r="K43" i="2" s="1"/>
  <c r="AW43" i="2"/>
  <c r="AV43" i="2" s="1"/>
  <c r="AF45" i="2"/>
  <c r="AI46" i="2"/>
  <c r="D49" i="2"/>
  <c r="BY51" i="2"/>
  <c r="BX51" i="2" s="1"/>
  <c r="BD52" i="2"/>
  <c r="BC52" i="2" s="1"/>
  <c r="CC52" i="2"/>
  <c r="CJ52" i="2"/>
  <c r="E19" i="2"/>
  <c r="K19" i="2" s="1"/>
  <c r="E23" i="2"/>
  <c r="K23" i="2" s="1"/>
  <c r="E27" i="2"/>
  <c r="K27" i="2" s="1"/>
  <c r="T29" i="2"/>
  <c r="BX30" i="2"/>
  <c r="B31" i="2"/>
  <c r="BR31" i="2"/>
  <c r="BQ31" i="2" s="1"/>
  <c r="U33" i="2"/>
  <c r="T33" i="2" s="1"/>
  <c r="AW35" i="2"/>
  <c r="AV35" i="2" s="1"/>
  <c r="AI36" i="2"/>
  <c r="AH36" i="2" s="1"/>
  <c r="M37" i="2"/>
  <c r="AA37" i="2"/>
  <c r="AP37" i="2"/>
  <c r="AO37" i="2" s="1"/>
  <c r="BO38" i="2"/>
  <c r="CJ38" i="2"/>
  <c r="CE38" i="2"/>
  <c r="R39" i="2"/>
  <c r="AM39" i="2"/>
  <c r="AH39" i="2"/>
  <c r="AW39" i="2"/>
  <c r="AV39" i="2" s="1"/>
  <c r="BA39" i="2"/>
  <c r="BK39" i="2"/>
  <c r="BJ39" i="2" s="1"/>
  <c r="N40" i="2"/>
  <c r="M40" i="2" s="1"/>
  <c r="AT42" i="2"/>
  <c r="CC42" i="2"/>
  <c r="BY42" i="2"/>
  <c r="BX42" i="2" s="1"/>
  <c r="AJ43" i="2"/>
  <c r="AM43" i="2"/>
  <c r="H45" i="2"/>
  <c r="AB45" i="2"/>
  <c r="AA45" i="2" s="1"/>
  <c r="H46" i="2"/>
  <c r="AW48" i="2"/>
  <c r="AV48" i="2" s="1"/>
  <c r="CN48" i="2"/>
  <c r="CQ48" i="2"/>
  <c r="J49" i="2"/>
  <c r="K49" i="2" s="1"/>
  <c r="O49" i="2"/>
  <c r="H49" i="2" s="1"/>
  <c r="AH50" i="2"/>
  <c r="AM50" i="2"/>
  <c r="E50" i="2"/>
  <c r="BY52" i="2"/>
  <c r="BX52" i="2" s="1"/>
  <c r="CQ52" i="2"/>
  <c r="CM52" i="2"/>
  <c r="CL52" i="2" s="1"/>
  <c r="CJ53" i="2"/>
  <c r="N56" i="2"/>
  <c r="B56" i="2"/>
  <c r="E56" i="2"/>
  <c r="R56" i="2"/>
  <c r="B46" i="2"/>
  <c r="H51" i="2"/>
  <c r="BR52" i="2"/>
  <c r="BQ52" i="2" s="1"/>
  <c r="BV52" i="2"/>
  <c r="AO54" i="2"/>
  <c r="CC45" i="2"/>
  <c r="J46" i="2"/>
  <c r="B47" i="2"/>
  <c r="G48" i="2"/>
  <c r="CC48" i="2"/>
  <c r="B52" i="2"/>
  <c r="U52" i="2"/>
  <c r="BJ41" i="2"/>
  <c r="T42" i="2"/>
  <c r="CL42" i="2"/>
  <c r="AH43" i="2"/>
  <c r="T44" i="2"/>
  <c r="AA46" i="2"/>
  <c r="CL47" i="2"/>
  <c r="AM48" i="2"/>
  <c r="BC49" i="2"/>
  <c r="AP50" i="2"/>
  <c r="AO50" i="2" s="1"/>
  <c r="BK53" i="2"/>
  <c r="BJ53" i="2" s="1"/>
  <c r="Y54" i="2"/>
  <c r="AM54" i="2"/>
  <c r="BR56" i="2"/>
  <c r="BQ56" i="2" s="1"/>
  <c r="BV56" i="2"/>
  <c r="E39" i="2"/>
  <c r="BC42" i="2"/>
  <c r="BQ44" i="2"/>
  <c r="N47" i="2"/>
  <c r="M47" i="2" s="1"/>
  <c r="J47" i="2"/>
  <c r="BJ47" i="2"/>
  <c r="T48" i="2"/>
  <c r="F48" i="2" s="1"/>
  <c r="J50" i="2"/>
  <c r="BX50" i="2"/>
  <c r="M51" i="2"/>
  <c r="E51" i="2"/>
  <c r="R51" i="2"/>
  <c r="AP51" i="2"/>
  <c r="AO51" i="2" s="1"/>
  <c r="BD51" i="2"/>
  <c r="BC51" i="2" s="1"/>
  <c r="E52" i="2"/>
  <c r="K52" i="2" s="1"/>
  <c r="Y53" i="2"/>
  <c r="T53" i="2"/>
  <c r="AM53" i="2"/>
  <c r="AI53" i="2"/>
  <c r="AH53" i="2" s="1"/>
  <c r="U54" i="2"/>
  <c r="T54" i="2" s="1"/>
  <c r="AI54" i="2"/>
  <c r="AH54" i="2" s="1"/>
  <c r="BV50" i="2"/>
  <c r="BA51" i="2"/>
  <c r="J52" i="2"/>
  <c r="AF52" i="2"/>
  <c r="CQ53" i="2"/>
  <c r="J54" i="2"/>
  <c r="AT56" i="2"/>
  <c r="AV52" i="2"/>
  <c r="D57" i="2"/>
  <c r="AJ57" i="2"/>
  <c r="CN57" i="2"/>
  <c r="R50" i="2"/>
  <c r="CM50" i="2"/>
  <c r="AV51" i="2"/>
  <c r="BR51" i="2"/>
  <c r="BQ51" i="2" s="1"/>
  <c r="BQ54" i="2"/>
  <c r="H57" i="2"/>
  <c r="AV57" i="2"/>
  <c r="AW50" i="2"/>
  <c r="AV50" i="2" s="1"/>
  <c r="AB51" i="2"/>
  <c r="CJ51" i="2"/>
  <c r="BO52" i="2"/>
  <c r="AB53" i="2"/>
  <c r="AA53" i="2" s="1"/>
  <c r="BR53" i="2"/>
  <c r="BQ53" i="2" s="1"/>
  <c r="AW54" i="2"/>
  <c r="AV54" i="2" s="1"/>
  <c r="J56" i="2"/>
  <c r="AO56" i="2"/>
  <c r="E57" i="2"/>
  <c r="K57" i="2" s="1"/>
  <c r="W4" i="1"/>
  <c r="AK7" i="1"/>
  <c r="AJ7" i="1" s="1"/>
  <c r="J7" i="1"/>
  <c r="K7" i="1" s="1"/>
  <c r="J10" i="1"/>
  <c r="P10" i="1"/>
  <c r="O10" i="1" s="1"/>
  <c r="R10" i="1"/>
  <c r="AF14" i="1"/>
  <c r="AD14" i="1"/>
  <c r="AC14" i="1" s="1"/>
  <c r="K10" i="1"/>
  <c r="BF6" i="1"/>
  <c r="AK13" i="1"/>
  <c r="AJ13" i="1" s="1"/>
  <c r="S55" i="1"/>
  <c r="S58" i="1" s="1"/>
  <c r="U4" i="1"/>
  <c r="T4" i="1" s="1"/>
  <c r="AD4" i="1"/>
  <c r="AC4" i="1" s="1"/>
  <c r="BG58" i="1"/>
  <c r="BP55" i="1"/>
  <c r="BP58" i="1" s="1"/>
  <c r="BR4" i="1"/>
  <c r="BQ4" i="1" s="1"/>
  <c r="CB55" i="1"/>
  <c r="BO6" i="1"/>
  <c r="Y9" i="1"/>
  <c r="U9" i="1"/>
  <c r="T9" i="1"/>
  <c r="F9" i="1" s="1"/>
  <c r="B9" i="1"/>
  <c r="AT9" i="1"/>
  <c r="AQ10" i="1"/>
  <c r="BR10" i="1"/>
  <c r="BQ10" i="1" s="1"/>
  <c r="W12" i="1"/>
  <c r="V12" i="1"/>
  <c r="J13" i="1"/>
  <c r="U13" i="1"/>
  <c r="AM13" i="1"/>
  <c r="AW14" i="1"/>
  <c r="AV14" i="1" s="1"/>
  <c r="BA14" i="1"/>
  <c r="AF4" i="1"/>
  <c r="AY4" i="1"/>
  <c r="BH4" i="1"/>
  <c r="BS4" i="1"/>
  <c r="CC4" i="1"/>
  <c r="CV4" i="1"/>
  <c r="AO5" i="1"/>
  <c r="BZ5" i="1"/>
  <c r="CJ5" i="1"/>
  <c r="T6" i="1"/>
  <c r="AC6" i="1"/>
  <c r="AV6" i="1"/>
  <c r="BH6" i="1"/>
  <c r="CH6" i="1"/>
  <c r="CG6" i="1" s="1"/>
  <c r="CQ6" i="1"/>
  <c r="AO7" i="1"/>
  <c r="BZ7" i="1"/>
  <c r="CJ7" i="1"/>
  <c r="B8" i="1"/>
  <c r="CE8" i="1"/>
  <c r="J9" i="1"/>
  <c r="AP9" i="1"/>
  <c r="AO9" i="1" s="1"/>
  <c r="CG9" i="1"/>
  <c r="CN9" i="1"/>
  <c r="BY11" i="1"/>
  <c r="BX11" i="1" s="1"/>
  <c r="N12" i="1"/>
  <c r="E12" i="1"/>
  <c r="R12" i="1"/>
  <c r="Y12" i="1"/>
  <c r="AX12" i="1"/>
  <c r="BK12" i="1"/>
  <c r="BJ12" i="1" s="1"/>
  <c r="BO12" i="1"/>
  <c r="BV12" i="1"/>
  <c r="AH13" i="1"/>
  <c r="BV14" i="1"/>
  <c r="BS14" i="1"/>
  <c r="BA16" i="1"/>
  <c r="AY16" i="1"/>
  <c r="AX16" i="1" s="1"/>
  <c r="W11" i="1"/>
  <c r="BA11" i="1"/>
  <c r="AW11" i="1"/>
  <c r="AV11" i="1" s="1"/>
  <c r="CO11" i="1"/>
  <c r="CN11" i="1" s="1"/>
  <c r="BY12" i="1"/>
  <c r="BX12" i="1" s="1"/>
  <c r="BU58" i="1"/>
  <c r="AK11" i="1"/>
  <c r="AJ11" i="1" s="1"/>
  <c r="R6" i="1"/>
  <c r="B6" i="1"/>
  <c r="AP6" i="1"/>
  <c r="AO6" i="1" s="1"/>
  <c r="AH8" i="1"/>
  <c r="BD9" i="1"/>
  <c r="BC9" i="1" s="1"/>
  <c r="W10" i="1"/>
  <c r="V10" i="1" s="1"/>
  <c r="Y4" i="1"/>
  <c r="AI4" i="1"/>
  <c r="BA6" i="1"/>
  <c r="BK6" i="1"/>
  <c r="BJ6" i="1" s="1"/>
  <c r="AH7" i="1"/>
  <c r="BK7" i="1"/>
  <c r="BJ7" i="1" s="1"/>
  <c r="BZ9" i="1"/>
  <c r="N10" i="1"/>
  <c r="M10" i="1" s="1"/>
  <c r="B10" i="1"/>
  <c r="Y10" i="1"/>
  <c r="AB11" i="1"/>
  <c r="AA11" i="1" s="1"/>
  <c r="AF11" i="1"/>
  <c r="B11" i="1"/>
  <c r="CF11" i="1"/>
  <c r="CE11" i="1" s="1"/>
  <c r="CJ11" i="1"/>
  <c r="B12" i="1"/>
  <c r="AC12" i="1"/>
  <c r="AQ12" i="1"/>
  <c r="CC12" i="1"/>
  <c r="AK12" i="1"/>
  <c r="AJ12" i="1" s="1"/>
  <c r="Y13" i="1"/>
  <c r="BH14" i="1"/>
  <c r="BD14" i="1"/>
  <c r="J16" i="1"/>
  <c r="AK16" i="1"/>
  <c r="AJ16" i="1" s="1"/>
  <c r="AB18" i="1"/>
  <c r="AA18" i="1" s="1"/>
  <c r="B18" i="1"/>
  <c r="AF18" i="1"/>
  <c r="H23" i="1"/>
  <c r="H25" i="1"/>
  <c r="L55" i="1"/>
  <c r="L58" i="1" s="1"/>
  <c r="N4" i="1"/>
  <c r="M4" i="1" s="1"/>
  <c r="E4" i="1"/>
  <c r="AX6" i="1"/>
  <c r="CL7" i="1"/>
  <c r="BH8" i="1"/>
  <c r="W14" i="1"/>
  <c r="V14" i="1"/>
  <c r="J14" i="1"/>
  <c r="K14" i="1" s="1"/>
  <c r="AR15" i="1"/>
  <c r="AQ15" i="1" s="1"/>
  <c r="CJ16" i="1"/>
  <c r="CF16" i="1"/>
  <c r="CE16" i="1" s="1"/>
  <c r="AB19" i="1"/>
  <c r="G19" i="1" s="1"/>
  <c r="E19" i="1"/>
  <c r="K19" i="1" s="1"/>
  <c r="AF19" i="1"/>
  <c r="BV4" i="1"/>
  <c r="CF4" i="1"/>
  <c r="AH5" i="1"/>
  <c r="BK5" i="1"/>
  <c r="BJ5" i="1" s="1"/>
  <c r="N6" i="1"/>
  <c r="AQ6" i="1"/>
  <c r="BD8" i="1"/>
  <c r="BY8" i="1"/>
  <c r="BX8" i="1" s="1"/>
  <c r="BF9" i="1"/>
  <c r="BE9" i="1" s="1"/>
  <c r="Z55" i="1"/>
  <c r="Z58" i="1" s="1"/>
  <c r="AU55" i="1"/>
  <c r="AU58" i="1" s="1"/>
  <c r="BA4" i="1"/>
  <c r="BM4" i="1"/>
  <c r="BW55" i="1"/>
  <c r="BW58" i="1" s="1"/>
  <c r="BY4" i="1"/>
  <c r="CI55" i="1"/>
  <c r="CH4" i="1"/>
  <c r="P5" i="1"/>
  <c r="O5" i="1" s="1"/>
  <c r="BC5" i="1"/>
  <c r="CF5" i="1"/>
  <c r="CE5" i="1" s="1"/>
  <c r="CN5" i="1"/>
  <c r="E6" i="1"/>
  <c r="AH6" i="1"/>
  <c r="P7" i="1"/>
  <c r="O7" i="1" s="1"/>
  <c r="BC7" i="1"/>
  <c r="CF7" i="1"/>
  <c r="CE7" i="1"/>
  <c r="CN7" i="1"/>
  <c r="AB8" i="1"/>
  <c r="G8" i="1" s="1"/>
  <c r="AJ8" i="1"/>
  <c r="E9" i="1"/>
  <c r="BH9" i="1"/>
  <c r="BR9" i="1"/>
  <c r="BQ9" i="1" s="1"/>
  <c r="BM10" i="1"/>
  <c r="BL10" i="1" s="1"/>
  <c r="BY10" i="1"/>
  <c r="BX10" i="1" s="1"/>
  <c r="AP11" i="1"/>
  <c r="AO11" i="1" s="1"/>
  <c r="AF12" i="1"/>
  <c r="CM12" i="1"/>
  <c r="B13" i="1"/>
  <c r="CO13" i="1"/>
  <c r="CN13" i="1" s="1"/>
  <c r="BC14" i="1"/>
  <c r="CN14" i="1"/>
  <c r="G15" i="1"/>
  <c r="M15" i="1"/>
  <c r="AK15" i="1"/>
  <c r="AJ15" i="1" s="1"/>
  <c r="AM15" i="1"/>
  <c r="H19" i="1"/>
  <c r="H21" i="1"/>
  <c r="CS4" i="1"/>
  <c r="CG5" i="1"/>
  <c r="CN6" i="1"/>
  <c r="AZ58" i="1"/>
  <c r="E8" i="1"/>
  <c r="K8" i="1" s="1"/>
  <c r="AR8" i="1"/>
  <c r="B4" i="1"/>
  <c r="AR5" i="1"/>
  <c r="AQ5" i="1" s="1"/>
  <c r="CL5" i="1"/>
  <c r="AR7" i="1"/>
  <c r="AQ7" i="1" s="1"/>
  <c r="BN58" i="1"/>
  <c r="CJ4" i="1"/>
  <c r="AB5" i="1"/>
  <c r="D5" i="1" s="1"/>
  <c r="AJ5" i="1"/>
  <c r="CQ5" i="1"/>
  <c r="AB7" i="1"/>
  <c r="G7" i="1" s="1"/>
  <c r="CG7" i="1"/>
  <c r="CQ7" i="1"/>
  <c r="AC8" i="1"/>
  <c r="AM8" i="1"/>
  <c r="BR8" i="1"/>
  <c r="BQ8" i="1" s="1"/>
  <c r="P9" i="1"/>
  <c r="AT10" i="1"/>
  <c r="AP10" i="1"/>
  <c r="AO10" i="1" s="1"/>
  <c r="CA10" i="1"/>
  <c r="BZ10" i="1" s="1"/>
  <c r="AD13" i="1"/>
  <c r="AC13" i="1" s="1"/>
  <c r="BH13" i="1"/>
  <c r="BD13" i="1"/>
  <c r="BC13" i="1" s="1"/>
  <c r="B16" i="1"/>
  <c r="AB4" i="1"/>
  <c r="AN55" i="1"/>
  <c r="AN58" i="1" s="1"/>
  <c r="AT4" i="1"/>
  <c r="AW4" i="1"/>
  <c r="BF4" i="1"/>
  <c r="BO4" i="1"/>
  <c r="CA4" i="1"/>
  <c r="BZ4" i="1" s="1"/>
  <c r="CK55" i="1"/>
  <c r="CK58" i="1" s="1"/>
  <c r="AM5" i="1"/>
  <c r="BX5" i="1"/>
  <c r="J6" i="1"/>
  <c r="AT6" i="1"/>
  <c r="CC6" i="1"/>
  <c r="AM7" i="1"/>
  <c r="BX7" i="1"/>
  <c r="T8" i="1"/>
  <c r="BT8" i="1"/>
  <c r="BS8" i="1" s="1"/>
  <c r="CL8" i="1"/>
  <c r="AD9" i="1"/>
  <c r="AC9" i="1" s="1"/>
  <c r="BJ9" i="1"/>
  <c r="AB10" i="1"/>
  <c r="AA10" i="1" s="1"/>
  <c r="AR10" i="1"/>
  <c r="J11" i="1"/>
  <c r="BC11" i="1"/>
  <c r="CG11" i="1"/>
  <c r="J12" i="1"/>
  <c r="AH12" i="1"/>
  <c r="BE12" i="1"/>
  <c r="BF12" i="1"/>
  <c r="BT12" i="1"/>
  <c r="BS12" i="1" s="1"/>
  <c r="CF12" i="1"/>
  <c r="CE12" i="1" s="1"/>
  <c r="AF13" i="1"/>
  <c r="CF13" i="1"/>
  <c r="CE13" i="1" s="1"/>
  <c r="CF14" i="1"/>
  <c r="CE14" i="1" s="1"/>
  <c r="N16" i="1"/>
  <c r="M16" i="1"/>
  <c r="R16" i="1"/>
  <c r="E16" i="1"/>
  <c r="N17" i="1"/>
  <c r="M17" i="1" s="1"/>
  <c r="E17" i="1"/>
  <c r="K17" i="1" s="1"/>
  <c r="R17" i="1"/>
  <c r="H17" i="1"/>
  <c r="CQ18" i="1"/>
  <c r="CM18" i="1"/>
  <c r="CL18" i="1" s="1"/>
  <c r="CC9" i="1"/>
  <c r="BK10" i="1"/>
  <c r="BJ10" i="1" s="1"/>
  <c r="M11" i="1"/>
  <c r="AT12" i="1"/>
  <c r="CA12" i="1"/>
  <c r="BZ12" i="1"/>
  <c r="BY13" i="1"/>
  <c r="BX13" i="1" s="1"/>
  <c r="T14" i="1"/>
  <c r="BH15" i="1"/>
  <c r="CH15" i="1"/>
  <c r="CG15" i="1" s="1"/>
  <c r="P16" i="1"/>
  <c r="O16" i="1" s="1"/>
  <c r="BO16" i="1"/>
  <c r="B21" i="1"/>
  <c r="N21" i="1"/>
  <c r="M21" i="1" s="1"/>
  <c r="E21" i="1"/>
  <c r="K21" i="1" s="1"/>
  <c r="AB23" i="1"/>
  <c r="AA23" i="1"/>
  <c r="AM24" i="1"/>
  <c r="I25" i="1"/>
  <c r="BO26" i="1"/>
  <c r="BQ28" i="1"/>
  <c r="CJ28" i="1"/>
  <c r="CF28" i="1"/>
  <c r="CE28" i="1"/>
  <c r="U37" i="1"/>
  <c r="T37" i="1" s="1"/>
  <c r="Y37" i="1"/>
  <c r="AD38" i="1"/>
  <c r="I38" i="1" s="1"/>
  <c r="AF38" i="1"/>
  <c r="J15" i="1"/>
  <c r="K15" i="1" s="1"/>
  <c r="I18" i="1"/>
  <c r="U18" i="1"/>
  <c r="B20" i="1"/>
  <c r="Y21" i="1"/>
  <c r="AW22" i="1"/>
  <c r="AV22" i="1" s="1"/>
  <c r="I23" i="1"/>
  <c r="AM23" i="1"/>
  <c r="I24" i="1"/>
  <c r="R24" i="1"/>
  <c r="AF25" i="1"/>
  <c r="R26" i="1"/>
  <c r="E26" i="1"/>
  <c r="K26" i="1" s="1"/>
  <c r="N26" i="1"/>
  <c r="AT26" i="1"/>
  <c r="AP26" i="1"/>
  <c r="BV26" i="1"/>
  <c r="BR26" i="1"/>
  <c r="BQ26" i="1" s="1"/>
  <c r="Y27" i="1"/>
  <c r="U27" i="1"/>
  <c r="T27" i="1" s="1"/>
  <c r="BA27" i="1"/>
  <c r="AW27" i="1"/>
  <c r="AV27" i="1"/>
  <c r="AF28" i="1"/>
  <c r="AB28" i="1"/>
  <c r="AM32" i="1"/>
  <c r="AK32" i="1"/>
  <c r="I32" i="1" s="1"/>
  <c r="BK33" i="1"/>
  <c r="BJ33" i="1" s="1"/>
  <c r="BO33" i="1"/>
  <c r="H34" i="1"/>
  <c r="M35" i="1"/>
  <c r="AD39" i="1"/>
  <c r="I39" i="1" s="1"/>
  <c r="AC39" i="1"/>
  <c r="BQ13" i="1"/>
  <c r="B14" i="1"/>
  <c r="M14" i="1"/>
  <c r="R15" i="1"/>
  <c r="B15" i="1"/>
  <c r="V15" i="1"/>
  <c r="AP15" i="1"/>
  <c r="AO15" i="1"/>
  <c r="AX15" i="1"/>
  <c r="CJ15" i="1"/>
  <c r="BQ16" i="1"/>
  <c r="I17" i="1"/>
  <c r="AP17" i="1"/>
  <c r="AO17" i="1"/>
  <c r="B19" i="1"/>
  <c r="R19" i="1"/>
  <c r="BD19" i="1"/>
  <c r="BC19" i="1" s="1"/>
  <c r="V20" i="1"/>
  <c r="H20" i="1" s="1"/>
  <c r="AI20" i="1"/>
  <c r="AH20" i="1" s="1"/>
  <c r="BR21" i="1"/>
  <c r="BQ21" i="1" s="1"/>
  <c r="BH22" i="1"/>
  <c r="CF23" i="1"/>
  <c r="CE23" i="1" s="1"/>
  <c r="BK24" i="1"/>
  <c r="BJ24" i="1" s="1"/>
  <c r="AH25" i="1"/>
  <c r="BQ25" i="1"/>
  <c r="M26" i="1"/>
  <c r="AO26" i="1"/>
  <c r="E27" i="1"/>
  <c r="K27" i="1" s="1"/>
  <c r="CJ30" i="1"/>
  <c r="CF30" i="1"/>
  <c r="CE30" i="1" s="1"/>
  <c r="AD36" i="1"/>
  <c r="AR14" i="1"/>
  <c r="AQ14" i="1" s="1"/>
  <c r="BK15" i="1"/>
  <c r="BJ15" i="1" s="1"/>
  <c r="CL15" i="1"/>
  <c r="U17" i="1"/>
  <c r="T17" i="1" s="1"/>
  <c r="CF17" i="1"/>
  <c r="CE17" i="1" s="1"/>
  <c r="BY18" i="1"/>
  <c r="BX18" i="1" s="1"/>
  <c r="M19" i="1"/>
  <c r="AI19" i="1"/>
  <c r="AH19" i="1" s="1"/>
  <c r="N20" i="1"/>
  <c r="BY20" i="1"/>
  <c r="BX20" i="1" s="1"/>
  <c r="AW21" i="1"/>
  <c r="AV21" i="1" s="1"/>
  <c r="BK23" i="1"/>
  <c r="BJ23" i="1" s="1"/>
  <c r="AP24" i="1"/>
  <c r="AO24" i="1" s="1"/>
  <c r="B25" i="1"/>
  <c r="N25" i="1"/>
  <c r="M25" i="1" s="1"/>
  <c r="E25" i="1"/>
  <c r="K25" i="1" s="1"/>
  <c r="CF25" i="1"/>
  <c r="CE25" i="1" s="1"/>
  <c r="CJ25" i="1"/>
  <c r="B26" i="1"/>
  <c r="I29" i="1"/>
  <c r="AF31" i="1"/>
  <c r="AD31" i="1"/>
  <c r="AC31" i="1" s="1"/>
  <c r="BD36" i="1"/>
  <c r="BC36" i="1" s="1"/>
  <c r="BH36" i="1"/>
  <c r="AI37" i="1"/>
  <c r="AH37" i="1" s="1"/>
  <c r="AH15" i="1"/>
  <c r="AM16" i="1"/>
  <c r="BT16" i="1"/>
  <c r="BS16" i="1" s="1"/>
  <c r="CM20" i="1"/>
  <c r="CL20" i="1" s="1"/>
  <c r="U22" i="1"/>
  <c r="G22" i="1" s="1"/>
  <c r="BD27" i="1"/>
  <c r="BC27" i="1" s="1"/>
  <c r="BH27" i="1"/>
  <c r="BR27" i="1"/>
  <c r="BQ27" i="1"/>
  <c r="AD30" i="1"/>
  <c r="AC30" i="1" s="1"/>
  <c r="J30" i="1"/>
  <c r="K30" i="1" s="1"/>
  <c r="CM39" i="1"/>
  <c r="CL39" i="1" s="1"/>
  <c r="CQ39" i="1"/>
  <c r="BA41" i="1"/>
  <c r="AW41" i="1"/>
  <c r="AV41" i="1"/>
  <c r="B41" i="1"/>
  <c r="AP21" i="1"/>
  <c r="AO21" i="1" s="1"/>
  <c r="B23" i="1"/>
  <c r="R23" i="1"/>
  <c r="BD23" i="1"/>
  <c r="BC23" i="1" s="1"/>
  <c r="AI24" i="1"/>
  <c r="AH24" i="1"/>
  <c r="Y26" i="1"/>
  <c r="AW26" i="1"/>
  <c r="AV26" i="1" s="1"/>
  <c r="BA26" i="1"/>
  <c r="CC26" i="1"/>
  <c r="AW28" i="1"/>
  <c r="AV28" i="1" s="1"/>
  <c r="BA28" i="1"/>
  <c r="BO43" i="1"/>
  <c r="BK43" i="1"/>
  <c r="BJ43" i="1"/>
  <c r="AS55" i="1"/>
  <c r="BI55" i="1"/>
  <c r="BI58" i="1" s="1"/>
  <c r="AX10" i="1"/>
  <c r="U11" i="1"/>
  <c r="AC11" i="1"/>
  <c r="BZ11" i="1"/>
  <c r="BL13" i="1"/>
  <c r="AB14" i="1"/>
  <c r="G14" i="1" s="1"/>
  <c r="AJ14" i="1"/>
  <c r="CG14" i="1"/>
  <c r="CQ14" i="1"/>
  <c r="P15" i="1"/>
  <c r="AT15" i="1"/>
  <c r="CC15" i="1"/>
  <c r="AI16" i="1"/>
  <c r="AH16" i="1" s="1"/>
  <c r="CN16" i="1"/>
  <c r="BD17" i="1"/>
  <c r="BC17" i="1" s="1"/>
  <c r="AW18" i="1"/>
  <c r="AV18" i="1" s="1"/>
  <c r="CC18" i="1"/>
  <c r="I19" i="1"/>
  <c r="BR19" i="1"/>
  <c r="BQ19" i="1" s="1"/>
  <c r="AW20" i="1"/>
  <c r="AV20" i="1" s="1"/>
  <c r="CF21" i="1"/>
  <c r="CE21" i="1" s="1"/>
  <c r="BC22" i="1"/>
  <c r="BY22" i="1"/>
  <c r="BX22" i="1" s="1"/>
  <c r="N24" i="1"/>
  <c r="BY24" i="1"/>
  <c r="BX24" i="1" s="1"/>
  <c r="R25" i="1"/>
  <c r="AA25" i="1"/>
  <c r="BK25" i="1"/>
  <c r="BJ25" i="1" s="1"/>
  <c r="U26" i="1"/>
  <c r="T26" i="1" s="1"/>
  <c r="AI26" i="1"/>
  <c r="AH26" i="1" s="1"/>
  <c r="AM26" i="1"/>
  <c r="BJ26" i="1"/>
  <c r="BY26" i="1"/>
  <c r="BX26" i="1" s="1"/>
  <c r="CM26" i="1"/>
  <c r="CQ26" i="1"/>
  <c r="N27" i="1"/>
  <c r="M27" i="1" s="1"/>
  <c r="AP27" i="1"/>
  <c r="AO27" i="1" s="1"/>
  <c r="AT27" i="1"/>
  <c r="BV27" i="1"/>
  <c r="AP29" i="1"/>
  <c r="D29" i="1" s="1"/>
  <c r="AT29" i="1"/>
  <c r="O31" i="1"/>
  <c r="H33" i="1"/>
  <c r="AF36" i="1"/>
  <c r="AB36" i="1"/>
  <c r="AA36" i="1" s="1"/>
  <c r="AR39" i="1"/>
  <c r="AQ39" i="1" s="1"/>
  <c r="AT39" i="1"/>
  <c r="BB55" i="1"/>
  <c r="BB58" i="1" s="1"/>
  <c r="BJ4" i="1"/>
  <c r="CP55" i="1"/>
  <c r="BT10" i="1"/>
  <c r="BS10" i="1" s="1"/>
  <c r="CL10" i="1"/>
  <c r="BQ11" i="1"/>
  <c r="O12" i="1"/>
  <c r="AA13" i="1"/>
  <c r="CH13" i="1"/>
  <c r="CG13" i="1" s="1"/>
  <c r="AM14" i="1"/>
  <c r="BX14" i="1"/>
  <c r="Y15" i="1"/>
  <c r="BF15" i="1"/>
  <c r="BE15" i="1" s="1"/>
  <c r="BX15" i="1"/>
  <c r="AF16" i="1"/>
  <c r="BD16" i="1"/>
  <c r="BC16" i="1" s="1"/>
  <c r="BL16" i="1"/>
  <c r="BR17" i="1"/>
  <c r="BQ17" i="1"/>
  <c r="CF19" i="1"/>
  <c r="CE19" i="1" s="1"/>
  <c r="BK20" i="1"/>
  <c r="BJ20" i="1" s="1"/>
  <c r="CQ20" i="1"/>
  <c r="B22" i="1"/>
  <c r="M22" i="1"/>
  <c r="Y22" i="1"/>
  <c r="AH22" i="1"/>
  <c r="E23" i="1"/>
  <c r="K23" i="1" s="1"/>
  <c r="N23" i="1"/>
  <c r="H24" i="1"/>
  <c r="CM24" i="1"/>
  <c r="CL24" i="1" s="1"/>
  <c r="V26" i="1"/>
  <c r="H26" i="1" s="1"/>
  <c r="CL26" i="1"/>
  <c r="BJ27" i="1"/>
  <c r="CC27" i="1"/>
  <c r="BY27" i="1"/>
  <c r="BX27" i="1" s="1"/>
  <c r="V28" i="1"/>
  <c r="H28" i="1" s="1"/>
  <c r="I28" i="1"/>
  <c r="BK30" i="1"/>
  <c r="BJ30" i="1" s="1"/>
  <c r="B30" i="1"/>
  <c r="BO30" i="1"/>
  <c r="Y32" i="1"/>
  <c r="U32" i="1"/>
  <c r="G32" i="1" s="1"/>
  <c r="T32" i="1"/>
  <c r="E32" i="1"/>
  <c r="K32" i="1" s="1"/>
  <c r="AR37" i="1"/>
  <c r="AQ37" i="1" s="1"/>
  <c r="R30" i="1"/>
  <c r="N37" i="1"/>
  <c r="R37" i="1"/>
  <c r="E37" i="1"/>
  <c r="BY37" i="1"/>
  <c r="BX37" i="1" s="1"/>
  <c r="CF38" i="1"/>
  <c r="CE38" i="1" s="1"/>
  <c r="BO40" i="1"/>
  <c r="BK40" i="1"/>
  <c r="BJ40" i="1" s="1"/>
  <c r="CJ40" i="1"/>
  <c r="CH40" i="1"/>
  <c r="CG40" i="1"/>
  <c r="AT30" i="1"/>
  <c r="AY31" i="1"/>
  <c r="CN31" i="1"/>
  <c r="J32" i="1"/>
  <c r="R33" i="1"/>
  <c r="B33" i="1"/>
  <c r="E36" i="1"/>
  <c r="BJ36" i="1"/>
  <c r="CU37" i="1"/>
  <c r="AE55" i="1" s="1"/>
  <c r="Y39" i="1"/>
  <c r="CF39" i="1"/>
  <c r="CE39" i="1" s="1"/>
  <c r="AK40" i="1"/>
  <c r="AJ40" i="1" s="1"/>
  <c r="AA27" i="1"/>
  <c r="CE27" i="1"/>
  <c r="T28" i="1"/>
  <c r="BC28" i="1"/>
  <c r="BX28" i="1"/>
  <c r="T30" i="1"/>
  <c r="F30" i="1" s="1"/>
  <c r="AW30" i="1"/>
  <c r="AV30" i="1" s="1"/>
  <c r="BE30" i="1"/>
  <c r="AM31" i="1"/>
  <c r="BA31" i="1"/>
  <c r="BK31" i="1"/>
  <c r="BJ31" i="1" s="1"/>
  <c r="CE32" i="1"/>
  <c r="M33" i="1"/>
  <c r="AH33" i="1"/>
  <c r="BR33" i="1"/>
  <c r="BQ33" i="1" s="1"/>
  <c r="M34" i="1"/>
  <c r="R34" i="1"/>
  <c r="BX34" i="1"/>
  <c r="CM34" i="1"/>
  <c r="CL34" i="1" s="1"/>
  <c r="CQ35" i="1"/>
  <c r="CM35" i="1"/>
  <c r="CL35" i="1" s="1"/>
  <c r="AX36" i="1"/>
  <c r="CC36" i="1"/>
  <c r="BY36" i="1"/>
  <c r="BX36" i="1" s="1"/>
  <c r="AM36" i="1"/>
  <c r="AK36" i="1"/>
  <c r="AJ36" i="1" s="1"/>
  <c r="BA37" i="1"/>
  <c r="CC37" i="1"/>
  <c r="CV37" i="1"/>
  <c r="AM37" i="1" s="1"/>
  <c r="Y38" i="1"/>
  <c r="CJ38" i="1"/>
  <c r="B39" i="1"/>
  <c r="AC40" i="1"/>
  <c r="AF40" i="1"/>
  <c r="R43" i="1"/>
  <c r="J43" i="1"/>
  <c r="K43" i="1" s="1"/>
  <c r="P43" i="1"/>
  <c r="O43" i="1" s="1"/>
  <c r="CM43" i="1"/>
  <c r="CL43" i="1"/>
  <c r="CQ43" i="1"/>
  <c r="AW44" i="1"/>
  <c r="AV44" i="1"/>
  <c r="BA44" i="1"/>
  <c r="BA45" i="1"/>
  <c r="AW45" i="1"/>
  <c r="AV45" i="1" s="1"/>
  <c r="BM48" i="1"/>
  <c r="BL48" i="1"/>
  <c r="AP31" i="1"/>
  <c r="AO31" i="1" s="1"/>
  <c r="AO34" i="1"/>
  <c r="AO36" i="1"/>
  <c r="BM36" i="1"/>
  <c r="BL36" i="1" s="1"/>
  <c r="B37" i="1"/>
  <c r="CM37" i="1"/>
  <c r="CL37" i="1" s="1"/>
  <c r="B38" i="1"/>
  <c r="J39" i="1"/>
  <c r="K39" i="1" s="1"/>
  <c r="BH39" i="1"/>
  <c r="BD39" i="1"/>
  <c r="BC39" i="1" s="1"/>
  <c r="CJ39" i="1"/>
  <c r="AH40" i="1"/>
  <c r="CH45" i="1"/>
  <c r="CG45" i="1" s="1"/>
  <c r="R31" i="1"/>
  <c r="B31" i="1"/>
  <c r="AQ31" i="1"/>
  <c r="BD31" i="1"/>
  <c r="BC31" i="1" s="1"/>
  <c r="J31" i="1"/>
  <c r="K31" i="1" s="1"/>
  <c r="I33" i="1"/>
  <c r="H35" i="1"/>
  <c r="BF37" i="1"/>
  <c r="BE37" i="1" s="1"/>
  <c r="AI39" i="1"/>
  <c r="AM39" i="1"/>
  <c r="BH40" i="1"/>
  <c r="BD40" i="1"/>
  <c r="BC40" i="1" s="1"/>
  <c r="AP43" i="1"/>
  <c r="AO43" i="1" s="1"/>
  <c r="AT43" i="1"/>
  <c r="AQ30" i="1"/>
  <c r="BA30" i="1"/>
  <c r="AT31" i="1"/>
  <c r="R32" i="1"/>
  <c r="B32" i="1"/>
  <c r="BX32" i="1"/>
  <c r="E34" i="1"/>
  <c r="K34" i="1" s="1"/>
  <c r="BR35" i="1"/>
  <c r="BQ35" i="1" s="1"/>
  <c r="B36" i="1"/>
  <c r="BH37" i="1"/>
  <c r="BS37" i="1"/>
  <c r="J38" i="1"/>
  <c r="U38" i="1"/>
  <c r="T38" i="1" s="1"/>
  <c r="BH38" i="1"/>
  <c r="BD38" i="1"/>
  <c r="BC38" i="1" s="1"/>
  <c r="CO38" i="1"/>
  <c r="CN38" i="1" s="1"/>
  <c r="V39" i="1"/>
  <c r="AH39" i="1"/>
  <c r="AW39" i="1"/>
  <c r="AV39" i="1" s="1"/>
  <c r="CN39" i="1"/>
  <c r="R40" i="1"/>
  <c r="B40" i="1"/>
  <c r="AP40" i="1"/>
  <c r="AO40" i="1" s="1"/>
  <c r="AT40" i="1"/>
  <c r="AQ42" i="1"/>
  <c r="I42" i="1"/>
  <c r="CC43" i="1"/>
  <c r="BZ43" i="1"/>
  <c r="W46" i="1"/>
  <c r="E11" i="1"/>
  <c r="K11" i="1" s="1"/>
  <c r="E13" i="1"/>
  <c r="AH27" i="1"/>
  <c r="CL27" i="1"/>
  <c r="B29" i="1"/>
  <c r="AH29" i="1"/>
  <c r="BC29" i="1"/>
  <c r="CL29" i="1"/>
  <c r="AF30" i="1"/>
  <c r="BM30" i="1"/>
  <c r="BL30" i="1"/>
  <c r="BX30" i="1"/>
  <c r="N31" i="1"/>
  <c r="BQ31" i="1"/>
  <c r="BZ31" i="1"/>
  <c r="M32" i="1"/>
  <c r="BC32" i="1"/>
  <c r="AP33" i="1"/>
  <c r="I34" i="1"/>
  <c r="AH34" i="1"/>
  <c r="AT34" i="1"/>
  <c r="E35" i="1"/>
  <c r="K35" i="1" s="1"/>
  <c r="T35" i="1"/>
  <c r="BD35" i="1"/>
  <c r="BC35" i="1" s="1"/>
  <c r="CF36" i="1"/>
  <c r="CE36" i="1" s="1"/>
  <c r="W37" i="1"/>
  <c r="V37" i="1" s="1"/>
  <c r="BK37" i="1"/>
  <c r="BJ37" i="1" s="1"/>
  <c r="BO37" i="1"/>
  <c r="BV37" i="1"/>
  <c r="AH38" i="1"/>
  <c r="BF38" i="1"/>
  <c r="BE38" i="1" s="1"/>
  <c r="M39" i="1"/>
  <c r="N40" i="1"/>
  <c r="AR40" i="1"/>
  <c r="AQ40" i="1" s="1"/>
  <c r="H41" i="1"/>
  <c r="H42" i="1"/>
  <c r="BY46" i="1"/>
  <c r="BX46" i="1" s="1"/>
  <c r="CC46" i="1"/>
  <c r="R44" i="1"/>
  <c r="B44" i="1"/>
  <c r="N48" i="1"/>
  <c r="M48" i="1" s="1"/>
  <c r="E48" i="1"/>
  <c r="AW48" i="1"/>
  <c r="AV48" i="1"/>
  <c r="BO48" i="1"/>
  <c r="BY49" i="1"/>
  <c r="BX49" i="1"/>
  <c r="CQ50" i="1"/>
  <c r="CM50" i="1"/>
  <c r="CL50" i="1" s="1"/>
  <c r="B50" i="1"/>
  <c r="W51" i="1"/>
  <c r="V51" i="1"/>
  <c r="Y51" i="1"/>
  <c r="AX40" i="1"/>
  <c r="Y43" i="1"/>
  <c r="AJ43" i="1"/>
  <c r="J45" i="1"/>
  <c r="AO45" i="1"/>
  <c r="O46" i="1"/>
  <c r="AO46" i="1"/>
  <c r="B47" i="1"/>
  <c r="I47" i="1"/>
  <c r="AK49" i="1"/>
  <c r="AJ49" i="1" s="1"/>
  <c r="AD51" i="1"/>
  <c r="AC51" i="1" s="1"/>
  <c r="BT52" i="1"/>
  <c r="BS52" i="1" s="1"/>
  <c r="R54" i="1"/>
  <c r="N54" i="1"/>
  <c r="M54" i="1" s="1"/>
  <c r="B54" i="1"/>
  <c r="E54" i="1"/>
  <c r="P49" i="1"/>
  <c r="BA40" i="1"/>
  <c r="G41" i="1"/>
  <c r="T42" i="1"/>
  <c r="BX42" i="1"/>
  <c r="AM43" i="1"/>
  <c r="CJ43" i="1"/>
  <c r="N44" i="1"/>
  <c r="AQ44" i="1"/>
  <c r="BQ44" i="1"/>
  <c r="AP46" i="1"/>
  <c r="BS46" i="1"/>
  <c r="AA47" i="1"/>
  <c r="BR47" i="1"/>
  <c r="BQ47" i="1" s="1"/>
  <c r="CN47" i="1"/>
  <c r="R48" i="1"/>
  <c r="AK48" i="1"/>
  <c r="AJ48" i="1" s="1"/>
  <c r="BA48" i="1"/>
  <c r="CC48" i="1"/>
  <c r="BY48" i="1"/>
  <c r="BX48" i="1"/>
  <c r="B49" i="1"/>
  <c r="AX49" i="1"/>
  <c r="CC49" i="1"/>
  <c r="AC45" i="1"/>
  <c r="U46" i="1"/>
  <c r="T46" i="1" s="1"/>
  <c r="BE47" i="1"/>
  <c r="CA48" i="1"/>
  <c r="BZ48" i="1" s="1"/>
  <c r="AP51" i="1"/>
  <c r="AO51" i="1" s="1"/>
  <c r="AT51" i="1"/>
  <c r="J50" i="1"/>
  <c r="P50" i="1"/>
  <c r="O50" i="1"/>
  <c r="CQ52" i="1"/>
  <c r="CO52" i="1"/>
  <c r="CN52" i="1" s="1"/>
  <c r="J54" i="1"/>
  <c r="AD54" i="1"/>
  <c r="AC54" i="1" s="1"/>
  <c r="CH54" i="1"/>
  <c r="CG54" i="1" s="1"/>
  <c r="AK38" i="1"/>
  <c r="AJ38" i="1"/>
  <c r="AB39" i="1"/>
  <c r="G39" i="1" s="1"/>
  <c r="AA39" i="1"/>
  <c r="AJ39" i="1"/>
  <c r="CC40" i="1"/>
  <c r="D41" i="1"/>
  <c r="D42" i="1"/>
  <c r="Y42" i="1"/>
  <c r="CC42" i="1"/>
  <c r="AR43" i="1"/>
  <c r="AQ43" i="1"/>
  <c r="CN43" i="1"/>
  <c r="E44" i="1"/>
  <c r="K44" i="1" s="1"/>
  <c r="J44" i="1"/>
  <c r="AY44" i="1"/>
  <c r="AX44" i="1" s="1"/>
  <c r="BK44" i="1"/>
  <c r="BJ44" i="1" s="1"/>
  <c r="AI45" i="1"/>
  <c r="AH45" i="1"/>
  <c r="B45" i="1"/>
  <c r="E45" i="1"/>
  <c r="K45" i="1" s="1"/>
  <c r="J46" i="1"/>
  <c r="Y46" i="1"/>
  <c r="CA46" i="1"/>
  <c r="BZ46" i="1" s="1"/>
  <c r="CM46" i="1"/>
  <c r="CL46" i="1" s="1"/>
  <c r="J47" i="1"/>
  <c r="U47" i="1"/>
  <c r="G47" i="1" s="1"/>
  <c r="BK47" i="1"/>
  <c r="BJ47" i="1" s="1"/>
  <c r="U48" i="1"/>
  <c r="T48" i="1" s="1"/>
  <c r="BD48" i="1"/>
  <c r="BC48" i="1" s="1"/>
  <c r="O53" i="1"/>
  <c r="AQ53" i="1"/>
  <c r="AH31" i="1"/>
  <c r="CL31" i="1"/>
  <c r="AO32" i="1"/>
  <c r="BQ32" i="1"/>
  <c r="AA33" i="1"/>
  <c r="BC33" i="1"/>
  <c r="CE33" i="1"/>
  <c r="AV34" i="1"/>
  <c r="BR34" i="1"/>
  <c r="BQ34" i="1" s="1"/>
  <c r="AA35" i="1"/>
  <c r="AW35" i="1"/>
  <c r="J36" i="1"/>
  <c r="AW36" i="1"/>
  <c r="AV36" i="1" s="1"/>
  <c r="BE36" i="1"/>
  <c r="BQ36" i="1"/>
  <c r="O37" i="1"/>
  <c r="AA37" i="1"/>
  <c r="AA38" i="1"/>
  <c r="R39" i="1"/>
  <c r="BX39" i="1"/>
  <c r="Y40" i="1"/>
  <c r="BF40" i="1"/>
  <c r="E41" i="1"/>
  <c r="K41" i="1" s="1"/>
  <c r="R41" i="1"/>
  <c r="BV41" i="1"/>
  <c r="B42" i="1"/>
  <c r="AV42" i="1"/>
  <c r="V43" i="1"/>
  <c r="BT43" i="1"/>
  <c r="BS43" i="1" s="1"/>
  <c r="AC44" i="1"/>
  <c r="M45" i="1"/>
  <c r="AK45" i="1"/>
  <c r="BZ45" i="1"/>
  <c r="CM45" i="1"/>
  <c r="CL45" i="1" s="1"/>
  <c r="BE46" i="1"/>
  <c r="J48" i="1"/>
  <c r="AQ48" i="1"/>
  <c r="R49" i="1"/>
  <c r="E49" i="1"/>
  <c r="K49" i="1" s="1"/>
  <c r="N49" i="1"/>
  <c r="E28" i="1"/>
  <c r="K28" i="1" s="1"/>
  <c r="AB34" i="1"/>
  <c r="D34" i="1" s="1"/>
  <c r="U36" i="1"/>
  <c r="G36" i="1" s="1"/>
  <c r="AT37" i="1"/>
  <c r="CA37" i="1"/>
  <c r="BZ37" i="1"/>
  <c r="BY38" i="1"/>
  <c r="BX38" i="1" s="1"/>
  <c r="CG38" i="1"/>
  <c r="T39" i="1"/>
  <c r="BY40" i="1"/>
  <c r="BX40" i="1" s="1"/>
  <c r="J40" i="1"/>
  <c r="K40" i="1" s="1"/>
  <c r="I41" i="1"/>
  <c r="M43" i="1"/>
  <c r="AI43" i="1"/>
  <c r="G43" i="1" s="1"/>
  <c r="B43" i="1"/>
  <c r="O45" i="1"/>
  <c r="AM45" i="1"/>
  <c r="CO45" i="1"/>
  <c r="CN45" i="1" s="1"/>
  <c r="G46" i="1"/>
  <c r="BO47" i="1"/>
  <c r="AM49" i="1"/>
  <c r="R51" i="1"/>
  <c r="P51" i="1"/>
  <c r="J51" i="1"/>
  <c r="AM52" i="1"/>
  <c r="AK52" i="1"/>
  <c r="AJ52" i="1" s="1"/>
  <c r="BT50" i="1"/>
  <c r="BS50" i="1" s="1"/>
  <c r="U51" i="1"/>
  <c r="T51" i="1" s="1"/>
  <c r="E51" i="1"/>
  <c r="B51" i="1"/>
  <c r="CM51" i="1"/>
  <c r="CL51" i="1" s="1"/>
  <c r="AR53" i="1"/>
  <c r="BR53" i="1"/>
  <c r="BQ53" i="1" s="1"/>
  <c r="AW54" i="1"/>
  <c r="AV54" i="1" s="1"/>
  <c r="BE54" i="1"/>
  <c r="P56" i="1"/>
  <c r="AR56" i="1"/>
  <c r="AQ56" i="1"/>
  <c r="AK57" i="1"/>
  <c r="AJ57" i="1"/>
  <c r="N50" i="1"/>
  <c r="M50" i="1" s="1"/>
  <c r="E50" i="1"/>
  <c r="V50" i="1"/>
  <c r="CO51" i="1"/>
  <c r="CN51" i="1"/>
  <c r="BV52" i="1"/>
  <c r="AJ54" i="1"/>
  <c r="AP57" i="1"/>
  <c r="AO57" i="1" s="1"/>
  <c r="BT49" i="1"/>
  <c r="BS49" i="1" s="1"/>
  <c r="Y50" i="1"/>
  <c r="AY50" i="1"/>
  <c r="AX50" i="1" s="1"/>
  <c r="BK50" i="1"/>
  <c r="BJ50" i="1" s="1"/>
  <c r="AD50" i="1"/>
  <c r="AC50" i="1" s="1"/>
  <c r="AK51" i="1"/>
  <c r="AJ51" i="1"/>
  <c r="CQ51" i="1"/>
  <c r="AT53" i="1"/>
  <c r="AM54" i="1"/>
  <c r="CJ54" i="1"/>
  <c r="CF54" i="1"/>
  <c r="CE54" i="1" s="1"/>
  <c r="T56" i="1"/>
  <c r="AI56" i="1"/>
  <c r="AH56" i="1" s="1"/>
  <c r="AM56" i="1"/>
  <c r="AV56" i="1"/>
  <c r="BX56" i="1"/>
  <c r="CM56" i="1"/>
  <c r="CL56" i="1" s="1"/>
  <c r="CQ56" i="1"/>
  <c r="M57" i="1"/>
  <c r="AB57" i="1"/>
  <c r="AF57" i="1"/>
  <c r="AT50" i="1"/>
  <c r="AP50" i="1"/>
  <c r="AO50" i="1" s="1"/>
  <c r="M51" i="1"/>
  <c r="AB51" i="1"/>
  <c r="AA51" i="1" s="1"/>
  <c r="AF51" i="1"/>
  <c r="R52" i="1"/>
  <c r="B52" i="1"/>
  <c r="E52" i="1"/>
  <c r="N52" i="1"/>
  <c r="AV52" i="1"/>
  <c r="BR52" i="1"/>
  <c r="BQ52" i="1" s="1"/>
  <c r="AA53" i="1"/>
  <c r="CF53" i="1"/>
  <c r="CE53" i="1" s="1"/>
  <c r="T54" i="1"/>
  <c r="AW56" i="1"/>
  <c r="BO57" i="1"/>
  <c r="BM57" i="1"/>
  <c r="BL57" i="1" s="1"/>
  <c r="BD49" i="1"/>
  <c r="BC49" i="1" s="1"/>
  <c r="BL49" i="1"/>
  <c r="R50" i="1"/>
  <c r="AB50" i="1"/>
  <c r="AA50" i="1" s="1"/>
  <c r="CA50" i="1"/>
  <c r="BZ50" i="1" s="1"/>
  <c r="BS51" i="1"/>
  <c r="AY52" i="1"/>
  <c r="AX52" i="1" s="1"/>
  <c r="BO52" i="1"/>
  <c r="BK52" i="1"/>
  <c r="BJ52" i="1" s="1"/>
  <c r="AD53" i="1"/>
  <c r="AX53" i="1"/>
  <c r="BK53" i="1"/>
  <c r="BJ53" i="1" s="1"/>
  <c r="CC53" i="1"/>
  <c r="BY53" i="1"/>
  <c r="BX53" i="1" s="1"/>
  <c r="V56" i="1"/>
  <c r="Y56" i="1"/>
  <c r="AJ56" i="1"/>
  <c r="O57" i="1"/>
  <c r="R57" i="1"/>
  <c r="AT57" i="1"/>
  <c r="AH41" i="1"/>
  <c r="F41" i="1" s="1"/>
  <c r="BJ41" i="1"/>
  <c r="CL41" i="1"/>
  <c r="E42" i="1"/>
  <c r="K42" i="1" s="1"/>
  <c r="M42" i="1"/>
  <c r="AO42" i="1"/>
  <c r="BQ42" i="1"/>
  <c r="AA43" i="1"/>
  <c r="CE43" i="1"/>
  <c r="AO44" i="1"/>
  <c r="BE44" i="1"/>
  <c r="AA45" i="1"/>
  <c r="AQ45" i="1"/>
  <c r="CE45" i="1"/>
  <c r="E46" i="1"/>
  <c r="K46" i="1" s="1"/>
  <c r="AC46" i="1"/>
  <c r="BQ46" i="1"/>
  <c r="CG46" i="1"/>
  <c r="O47" i="1"/>
  <c r="BC47" i="1"/>
  <c r="BL47" i="1"/>
  <c r="BS47" i="1"/>
  <c r="AX48" i="1"/>
  <c r="BE48" i="1"/>
  <c r="AA49" i="1"/>
  <c r="BE49" i="1"/>
  <c r="BO49" i="1"/>
  <c r="BO50" i="1"/>
  <c r="BH51" i="1"/>
  <c r="BL51" i="1"/>
  <c r="BV51" i="1"/>
  <c r="CG51" i="1"/>
  <c r="J52" i="1"/>
  <c r="O52" i="1"/>
  <c r="CG52" i="1"/>
  <c r="Y53" i="1"/>
  <c r="U53" i="1"/>
  <c r="T53" i="1" s="1"/>
  <c r="B53" i="1"/>
  <c r="BA53" i="1"/>
  <c r="BM53" i="1"/>
  <c r="BL53" i="1" s="1"/>
  <c r="E56" i="1"/>
  <c r="K56" i="1" s="1"/>
  <c r="BO56" i="1"/>
  <c r="BJ56" i="1"/>
  <c r="BS56" i="1"/>
  <c r="B57" i="1"/>
  <c r="AM57" i="1"/>
  <c r="AH57" i="1"/>
  <c r="BT57" i="1"/>
  <c r="BS57" i="1" s="1"/>
  <c r="BV57" i="1"/>
  <c r="E38" i="1"/>
  <c r="CM47" i="1"/>
  <c r="CL47" i="1" s="1"/>
  <c r="O48" i="1"/>
  <c r="AP48" i="1"/>
  <c r="AO48" i="1" s="1"/>
  <c r="AB49" i="1"/>
  <c r="T50" i="1"/>
  <c r="AH50" i="1"/>
  <c r="BR50" i="1"/>
  <c r="BQ50" i="1" s="1"/>
  <c r="BC51" i="1"/>
  <c r="BY51" i="1"/>
  <c r="BX51" i="1"/>
  <c r="CC51" i="1"/>
  <c r="CJ51" i="1"/>
  <c r="AD52" i="1"/>
  <c r="J53" i="1"/>
  <c r="K53" i="1" s="1"/>
  <c r="BD53" i="1"/>
  <c r="BC53" i="1" s="1"/>
  <c r="BH53" i="1"/>
  <c r="BF54" i="1"/>
  <c r="AC56" i="1"/>
  <c r="CG56" i="1"/>
  <c r="CF56" i="1"/>
  <c r="CE56" i="1"/>
  <c r="BH57" i="1"/>
  <c r="BC57" i="1"/>
  <c r="CG57" i="1"/>
  <c r="BY57" i="1"/>
  <c r="BX57" i="1"/>
  <c r="CC57" i="1"/>
  <c r="CM57" i="1"/>
  <c r="CL57" i="1" s="1"/>
  <c r="CM52" i="1"/>
  <c r="CL52" i="1" s="1"/>
  <c r="AW53" i="1"/>
  <c r="AV53" i="1" s="1"/>
  <c r="BE53" i="1"/>
  <c r="AF54" i="1"/>
  <c r="BM54" i="1"/>
  <c r="BL54" i="1" s="1"/>
  <c r="AC57" i="1"/>
  <c r="CO57" i="1"/>
  <c r="CN57" i="1"/>
  <c r="AI52" i="1"/>
  <c r="AH52" i="1" s="1"/>
  <c r="AQ52" i="1"/>
  <c r="AB56" i="1"/>
  <c r="AA56" i="1"/>
  <c r="F56" i="1" s="1"/>
  <c r="AT56" i="1"/>
  <c r="BZ56" i="1"/>
  <c r="U57" i="1"/>
  <c r="G57" i="1" s="1"/>
  <c r="T57" i="1"/>
  <c r="E57" i="1"/>
  <c r="K57" i="1" s="1"/>
  <c r="H55" i="13" l="1"/>
  <c r="H58" i="13" s="1"/>
  <c r="M55" i="8"/>
  <c r="M58" i="8" s="1"/>
  <c r="C54" i="5"/>
  <c r="AV55" i="5"/>
  <c r="AV58" i="5" s="1"/>
  <c r="BC55" i="6"/>
  <c r="BC58" i="6" s="1"/>
  <c r="G55" i="7"/>
  <c r="G58" i="7" s="1"/>
  <c r="C13" i="7"/>
  <c r="AO58" i="7"/>
  <c r="AD55" i="10"/>
  <c r="AD58" i="10" s="1"/>
  <c r="AA55" i="13"/>
  <c r="AA58" i="13" s="1"/>
  <c r="C43" i="13"/>
  <c r="G55" i="4"/>
  <c r="G58" i="4" s="1"/>
  <c r="BX55" i="4"/>
  <c r="BX58" i="4" s="1"/>
  <c r="F6" i="10"/>
  <c r="F23" i="10"/>
  <c r="C33" i="10"/>
  <c r="F55" i="16"/>
  <c r="F58" i="16" s="1"/>
  <c r="F18" i="5"/>
  <c r="C18" i="5"/>
  <c r="F14" i="7"/>
  <c r="T55" i="13"/>
  <c r="T58" i="13" s="1"/>
  <c r="C6" i="13"/>
  <c r="H55" i="15"/>
  <c r="H58" i="15" s="1"/>
  <c r="F52" i="13"/>
  <c r="G55" i="9"/>
  <c r="G58" i="9" s="1"/>
  <c r="C34" i="9"/>
  <c r="C4" i="5"/>
  <c r="AA58" i="6"/>
  <c r="F4" i="7"/>
  <c r="D55" i="4"/>
  <c r="D58" i="4" s="1"/>
  <c r="M55" i="5"/>
  <c r="M58" i="5" s="1"/>
  <c r="BJ55" i="9"/>
  <c r="BJ58" i="9" s="1"/>
  <c r="M55" i="13"/>
  <c r="M58" i="13" s="1"/>
  <c r="BQ55" i="13"/>
  <c r="BQ58" i="13" s="1"/>
  <c r="C5" i="4"/>
  <c r="D55" i="5"/>
  <c r="D58" i="5" s="1"/>
  <c r="C4" i="7"/>
  <c r="G55" i="8"/>
  <c r="G58" i="8" s="1"/>
  <c r="CE55" i="10"/>
  <c r="CE58" i="10" s="1"/>
  <c r="AH55" i="10"/>
  <c r="AH58" i="10" s="1"/>
  <c r="C22" i="7"/>
  <c r="F22" i="7"/>
  <c r="C48" i="5"/>
  <c r="J58" i="16"/>
  <c r="K55" i="16"/>
  <c r="H55" i="16"/>
  <c r="H58" i="16" s="1"/>
  <c r="V55" i="16"/>
  <c r="V58" i="16" s="1"/>
  <c r="X59" i="16"/>
  <c r="Y58" i="16"/>
  <c r="AM58" i="16"/>
  <c r="AL59" i="16"/>
  <c r="C55" i="16"/>
  <c r="C58" i="16" s="1"/>
  <c r="AF58" i="16"/>
  <c r="AE59" i="16"/>
  <c r="C55" i="15"/>
  <c r="C58" i="15" s="1"/>
  <c r="F55" i="15"/>
  <c r="F58" i="15" s="1"/>
  <c r="G55" i="13"/>
  <c r="G58" i="13" s="1"/>
  <c r="F45" i="13"/>
  <c r="C45" i="13"/>
  <c r="C18" i="13"/>
  <c r="F18" i="13"/>
  <c r="F27" i="13"/>
  <c r="C27" i="13"/>
  <c r="C4" i="13"/>
  <c r="K55" i="13"/>
  <c r="E58" i="13"/>
  <c r="K58" i="13" s="1"/>
  <c r="C35" i="13"/>
  <c r="F35" i="13"/>
  <c r="C51" i="13"/>
  <c r="F51" i="13"/>
  <c r="C46" i="13"/>
  <c r="D55" i="13"/>
  <c r="D58" i="13" s="1"/>
  <c r="BJ55" i="13"/>
  <c r="BJ58" i="13" s="1"/>
  <c r="F50" i="13"/>
  <c r="C50" i="13"/>
  <c r="F19" i="13"/>
  <c r="C19" i="13"/>
  <c r="C14" i="13"/>
  <c r="F14" i="13"/>
  <c r="AL59" i="13"/>
  <c r="AM58" i="13"/>
  <c r="X59" i="13"/>
  <c r="Y58" i="13"/>
  <c r="C48" i="13"/>
  <c r="F48" i="13"/>
  <c r="F23" i="13"/>
  <c r="C23" i="13"/>
  <c r="C21" i="13"/>
  <c r="F21" i="13"/>
  <c r="F53" i="13"/>
  <c r="C53" i="13"/>
  <c r="AV55" i="13"/>
  <c r="AV58" i="13" s="1"/>
  <c r="F30" i="13"/>
  <c r="C30" i="13"/>
  <c r="I49" i="10"/>
  <c r="F36" i="10"/>
  <c r="C4" i="10"/>
  <c r="F26" i="10"/>
  <c r="C26" i="10"/>
  <c r="F35" i="10"/>
  <c r="C31" i="10"/>
  <c r="C38" i="10"/>
  <c r="F38" i="10"/>
  <c r="Q58" i="10"/>
  <c r="R55" i="10"/>
  <c r="H49" i="10"/>
  <c r="C12" i="10"/>
  <c r="F12" i="10"/>
  <c r="H44" i="10"/>
  <c r="M55" i="10"/>
  <c r="M58" i="10" s="1"/>
  <c r="AS59" i="10"/>
  <c r="AT58" i="10"/>
  <c r="AC55" i="10"/>
  <c r="AC58" i="10" s="1"/>
  <c r="V55" i="10"/>
  <c r="V58" i="10" s="1"/>
  <c r="C40" i="10"/>
  <c r="F40" i="10"/>
  <c r="BA58" i="10"/>
  <c r="AZ59" i="10"/>
  <c r="W55" i="10"/>
  <c r="W58" i="10" s="1"/>
  <c r="BQ55" i="10"/>
  <c r="BQ58" i="10" s="1"/>
  <c r="CQ58" i="10"/>
  <c r="CP59" i="10"/>
  <c r="C17" i="10"/>
  <c r="F17" i="10"/>
  <c r="F47" i="10"/>
  <c r="C47" i="10"/>
  <c r="BO58" i="10"/>
  <c r="BN59" i="10"/>
  <c r="J58" i="10"/>
  <c r="K55" i="10"/>
  <c r="AA55" i="10"/>
  <c r="AA58" i="10" s="1"/>
  <c r="F37" i="10"/>
  <c r="C37" i="10"/>
  <c r="F5" i="10"/>
  <c r="F55" i="10" s="1"/>
  <c r="F58" i="10" s="1"/>
  <c r="H4" i="10"/>
  <c r="AE58" i="10"/>
  <c r="AF55" i="10"/>
  <c r="C10" i="10"/>
  <c r="F10" i="10"/>
  <c r="C5" i="10"/>
  <c r="O55" i="10"/>
  <c r="O58" i="10" s="1"/>
  <c r="H37" i="10"/>
  <c r="BV58" i="10"/>
  <c r="BU59" i="10"/>
  <c r="P55" i="10"/>
  <c r="P58" i="10" s="1"/>
  <c r="C45" i="10"/>
  <c r="F45" i="10"/>
  <c r="D55" i="10"/>
  <c r="D58" i="10" s="1"/>
  <c r="C7" i="10"/>
  <c r="I37" i="10"/>
  <c r="I55" i="10" s="1"/>
  <c r="I58" i="10" s="1"/>
  <c r="BH58" i="10"/>
  <c r="BG59" i="10"/>
  <c r="CI59" i="10"/>
  <c r="CJ58" i="10"/>
  <c r="T55" i="10"/>
  <c r="T58" i="10" s="1"/>
  <c r="C13" i="10"/>
  <c r="G55" i="10"/>
  <c r="G58" i="10" s="1"/>
  <c r="AL59" i="10"/>
  <c r="AM58" i="10"/>
  <c r="C24" i="10"/>
  <c r="F24" i="10"/>
  <c r="CB59" i="10"/>
  <c r="CC58" i="10"/>
  <c r="F22" i="10"/>
  <c r="C22" i="10"/>
  <c r="X59" i="10"/>
  <c r="Y58" i="10"/>
  <c r="J58" i="9"/>
  <c r="K55" i="9"/>
  <c r="F25" i="9"/>
  <c r="C25" i="9"/>
  <c r="F50" i="9"/>
  <c r="M55" i="9"/>
  <c r="M58" i="9" s="1"/>
  <c r="W55" i="9"/>
  <c r="W58" i="9" s="1"/>
  <c r="AL59" i="9"/>
  <c r="AM58" i="9"/>
  <c r="C37" i="9"/>
  <c r="F37" i="9"/>
  <c r="AE59" i="9"/>
  <c r="AF58" i="9"/>
  <c r="D55" i="9"/>
  <c r="D58" i="9" s="1"/>
  <c r="C50" i="9"/>
  <c r="AC55" i="9"/>
  <c r="AC58" i="9" s="1"/>
  <c r="K37" i="9"/>
  <c r="I37" i="9"/>
  <c r="I55" i="9" s="1"/>
  <c r="I58" i="9" s="1"/>
  <c r="C8" i="9"/>
  <c r="F8" i="9"/>
  <c r="F17" i="9"/>
  <c r="C17" i="9"/>
  <c r="AV55" i="9"/>
  <c r="AV58" i="9" s="1"/>
  <c r="F11" i="9"/>
  <c r="C11" i="9"/>
  <c r="F45" i="9"/>
  <c r="C45" i="9"/>
  <c r="BC55" i="9"/>
  <c r="BC58" i="9" s="1"/>
  <c r="V55" i="9"/>
  <c r="V58" i="9" s="1"/>
  <c r="C9" i="9"/>
  <c r="F9" i="9"/>
  <c r="C4" i="9"/>
  <c r="T55" i="9"/>
  <c r="T58" i="9" s="1"/>
  <c r="X59" i="9"/>
  <c r="Y58" i="9"/>
  <c r="C20" i="9"/>
  <c r="F20" i="9"/>
  <c r="F55" i="9"/>
  <c r="F58" i="9" s="1"/>
  <c r="AJ37" i="8"/>
  <c r="H37" i="8" s="1"/>
  <c r="H55" i="8" s="1"/>
  <c r="H58" i="8" s="1"/>
  <c r="C29" i="8"/>
  <c r="AV55" i="8"/>
  <c r="AV58" i="8" s="1"/>
  <c r="F24" i="8"/>
  <c r="C24" i="8"/>
  <c r="Q59" i="8"/>
  <c r="R58" i="8"/>
  <c r="F21" i="8"/>
  <c r="C21" i="8"/>
  <c r="AF58" i="8"/>
  <c r="AE59" i="8"/>
  <c r="O49" i="8"/>
  <c r="H49" i="8" s="1"/>
  <c r="F36" i="8"/>
  <c r="D55" i="8"/>
  <c r="D58" i="8" s="1"/>
  <c r="J55" i="8"/>
  <c r="X58" i="8"/>
  <c r="Y55" i="8"/>
  <c r="F49" i="8"/>
  <c r="C49" i="8"/>
  <c r="T55" i="8"/>
  <c r="T58" i="8" s="1"/>
  <c r="F26" i="8"/>
  <c r="F20" i="8"/>
  <c r="C20" i="8"/>
  <c r="F16" i="8"/>
  <c r="I55" i="8"/>
  <c r="I58" i="8" s="1"/>
  <c r="AJ55" i="8"/>
  <c r="AJ58" i="8" s="1"/>
  <c r="F9" i="8"/>
  <c r="C9" i="8"/>
  <c r="F11" i="8"/>
  <c r="C11" i="8"/>
  <c r="F39" i="8"/>
  <c r="P55" i="8"/>
  <c r="P58" i="8" s="1"/>
  <c r="C33" i="8"/>
  <c r="F33" i="8"/>
  <c r="O55" i="8"/>
  <c r="O58" i="8" s="1"/>
  <c r="AO55" i="8"/>
  <c r="AO58" i="8" s="1"/>
  <c r="H12" i="8"/>
  <c r="AA55" i="8"/>
  <c r="AA58" i="8" s="1"/>
  <c r="C12" i="8"/>
  <c r="F12" i="8"/>
  <c r="C41" i="8"/>
  <c r="F41" i="8"/>
  <c r="AM58" i="8"/>
  <c r="AL59" i="8"/>
  <c r="H37" i="7"/>
  <c r="F49" i="7"/>
  <c r="C49" i="7"/>
  <c r="C32" i="7"/>
  <c r="F32" i="7"/>
  <c r="AL59" i="7"/>
  <c r="AM58" i="7"/>
  <c r="C25" i="7"/>
  <c r="F25" i="7"/>
  <c r="F40" i="7"/>
  <c r="C40" i="7"/>
  <c r="H49" i="7"/>
  <c r="H55" i="7" s="1"/>
  <c r="H58" i="7" s="1"/>
  <c r="V55" i="7"/>
  <c r="V58" i="7" s="1"/>
  <c r="C51" i="7"/>
  <c r="F51" i="7"/>
  <c r="F17" i="7"/>
  <c r="C17" i="7"/>
  <c r="AA55" i="7"/>
  <c r="AA58" i="7" s="1"/>
  <c r="AK55" i="7"/>
  <c r="AK58" i="7" s="1"/>
  <c r="F41" i="7"/>
  <c r="C41" i="7"/>
  <c r="F45" i="7"/>
  <c r="C45" i="7"/>
  <c r="J58" i="7"/>
  <c r="K55" i="7"/>
  <c r="F28" i="7"/>
  <c r="C28" i="7"/>
  <c r="F39" i="7"/>
  <c r="C39" i="7"/>
  <c r="AE59" i="7"/>
  <c r="AF58" i="7"/>
  <c r="C34" i="7"/>
  <c r="F34" i="7"/>
  <c r="AD55" i="7"/>
  <c r="AD58" i="7" s="1"/>
  <c r="AC55" i="7"/>
  <c r="AC58" i="7" s="1"/>
  <c r="R55" i="7"/>
  <c r="Q58" i="7"/>
  <c r="C23" i="7"/>
  <c r="F23" i="7"/>
  <c r="D55" i="7"/>
  <c r="D58" i="7" s="1"/>
  <c r="F24" i="7"/>
  <c r="C24" i="7"/>
  <c r="C11" i="7"/>
  <c r="F11" i="7"/>
  <c r="C30" i="7"/>
  <c r="F30" i="7"/>
  <c r="C8" i="7"/>
  <c r="F5" i="7"/>
  <c r="C5" i="7"/>
  <c r="M55" i="7"/>
  <c r="M58" i="7" s="1"/>
  <c r="I49" i="7"/>
  <c r="I55" i="7" s="1"/>
  <c r="I58" i="7" s="1"/>
  <c r="X59" i="7"/>
  <c r="Y58" i="7"/>
  <c r="O55" i="6"/>
  <c r="O58" i="6" s="1"/>
  <c r="J58" i="6"/>
  <c r="K55" i="6"/>
  <c r="AC4" i="6"/>
  <c r="AC55" i="6" s="1"/>
  <c r="AC58" i="6" s="1"/>
  <c r="F5" i="6"/>
  <c r="C5" i="6"/>
  <c r="C57" i="6"/>
  <c r="F57" i="6"/>
  <c r="F40" i="6"/>
  <c r="C40" i="6"/>
  <c r="C20" i="6"/>
  <c r="C7" i="6"/>
  <c r="F7" i="6"/>
  <c r="C54" i="6"/>
  <c r="F54" i="6"/>
  <c r="V55" i="6"/>
  <c r="V58" i="6" s="1"/>
  <c r="F33" i="6"/>
  <c r="C33" i="6"/>
  <c r="C56" i="6"/>
  <c r="F56" i="6"/>
  <c r="T55" i="6"/>
  <c r="T58" i="6" s="1"/>
  <c r="AE58" i="6"/>
  <c r="AF55" i="6"/>
  <c r="K4" i="6"/>
  <c r="X58" i="6"/>
  <c r="Y55" i="6"/>
  <c r="F39" i="6"/>
  <c r="C39" i="6"/>
  <c r="F13" i="6"/>
  <c r="C45" i="6"/>
  <c r="F45" i="6"/>
  <c r="AM55" i="6"/>
  <c r="AL58" i="6"/>
  <c r="C22" i="6"/>
  <c r="F22" i="6"/>
  <c r="F53" i="6"/>
  <c r="C53" i="6"/>
  <c r="M55" i="6"/>
  <c r="M58" i="6" s="1"/>
  <c r="F4" i="6"/>
  <c r="C4" i="6"/>
  <c r="C41" i="6"/>
  <c r="F41" i="6"/>
  <c r="P55" i="6"/>
  <c r="P58" i="6" s="1"/>
  <c r="I4" i="6"/>
  <c r="I55" i="6" s="1"/>
  <c r="I58" i="6" s="1"/>
  <c r="D55" i="6"/>
  <c r="D58" i="6" s="1"/>
  <c r="F17" i="6"/>
  <c r="C17" i="6"/>
  <c r="AO55" i="6"/>
  <c r="AO58" i="6" s="1"/>
  <c r="Q58" i="6"/>
  <c r="R55" i="6"/>
  <c r="F9" i="6"/>
  <c r="C9" i="6"/>
  <c r="F44" i="6"/>
  <c r="C44" i="6"/>
  <c r="G55" i="6"/>
  <c r="G58" i="6" s="1"/>
  <c r="C35" i="6"/>
  <c r="F35" i="6"/>
  <c r="C11" i="6"/>
  <c r="F11" i="6"/>
  <c r="C44" i="5"/>
  <c r="F44" i="5"/>
  <c r="F38" i="5"/>
  <c r="C38" i="5"/>
  <c r="C16" i="5"/>
  <c r="C23" i="5"/>
  <c r="F23" i="5"/>
  <c r="F50" i="5"/>
  <c r="C50" i="5"/>
  <c r="AF55" i="5"/>
  <c r="AE58" i="5"/>
  <c r="X59" i="5"/>
  <c r="Y58" i="5"/>
  <c r="F22" i="5"/>
  <c r="C22" i="5"/>
  <c r="AH55" i="5"/>
  <c r="AH58" i="5" s="1"/>
  <c r="AD55" i="5"/>
  <c r="AD58" i="5" s="1"/>
  <c r="AJ55" i="5"/>
  <c r="AJ58" i="5" s="1"/>
  <c r="C20" i="5"/>
  <c r="F20" i="5"/>
  <c r="J55" i="5"/>
  <c r="R55" i="5"/>
  <c r="Q58" i="5"/>
  <c r="C12" i="5"/>
  <c r="AK55" i="5"/>
  <c r="AK58" i="5" s="1"/>
  <c r="I4" i="5"/>
  <c r="I49" i="5"/>
  <c r="T55" i="5"/>
  <c r="T58" i="5" s="1"/>
  <c r="C34" i="5"/>
  <c r="F34" i="5"/>
  <c r="AA55" i="5"/>
  <c r="AA58" i="5" s="1"/>
  <c r="H4" i="5"/>
  <c r="F14" i="5"/>
  <c r="C14" i="5"/>
  <c r="H37" i="5"/>
  <c r="AM55" i="5"/>
  <c r="AL58" i="5"/>
  <c r="C29" i="5"/>
  <c r="F45" i="5"/>
  <c r="C45" i="5"/>
  <c r="C52" i="5"/>
  <c r="F52" i="5"/>
  <c r="O55" i="5"/>
  <c r="O58" i="5" s="1"/>
  <c r="I37" i="5"/>
  <c r="F4" i="5"/>
  <c r="F55" i="5" s="1"/>
  <c r="F58" i="5" s="1"/>
  <c r="AC49" i="5"/>
  <c r="H49" i="5" s="1"/>
  <c r="G55" i="5"/>
  <c r="G58" i="5" s="1"/>
  <c r="O55" i="4"/>
  <c r="O58" i="4" s="1"/>
  <c r="F22" i="4"/>
  <c r="C22" i="4"/>
  <c r="M55" i="4"/>
  <c r="M58" i="4" s="1"/>
  <c r="F32" i="4"/>
  <c r="C32" i="4"/>
  <c r="I37" i="4"/>
  <c r="P55" i="4"/>
  <c r="P58" i="4" s="1"/>
  <c r="I4" i="4"/>
  <c r="V49" i="4"/>
  <c r="V55" i="4" s="1"/>
  <c r="V58" i="4" s="1"/>
  <c r="F45" i="4"/>
  <c r="C45" i="4"/>
  <c r="AJ55" i="4"/>
  <c r="AJ58" i="4" s="1"/>
  <c r="J55" i="4"/>
  <c r="K4" i="4"/>
  <c r="AE58" i="4"/>
  <c r="AF55" i="4"/>
  <c r="C44" i="4"/>
  <c r="F44" i="4"/>
  <c r="F29" i="4"/>
  <c r="C29" i="4"/>
  <c r="Q58" i="4"/>
  <c r="R55" i="4"/>
  <c r="C46" i="4"/>
  <c r="F46" i="4"/>
  <c r="F51" i="4"/>
  <c r="C51" i="4"/>
  <c r="F53" i="4"/>
  <c r="C53" i="4"/>
  <c r="H37" i="4"/>
  <c r="C16" i="4"/>
  <c r="F16" i="4"/>
  <c r="H49" i="4"/>
  <c r="F28" i="4"/>
  <c r="T55" i="4"/>
  <c r="T58" i="4" s="1"/>
  <c r="F49" i="4"/>
  <c r="C49" i="4"/>
  <c r="AM55" i="4"/>
  <c r="AL58" i="4"/>
  <c r="F23" i="4"/>
  <c r="C23" i="4"/>
  <c r="AC4" i="4"/>
  <c r="AC55" i="4" s="1"/>
  <c r="AC58" i="4" s="1"/>
  <c r="O55" i="3"/>
  <c r="O58" i="3" s="1"/>
  <c r="H4" i="3"/>
  <c r="C36" i="3"/>
  <c r="F36" i="3"/>
  <c r="V49" i="3"/>
  <c r="V55" i="3" s="1"/>
  <c r="V58" i="3" s="1"/>
  <c r="C18" i="3"/>
  <c r="F18" i="3"/>
  <c r="C5" i="3"/>
  <c r="P55" i="3"/>
  <c r="P58" i="3" s="1"/>
  <c r="I4" i="3"/>
  <c r="I55" i="3" s="1"/>
  <c r="I58" i="3" s="1"/>
  <c r="C12" i="3"/>
  <c r="F12" i="3"/>
  <c r="F7" i="3"/>
  <c r="C7" i="3"/>
  <c r="J55" i="3"/>
  <c r="K4" i="3"/>
  <c r="AL58" i="3"/>
  <c r="AM55" i="3"/>
  <c r="C28" i="3"/>
  <c r="F28" i="3"/>
  <c r="F57" i="3"/>
  <c r="C22" i="3"/>
  <c r="F22" i="3"/>
  <c r="R55" i="3"/>
  <c r="Q58" i="3"/>
  <c r="D55" i="3"/>
  <c r="D58" i="3" s="1"/>
  <c r="F20" i="3"/>
  <c r="C20" i="3"/>
  <c r="AH58" i="3"/>
  <c r="C21" i="3"/>
  <c r="F21" i="3"/>
  <c r="AE58" i="3"/>
  <c r="AF55" i="3"/>
  <c r="C33" i="3"/>
  <c r="F33" i="3"/>
  <c r="C45" i="3"/>
  <c r="F45" i="3"/>
  <c r="AJ49" i="3"/>
  <c r="AJ55" i="3" s="1"/>
  <c r="AJ58" i="3" s="1"/>
  <c r="C26" i="3"/>
  <c r="W55" i="3"/>
  <c r="W58" i="3" s="1"/>
  <c r="C24" i="3"/>
  <c r="F24" i="3"/>
  <c r="T55" i="3"/>
  <c r="T58" i="3" s="1"/>
  <c r="C4" i="3"/>
  <c r="C17" i="3"/>
  <c r="F17" i="3"/>
  <c r="X58" i="3"/>
  <c r="Y55" i="3"/>
  <c r="C56" i="3"/>
  <c r="F56" i="3"/>
  <c r="F5" i="3"/>
  <c r="F55" i="3" s="1"/>
  <c r="F58" i="3" s="1"/>
  <c r="M55" i="3"/>
  <c r="M58" i="3" s="1"/>
  <c r="H30" i="1"/>
  <c r="I30" i="1"/>
  <c r="K30" i="2"/>
  <c r="D14" i="2"/>
  <c r="CG55" i="2"/>
  <c r="CG58" i="2" s="1"/>
  <c r="D24" i="2"/>
  <c r="I53" i="1"/>
  <c r="F49" i="2"/>
  <c r="K54" i="1"/>
  <c r="H38" i="1"/>
  <c r="I46" i="1"/>
  <c r="I44" i="1"/>
  <c r="AC38" i="1"/>
  <c r="I14" i="1"/>
  <c r="H6" i="2"/>
  <c r="G29" i="1"/>
  <c r="D52" i="2"/>
  <c r="D46" i="2"/>
  <c r="H37" i="2"/>
  <c r="I56" i="1"/>
  <c r="T36" i="1"/>
  <c r="C36" i="1" s="1"/>
  <c r="AA14" i="1"/>
  <c r="AJ32" i="1"/>
  <c r="H32" i="1" s="1"/>
  <c r="AR55" i="1"/>
  <c r="AR58" i="1" s="1"/>
  <c r="I6" i="1"/>
  <c r="I8" i="1"/>
  <c r="I52" i="1"/>
  <c r="D35" i="1"/>
  <c r="I31" i="1"/>
  <c r="K39" i="2"/>
  <c r="K36" i="2"/>
  <c r="D30" i="2"/>
  <c r="H39" i="2"/>
  <c r="G12" i="2"/>
  <c r="H53" i="2"/>
  <c r="H48" i="2"/>
  <c r="K10" i="2"/>
  <c r="H5" i="2"/>
  <c r="W49" i="1"/>
  <c r="V49" i="1" s="1"/>
  <c r="I57" i="1"/>
  <c r="I45" i="1"/>
  <c r="K13" i="1"/>
  <c r="BA55" i="1"/>
  <c r="F50" i="2"/>
  <c r="H52" i="2"/>
  <c r="AH19" i="2"/>
  <c r="AH58" i="2" s="1"/>
  <c r="AH32" i="2"/>
  <c r="C32" i="2" s="1"/>
  <c r="AF49" i="1"/>
  <c r="F35" i="2"/>
  <c r="F20" i="2"/>
  <c r="G23" i="2"/>
  <c r="D19" i="2"/>
  <c r="H47" i="1"/>
  <c r="CM55" i="1"/>
  <c r="CM58" i="1" s="1"/>
  <c r="D57" i="1"/>
  <c r="K48" i="1"/>
  <c r="G34" i="1"/>
  <c r="G11" i="1"/>
  <c r="BV55" i="1"/>
  <c r="K38" i="1"/>
  <c r="C56" i="1"/>
  <c r="D46" i="1"/>
  <c r="H44" i="1"/>
  <c r="D38" i="1"/>
  <c r="BK55" i="1"/>
  <c r="BK58" i="1" s="1"/>
  <c r="C57" i="2"/>
  <c r="T16" i="2"/>
  <c r="AH5" i="2"/>
  <c r="K14" i="2"/>
  <c r="CN55" i="2"/>
  <c r="CN58" i="2" s="1"/>
  <c r="T22" i="1"/>
  <c r="D13" i="1"/>
  <c r="C49" i="2"/>
  <c r="G52" i="2"/>
  <c r="AA14" i="2"/>
  <c r="F14" i="2" s="1"/>
  <c r="AJ55" i="2"/>
  <c r="AJ58" i="2" s="1"/>
  <c r="AO10" i="2"/>
  <c r="C10" i="2" s="1"/>
  <c r="T7" i="2"/>
  <c r="F7" i="2" s="1"/>
  <c r="G27" i="2"/>
  <c r="AH42" i="1"/>
  <c r="H54" i="1"/>
  <c r="I54" i="1"/>
  <c r="F53" i="1"/>
  <c r="H43" i="1"/>
  <c r="D18" i="1"/>
  <c r="F32" i="2"/>
  <c r="K37" i="2"/>
  <c r="D27" i="2"/>
  <c r="D45" i="1"/>
  <c r="D15" i="1"/>
  <c r="G56" i="1"/>
  <c r="K51" i="1"/>
  <c r="C30" i="1"/>
  <c r="I36" i="1"/>
  <c r="G51" i="1"/>
  <c r="D28" i="1"/>
  <c r="K16" i="1"/>
  <c r="BD55" i="1"/>
  <c r="BD58" i="1" s="1"/>
  <c r="I11" i="1"/>
  <c r="D50" i="2"/>
  <c r="K40" i="2"/>
  <c r="D20" i="2"/>
  <c r="D37" i="2"/>
  <c r="C31" i="2"/>
  <c r="G14" i="2"/>
  <c r="G10" i="2"/>
  <c r="K50" i="1"/>
  <c r="I40" i="1"/>
  <c r="AA34" i="1"/>
  <c r="C34" i="1" s="1"/>
  <c r="AV35" i="1"/>
  <c r="V46" i="1"/>
  <c r="D53" i="1"/>
  <c r="AO29" i="1"/>
  <c r="C29" i="1" s="1"/>
  <c r="D51" i="2"/>
  <c r="H43" i="2"/>
  <c r="BC30" i="2"/>
  <c r="C30" i="2" s="1"/>
  <c r="C4" i="2"/>
  <c r="B55" i="2"/>
  <c r="B58" i="2" s="1"/>
  <c r="H9" i="2"/>
  <c r="G33" i="1"/>
  <c r="F44" i="2"/>
  <c r="C44" i="2"/>
  <c r="C40" i="2"/>
  <c r="F40" i="2"/>
  <c r="C36" i="2"/>
  <c r="F36" i="2"/>
  <c r="F33" i="2"/>
  <c r="C33" i="2"/>
  <c r="F38" i="2"/>
  <c r="C38" i="2"/>
  <c r="C23" i="2"/>
  <c r="F23" i="2"/>
  <c r="C35" i="2"/>
  <c r="C39" i="2"/>
  <c r="K56" i="2"/>
  <c r="C26" i="2"/>
  <c r="F26" i="2"/>
  <c r="C8" i="2"/>
  <c r="F8" i="2"/>
  <c r="D41" i="2"/>
  <c r="G9" i="2"/>
  <c r="D9" i="2"/>
  <c r="AL58" i="2"/>
  <c r="AM55" i="2"/>
  <c r="F6" i="2"/>
  <c r="C6" i="2"/>
  <c r="AT58" i="2"/>
  <c r="AQ58" i="2"/>
  <c r="F31" i="2"/>
  <c r="D5" i="2"/>
  <c r="K38" i="2"/>
  <c r="D16" i="2"/>
  <c r="C14" i="2"/>
  <c r="AV7" i="2"/>
  <c r="C47" i="2"/>
  <c r="F47" i="2"/>
  <c r="K50" i="2"/>
  <c r="AA51" i="2"/>
  <c r="CL50" i="2"/>
  <c r="C37" i="2"/>
  <c r="F37" i="2"/>
  <c r="K54" i="2"/>
  <c r="AH46" i="2"/>
  <c r="C46" i="2" s="1"/>
  <c r="D39" i="2"/>
  <c r="AV20" i="2"/>
  <c r="C20" i="2" s="1"/>
  <c r="F24" i="2"/>
  <c r="C24" i="2"/>
  <c r="G13" i="2"/>
  <c r="D13" i="2"/>
  <c r="K9" i="2"/>
  <c r="D4" i="2"/>
  <c r="G4" i="2"/>
  <c r="D23" i="2"/>
  <c r="BJ19" i="2"/>
  <c r="C27" i="2"/>
  <c r="F27" i="2"/>
  <c r="O55" i="2"/>
  <c r="O58" i="2" s="1"/>
  <c r="H4" i="2"/>
  <c r="K31" i="2"/>
  <c r="AA12" i="2"/>
  <c r="F12" i="2" s="1"/>
  <c r="BZ55" i="2"/>
  <c r="BZ58" i="2" s="1"/>
  <c r="H7" i="2"/>
  <c r="G56" i="2"/>
  <c r="D56" i="2"/>
  <c r="M56" i="2"/>
  <c r="G51" i="2"/>
  <c r="G54" i="2"/>
  <c r="D54" i="2"/>
  <c r="G33" i="2"/>
  <c r="D33" i="2"/>
  <c r="G29" i="2"/>
  <c r="D29" i="2"/>
  <c r="D36" i="2"/>
  <c r="F34" i="2"/>
  <c r="C34" i="2"/>
  <c r="F28" i="2"/>
  <c r="C28" i="2"/>
  <c r="CI58" i="2"/>
  <c r="CJ55" i="2"/>
  <c r="G15" i="2"/>
  <c r="D15" i="2"/>
  <c r="CP58" i="2"/>
  <c r="CQ55" i="2"/>
  <c r="M15" i="2"/>
  <c r="D22" i="2"/>
  <c r="G22" i="2"/>
  <c r="D44" i="2"/>
  <c r="G44" i="2"/>
  <c r="CB58" i="2"/>
  <c r="CC55" i="2"/>
  <c r="G38" i="2"/>
  <c r="D38" i="2"/>
  <c r="AX55" i="2"/>
  <c r="AX58" i="2" s="1"/>
  <c r="C48" i="2"/>
  <c r="G43" i="2"/>
  <c r="D43" i="2"/>
  <c r="G36" i="2"/>
  <c r="G28" i="2"/>
  <c r="D28" i="2"/>
  <c r="F39" i="2"/>
  <c r="C13" i="2"/>
  <c r="F13" i="2"/>
  <c r="J55" i="2"/>
  <c r="C18" i="2"/>
  <c r="F18" i="2"/>
  <c r="G45" i="2"/>
  <c r="T45" i="2"/>
  <c r="G31" i="2"/>
  <c r="D31" i="2"/>
  <c r="V55" i="2"/>
  <c r="V58" i="2" s="1"/>
  <c r="BE55" i="2"/>
  <c r="BE58" i="2" s="1"/>
  <c r="F19" i="2"/>
  <c r="C19" i="2"/>
  <c r="C21" i="2"/>
  <c r="F21" i="2"/>
  <c r="BH55" i="2"/>
  <c r="BG58" i="2"/>
  <c r="T37" i="2"/>
  <c r="C25" i="2"/>
  <c r="F25" i="2"/>
  <c r="BA55" i="2"/>
  <c r="AZ58" i="2"/>
  <c r="E55" i="2"/>
  <c r="E58" i="2" s="1"/>
  <c r="K51" i="2"/>
  <c r="D48" i="2"/>
  <c r="G46" i="2"/>
  <c r="D42" i="2"/>
  <c r="G42" i="2"/>
  <c r="C50" i="2"/>
  <c r="F46" i="2"/>
  <c r="F30" i="2"/>
  <c r="K12" i="2"/>
  <c r="BN58" i="2"/>
  <c r="BO55" i="2"/>
  <c r="D32" i="2"/>
  <c r="M22" i="2"/>
  <c r="D18" i="2"/>
  <c r="G18" i="2"/>
  <c r="M54" i="2"/>
  <c r="C42" i="2"/>
  <c r="F42" i="2"/>
  <c r="F51" i="2"/>
  <c r="C51" i="2"/>
  <c r="D47" i="2"/>
  <c r="G47" i="2"/>
  <c r="F53" i="2"/>
  <c r="C53" i="2"/>
  <c r="G53" i="2"/>
  <c r="D53" i="2"/>
  <c r="G34" i="2"/>
  <c r="D34" i="2"/>
  <c r="G26" i="2"/>
  <c r="D26" i="2"/>
  <c r="AF55" i="2"/>
  <c r="AE58" i="2"/>
  <c r="K4" i="2"/>
  <c r="D17" i="2"/>
  <c r="M9" i="2"/>
  <c r="M55" i="2" s="1"/>
  <c r="M58" i="2" s="1"/>
  <c r="R55" i="2"/>
  <c r="BV55" i="2"/>
  <c r="BU58" i="2"/>
  <c r="F10" i="2"/>
  <c r="X58" i="2"/>
  <c r="Y55" i="2"/>
  <c r="D11" i="2"/>
  <c r="D40" i="2"/>
  <c r="G40" i="2"/>
  <c r="D45" i="2"/>
  <c r="T52" i="2"/>
  <c r="M43" i="2"/>
  <c r="D21" i="2"/>
  <c r="G21" i="2"/>
  <c r="M29" i="2"/>
  <c r="D35" i="2"/>
  <c r="G35" i="2"/>
  <c r="AA41" i="2"/>
  <c r="AA17" i="2"/>
  <c r="G6" i="2"/>
  <c r="D6" i="2"/>
  <c r="R58" i="2"/>
  <c r="K16" i="2"/>
  <c r="AT55" i="2"/>
  <c r="F4" i="2"/>
  <c r="G25" i="2"/>
  <c r="D25" i="2"/>
  <c r="AA16" i="2"/>
  <c r="C16" i="2" s="1"/>
  <c r="G11" i="2"/>
  <c r="F50" i="1"/>
  <c r="C50" i="1"/>
  <c r="C9" i="1"/>
  <c r="F21" i="1"/>
  <c r="C21" i="1"/>
  <c r="H39" i="1"/>
  <c r="F48" i="1"/>
  <c r="C48" i="1"/>
  <c r="H13" i="1"/>
  <c r="C53" i="1"/>
  <c r="F27" i="1"/>
  <c r="C27" i="1"/>
  <c r="F17" i="1"/>
  <c r="C17" i="1"/>
  <c r="C10" i="1"/>
  <c r="F10" i="1"/>
  <c r="CN55" i="1"/>
  <c r="CN58" i="1" s="1"/>
  <c r="H14" i="1"/>
  <c r="H57" i="1"/>
  <c r="AC53" i="1"/>
  <c r="K52" i="1"/>
  <c r="I48" i="1"/>
  <c r="BE40" i="1"/>
  <c r="H40" i="1" s="1"/>
  <c r="G53" i="1"/>
  <c r="F32" i="1"/>
  <c r="C32" i="1"/>
  <c r="F29" i="1"/>
  <c r="T11" i="1"/>
  <c r="D19" i="1"/>
  <c r="B55" i="1"/>
  <c r="B58" i="1" s="1"/>
  <c r="Q55" i="1"/>
  <c r="P4" i="1"/>
  <c r="O4" i="1" s="1"/>
  <c r="J4" i="1"/>
  <c r="AA8" i="1"/>
  <c r="CH55" i="1"/>
  <c r="CH58" i="1" s="1"/>
  <c r="G6" i="1"/>
  <c r="D6" i="1"/>
  <c r="E55" i="1"/>
  <c r="E58" i="1" s="1"/>
  <c r="H7" i="1"/>
  <c r="AY55" i="1"/>
  <c r="AY58" i="1" s="1"/>
  <c r="T13" i="1"/>
  <c r="BH55" i="1"/>
  <c r="G5" i="1"/>
  <c r="I10" i="1"/>
  <c r="F42" i="1"/>
  <c r="C42" i="1"/>
  <c r="AH43" i="1"/>
  <c r="F43" i="1" s="1"/>
  <c r="O49" i="1"/>
  <c r="G45" i="1"/>
  <c r="I43" i="1"/>
  <c r="K36" i="1"/>
  <c r="AX31" i="1"/>
  <c r="F36" i="1"/>
  <c r="D23" i="1"/>
  <c r="G23" i="1"/>
  <c r="H31" i="1"/>
  <c r="AC36" i="1"/>
  <c r="H36" i="1" s="1"/>
  <c r="C14" i="1"/>
  <c r="F14" i="1"/>
  <c r="AA28" i="1"/>
  <c r="C28" i="1" s="1"/>
  <c r="G21" i="1"/>
  <c r="D21" i="1"/>
  <c r="BF55" i="1"/>
  <c r="BF58" i="1" s="1"/>
  <c r="AA5" i="1"/>
  <c r="AQ8" i="1"/>
  <c r="AQ55" i="1" s="1"/>
  <c r="AQ58" i="1" s="1"/>
  <c r="BE4" i="1"/>
  <c r="K6" i="1"/>
  <c r="CI58" i="1"/>
  <c r="CJ55" i="1"/>
  <c r="AP55" i="1"/>
  <c r="AP58" i="1" s="1"/>
  <c r="AA57" i="1"/>
  <c r="C57" i="1" s="1"/>
  <c r="D50" i="1"/>
  <c r="G50" i="1"/>
  <c r="G49" i="1"/>
  <c r="D49" i="1"/>
  <c r="M49" i="1"/>
  <c r="D47" i="1"/>
  <c r="T47" i="1"/>
  <c r="G44" i="1"/>
  <c r="D44" i="1"/>
  <c r="D48" i="1"/>
  <c r="G48" i="1"/>
  <c r="H12" i="1"/>
  <c r="G27" i="1"/>
  <c r="D27" i="1"/>
  <c r="T18" i="1"/>
  <c r="C18" i="1" s="1"/>
  <c r="AW55" i="1"/>
  <c r="AW58" i="1" s="1"/>
  <c r="AV4" i="1"/>
  <c r="F15" i="1"/>
  <c r="C15" i="1"/>
  <c r="BY55" i="1"/>
  <c r="BY58" i="1" s="1"/>
  <c r="BX4" i="1"/>
  <c r="BX55" i="1" s="1"/>
  <c r="BX58" i="1" s="1"/>
  <c r="AA19" i="1"/>
  <c r="C19" i="1" s="1"/>
  <c r="BC8" i="1"/>
  <c r="BC55" i="1" s="1"/>
  <c r="BC58" i="1" s="1"/>
  <c r="N55" i="1"/>
  <c r="N58" i="1" s="1"/>
  <c r="G4" i="1"/>
  <c r="D4" i="1"/>
  <c r="BV58" i="1"/>
  <c r="BZ55" i="1"/>
  <c r="BZ58" i="1" s="1"/>
  <c r="BE6" i="1"/>
  <c r="H6" i="1" s="1"/>
  <c r="H10" i="1"/>
  <c r="G31" i="1"/>
  <c r="D31" i="1"/>
  <c r="C38" i="1"/>
  <c r="AK37" i="1"/>
  <c r="AJ37" i="1" s="1"/>
  <c r="CO55" i="1"/>
  <c r="CO58" i="1" s="1"/>
  <c r="D17" i="1"/>
  <c r="G17" i="1"/>
  <c r="Y5" i="1"/>
  <c r="W5" i="1"/>
  <c r="V5" i="1" s="1"/>
  <c r="H5" i="1" s="1"/>
  <c r="J5" i="1"/>
  <c r="K5" i="1" s="1"/>
  <c r="G10" i="1"/>
  <c r="D10" i="1"/>
  <c r="D8" i="1"/>
  <c r="AL55" i="1"/>
  <c r="AK4" i="1"/>
  <c r="AJ4" i="1"/>
  <c r="CC55" i="1"/>
  <c r="CB58" i="1"/>
  <c r="AE58" i="1"/>
  <c r="AF55" i="1"/>
  <c r="AJ45" i="1"/>
  <c r="H53" i="1"/>
  <c r="H50" i="1"/>
  <c r="C54" i="1"/>
  <c r="F54" i="1"/>
  <c r="H46" i="1"/>
  <c r="M31" i="1"/>
  <c r="G38" i="1"/>
  <c r="D39" i="1"/>
  <c r="G37" i="1"/>
  <c r="D37" i="1"/>
  <c r="F38" i="1"/>
  <c r="D32" i="1"/>
  <c r="F26" i="1"/>
  <c r="C26" i="1"/>
  <c r="F28" i="1"/>
  <c r="H16" i="1"/>
  <c r="I9" i="1"/>
  <c r="AA7" i="1"/>
  <c r="BO55" i="1"/>
  <c r="BM55" i="1"/>
  <c r="BM58" i="1" s="1"/>
  <c r="D7" i="1"/>
  <c r="CL12" i="1"/>
  <c r="CL55" i="1" s="1"/>
  <c r="CL58" i="1" s="1"/>
  <c r="BL4" i="1"/>
  <c r="BL55" i="1" s="1"/>
  <c r="BL58" i="1" s="1"/>
  <c r="I13" i="1"/>
  <c r="V11" i="1"/>
  <c r="H11" i="1" s="1"/>
  <c r="BQ55" i="1"/>
  <c r="BQ58" i="1" s="1"/>
  <c r="U55" i="1"/>
  <c r="U58" i="1" s="1"/>
  <c r="D56" i="1"/>
  <c r="C41" i="1"/>
  <c r="D51" i="1"/>
  <c r="I51" i="1"/>
  <c r="O51" i="1"/>
  <c r="H51" i="1" s="1"/>
  <c r="C45" i="1"/>
  <c r="F45" i="1"/>
  <c r="I50" i="1"/>
  <c r="G40" i="1"/>
  <c r="D40" i="1"/>
  <c r="C22" i="1"/>
  <c r="F22" i="1"/>
  <c r="AS58" i="1"/>
  <c r="AT55" i="1"/>
  <c r="G20" i="1"/>
  <c r="D20" i="1"/>
  <c r="M20" i="1"/>
  <c r="I16" i="1"/>
  <c r="AB55" i="1"/>
  <c r="AB58" i="1" s="1"/>
  <c r="AA4" i="1"/>
  <c r="BO58" i="1"/>
  <c r="BA58" i="1"/>
  <c r="G18" i="1"/>
  <c r="O9" i="1"/>
  <c r="H9" i="1" s="1"/>
  <c r="CF55" i="1"/>
  <c r="CF58" i="1" s="1"/>
  <c r="AI55" i="1"/>
  <c r="AI58" i="1" s="1"/>
  <c r="K12" i="1"/>
  <c r="I12" i="1"/>
  <c r="D9" i="1"/>
  <c r="BR55" i="1"/>
  <c r="BR58" i="1" s="1"/>
  <c r="AX4" i="1"/>
  <c r="AX55" i="1" s="1"/>
  <c r="AX58" i="1" s="1"/>
  <c r="W55" i="1"/>
  <c r="W58" i="1" s="1"/>
  <c r="F46" i="1"/>
  <c r="C46" i="1"/>
  <c r="F51" i="1"/>
  <c r="C51" i="1"/>
  <c r="G54" i="1"/>
  <c r="D54" i="1"/>
  <c r="D43" i="1"/>
  <c r="C39" i="1"/>
  <c r="F39" i="1"/>
  <c r="D33" i="1"/>
  <c r="M40" i="1"/>
  <c r="F33" i="1"/>
  <c r="D30" i="1"/>
  <c r="AD37" i="1"/>
  <c r="AC37" i="1" s="1"/>
  <c r="J37" i="1"/>
  <c r="K37" i="1" s="1"/>
  <c r="AF37" i="1"/>
  <c r="CP58" i="1"/>
  <c r="CQ55" i="1"/>
  <c r="G24" i="1"/>
  <c r="D24" i="1"/>
  <c r="M24" i="1"/>
  <c r="F25" i="1"/>
  <c r="C25" i="1"/>
  <c r="G28" i="1"/>
  <c r="D26" i="1"/>
  <c r="G26" i="1"/>
  <c r="D22" i="1"/>
  <c r="C16" i="1"/>
  <c r="F16" i="1"/>
  <c r="R4" i="1"/>
  <c r="AM4" i="1"/>
  <c r="CE4" i="1"/>
  <c r="CE55" i="1" s="1"/>
  <c r="CE58" i="1" s="1"/>
  <c r="D14" i="1"/>
  <c r="K9" i="1"/>
  <c r="I7" i="1"/>
  <c r="I5" i="1"/>
  <c r="G13" i="1"/>
  <c r="M6" i="1"/>
  <c r="D11" i="1"/>
  <c r="G12" i="1"/>
  <c r="D12" i="1"/>
  <c r="M12" i="1"/>
  <c r="BS55" i="1"/>
  <c r="BS58" i="1" s="1"/>
  <c r="BT55" i="1"/>
  <c r="BT58" i="1" s="1"/>
  <c r="V4" i="1"/>
  <c r="H48" i="1"/>
  <c r="AC52" i="1"/>
  <c r="H52" i="1" s="1"/>
  <c r="D52" i="1"/>
  <c r="G52" i="1"/>
  <c r="M52" i="1"/>
  <c r="O56" i="1"/>
  <c r="H56" i="1" s="1"/>
  <c r="H45" i="1"/>
  <c r="D36" i="1"/>
  <c r="M44" i="1"/>
  <c r="AO33" i="1"/>
  <c r="AO55" i="1" s="1"/>
  <c r="AO58" i="1" s="1"/>
  <c r="M37" i="1"/>
  <c r="BJ55" i="1"/>
  <c r="BJ58" i="1" s="1"/>
  <c r="M23" i="1"/>
  <c r="I15" i="1"/>
  <c r="O15" i="1"/>
  <c r="H15" i="1" s="1"/>
  <c r="G25" i="1"/>
  <c r="D25" i="1"/>
  <c r="C35" i="1"/>
  <c r="F35" i="1"/>
  <c r="F11" i="1"/>
  <c r="C11" i="1"/>
  <c r="G16" i="1"/>
  <c r="D16" i="1"/>
  <c r="CA55" i="1"/>
  <c r="CA58" i="1" s="1"/>
  <c r="AH4" i="1"/>
  <c r="CG4" i="1"/>
  <c r="CG55" i="1" s="1"/>
  <c r="CG58" i="1" s="1"/>
  <c r="BH58" i="1"/>
  <c r="G9" i="1"/>
  <c r="X55" i="1"/>
  <c r="F55" i="13" l="1"/>
  <c r="F58" i="13" s="1"/>
  <c r="C55" i="4"/>
  <c r="C58" i="4" s="1"/>
  <c r="C55" i="5"/>
  <c r="C58" i="5" s="1"/>
  <c r="F55" i="7"/>
  <c r="F58" i="7" s="1"/>
  <c r="C55" i="8"/>
  <c r="C58" i="8" s="1"/>
  <c r="F55" i="4"/>
  <c r="F58" i="4" s="1"/>
  <c r="C55" i="7"/>
  <c r="C58" i="7" s="1"/>
  <c r="F55" i="8"/>
  <c r="F58" i="8" s="1"/>
  <c r="C55" i="13"/>
  <c r="C58" i="13" s="1"/>
  <c r="J59" i="16"/>
  <c r="K58" i="16"/>
  <c r="AE59" i="10"/>
  <c r="AF58" i="10"/>
  <c r="K58" i="10"/>
  <c r="J59" i="10"/>
  <c r="C55" i="10"/>
  <c r="C58" i="10" s="1"/>
  <c r="R58" i="10"/>
  <c r="Q59" i="10"/>
  <c r="H55" i="10"/>
  <c r="H58" i="10" s="1"/>
  <c r="C55" i="9"/>
  <c r="C58" i="9" s="1"/>
  <c r="K58" i="9"/>
  <c r="J59" i="9"/>
  <c r="Y58" i="8"/>
  <c r="X59" i="8"/>
  <c r="K55" i="8"/>
  <c r="J58" i="8"/>
  <c r="J59" i="7"/>
  <c r="K58" i="7"/>
  <c r="Q59" i="7"/>
  <c r="R58" i="7"/>
  <c r="F55" i="6"/>
  <c r="F58" i="6" s="1"/>
  <c r="AF58" i="6"/>
  <c r="AE59" i="6"/>
  <c r="J59" i="6"/>
  <c r="K58" i="6"/>
  <c r="Q59" i="6"/>
  <c r="R58" i="6"/>
  <c r="AL59" i="6"/>
  <c r="AM58" i="6"/>
  <c r="Y58" i="6"/>
  <c r="X59" i="6"/>
  <c r="H4" i="6"/>
  <c r="H55" i="6" s="1"/>
  <c r="H58" i="6" s="1"/>
  <c r="C55" i="6"/>
  <c r="C58" i="6" s="1"/>
  <c r="J58" i="5"/>
  <c r="K55" i="5"/>
  <c r="AL59" i="5"/>
  <c r="AM58" i="5"/>
  <c r="AE59" i="5"/>
  <c r="AF58" i="5"/>
  <c r="H55" i="5"/>
  <c r="H58" i="5" s="1"/>
  <c r="I55" i="5"/>
  <c r="I58" i="5" s="1"/>
  <c r="R58" i="5"/>
  <c r="Q59" i="5"/>
  <c r="AC55" i="5"/>
  <c r="AC58" i="5" s="1"/>
  <c r="R58" i="4"/>
  <c r="Q59" i="4"/>
  <c r="J58" i="4"/>
  <c r="K55" i="4"/>
  <c r="AL59" i="4"/>
  <c r="AM58" i="4"/>
  <c r="AF58" i="4"/>
  <c r="AE59" i="4"/>
  <c r="I55" i="4"/>
  <c r="I58" i="4" s="1"/>
  <c r="H4" i="4"/>
  <c r="H55" i="4" s="1"/>
  <c r="H58" i="4" s="1"/>
  <c r="AF58" i="3"/>
  <c r="K55" i="3"/>
  <c r="J58" i="3"/>
  <c r="C55" i="3"/>
  <c r="C58" i="3" s="1"/>
  <c r="H49" i="3"/>
  <c r="H55" i="3"/>
  <c r="H58" i="3" s="1"/>
  <c r="Y58" i="3"/>
  <c r="R58" i="3"/>
  <c r="AM58" i="3"/>
  <c r="AA55" i="2"/>
  <c r="AA58" i="2" s="1"/>
  <c r="F18" i="1"/>
  <c r="AV55" i="1"/>
  <c r="AV58" i="1" s="1"/>
  <c r="H49" i="1"/>
  <c r="I49" i="1"/>
  <c r="AO58" i="2"/>
  <c r="H55" i="2"/>
  <c r="H58" i="2" s="1"/>
  <c r="C7" i="2"/>
  <c r="T55" i="2"/>
  <c r="T58" i="2" s="1"/>
  <c r="F57" i="1"/>
  <c r="AH55" i="1"/>
  <c r="AH58" i="1" s="1"/>
  <c r="C43" i="1"/>
  <c r="C5" i="2"/>
  <c r="F5" i="2"/>
  <c r="C33" i="1"/>
  <c r="F34" i="1"/>
  <c r="T55" i="1"/>
  <c r="T58" i="1" s="1"/>
  <c r="AD55" i="1"/>
  <c r="AD58" i="1" s="1"/>
  <c r="F9" i="2"/>
  <c r="C9" i="2"/>
  <c r="BA58" i="2"/>
  <c r="CQ58" i="2"/>
  <c r="D55" i="2"/>
  <c r="D58" i="2" s="1"/>
  <c r="BO58" i="2"/>
  <c r="CC58" i="2"/>
  <c r="F56" i="2"/>
  <c r="C56" i="2"/>
  <c r="F43" i="2"/>
  <c r="C43" i="2"/>
  <c r="Y58" i="2"/>
  <c r="C17" i="2"/>
  <c r="F17" i="2"/>
  <c r="C52" i="2"/>
  <c r="F52" i="2"/>
  <c r="AF58" i="2"/>
  <c r="F54" i="2"/>
  <c r="C54" i="2"/>
  <c r="C41" i="2"/>
  <c r="F41" i="2"/>
  <c r="CJ58" i="2"/>
  <c r="F16" i="2"/>
  <c r="J58" i="2"/>
  <c r="K55" i="2"/>
  <c r="BV58" i="2"/>
  <c r="BH58" i="2"/>
  <c r="AM58" i="2"/>
  <c r="C22" i="2"/>
  <c r="F22" i="2"/>
  <c r="C15" i="2"/>
  <c r="F15" i="2"/>
  <c r="C12" i="2"/>
  <c r="C29" i="2"/>
  <c r="F29" i="2"/>
  <c r="C45" i="2"/>
  <c r="F45" i="2"/>
  <c r="G55" i="2"/>
  <c r="G58" i="2" s="1"/>
  <c r="H37" i="1"/>
  <c r="F44" i="1"/>
  <c r="C44" i="1"/>
  <c r="I37" i="1"/>
  <c r="AA55" i="1"/>
  <c r="AA58" i="1" s="1"/>
  <c r="G55" i="1"/>
  <c r="G58" i="1" s="1"/>
  <c r="F13" i="1"/>
  <c r="C13" i="1"/>
  <c r="C8" i="1"/>
  <c r="Y55" i="1"/>
  <c r="X58" i="1"/>
  <c r="C6" i="1"/>
  <c r="F6" i="1"/>
  <c r="AJ55" i="1"/>
  <c r="AJ58" i="1" s="1"/>
  <c r="C5" i="1"/>
  <c r="F5" i="1"/>
  <c r="J55" i="1"/>
  <c r="V55" i="1"/>
  <c r="V58" i="1" s="1"/>
  <c r="C24" i="1"/>
  <c r="F24" i="1"/>
  <c r="AK55" i="1"/>
  <c r="AK58" i="1" s="1"/>
  <c r="O55" i="1"/>
  <c r="O58" i="1" s="1"/>
  <c r="H4" i="1"/>
  <c r="AC55" i="1"/>
  <c r="AC58" i="1" s="1"/>
  <c r="C4" i="1"/>
  <c r="F20" i="1"/>
  <c r="C20" i="1"/>
  <c r="C31" i="1"/>
  <c r="F31" i="1"/>
  <c r="AL58" i="1"/>
  <c r="AM55" i="1"/>
  <c r="C47" i="1"/>
  <c r="F47" i="1"/>
  <c r="K4" i="1"/>
  <c r="P55" i="1"/>
  <c r="P58" i="1" s="1"/>
  <c r="I4" i="1"/>
  <c r="F4" i="1"/>
  <c r="H8" i="1"/>
  <c r="C23" i="1"/>
  <c r="F23" i="1"/>
  <c r="R55" i="1"/>
  <c r="Q58" i="1"/>
  <c r="M55" i="1"/>
  <c r="M58" i="1" s="1"/>
  <c r="C52" i="1"/>
  <c r="F52" i="1"/>
  <c r="F12" i="1"/>
  <c r="C12" i="1"/>
  <c r="AF58" i="1"/>
  <c r="F49" i="1"/>
  <c r="C49" i="1"/>
  <c r="CJ58" i="1"/>
  <c r="F19" i="1"/>
  <c r="F37" i="1"/>
  <c r="C37" i="1"/>
  <c r="CQ58" i="1"/>
  <c r="F40" i="1"/>
  <c r="C40" i="1"/>
  <c r="CC58" i="1"/>
  <c r="AT58" i="1"/>
  <c r="F7" i="1"/>
  <c r="C7" i="1"/>
  <c r="D55" i="1"/>
  <c r="D58" i="1" s="1"/>
  <c r="BE55" i="1"/>
  <c r="BE58" i="1" s="1"/>
  <c r="F8" i="1"/>
  <c r="J59" i="8" l="1"/>
  <c r="K58" i="8"/>
  <c r="K58" i="5"/>
  <c r="J59" i="5"/>
  <c r="J59" i="4"/>
  <c r="K58" i="4"/>
  <c r="K58" i="3"/>
  <c r="H55" i="1"/>
  <c r="H58" i="1" s="1"/>
  <c r="C55" i="2"/>
  <c r="C58" i="2" s="1"/>
  <c r="I55" i="1"/>
  <c r="I58" i="1" s="1"/>
  <c r="F55" i="2"/>
  <c r="F58" i="2" s="1"/>
  <c r="K58" i="2"/>
  <c r="AM58" i="1"/>
  <c r="F55" i="1"/>
  <c r="F58" i="1" s="1"/>
  <c r="Y58" i="1"/>
  <c r="R58" i="1"/>
  <c r="C55" i="1"/>
  <c r="C58" i="1" s="1"/>
  <c r="K55" i="1"/>
  <c r="J58" i="1"/>
  <c r="K58" i="1" l="1"/>
  <c r="AL41" i="14" l="1"/>
  <c r="AJ41" i="14" l="1"/>
  <c r="AK41" i="14"/>
  <c r="X41" i="14" l="1"/>
  <c r="J41" i="14" s="1"/>
  <c r="W41" i="14"/>
  <c r="I41" i="14" s="1"/>
  <c r="V41" i="14" l="1"/>
  <c r="H41" i="14" s="1"/>
  <c r="CK51" i="14" l="1"/>
  <c r="CK48" i="14"/>
  <c r="CK43" i="14"/>
  <c r="CK40" i="14"/>
  <c r="CK35" i="14"/>
  <c r="CQ35" i="14" s="1"/>
  <c r="CK32" i="14"/>
  <c r="CQ32" i="14" s="1"/>
  <c r="CK28" i="14"/>
  <c r="CQ28" i="14" s="1"/>
  <c r="CK27" i="14"/>
  <c r="CQ27" i="14" s="1"/>
  <c r="CK24" i="14"/>
  <c r="CQ24" i="14" s="1"/>
  <c r="CK20" i="14"/>
  <c r="CQ20" i="14" s="1"/>
  <c r="CK19" i="14"/>
  <c r="CQ19" i="14" s="1"/>
  <c r="CK16" i="14"/>
  <c r="CK12" i="14"/>
  <c r="CK11" i="14"/>
  <c r="CQ11" i="14" s="1"/>
  <c r="CK8" i="14"/>
  <c r="CQ8" i="14" s="1"/>
  <c r="CK4" i="14"/>
  <c r="CD57" i="14"/>
  <c r="CD48" i="14"/>
  <c r="CD45" i="14"/>
  <c r="CJ45" i="14" s="1"/>
  <c r="CD41" i="14"/>
  <c r="CJ41" i="14" s="1"/>
  <c r="CD40" i="14"/>
  <c r="CD32" i="14"/>
  <c r="CJ32" i="14" s="1"/>
  <c r="CD29" i="14"/>
  <c r="CJ29" i="14" s="1"/>
  <c r="CD25" i="14"/>
  <c r="CJ25" i="14" s="1"/>
  <c r="CD24" i="14"/>
  <c r="CJ24" i="14" s="1"/>
  <c r="CD16" i="14"/>
  <c r="CD13" i="14"/>
  <c r="CD9" i="14"/>
  <c r="CD8" i="14"/>
  <c r="CJ8" i="14" s="1"/>
  <c r="BW54" i="14"/>
  <c r="CC54" i="14" s="1"/>
  <c r="BW51" i="14"/>
  <c r="BW46" i="14"/>
  <c r="CC46" i="14" s="1"/>
  <c r="BW43" i="14"/>
  <c r="BW38" i="14"/>
  <c r="BW35" i="14"/>
  <c r="CC35" i="14" s="1"/>
  <c r="BW30" i="14"/>
  <c r="BW22" i="14"/>
  <c r="CC22" i="14" s="1"/>
  <c r="BW14" i="14"/>
  <c r="BW6" i="14"/>
  <c r="BP57" i="14"/>
  <c r="BP5" i="14"/>
  <c r="BI57" i="14"/>
  <c r="BI53" i="14"/>
  <c r="BI45" i="14"/>
  <c r="BO45" i="14" s="1"/>
  <c r="BI37" i="14"/>
  <c r="BI29" i="14"/>
  <c r="BO29" i="14" s="1"/>
  <c r="BI21" i="14"/>
  <c r="BO21" i="14" s="1"/>
  <c r="BI16" i="14"/>
  <c r="BI13" i="14"/>
  <c r="BI12" i="14"/>
  <c r="BI5" i="14"/>
  <c r="BB56" i="14"/>
  <c r="BB52" i="14"/>
  <c r="BB50" i="14"/>
  <c r="BB47" i="14"/>
  <c r="BH47" i="14" s="1"/>
  <c r="BB44" i="14"/>
  <c r="BH44" i="14" s="1"/>
  <c r="BB42" i="14"/>
  <c r="BH42" i="14" s="1"/>
  <c r="BB39" i="14"/>
  <c r="BB36" i="14"/>
  <c r="BB34" i="14"/>
  <c r="BH34" i="14" s="1"/>
  <c r="BB32" i="14"/>
  <c r="BH32" i="14" s="1"/>
  <c r="BB31" i="14"/>
  <c r="BB28" i="14"/>
  <c r="BH28" i="14" s="1"/>
  <c r="BB26" i="14"/>
  <c r="BH26" i="14" s="1"/>
  <c r="BB24" i="14"/>
  <c r="BH24" i="14" s="1"/>
  <c r="BB23" i="14"/>
  <c r="BH23" i="14" s="1"/>
  <c r="BB20" i="14"/>
  <c r="BH20" i="14" s="1"/>
  <c r="BB18" i="14"/>
  <c r="BH18" i="14" s="1"/>
  <c r="BB16" i="14"/>
  <c r="BB15" i="14"/>
  <c r="BB12" i="14"/>
  <c r="BB10" i="14"/>
  <c r="BB8" i="14"/>
  <c r="BB7" i="14"/>
  <c r="BB4" i="14"/>
  <c r="AU54" i="14"/>
  <c r="AU47" i="14"/>
  <c r="BA47" i="14" s="1"/>
  <c r="AU46" i="14"/>
  <c r="BA46" i="14" s="1"/>
  <c r="AU39" i="14"/>
  <c r="AU38" i="14"/>
  <c r="AU31" i="14"/>
  <c r="AU30" i="14"/>
  <c r="AU23" i="14"/>
  <c r="BA23" i="14" s="1"/>
  <c r="AU22" i="14"/>
  <c r="BA22" i="14" s="1"/>
  <c r="AU15" i="14"/>
  <c r="AU14" i="14"/>
  <c r="AU7" i="14"/>
  <c r="AU6" i="14"/>
  <c r="AN56" i="14"/>
  <c r="AN52" i="14"/>
  <c r="AN51" i="14"/>
  <c r="AN47" i="14"/>
  <c r="AT47" i="14" s="1"/>
  <c r="AN44" i="14"/>
  <c r="AT44" i="14" s="1"/>
  <c r="AN43" i="14"/>
  <c r="AN39" i="14"/>
  <c r="AN36" i="14"/>
  <c r="AN35" i="14"/>
  <c r="AT35" i="14" s="1"/>
  <c r="AN31" i="14"/>
  <c r="AN28" i="14"/>
  <c r="AT28" i="14" s="1"/>
  <c r="AN27" i="14"/>
  <c r="AT27" i="14" s="1"/>
  <c r="AN23" i="14"/>
  <c r="AT23" i="14" s="1"/>
  <c r="AN20" i="14"/>
  <c r="AT20" i="14" s="1"/>
  <c r="AN19" i="14"/>
  <c r="AT19" i="14" s="1"/>
  <c r="AN15" i="14"/>
  <c r="AN12" i="14"/>
  <c r="AN11" i="14"/>
  <c r="AT11" i="14" s="1"/>
  <c r="AN7" i="14"/>
  <c r="AN4" i="14"/>
  <c r="AG54" i="14"/>
  <c r="AG46" i="14"/>
  <c r="AM46" i="14" s="1"/>
  <c r="AG38" i="14"/>
  <c r="AG30" i="14"/>
  <c r="AG22" i="14"/>
  <c r="AM22" i="14" s="1"/>
  <c r="AG14" i="14"/>
  <c r="AG6" i="14"/>
  <c r="Z57" i="14"/>
  <c r="Z53" i="14"/>
  <c r="Z49" i="14"/>
  <c r="Z45" i="14"/>
  <c r="Z41" i="14"/>
  <c r="AF41" i="14" s="1"/>
  <c r="Z37" i="14"/>
  <c r="Z33" i="14"/>
  <c r="AF33" i="14" s="1"/>
  <c r="Z29" i="14"/>
  <c r="AF29" i="14" s="1"/>
  <c r="Z25" i="14"/>
  <c r="Z21" i="14"/>
  <c r="AF21" i="14" s="1"/>
  <c r="Z17" i="14"/>
  <c r="Z13" i="14"/>
  <c r="Z9" i="14"/>
  <c r="Z5" i="14"/>
  <c r="S57" i="14"/>
  <c r="S53" i="14"/>
  <c r="S51" i="14"/>
  <c r="S49" i="14"/>
  <c r="S48" i="14"/>
  <c r="S45" i="14"/>
  <c r="Y45" i="14" s="1"/>
  <c r="S43" i="14"/>
  <c r="S41" i="14"/>
  <c r="Y41" i="14" s="1"/>
  <c r="S40" i="14"/>
  <c r="S37" i="14"/>
  <c r="S35" i="14"/>
  <c r="S33" i="14"/>
  <c r="S32" i="14"/>
  <c r="Y32" i="14" s="1"/>
  <c r="S29" i="14"/>
  <c r="Y29" i="14" s="1"/>
  <c r="S27" i="14"/>
  <c r="Y27" i="14" s="1"/>
  <c r="S24" i="14"/>
  <c r="Y24" i="14" s="1"/>
  <c r="S19" i="14"/>
  <c r="Y19" i="14" s="1"/>
  <c r="S16" i="14"/>
  <c r="S11" i="14"/>
  <c r="Y11" i="14" s="1"/>
  <c r="S8" i="14"/>
  <c r="Y8" i="14" s="1"/>
  <c r="L57" i="14"/>
  <c r="L56" i="14"/>
  <c r="L53" i="14"/>
  <c r="L51" i="14"/>
  <c r="L48" i="14"/>
  <c r="L47" i="14"/>
  <c r="L45" i="14"/>
  <c r="L43" i="14"/>
  <c r="L40" i="14"/>
  <c r="L37" i="14"/>
  <c r="L32" i="14"/>
  <c r="L29" i="14"/>
  <c r="L24" i="14"/>
  <c r="L21" i="14"/>
  <c r="L16" i="14"/>
  <c r="L13" i="14"/>
  <c r="L8" i="14"/>
  <c r="L5" i="14"/>
  <c r="AU56" i="14" l="1"/>
  <c r="BW27" i="14"/>
  <c r="CC27" i="14" s="1"/>
  <c r="AG4" i="14"/>
  <c r="AG12" i="14"/>
  <c r="AG20" i="14"/>
  <c r="AM20" i="14" s="1"/>
  <c r="AG28" i="14"/>
  <c r="AM28" i="14" s="1"/>
  <c r="AG36" i="14"/>
  <c r="AG44" i="14"/>
  <c r="AG52" i="14"/>
  <c r="L44" i="14"/>
  <c r="L52" i="14"/>
  <c r="S7" i="14"/>
  <c r="R21" i="14"/>
  <c r="R29" i="14"/>
  <c r="R45" i="14"/>
  <c r="Z51" i="14"/>
  <c r="AN9" i="14"/>
  <c r="AN17" i="14"/>
  <c r="AT17" i="14" s="1"/>
  <c r="AN25" i="14"/>
  <c r="AT25" i="14" s="1"/>
  <c r="AN33" i="14"/>
  <c r="AT33" i="14" s="1"/>
  <c r="AN41" i="14"/>
  <c r="AT41" i="14" s="1"/>
  <c r="AN49" i="14"/>
  <c r="AU4" i="14"/>
  <c r="AU12" i="14"/>
  <c r="AU20" i="14"/>
  <c r="BA20" i="14" s="1"/>
  <c r="AU28" i="14"/>
  <c r="BA28" i="14" s="1"/>
  <c r="AU36" i="14"/>
  <c r="AU44" i="14"/>
  <c r="BA44" i="14" s="1"/>
  <c r="AU52" i="14"/>
  <c r="L6" i="14"/>
  <c r="L14" i="14"/>
  <c r="L22" i="14"/>
  <c r="L30" i="14"/>
  <c r="L38" i="14"/>
  <c r="L46" i="14"/>
  <c r="L54" i="14"/>
  <c r="S9" i="14"/>
  <c r="S17" i="14"/>
  <c r="Y17" i="14" s="1"/>
  <c r="S25" i="14"/>
  <c r="Y25" i="14" s="1"/>
  <c r="Y33" i="14"/>
  <c r="Z4" i="14"/>
  <c r="Z12" i="14"/>
  <c r="Z20" i="14"/>
  <c r="AF20" i="14" s="1"/>
  <c r="Z28" i="14"/>
  <c r="AF28" i="14" s="1"/>
  <c r="Z36" i="14"/>
  <c r="Z44" i="14"/>
  <c r="AF44" i="14" s="1"/>
  <c r="Z52" i="14"/>
  <c r="AG7" i="14"/>
  <c r="AG15" i="14"/>
  <c r="AG23" i="14"/>
  <c r="AM23" i="14" s="1"/>
  <c r="AG31" i="14"/>
  <c r="AG39" i="14"/>
  <c r="AG47" i="14"/>
  <c r="AM47" i="14" s="1"/>
  <c r="AG56" i="14"/>
  <c r="AN10" i="14"/>
  <c r="AN18" i="14"/>
  <c r="AT18" i="14" s="1"/>
  <c r="AN26" i="14"/>
  <c r="AT26" i="14" s="1"/>
  <c r="AN34" i="14"/>
  <c r="AT34" i="14" s="1"/>
  <c r="AN42" i="14"/>
  <c r="AT42" i="14" s="1"/>
  <c r="AN50" i="14"/>
  <c r="AU5" i="14"/>
  <c r="AU13" i="14"/>
  <c r="AU21" i="14"/>
  <c r="BA21" i="14" s="1"/>
  <c r="AU29" i="14"/>
  <c r="BA29" i="14" s="1"/>
  <c r="AU37" i="14"/>
  <c r="AU45" i="14"/>
  <c r="BA45" i="14" s="1"/>
  <c r="AU53" i="14"/>
  <c r="BB40" i="14"/>
  <c r="BB48" i="14"/>
  <c r="BB57" i="14"/>
  <c r="BI11" i="14"/>
  <c r="BO11" i="14" s="1"/>
  <c r="BI19" i="14"/>
  <c r="BO19" i="14" s="1"/>
  <c r="BI27" i="14"/>
  <c r="BO27" i="14" s="1"/>
  <c r="BI35" i="14"/>
  <c r="BO35" i="14" s="1"/>
  <c r="BI43" i="14"/>
  <c r="BI51" i="14"/>
  <c r="BP6" i="14"/>
  <c r="BP14" i="14"/>
  <c r="BP22" i="14"/>
  <c r="BV22" i="14" s="1"/>
  <c r="BP30" i="14"/>
  <c r="BP38" i="14"/>
  <c r="BP46" i="14"/>
  <c r="BV46" i="14" s="1"/>
  <c r="BP54" i="14"/>
  <c r="BV54" i="14" s="1"/>
  <c r="BW9" i="14"/>
  <c r="BW17" i="14"/>
  <c r="CC17" i="14" s="1"/>
  <c r="BW25" i="14"/>
  <c r="CC25" i="14" s="1"/>
  <c r="BW33" i="14"/>
  <c r="CC33" i="14" s="1"/>
  <c r="BW41" i="14"/>
  <c r="CC41" i="14" s="1"/>
  <c r="BW49" i="14"/>
  <c r="CD4" i="14"/>
  <c r="CD12" i="14"/>
  <c r="CD20" i="14"/>
  <c r="CJ20" i="14" s="1"/>
  <c r="CD28" i="14"/>
  <c r="CJ28" i="14" s="1"/>
  <c r="CD36" i="14"/>
  <c r="CD44" i="14"/>
  <c r="CJ44" i="14" s="1"/>
  <c r="CD52" i="14"/>
  <c r="CK7" i="14"/>
  <c r="CK15" i="14"/>
  <c r="CK23" i="14"/>
  <c r="CQ23" i="14" s="1"/>
  <c r="CK31" i="14"/>
  <c r="CK39" i="14"/>
  <c r="CK47" i="14"/>
  <c r="CQ47" i="14" s="1"/>
  <c r="CK56" i="14"/>
  <c r="L7" i="14"/>
  <c r="L15" i="14"/>
  <c r="L23" i="14"/>
  <c r="L31" i="14"/>
  <c r="L39" i="14"/>
  <c r="AF45" i="14"/>
  <c r="AG8" i="14"/>
  <c r="AM8" i="14" s="1"/>
  <c r="AG16" i="14"/>
  <c r="AG24" i="14"/>
  <c r="AM24" i="14" s="1"/>
  <c r="AG32" i="14"/>
  <c r="AG40" i="14"/>
  <c r="AG48" i="14"/>
  <c r="AG57" i="14"/>
  <c r="BB9" i="14"/>
  <c r="BB17" i="14"/>
  <c r="BH17" i="14" s="1"/>
  <c r="BB25" i="14"/>
  <c r="BH25" i="14" s="1"/>
  <c r="BB33" i="14"/>
  <c r="BH33" i="14" s="1"/>
  <c r="BB41" i="14"/>
  <c r="BH41" i="14" s="1"/>
  <c r="BB49" i="14"/>
  <c r="BI4" i="14"/>
  <c r="BI20" i="14"/>
  <c r="BO20" i="14" s="1"/>
  <c r="BI28" i="14"/>
  <c r="BO28" i="14" s="1"/>
  <c r="BI36" i="14"/>
  <c r="BI44" i="14"/>
  <c r="BO44" i="14" s="1"/>
  <c r="BI52" i="14"/>
  <c r="BP7" i="14"/>
  <c r="BP15" i="14"/>
  <c r="BP23" i="14"/>
  <c r="BV23" i="14" s="1"/>
  <c r="BP31" i="14"/>
  <c r="BP39" i="14"/>
  <c r="BP47" i="14"/>
  <c r="BV47" i="14" s="1"/>
  <c r="BP56" i="14"/>
  <c r="BW10" i="14"/>
  <c r="BW18" i="14"/>
  <c r="CC18" i="14" s="1"/>
  <c r="BW26" i="14"/>
  <c r="CC26" i="14" s="1"/>
  <c r="BW34" i="14"/>
  <c r="CC34" i="14" s="1"/>
  <c r="BW42" i="14"/>
  <c r="CC42" i="14" s="1"/>
  <c r="BW50" i="14"/>
  <c r="CD5" i="14"/>
  <c r="CD21" i="14"/>
  <c r="CJ21" i="14" s="1"/>
  <c r="CD37" i="14"/>
  <c r="CD53" i="14"/>
  <c r="CK57" i="14"/>
  <c r="R32" i="14"/>
  <c r="BP40" i="14"/>
  <c r="BW11" i="14"/>
  <c r="CC11" i="14" s="1"/>
  <c r="BW19" i="14"/>
  <c r="CC19" i="14" s="1"/>
  <c r="CD14" i="14"/>
  <c r="CD22" i="14"/>
  <c r="CJ22" i="14" s="1"/>
  <c r="CD30" i="14"/>
  <c r="CD38" i="14"/>
  <c r="CD46" i="14"/>
  <c r="CJ46" i="14" s="1"/>
  <c r="CD54" i="14"/>
  <c r="CJ54" i="14" s="1"/>
  <c r="CK9" i="14"/>
  <c r="CK17" i="14"/>
  <c r="CQ17" i="14" s="1"/>
  <c r="CK25" i="14"/>
  <c r="CQ25" i="14" s="1"/>
  <c r="CK41" i="14"/>
  <c r="CQ41" i="14" s="1"/>
  <c r="L9" i="14"/>
  <c r="L17" i="14"/>
  <c r="L25" i="14"/>
  <c r="L33" i="14"/>
  <c r="L49" i="14"/>
  <c r="S12" i="14"/>
  <c r="S36" i="14"/>
  <c r="BI14" i="14"/>
  <c r="BI22" i="14"/>
  <c r="BO22" i="14" s="1"/>
  <c r="BI30" i="14"/>
  <c r="BI38" i="14"/>
  <c r="BI46" i="14"/>
  <c r="BO46" i="14" s="1"/>
  <c r="BI54" i="14"/>
  <c r="BO54" i="14" s="1"/>
  <c r="BP9" i="14"/>
  <c r="BP17" i="14"/>
  <c r="BV17" i="14" s="1"/>
  <c r="BP25" i="14"/>
  <c r="BV25" i="14" s="1"/>
  <c r="BP33" i="14"/>
  <c r="BV33" i="14" s="1"/>
  <c r="BP41" i="14"/>
  <c r="BV41" i="14" s="1"/>
  <c r="BP49" i="14"/>
  <c r="BW4" i="14"/>
  <c r="BW12" i="14"/>
  <c r="BW20" i="14"/>
  <c r="CC20" i="14" s="1"/>
  <c r="BW28" i="14"/>
  <c r="CC28" i="14" s="1"/>
  <c r="BW36" i="14"/>
  <c r="BW44" i="14"/>
  <c r="CC44" i="14" s="1"/>
  <c r="BW52" i="14"/>
  <c r="CD7" i="14"/>
  <c r="CD15" i="14"/>
  <c r="CD23" i="14"/>
  <c r="CJ23" i="14" s="1"/>
  <c r="CD31" i="14"/>
  <c r="CD39" i="14"/>
  <c r="CD47" i="14"/>
  <c r="CJ47" i="14" s="1"/>
  <c r="CD56" i="14"/>
  <c r="CK10" i="14"/>
  <c r="CK18" i="14"/>
  <c r="CQ18" i="14" s="1"/>
  <c r="CK26" i="14"/>
  <c r="CQ26" i="14" s="1"/>
  <c r="CK34" i="14"/>
  <c r="CQ34" i="14" s="1"/>
  <c r="CK42" i="14"/>
  <c r="CQ42" i="14" s="1"/>
  <c r="CK50" i="14"/>
  <c r="R24" i="14"/>
  <c r="CK49" i="14"/>
  <c r="L41" i="14"/>
  <c r="S4" i="14"/>
  <c r="S20" i="14"/>
  <c r="Y20" i="14" s="1"/>
  <c r="S28" i="14"/>
  <c r="Y28" i="14" s="1"/>
  <c r="S44" i="14"/>
  <c r="Y44" i="14" s="1"/>
  <c r="S52" i="14"/>
  <c r="Z7" i="14"/>
  <c r="Z15" i="14"/>
  <c r="Z23" i="14"/>
  <c r="AF23" i="14" s="1"/>
  <c r="Z31" i="14"/>
  <c r="Z39" i="14"/>
  <c r="Z47" i="14"/>
  <c r="AF47" i="14" s="1"/>
  <c r="Z56" i="14"/>
  <c r="AG10" i="14"/>
  <c r="AG18" i="14"/>
  <c r="AM18" i="14" s="1"/>
  <c r="AG26" i="14"/>
  <c r="AM26" i="14" s="1"/>
  <c r="AG34" i="14"/>
  <c r="AM34" i="14" s="1"/>
  <c r="AG42" i="14"/>
  <c r="AM42" i="14" s="1"/>
  <c r="AG50" i="14"/>
  <c r="AN5" i="14"/>
  <c r="AN13" i="14"/>
  <c r="AN21" i="14"/>
  <c r="AT21" i="14" s="1"/>
  <c r="AN29" i="14"/>
  <c r="AT29" i="14" s="1"/>
  <c r="AN37" i="14"/>
  <c r="AN45" i="14"/>
  <c r="AT45" i="14" s="1"/>
  <c r="AN53" i="14"/>
  <c r="AU8" i="14"/>
  <c r="BA8" i="14" s="1"/>
  <c r="AU16" i="14"/>
  <c r="AU24" i="14"/>
  <c r="BA24" i="14" s="1"/>
  <c r="AU32" i="14"/>
  <c r="BA32" i="14" s="1"/>
  <c r="AU40" i="14"/>
  <c r="AU48" i="14"/>
  <c r="AU57" i="14"/>
  <c r="BB11" i="14"/>
  <c r="BH11" i="14" s="1"/>
  <c r="BB19" i="14"/>
  <c r="BH19" i="14" s="1"/>
  <c r="BB27" i="14"/>
  <c r="BH27" i="14" s="1"/>
  <c r="BB35" i="14"/>
  <c r="BH35" i="14" s="1"/>
  <c r="BB43" i="14"/>
  <c r="BB51" i="14"/>
  <c r="BI6" i="14"/>
  <c r="L10" i="14"/>
  <c r="L18" i="14"/>
  <c r="L26" i="14"/>
  <c r="L34" i="14"/>
  <c r="L42" i="14"/>
  <c r="L50" i="14"/>
  <c r="S5" i="14"/>
  <c r="S13" i="14"/>
  <c r="S21" i="14"/>
  <c r="Y21" i="14" s="1"/>
  <c r="Z8" i="14"/>
  <c r="AF8" i="14" s="1"/>
  <c r="Z16" i="14"/>
  <c r="Z24" i="14"/>
  <c r="AF24" i="14" s="1"/>
  <c r="Z32" i="14"/>
  <c r="AF32" i="14" s="1"/>
  <c r="Z40" i="14"/>
  <c r="Z48" i="14"/>
  <c r="E48" i="14" s="1"/>
  <c r="AG11" i="14"/>
  <c r="AM11" i="14" s="1"/>
  <c r="AG19" i="14"/>
  <c r="AM19" i="14" s="1"/>
  <c r="AG27" i="14"/>
  <c r="AM27" i="14" s="1"/>
  <c r="AG35" i="14"/>
  <c r="AM35" i="14" s="1"/>
  <c r="AG43" i="14"/>
  <c r="AG51" i="14"/>
  <c r="AN6" i="14"/>
  <c r="AN14" i="14"/>
  <c r="AN22" i="14"/>
  <c r="AT22" i="14" s="1"/>
  <c r="AN30" i="14"/>
  <c r="AN38" i="14"/>
  <c r="AN46" i="14"/>
  <c r="AT46" i="14" s="1"/>
  <c r="AN54" i="14"/>
  <c r="AU9" i="14"/>
  <c r="AU17" i="14"/>
  <c r="BA17" i="14" s="1"/>
  <c r="AU25" i="14"/>
  <c r="BA25" i="14" s="1"/>
  <c r="AU33" i="14"/>
  <c r="BA33" i="14" s="1"/>
  <c r="AU41" i="14"/>
  <c r="BA41" i="14" s="1"/>
  <c r="AU49" i="14"/>
  <c r="BI7" i="14"/>
  <c r="BI15" i="14"/>
  <c r="BI23" i="14"/>
  <c r="BO23" i="14" s="1"/>
  <c r="BI31" i="14"/>
  <c r="BI39" i="14"/>
  <c r="BI47" i="14"/>
  <c r="BO47" i="14" s="1"/>
  <c r="BI56" i="14"/>
  <c r="BP10" i="14"/>
  <c r="BP18" i="14"/>
  <c r="BV18" i="14" s="1"/>
  <c r="BP26" i="14"/>
  <c r="BV26" i="14" s="1"/>
  <c r="BP34" i="14"/>
  <c r="BV34" i="14" s="1"/>
  <c r="BP42" i="14"/>
  <c r="BV42" i="14" s="1"/>
  <c r="BP50" i="14"/>
  <c r="BW5" i="14"/>
  <c r="BW13" i="14"/>
  <c r="BW21" i="14"/>
  <c r="CC21" i="14" s="1"/>
  <c r="BW29" i="14"/>
  <c r="CC29" i="14" s="1"/>
  <c r="BW37" i="14"/>
  <c r="BW45" i="14"/>
  <c r="CC45" i="14" s="1"/>
  <c r="BW53" i="14"/>
  <c r="E47" i="14"/>
  <c r="K47" i="14" s="1"/>
  <c r="R47" i="14"/>
  <c r="S10" i="14"/>
  <c r="S18" i="14"/>
  <c r="Y18" i="14" s="1"/>
  <c r="S26" i="14"/>
  <c r="S34" i="14"/>
  <c r="S42" i="14"/>
  <c r="Y42" i="14" s="1"/>
  <c r="S50" i="14"/>
  <c r="R8" i="14"/>
  <c r="Z30" i="14"/>
  <c r="S6" i="14"/>
  <c r="S14" i="14"/>
  <c r="S22" i="14"/>
  <c r="Y22" i="14" s="1"/>
  <c r="S30" i="14"/>
  <c r="S38" i="14"/>
  <c r="S46" i="14"/>
  <c r="AU10" i="14"/>
  <c r="AU18" i="14"/>
  <c r="BA18" i="14" s="1"/>
  <c r="AU26" i="14"/>
  <c r="BA26" i="14" s="1"/>
  <c r="AU34" i="14"/>
  <c r="BA34" i="14" s="1"/>
  <c r="AU50" i="14"/>
  <c r="BB21" i="14"/>
  <c r="BH21" i="14" s="1"/>
  <c r="BB37" i="14"/>
  <c r="BB45" i="14"/>
  <c r="BH45" i="14" s="1"/>
  <c r="BB53" i="14"/>
  <c r="BI8" i="14"/>
  <c r="BO8" i="14" s="1"/>
  <c r="BI24" i="14"/>
  <c r="BO24" i="14" s="1"/>
  <c r="BI40" i="14"/>
  <c r="BI48" i="14"/>
  <c r="BP11" i="14"/>
  <c r="BV11" i="14" s="1"/>
  <c r="BP19" i="14"/>
  <c r="BV19" i="14" s="1"/>
  <c r="BP27" i="14"/>
  <c r="BV27" i="14" s="1"/>
  <c r="BP35" i="14"/>
  <c r="BV35" i="14" s="1"/>
  <c r="BP43" i="14"/>
  <c r="BP51" i="14"/>
  <c r="CD17" i="14"/>
  <c r="CJ17" i="14" s="1"/>
  <c r="CD33" i="14"/>
  <c r="CJ33" i="14" s="1"/>
  <c r="CD49" i="14"/>
  <c r="CK36" i="14"/>
  <c r="CK44" i="14"/>
  <c r="CQ44" i="14" s="1"/>
  <c r="CK52" i="14"/>
  <c r="BP8" i="14"/>
  <c r="BV8" i="14" s="1"/>
  <c r="BP16" i="14"/>
  <c r="BP24" i="14"/>
  <c r="BV24" i="14" s="1"/>
  <c r="BP32" i="14"/>
  <c r="BV32" i="14" s="1"/>
  <c r="BP48" i="14"/>
  <c r="CD6" i="14"/>
  <c r="L11" i="14"/>
  <c r="L19" i="14"/>
  <c r="L27" i="14"/>
  <c r="L35" i="14"/>
  <c r="S54" i="14"/>
  <c r="AF17" i="14"/>
  <c r="AU42" i="14"/>
  <c r="BA42" i="14" s="1"/>
  <c r="BB5" i="14"/>
  <c r="BB13" i="14"/>
  <c r="BB29" i="14"/>
  <c r="BH29" i="14" s="1"/>
  <c r="BI32" i="14"/>
  <c r="BO32" i="14" s="1"/>
  <c r="L4" i="14"/>
  <c r="L12" i="14"/>
  <c r="L20" i="14"/>
  <c r="S15" i="14"/>
  <c r="S23" i="14"/>
  <c r="Y23" i="14" s="1"/>
  <c r="S31" i="14"/>
  <c r="S39" i="14"/>
  <c r="S47" i="14"/>
  <c r="Y47" i="14" s="1"/>
  <c r="S56" i="14"/>
  <c r="E56" i="14" s="1"/>
  <c r="Z10" i="14"/>
  <c r="Z18" i="14"/>
  <c r="AF18" i="14" s="1"/>
  <c r="Z26" i="14"/>
  <c r="AF26" i="14" s="1"/>
  <c r="Z34" i="14"/>
  <c r="AF34" i="14" s="1"/>
  <c r="Z42" i="14"/>
  <c r="AF42" i="14" s="1"/>
  <c r="Z50" i="14"/>
  <c r="AG5" i="14"/>
  <c r="AG13" i="14"/>
  <c r="AG21" i="14"/>
  <c r="AM21" i="14" s="1"/>
  <c r="AG29" i="14"/>
  <c r="AM29" i="14" s="1"/>
  <c r="AG37" i="14"/>
  <c r="AG45" i="14"/>
  <c r="AM45" i="14" s="1"/>
  <c r="AG53" i="14"/>
  <c r="AN8" i="14"/>
  <c r="AT8" i="14" s="1"/>
  <c r="AN16" i="14"/>
  <c r="AN24" i="14"/>
  <c r="AT24" i="14" s="1"/>
  <c r="AN32" i="14"/>
  <c r="AT32" i="14" s="1"/>
  <c r="AN40" i="14"/>
  <c r="AN48" i="14"/>
  <c r="AN57" i="14"/>
  <c r="B57" i="14" s="1"/>
  <c r="CS57" i="14" s="1"/>
  <c r="AU11" i="14"/>
  <c r="BA11" i="14" s="1"/>
  <c r="AU19" i="14"/>
  <c r="BA19" i="14" s="1"/>
  <c r="AU27" i="14"/>
  <c r="BA27" i="14" s="1"/>
  <c r="AU35" i="14"/>
  <c r="BA35" i="14" s="1"/>
  <c r="AU43" i="14"/>
  <c r="AU51" i="14"/>
  <c r="BB6" i="14"/>
  <c r="BB14" i="14"/>
  <c r="BB22" i="14"/>
  <c r="BH22" i="14" s="1"/>
  <c r="BB30" i="14"/>
  <c r="BB38" i="14"/>
  <c r="BB46" i="14"/>
  <c r="BH46" i="14" s="1"/>
  <c r="BB54" i="14"/>
  <c r="BI9" i="14"/>
  <c r="BI17" i="14"/>
  <c r="BO17" i="14" s="1"/>
  <c r="BI25" i="14"/>
  <c r="BO25" i="14" s="1"/>
  <c r="BI33" i="14"/>
  <c r="BO33" i="14" s="1"/>
  <c r="BI41" i="14"/>
  <c r="BO41" i="14" s="1"/>
  <c r="BI49" i="14"/>
  <c r="BP4" i="14"/>
  <c r="BP12" i="14"/>
  <c r="BP20" i="14"/>
  <c r="BV20" i="14" s="1"/>
  <c r="BP28" i="14"/>
  <c r="BV28" i="14" s="1"/>
  <c r="BP36" i="14"/>
  <c r="BP44" i="14"/>
  <c r="BV44" i="14" s="1"/>
  <c r="BP52" i="14"/>
  <c r="BW7" i="14"/>
  <c r="BW15" i="14"/>
  <c r="BW23" i="14"/>
  <c r="CC23" i="14" s="1"/>
  <c r="BW31" i="14"/>
  <c r="BW39" i="14"/>
  <c r="BW47" i="14"/>
  <c r="CC47" i="14" s="1"/>
  <c r="BW56" i="14"/>
  <c r="CD10" i="14"/>
  <c r="CD18" i="14"/>
  <c r="CJ18" i="14" s="1"/>
  <c r="CD26" i="14"/>
  <c r="CJ26" i="14" s="1"/>
  <c r="CD34" i="14"/>
  <c r="CJ34" i="14" s="1"/>
  <c r="CD42" i="14"/>
  <c r="CJ42" i="14" s="1"/>
  <c r="CD50" i="14"/>
  <c r="CK5" i="14"/>
  <c r="CK13" i="14"/>
  <c r="CK21" i="14"/>
  <c r="CQ21" i="14" s="1"/>
  <c r="CK29" i="14"/>
  <c r="CQ29" i="14" s="1"/>
  <c r="CK37" i="14"/>
  <c r="CK45" i="14"/>
  <c r="CQ45" i="14" s="1"/>
  <c r="CK53" i="14"/>
  <c r="E57" i="14"/>
  <c r="Z6" i="14"/>
  <c r="Z14" i="14"/>
  <c r="Z22" i="14"/>
  <c r="AF22" i="14" s="1"/>
  <c r="Z38" i="14"/>
  <c r="Z46" i="14"/>
  <c r="AF46" i="14" s="1"/>
  <c r="Z54" i="14"/>
  <c r="AG9" i="14"/>
  <c r="AG17" i="14"/>
  <c r="AM17" i="14" s="1"/>
  <c r="AG25" i="14"/>
  <c r="AM25" i="14" s="1"/>
  <c r="AG33" i="14"/>
  <c r="AM33" i="14" s="1"/>
  <c r="AG41" i="14"/>
  <c r="AM41" i="14" s="1"/>
  <c r="AG49" i="14"/>
  <c r="CK33" i="14"/>
  <c r="CQ33" i="14" s="1"/>
  <c r="AF25" i="14"/>
  <c r="L28" i="14"/>
  <c r="L36" i="14"/>
  <c r="Z11" i="14"/>
  <c r="AF11" i="14" s="1"/>
  <c r="Z19" i="14"/>
  <c r="AF19" i="14" s="1"/>
  <c r="Z27" i="14"/>
  <c r="AF27" i="14" s="1"/>
  <c r="Z35" i="14"/>
  <c r="AF35" i="14" s="1"/>
  <c r="Z43" i="14"/>
  <c r="BI10" i="14"/>
  <c r="BI18" i="14"/>
  <c r="BO18" i="14" s="1"/>
  <c r="BI26" i="14"/>
  <c r="BO26" i="14" s="1"/>
  <c r="BI34" i="14"/>
  <c r="BO34" i="14" s="1"/>
  <c r="BI42" i="14"/>
  <c r="BO42" i="14" s="1"/>
  <c r="BI50" i="14"/>
  <c r="BP13" i="14"/>
  <c r="BP21" i="14"/>
  <c r="BV21" i="14" s="1"/>
  <c r="BP29" i="14"/>
  <c r="BV29" i="14" s="1"/>
  <c r="BP37" i="14"/>
  <c r="BP45" i="14"/>
  <c r="BV45" i="14" s="1"/>
  <c r="BP53" i="14"/>
  <c r="BW8" i="14"/>
  <c r="CC8" i="14" s="1"/>
  <c r="BW16" i="14"/>
  <c r="BW24" i="14"/>
  <c r="CC24" i="14" s="1"/>
  <c r="BW32" i="14"/>
  <c r="CC32" i="14" s="1"/>
  <c r="BW40" i="14"/>
  <c r="BW48" i="14"/>
  <c r="BW57" i="14"/>
  <c r="CD11" i="14"/>
  <c r="CJ11" i="14" s="1"/>
  <c r="CD19" i="14"/>
  <c r="CJ19" i="14" s="1"/>
  <c r="CD27" i="14"/>
  <c r="CJ27" i="14" s="1"/>
  <c r="CD35" i="14"/>
  <c r="CJ35" i="14" s="1"/>
  <c r="CD43" i="14"/>
  <c r="CD51" i="14"/>
  <c r="CK6" i="14"/>
  <c r="CK14" i="14"/>
  <c r="CK22" i="14"/>
  <c r="CQ22" i="14" s="1"/>
  <c r="CK30" i="14"/>
  <c r="CK38" i="14"/>
  <c r="CK46" i="14"/>
  <c r="CQ46" i="14" s="1"/>
  <c r="CK54" i="14"/>
  <c r="CQ54" i="14" s="1"/>
  <c r="M34" i="14"/>
  <c r="AB41" i="14"/>
  <c r="AH12" i="14"/>
  <c r="AW50" i="14"/>
  <c r="BC21" i="14"/>
  <c r="BJ24" i="14"/>
  <c r="BY22" i="14"/>
  <c r="BY46" i="14"/>
  <c r="U56" i="14"/>
  <c r="AA26" i="14"/>
  <c r="AA50" i="14"/>
  <c r="AH21" i="14"/>
  <c r="AV35" i="14"/>
  <c r="BK9" i="14"/>
  <c r="BJ9" i="14"/>
  <c r="BK41" i="14"/>
  <c r="BQ28" i="14"/>
  <c r="AO9" i="14"/>
  <c r="AO25" i="14"/>
  <c r="AO41" i="14"/>
  <c r="AO49" i="14"/>
  <c r="AV20" i="14"/>
  <c r="AV44" i="14"/>
  <c r="AV52" i="14"/>
  <c r="BD7" i="14"/>
  <c r="BD23" i="14"/>
  <c r="BD31" i="14"/>
  <c r="BK10" i="14"/>
  <c r="BK18" i="14"/>
  <c r="BK34" i="14"/>
  <c r="BK42" i="14"/>
  <c r="BR21" i="14"/>
  <c r="BR29" i="14"/>
  <c r="BR45" i="14"/>
  <c r="BR53" i="14"/>
  <c r="BY24" i="14"/>
  <c r="BY32" i="14"/>
  <c r="BY40" i="14"/>
  <c r="BY48" i="14"/>
  <c r="BX57" i="14"/>
  <c r="CE27" i="14"/>
  <c r="CE35" i="14"/>
  <c r="CL6" i="14"/>
  <c r="CL14" i="14"/>
  <c r="CL30" i="14"/>
  <c r="CL38" i="14"/>
  <c r="M10" i="14"/>
  <c r="T21" i="14"/>
  <c r="U45" i="14"/>
  <c r="AA32" i="14"/>
  <c r="AH11" i="14"/>
  <c r="AH35" i="14"/>
  <c r="AO46" i="14"/>
  <c r="AO54" i="14"/>
  <c r="AV25" i="14"/>
  <c r="AV49" i="14"/>
  <c r="BD28" i="14"/>
  <c r="BJ15" i="14"/>
  <c r="BJ31" i="14"/>
  <c r="BJ47" i="14"/>
  <c r="BX53" i="14"/>
  <c r="CF40" i="14"/>
  <c r="CF57" i="14"/>
  <c r="CM51" i="14"/>
  <c r="CL51" i="14"/>
  <c r="M11" i="14"/>
  <c r="AW10" i="14"/>
  <c r="BC29" i="14"/>
  <c r="BJ8" i="14"/>
  <c r="BK57" i="14"/>
  <c r="CE17" i="14"/>
  <c r="CE33" i="14"/>
  <c r="CF41" i="14"/>
  <c r="CE49" i="14"/>
  <c r="N44" i="14"/>
  <c r="U23" i="14"/>
  <c r="AA18" i="14"/>
  <c r="AO57" i="14"/>
  <c r="AW51" i="14"/>
  <c r="BQ20" i="14"/>
  <c r="BQ44" i="14"/>
  <c r="BX31" i="14"/>
  <c r="BX47" i="14"/>
  <c r="BY56" i="14"/>
  <c r="CL5" i="14"/>
  <c r="N21" i="14"/>
  <c r="N53" i="14"/>
  <c r="U32" i="14"/>
  <c r="AA51" i="14"/>
  <c r="AI22" i="14"/>
  <c r="AI38" i="14"/>
  <c r="M6" i="14"/>
  <c r="M14" i="14"/>
  <c r="M22" i="14"/>
  <c r="M38" i="14"/>
  <c r="M46" i="14"/>
  <c r="M54" i="14"/>
  <c r="T17" i="14"/>
  <c r="U33" i="14"/>
  <c r="U41" i="14"/>
  <c r="AA12" i="14"/>
  <c r="AA20" i="14"/>
  <c r="AA36" i="14"/>
  <c r="AA44" i="14"/>
  <c r="AA52" i="14"/>
  <c r="AH15" i="14"/>
  <c r="AH23" i="14"/>
  <c r="AH39" i="14"/>
  <c r="AO10" i="14"/>
  <c r="AO18" i="14"/>
  <c r="AO26" i="14"/>
  <c r="AO34" i="14"/>
  <c r="AO50" i="14"/>
  <c r="AV5" i="14"/>
  <c r="AV13" i="14"/>
  <c r="AV21" i="14"/>
  <c r="AV45" i="14"/>
  <c r="AV53" i="14"/>
  <c r="BD32" i="14"/>
  <c r="BD40" i="14"/>
  <c r="BC40" i="14"/>
  <c r="BJ11" i="14"/>
  <c r="BJ27" i="14"/>
  <c r="BJ35" i="14"/>
  <c r="BJ43" i="14"/>
  <c r="BJ51" i="14"/>
  <c r="BQ6" i="14"/>
  <c r="BQ14" i="14"/>
  <c r="BQ30" i="14"/>
  <c r="BQ38" i="14"/>
  <c r="BQ46" i="14"/>
  <c r="BX9" i="14"/>
  <c r="BX17" i="14"/>
  <c r="BX25" i="14"/>
  <c r="BX33" i="14"/>
  <c r="BX41" i="14"/>
  <c r="BX49" i="14"/>
  <c r="CF20" i="14"/>
  <c r="CF36" i="14"/>
  <c r="CF52" i="14"/>
  <c r="CM7" i="14"/>
  <c r="CM23" i="14"/>
  <c r="CM47" i="14"/>
  <c r="M50" i="14"/>
  <c r="AA24" i="14"/>
  <c r="AO6" i="14"/>
  <c r="AO38" i="14"/>
  <c r="AV9" i="14"/>
  <c r="AV41" i="14"/>
  <c r="BD20" i="14"/>
  <c r="BJ7" i="14"/>
  <c r="BJ23" i="14"/>
  <c r="BJ56" i="14"/>
  <c r="BQ50" i="14"/>
  <c r="BX21" i="14"/>
  <c r="BX37" i="14"/>
  <c r="CF48" i="14"/>
  <c r="M27" i="14"/>
  <c r="T54" i="14"/>
  <c r="AB33" i="14"/>
  <c r="AH44" i="14"/>
  <c r="BC13" i="14"/>
  <c r="BJ40" i="14"/>
  <c r="BQ51" i="14"/>
  <c r="CF9" i="14"/>
  <c r="N12" i="14"/>
  <c r="N28" i="14"/>
  <c r="AH13" i="14"/>
  <c r="AH29" i="14"/>
  <c r="AP16" i="14"/>
  <c r="AW11" i="14"/>
  <c r="BD30" i="14"/>
  <c r="BQ36" i="14"/>
  <c r="BX7" i="14"/>
  <c r="BX23" i="14"/>
  <c r="CE10" i="14"/>
  <c r="CL13" i="14"/>
  <c r="N29" i="14"/>
  <c r="U40" i="14"/>
  <c r="AA11" i="14"/>
  <c r="AA43" i="14"/>
  <c r="AI14" i="14"/>
  <c r="AI30" i="14"/>
  <c r="M7" i="14"/>
  <c r="M15" i="14"/>
  <c r="M23" i="14"/>
  <c r="M31" i="14"/>
  <c r="M39" i="14"/>
  <c r="N47" i="14"/>
  <c r="N56" i="14"/>
  <c r="T10" i="14"/>
  <c r="T18" i="14"/>
  <c r="T34" i="14"/>
  <c r="T42" i="14"/>
  <c r="AB21" i="14"/>
  <c r="AB53" i="14"/>
  <c r="AH8" i="14"/>
  <c r="AH24" i="14"/>
  <c r="AH32" i="14"/>
  <c r="AH48" i="14"/>
  <c r="AH57" i="14"/>
  <c r="AP19" i="14"/>
  <c r="AP35" i="14"/>
  <c r="AW22" i="14"/>
  <c r="AW30" i="14"/>
  <c r="AW38" i="14"/>
  <c r="AW46" i="14"/>
  <c r="BC9" i="14"/>
  <c r="BC25" i="14"/>
  <c r="BC33" i="14"/>
  <c r="BC41" i="14"/>
  <c r="BJ28" i="14"/>
  <c r="BJ36" i="14"/>
  <c r="BJ44" i="14"/>
  <c r="BJ52" i="14"/>
  <c r="BQ15" i="14"/>
  <c r="BQ23" i="14"/>
  <c r="BQ47" i="14"/>
  <c r="BQ56" i="14"/>
  <c r="CE5" i="14"/>
  <c r="CF13" i="14"/>
  <c r="CE21" i="14"/>
  <c r="CF29" i="14"/>
  <c r="CF45" i="14"/>
  <c r="CE53" i="14"/>
  <c r="CM24" i="14"/>
  <c r="CM48" i="14"/>
  <c r="T5" i="14"/>
  <c r="AA8" i="14"/>
  <c r="AA48" i="14"/>
  <c r="AH19" i="14"/>
  <c r="AH51" i="14"/>
  <c r="AO30" i="14"/>
  <c r="BJ39" i="14"/>
  <c r="BQ10" i="14"/>
  <c r="BQ34" i="14"/>
  <c r="BX13" i="14"/>
  <c r="N43" i="14"/>
  <c r="T22" i="14"/>
  <c r="AB49" i="14"/>
  <c r="AA49" i="14"/>
  <c r="AH28" i="14"/>
  <c r="AO31" i="14"/>
  <c r="BC5" i="14"/>
  <c r="BC37" i="14"/>
  <c r="BJ32" i="14"/>
  <c r="BQ27" i="14"/>
  <c r="N5" i="14"/>
  <c r="N37" i="14"/>
  <c r="AA27" i="14"/>
  <c r="AI6" i="14"/>
  <c r="N8" i="14"/>
  <c r="N16" i="14"/>
  <c r="N24" i="14"/>
  <c r="N40" i="14"/>
  <c r="N57" i="14"/>
  <c r="U19" i="14"/>
  <c r="AA14" i="14"/>
  <c r="AA22" i="14"/>
  <c r="AA30" i="14"/>
  <c r="AA46" i="14"/>
  <c r="AA54" i="14"/>
  <c r="AH9" i="14"/>
  <c r="AH17" i="14"/>
  <c r="AH25" i="14"/>
  <c r="AH41" i="14"/>
  <c r="AH49" i="14"/>
  <c r="AO20" i="14"/>
  <c r="AO28" i="14"/>
  <c r="AW47" i="14"/>
  <c r="AV56" i="14"/>
  <c r="BD26" i="14"/>
  <c r="BQ8" i="14"/>
  <c r="BQ16" i="14"/>
  <c r="BQ24" i="14"/>
  <c r="BQ32" i="14"/>
  <c r="BQ48" i="14"/>
  <c r="BX11" i="14"/>
  <c r="BX19" i="14"/>
  <c r="BX27" i="14"/>
  <c r="CE6" i="14"/>
  <c r="CE14" i="14"/>
  <c r="CE46" i="14"/>
  <c r="CE54" i="14"/>
  <c r="M26" i="14"/>
  <c r="T53" i="14"/>
  <c r="U53" i="14"/>
  <c r="AA40" i="14"/>
  <c r="AH27" i="14"/>
  <c r="AH43" i="14"/>
  <c r="AO22" i="14"/>
  <c r="AV17" i="14"/>
  <c r="BX45" i="14"/>
  <c r="M19" i="14"/>
  <c r="T30" i="14"/>
  <c r="AH20" i="14"/>
  <c r="BJ48" i="14"/>
  <c r="AH5" i="14"/>
  <c r="CE42" i="14"/>
  <c r="N45" i="14"/>
  <c r="T24" i="14"/>
  <c r="AA35" i="14"/>
  <c r="N17" i="14"/>
  <c r="N41" i="14"/>
  <c r="N49" i="14"/>
  <c r="U4" i="14"/>
  <c r="U12" i="14"/>
  <c r="U36" i="14"/>
  <c r="T52" i="14"/>
  <c r="AA7" i="14"/>
  <c r="AA23" i="14"/>
  <c r="AA31" i="14"/>
  <c r="AA56" i="14"/>
  <c r="AH10" i="14"/>
  <c r="AI42" i="14"/>
  <c r="AO5" i="14"/>
  <c r="AO13" i="14"/>
  <c r="AO21" i="14"/>
  <c r="AO37" i="14"/>
  <c r="AO45" i="14"/>
  <c r="AO53" i="14"/>
  <c r="AV8" i="14"/>
  <c r="AV16" i="14"/>
  <c r="AV32" i="14"/>
  <c r="AV40" i="14"/>
  <c r="AV48" i="14"/>
  <c r="BC35" i="14"/>
  <c r="BJ14" i="14"/>
  <c r="BY36" i="14"/>
  <c r="CE7" i="14"/>
  <c r="CE23" i="14"/>
  <c r="CE31" i="14"/>
  <c r="CE39" i="14"/>
  <c r="CL18" i="14"/>
  <c r="CL26" i="14"/>
  <c r="CL34" i="14"/>
  <c r="CL42" i="14"/>
  <c r="CL50" i="14"/>
  <c r="E51" i="14" l="1"/>
  <c r="E25" i="14"/>
  <c r="K25" i="14" s="1"/>
  <c r="E17" i="14"/>
  <c r="K17" i="14" s="1"/>
  <c r="B43" i="14"/>
  <c r="CS43" i="14" s="1"/>
  <c r="AN55" i="14"/>
  <c r="AN58" i="14" s="1"/>
  <c r="B16" i="14"/>
  <c r="CS16" i="14" s="1"/>
  <c r="E43" i="14"/>
  <c r="CK55" i="14"/>
  <c r="CK58" i="14" s="1"/>
  <c r="E13" i="14"/>
  <c r="BK6" i="14"/>
  <c r="BR49" i="14"/>
  <c r="BK38" i="14"/>
  <c r="AI34" i="14"/>
  <c r="AI54" i="14"/>
  <c r="AB17" i="14"/>
  <c r="CL17" i="14"/>
  <c r="BY35" i="14"/>
  <c r="BK13" i="14"/>
  <c r="AP52" i="14"/>
  <c r="AP4" i="14"/>
  <c r="T51" i="14"/>
  <c r="U51" i="14"/>
  <c r="CM28" i="14"/>
  <c r="AB9" i="14"/>
  <c r="CM16" i="14"/>
  <c r="BY18" i="14"/>
  <c r="AW6" i="14"/>
  <c r="AB13" i="14"/>
  <c r="AW27" i="14"/>
  <c r="CM12" i="14"/>
  <c r="CM19" i="14"/>
  <c r="BJ19" i="14"/>
  <c r="BC24" i="14"/>
  <c r="BD24" i="14"/>
  <c r="AV29" i="14"/>
  <c r="AH56" i="14"/>
  <c r="T9" i="14"/>
  <c r="M30" i="14"/>
  <c r="AH22" i="14"/>
  <c r="F22" i="14" s="1"/>
  <c r="CE50" i="14"/>
  <c r="AH37" i="14"/>
  <c r="CM20" i="14"/>
  <c r="BQ35" i="14"/>
  <c r="AH36" i="14"/>
  <c r="CM27" i="14"/>
  <c r="BQ42" i="14"/>
  <c r="AO14" i="14"/>
  <c r="M42" i="14"/>
  <c r="CE11" i="14"/>
  <c r="BY16" i="14"/>
  <c r="BR5" i="14"/>
  <c r="BD47" i="14"/>
  <c r="AO33" i="14"/>
  <c r="BX15" i="14"/>
  <c r="BD46" i="14"/>
  <c r="AP8" i="14"/>
  <c r="U31" i="14"/>
  <c r="AO15" i="14"/>
  <c r="AP15" i="14"/>
  <c r="M35" i="14"/>
  <c r="CM46" i="14"/>
  <c r="CM14" i="14"/>
  <c r="CF35" i="14"/>
  <c r="BY57" i="14"/>
  <c r="BY31" i="14"/>
  <c r="BR52" i="14"/>
  <c r="BR20" i="14"/>
  <c r="R20" i="14"/>
  <c r="B20" i="14"/>
  <c r="CS20" i="14" s="1"/>
  <c r="E20" i="14"/>
  <c r="K20" i="14" s="1"/>
  <c r="BD13" i="14"/>
  <c r="E54" i="14"/>
  <c r="R11" i="14"/>
  <c r="E11" i="14"/>
  <c r="K11" i="14" s="1"/>
  <c r="B11" i="14"/>
  <c r="CS11" i="14" s="1"/>
  <c r="B48" i="14"/>
  <c r="CS48" i="14" s="1"/>
  <c r="CF49" i="14"/>
  <c r="BR27" i="14"/>
  <c r="BD53" i="14"/>
  <c r="U38" i="14"/>
  <c r="U6" i="14"/>
  <c r="AB30" i="14"/>
  <c r="B34" i="14"/>
  <c r="CS34" i="14" s="1"/>
  <c r="BY37" i="14"/>
  <c r="BY5" i="14"/>
  <c r="BR26" i="14"/>
  <c r="BK47" i="14"/>
  <c r="BK15" i="14"/>
  <c r="AB48" i="14"/>
  <c r="AB16" i="14"/>
  <c r="R26" i="14"/>
  <c r="B26" i="14"/>
  <c r="CS26" i="14" s="1"/>
  <c r="CM26" i="14"/>
  <c r="BW55" i="14"/>
  <c r="BW58" i="14" s="1"/>
  <c r="R33" i="14"/>
  <c r="B33" i="14"/>
  <c r="CS33" i="14" s="1"/>
  <c r="BR40" i="14"/>
  <c r="BD33" i="14"/>
  <c r="AI48" i="14"/>
  <c r="AI16" i="14"/>
  <c r="N39" i="14"/>
  <c r="N7" i="14"/>
  <c r="E33" i="14"/>
  <c r="K33" i="14" s="1"/>
  <c r="N54" i="14"/>
  <c r="N22" i="14"/>
  <c r="AW52" i="14"/>
  <c r="AW20" i="14"/>
  <c r="AP41" i="14"/>
  <c r="AP9" i="14"/>
  <c r="E29" i="14"/>
  <c r="K29" i="14" s="1"/>
  <c r="E5" i="14"/>
  <c r="AI52" i="14"/>
  <c r="AI20" i="14"/>
  <c r="U28" i="14"/>
  <c r="N25" i="14"/>
  <c r="AP56" i="14"/>
  <c r="T13" i="14"/>
  <c r="BC51" i="14"/>
  <c r="BD51" i="14"/>
  <c r="BY52" i="14"/>
  <c r="BR41" i="14"/>
  <c r="BK30" i="14"/>
  <c r="BD27" i="14"/>
  <c r="AI26" i="14"/>
  <c r="CL49" i="14"/>
  <c r="BJ5" i="14"/>
  <c r="BK5" i="14"/>
  <c r="AO44" i="14"/>
  <c r="AP44" i="14"/>
  <c r="U43" i="14"/>
  <c r="N32" i="14"/>
  <c r="U48" i="14"/>
  <c r="BY54" i="14"/>
  <c r="CM8" i="14"/>
  <c r="BY10" i="14"/>
  <c r="AP51" i="14"/>
  <c r="AH16" i="14"/>
  <c r="AB5" i="14"/>
  <c r="CM56" i="14"/>
  <c r="CE44" i="14"/>
  <c r="CF44" i="14"/>
  <c r="BC16" i="14"/>
  <c r="BD16" i="14"/>
  <c r="AH47" i="14"/>
  <c r="T49" i="14"/>
  <c r="U49" i="14"/>
  <c r="CL45" i="14"/>
  <c r="AA42" i="14"/>
  <c r="CM11" i="14"/>
  <c r="BC12" i="14"/>
  <c r="BD12" i="14"/>
  <c r="BY8" i="14"/>
  <c r="BK50" i="14"/>
  <c r="BC39" i="14"/>
  <c r="BD39" i="14"/>
  <c r="AV28" i="14"/>
  <c r="BQ52" i="14"/>
  <c r="BC22" i="14"/>
  <c r="BD22" i="14"/>
  <c r="BQ11" i="14"/>
  <c r="AH52" i="14"/>
  <c r="AB35" i="14"/>
  <c r="E36" i="14"/>
  <c r="B36" i="14"/>
  <c r="CS36" i="14" s="1"/>
  <c r="AI25" i="14"/>
  <c r="AB46" i="14"/>
  <c r="AB6" i="14"/>
  <c r="CM29" i="14"/>
  <c r="CF50" i="14"/>
  <c r="CF18" i="14"/>
  <c r="AP57" i="14"/>
  <c r="AI53" i="14"/>
  <c r="AI21" i="14"/>
  <c r="AB42" i="14"/>
  <c r="AB10" i="14"/>
  <c r="E12" i="14"/>
  <c r="B12" i="14"/>
  <c r="CS12" i="14" s="1"/>
  <c r="U54" i="14"/>
  <c r="N11" i="14"/>
  <c r="BR24" i="14"/>
  <c r="BK40" i="14"/>
  <c r="B51" i="14"/>
  <c r="CS51" i="14" s="1"/>
  <c r="U34" i="14"/>
  <c r="AW49" i="14"/>
  <c r="AW17" i="14"/>
  <c r="AP38" i="14"/>
  <c r="AP6" i="14"/>
  <c r="AI27" i="14"/>
  <c r="U5" i="14"/>
  <c r="N26" i="14"/>
  <c r="AW48" i="14"/>
  <c r="AW16" i="14"/>
  <c r="AP37" i="14"/>
  <c r="AP5" i="14"/>
  <c r="AB56" i="14"/>
  <c r="AB23" i="14"/>
  <c r="CF39" i="14"/>
  <c r="CF7" i="14"/>
  <c r="R25" i="14"/>
  <c r="B25" i="14"/>
  <c r="CS25" i="14" s="1"/>
  <c r="CM17" i="14"/>
  <c r="CF38" i="14"/>
  <c r="CF5" i="14"/>
  <c r="BR56" i="14"/>
  <c r="BR23" i="14"/>
  <c r="BK44" i="14"/>
  <c r="BI55" i="14"/>
  <c r="BI58" i="14" s="1"/>
  <c r="E31" i="14"/>
  <c r="B31" i="14"/>
  <c r="CS31" i="14" s="1"/>
  <c r="BY33" i="14"/>
  <c r="BR54" i="14"/>
  <c r="BR22" i="14"/>
  <c r="BK43" i="14"/>
  <c r="BK11" i="14"/>
  <c r="AW53" i="14"/>
  <c r="AW21" i="14"/>
  <c r="AP42" i="14"/>
  <c r="AP10" i="14"/>
  <c r="AI31" i="14"/>
  <c r="AB52" i="14"/>
  <c r="AB20" i="14"/>
  <c r="R46" i="14"/>
  <c r="B46" i="14"/>
  <c r="CS46" i="14" s="1"/>
  <c r="E14" i="14"/>
  <c r="B14" i="14"/>
  <c r="CS14" i="14" s="1"/>
  <c r="B53" i="14"/>
  <c r="CS53" i="14" s="1"/>
  <c r="B21" i="14"/>
  <c r="CS21" i="14" s="1"/>
  <c r="E44" i="14"/>
  <c r="K44" i="14" s="1"/>
  <c r="AM44" i="14"/>
  <c r="BY44" i="14"/>
  <c r="BR33" i="14"/>
  <c r="BK22" i="14"/>
  <c r="BD19" i="14"/>
  <c r="AI18" i="14"/>
  <c r="U52" i="14"/>
  <c r="U57" i="14"/>
  <c r="M51" i="14"/>
  <c r="N51" i="14"/>
  <c r="BK53" i="14"/>
  <c r="BD50" i="14"/>
  <c r="AP36" i="14"/>
  <c r="U35" i="14"/>
  <c r="U16" i="14"/>
  <c r="G16" i="14" s="1"/>
  <c r="BY14" i="14"/>
  <c r="M18" i="14"/>
  <c r="AW54" i="14"/>
  <c r="AP43" i="14"/>
  <c r="AP40" i="14"/>
  <c r="BY30" i="14"/>
  <c r="AV34" i="14"/>
  <c r="AW34" i="14"/>
  <c r="CF32" i="14"/>
  <c r="BD8" i="14"/>
  <c r="BK49" i="14"/>
  <c r="BK16" i="14"/>
  <c r="BC6" i="14"/>
  <c r="BD6" i="14"/>
  <c r="N52" i="14"/>
  <c r="CM38" i="14"/>
  <c r="CM6" i="14"/>
  <c r="CF27" i="14"/>
  <c r="B28" i="14"/>
  <c r="CS28" i="14" s="1"/>
  <c r="R28" i="14"/>
  <c r="E28" i="14"/>
  <c r="K28" i="14" s="1"/>
  <c r="BY23" i="14"/>
  <c r="BR44" i="14"/>
  <c r="BR12" i="14"/>
  <c r="L55" i="14"/>
  <c r="L58" i="14" s="1"/>
  <c r="E4" i="14"/>
  <c r="B4" i="14"/>
  <c r="BD5" i="14"/>
  <c r="E35" i="14"/>
  <c r="B35" i="14"/>
  <c r="CS35" i="14" s="1"/>
  <c r="R35" i="14"/>
  <c r="CF33" i="14"/>
  <c r="BR51" i="14"/>
  <c r="BR19" i="14"/>
  <c r="BD45" i="14"/>
  <c r="U30" i="14"/>
  <c r="B8" i="14"/>
  <c r="CS8" i="14" s="1"/>
  <c r="E26" i="14"/>
  <c r="K26" i="14" s="1"/>
  <c r="Y26" i="14"/>
  <c r="B56" i="14"/>
  <c r="CS56" i="14" s="1"/>
  <c r="BY29" i="14"/>
  <c r="BR50" i="14"/>
  <c r="BR18" i="14"/>
  <c r="BK39" i="14"/>
  <c r="BK7" i="14"/>
  <c r="AB40" i="14"/>
  <c r="AB8" i="14"/>
  <c r="B50" i="14"/>
  <c r="CS50" i="14" s="1"/>
  <c r="E50" i="14"/>
  <c r="B18" i="14"/>
  <c r="CS18" i="14" s="1"/>
  <c r="R18" i="14"/>
  <c r="E18" i="14"/>
  <c r="K18" i="14" s="1"/>
  <c r="BD35" i="14"/>
  <c r="S55" i="14"/>
  <c r="S58" i="14" s="1"/>
  <c r="E24" i="14"/>
  <c r="K24" i="14" s="1"/>
  <c r="CM50" i="14"/>
  <c r="CM18" i="14"/>
  <c r="B17" i="14"/>
  <c r="CS17" i="14" s="1"/>
  <c r="R17" i="14"/>
  <c r="BK4" i="14"/>
  <c r="BD25" i="14"/>
  <c r="AI40" i="14"/>
  <c r="AI8" i="14"/>
  <c r="N31" i="14"/>
  <c r="U25" i="14"/>
  <c r="N46" i="14"/>
  <c r="N14" i="14"/>
  <c r="AW44" i="14"/>
  <c r="AW12" i="14"/>
  <c r="AP33" i="14"/>
  <c r="AI44" i="14"/>
  <c r="AI12" i="14"/>
  <c r="AW56" i="14"/>
  <c r="BR25" i="14"/>
  <c r="BD11" i="14"/>
  <c r="U44" i="14"/>
  <c r="CM44" i="14"/>
  <c r="U37" i="14"/>
  <c r="BJ45" i="14"/>
  <c r="BD42" i="14"/>
  <c r="AW39" i="14"/>
  <c r="U27" i="14"/>
  <c r="CF16" i="14"/>
  <c r="BK25" i="14"/>
  <c r="AP32" i="14"/>
  <c r="AA10" i="14"/>
  <c r="F10" i="14" s="1"/>
  <c r="AW18" i="14"/>
  <c r="CF8" i="14"/>
  <c r="CL39" i="14"/>
  <c r="CM39" i="14"/>
  <c r="CF28" i="14"/>
  <c r="AA28" i="14"/>
  <c r="CL29" i="14"/>
  <c r="BK17" i="14"/>
  <c r="CE51" i="14"/>
  <c r="N36" i="14"/>
  <c r="AB27" i="14"/>
  <c r="AI49" i="14"/>
  <c r="G49" i="14" s="1"/>
  <c r="AI17" i="14"/>
  <c r="AB38" i="14"/>
  <c r="CM53" i="14"/>
  <c r="CM21" i="14"/>
  <c r="CF42" i="14"/>
  <c r="CF10" i="14"/>
  <c r="BP55" i="14"/>
  <c r="BP58" i="14" s="1"/>
  <c r="AI45" i="14"/>
  <c r="AI13" i="14"/>
  <c r="AB34" i="14"/>
  <c r="N35" i="14"/>
  <c r="CF6" i="14"/>
  <c r="BR16" i="14"/>
  <c r="BK24" i="14"/>
  <c r="E8" i="14"/>
  <c r="K8" i="14" s="1"/>
  <c r="U26" i="14"/>
  <c r="B47" i="14"/>
  <c r="CS47" i="14" s="1"/>
  <c r="AW41" i="14"/>
  <c r="AW9" i="14"/>
  <c r="AP30" i="14"/>
  <c r="AI51" i="14"/>
  <c r="AI19" i="14"/>
  <c r="N50" i="14"/>
  <c r="N18" i="14"/>
  <c r="AW40" i="14"/>
  <c r="AW8" i="14"/>
  <c r="AP29" i="14"/>
  <c r="AB47" i="14"/>
  <c r="AB15" i="14"/>
  <c r="B41" i="14"/>
  <c r="CS41" i="14" s="1"/>
  <c r="E41" i="14"/>
  <c r="K41" i="14" s="1"/>
  <c r="R41" i="14"/>
  <c r="CF31" i="14"/>
  <c r="B9" i="14"/>
  <c r="CS9" i="14" s="1"/>
  <c r="CM9" i="14"/>
  <c r="CF30" i="14"/>
  <c r="BY19" i="14"/>
  <c r="CF53" i="14"/>
  <c r="BR47" i="14"/>
  <c r="BR15" i="14"/>
  <c r="BK36" i="14"/>
  <c r="B32" i="14"/>
  <c r="CS32" i="14" s="1"/>
  <c r="AM32" i="14"/>
  <c r="R23" i="14"/>
  <c r="E23" i="14"/>
  <c r="K23" i="14" s="1"/>
  <c r="B23" i="14"/>
  <c r="CS23" i="14" s="1"/>
  <c r="CD55" i="14"/>
  <c r="CD58" i="14" s="1"/>
  <c r="BY25" i="14"/>
  <c r="BR46" i="14"/>
  <c r="BR14" i="14"/>
  <c r="BK35" i="14"/>
  <c r="BD57" i="14"/>
  <c r="AW45" i="14"/>
  <c r="AW13" i="14"/>
  <c r="AP34" i="14"/>
  <c r="AI56" i="14"/>
  <c r="AI23" i="14"/>
  <c r="G23" i="14" s="1"/>
  <c r="AB44" i="14"/>
  <c r="AB12" i="14"/>
  <c r="B38" i="14"/>
  <c r="CS38" i="14" s="1"/>
  <c r="E38" i="14"/>
  <c r="E6" i="14"/>
  <c r="B6" i="14"/>
  <c r="CS6" i="14" s="1"/>
  <c r="AU55" i="14"/>
  <c r="AU58" i="14" s="1"/>
  <c r="B45" i="14"/>
  <c r="CS45" i="14" s="1"/>
  <c r="E21" i="14"/>
  <c r="K21" i="14" s="1"/>
  <c r="B52" i="14"/>
  <c r="CS52" i="14" s="1"/>
  <c r="E52" i="14"/>
  <c r="AG55" i="14"/>
  <c r="AG58" i="14" s="1"/>
  <c r="BY28" i="14"/>
  <c r="BR17" i="14"/>
  <c r="BK14" i="14"/>
  <c r="AI10" i="14"/>
  <c r="N33" i="14"/>
  <c r="U24" i="14"/>
  <c r="CL33" i="14"/>
  <c r="BK45" i="14"/>
  <c r="BD34" i="14"/>
  <c r="AW31" i="14"/>
  <c r="AP28" i="14"/>
  <c r="AP31" i="14"/>
  <c r="AV33" i="14"/>
  <c r="BY50" i="14"/>
  <c r="AO35" i="14"/>
  <c r="AB45" i="14"/>
  <c r="BD54" i="14"/>
  <c r="T39" i="14"/>
  <c r="U39" i="14"/>
  <c r="AO39" i="14"/>
  <c r="AP39" i="14"/>
  <c r="CL31" i="14"/>
  <c r="CM31" i="14"/>
  <c r="BD48" i="14"/>
  <c r="BC38" i="14"/>
  <c r="BD38" i="14"/>
  <c r="CE25" i="14"/>
  <c r="CF25" i="14"/>
  <c r="CF24" i="14"/>
  <c r="CL46" i="14"/>
  <c r="BX40" i="14"/>
  <c r="BR37" i="14"/>
  <c r="BK26" i="14"/>
  <c r="BD15" i="14"/>
  <c r="AW35" i="14"/>
  <c r="N20" i="14"/>
  <c r="AA25" i="14"/>
  <c r="AB25" i="14"/>
  <c r="CM30" i="14"/>
  <c r="CF51" i="14"/>
  <c r="CF19" i="14"/>
  <c r="BY15" i="14"/>
  <c r="BR36" i="14"/>
  <c r="BR4" i="14"/>
  <c r="BK32" i="14"/>
  <c r="E27" i="14"/>
  <c r="K27" i="14" s="1"/>
  <c r="B27" i="14"/>
  <c r="CS27" i="14" s="1"/>
  <c r="R27" i="14"/>
  <c r="CF17" i="14"/>
  <c r="BR43" i="14"/>
  <c r="BR11" i="14"/>
  <c r="BD37" i="14"/>
  <c r="U22" i="14"/>
  <c r="BY53" i="14"/>
  <c r="BY21" i="14"/>
  <c r="BR42" i="14"/>
  <c r="BR10" i="14"/>
  <c r="BK31" i="14"/>
  <c r="AB32" i="14"/>
  <c r="E42" i="14"/>
  <c r="K42" i="14" s="1"/>
  <c r="R42" i="14"/>
  <c r="B42" i="14"/>
  <c r="CS42" i="14" s="1"/>
  <c r="E10" i="14"/>
  <c r="B10" i="14"/>
  <c r="CS10" i="14" s="1"/>
  <c r="B24" i="14"/>
  <c r="CS24" i="14" s="1"/>
  <c r="CM42" i="14"/>
  <c r="CM10" i="14"/>
  <c r="E32" i="14"/>
  <c r="K32" i="14" s="1"/>
  <c r="BD49" i="14"/>
  <c r="BD17" i="14"/>
  <c r="AI32" i="14"/>
  <c r="E53" i="14"/>
  <c r="N23" i="14"/>
  <c r="Z55" i="14"/>
  <c r="Z58" i="14" s="1"/>
  <c r="U17" i="14"/>
  <c r="N38" i="14"/>
  <c r="N6" i="14"/>
  <c r="AW36" i="14"/>
  <c r="AW4" i="14"/>
  <c r="AP25" i="14"/>
  <c r="E37" i="14"/>
  <c r="B13" i="14"/>
  <c r="CS13" i="14" s="1"/>
  <c r="R44" i="14"/>
  <c r="B44" i="14"/>
  <c r="CS44" i="14" s="1"/>
  <c r="AI36" i="14"/>
  <c r="AI4" i="14"/>
  <c r="BK37" i="14"/>
  <c r="AW23" i="14"/>
  <c r="U11" i="14"/>
  <c r="AI46" i="14"/>
  <c r="CM40" i="14"/>
  <c r="CE37" i="14"/>
  <c r="BY42" i="14"/>
  <c r="BJ20" i="14"/>
  <c r="AP27" i="14"/>
  <c r="AB37" i="14"/>
  <c r="U7" i="14"/>
  <c r="AP7" i="14"/>
  <c r="CF12" i="14"/>
  <c r="T25" i="14"/>
  <c r="G53" i="14"/>
  <c r="BY47" i="14"/>
  <c r="N4" i="14"/>
  <c r="AW42" i="14"/>
  <c r="CE18" i="14"/>
  <c r="AV19" i="14"/>
  <c r="AW19" i="14"/>
  <c r="CM4" i="14"/>
  <c r="AB19" i="14"/>
  <c r="AI41" i="14"/>
  <c r="G41" i="14" s="1"/>
  <c r="AI9" i="14"/>
  <c r="AB22" i="14"/>
  <c r="CM45" i="14"/>
  <c r="CM13" i="14"/>
  <c r="CF34" i="14"/>
  <c r="AI37" i="14"/>
  <c r="AI5" i="14"/>
  <c r="AB26" i="14"/>
  <c r="N27" i="14"/>
  <c r="BR48" i="14"/>
  <c r="BR8" i="14"/>
  <c r="E46" i="14"/>
  <c r="K46" i="14" s="1"/>
  <c r="Y46" i="14"/>
  <c r="U50" i="14"/>
  <c r="U18" i="14"/>
  <c r="AW33" i="14"/>
  <c r="AP54" i="14"/>
  <c r="AP22" i="14"/>
  <c r="AI43" i="14"/>
  <c r="AI11" i="14"/>
  <c r="U21" i="14"/>
  <c r="G21" i="14" s="1"/>
  <c r="N42" i="14"/>
  <c r="N10" i="14"/>
  <c r="AW32" i="14"/>
  <c r="AP53" i="14"/>
  <c r="AP21" i="14"/>
  <c r="AB39" i="14"/>
  <c r="AB7" i="14"/>
  <c r="CM49" i="14"/>
  <c r="CF23" i="14"/>
  <c r="CM41" i="14"/>
  <c r="CF54" i="14"/>
  <c r="CF22" i="14"/>
  <c r="BY11" i="14"/>
  <c r="CF37" i="14"/>
  <c r="BR39" i="14"/>
  <c r="BR7" i="14"/>
  <c r="BK28" i="14"/>
  <c r="E15" i="14"/>
  <c r="B15" i="14"/>
  <c r="CS15" i="14" s="1"/>
  <c r="BY49" i="14"/>
  <c r="BY17" i="14"/>
  <c r="BR38" i="14"/>
  <c r="BR6" i="14"/>
  <c r="BK27" i="14"/>
  <c r="AW37" i="14"/>
  <c r="AW5" i="14"/>
  <c r="AP26" i="14"/>
  <c r="AI47" i="14"/>
  <c r="AI15" i="14"/>
  <c r="AB36" i="14"/>
  <c r="AB4" i="14"/>
  <c r="E9" i="14"/>
  <c r="E30" i="14"/>
  <c r="B30" i="14"/>
  <c r="CS30" i="14" s="1"/>
  <c r="B37" i="14"/>
  <c r="CS37" i="14" s="1"/>
  <c r="B40" i="14"/>
  <c r="CS40" i="14" s="1"/>
  <c r="BY12" i="14"/>
  <c r="BK54" i="14"/>
  <c r="AI50" i="14"/>
  <c r="AA15" i="14"/>
  <c r="U20" i="14"/>
  <c r="N13" i="14"/>
  <c r="AB57" i="14"/>
  <c r="CL25" i="14"/>
  <c r="BY51" i="14"/>
  <c r="BK29" i="14"/>
  <c r="BD18" i="14"/>
  <c r="AW15" i="14"/>
  <c r="AP20" i="14"/>
  <c r="G57" i="14"/>
  <c r="BJ33" i="14"/>
  <c r="BK33" i="14"/>
  <c r="U29" i="14"/>
  <c r="CM32" i="14"/>
  <c r="BY34" i="14"/>
  <c r="BK12" i="14"/>
  <c r="AB29" i="14"/>
  <c r="T8" i="14"/>
  <c r="U8" i="14"/>
  <c r="BC14" i="14"/>
  <c r="BD14" i="14"/>
  <c r="BD4" i="14"/>
  <c r="CM15" i="14"/>
  <c r="CF4" i="14"/>
  <c r="CM52" i="14"/>
  <c r="BY38" i="14"/>
  <c r="BX29" i="14"/>
  <c r="BD52" i="14"/>
  <c r="BY39" i="14"/>
  <c r="AO48" i="14"/>
  <c r="AP48" i="14"/>
  <c r="AV26" i="14"/>
  <c r="AW26" i="14"/>
  <c r="CM54" i="14"/>
  <c r="CM22" i="14"/>
  <c r="CF43" i="14"/>
  <c r="CF11" i="14"/>
  <c r="BY7" i="14"/>
  <c r="BR28" i="14"/>
  <c r="BD29" i="14"/>
  <c r="R19" i="14"/>
  <c r="E19" i="14"/>
  <c r="K19" i="14" s="1"/>
  <c r="B19" i="14"/>
  <c r="CS19" i="14" s="1"/>
  <c r="BR35" i="14"/>
  <c r="BK8" i="14"/>
  <c r="BD21" i="14"/>
  <c r="U46" i="14"/>
  <c r="U14" i="14"/>
  <c r="BY45" i="14"/>
  <c r="BY13" i="14"/>
  <c r="BR34" i="14"/>
  <c r="BK56" i="14"/>
  <c r="BK23" i="14"/>
  <c r="AB24" i="14"/>
  <c r="E34" i="14"/>
  <c r="R34" i="14"/>
  <c r="CM34" i="14"/>
  <c r="CM57" i="14"/>
  <c r="BD41" i="14"/>
  <c r="BD9" i="14"/>
  <c r="AI57" i="14"/>
  <c r="AI24" i="14"/>
  <c r="E45" i="14"/>
  <c r="K45" i="14" s="1"/>
  <c r="N15" i="14"/>
  <c r="U9" i="14"/>
  <c r="N30" i="14"/>
  <c r="AW28" i="14"/>
  <c r="AP49" i="14"/>
  <c r="AP17" i="14"/>
  <c r="AB51" i="14"/>
  <c r="B29" i="14"/>
  <c r="CS29" i="14" s="1"/>
  <c r="AI28" i="14"/>
  <c r="CL10" i="14"/>
  <c r="BY20" i="14"/>
  <c r="BR9" i="14"/>
  <c r="CF56" i="14"/>
  <c r="BY4" i="14"/>
  <c r="BK46" i="14"/>
  <c r="BD43" i="14"/>
  <c r="AO29" i="14"/>
  <c r="N9" i="14"/>
  <c r="G9" i="14" s="1"/>
  <c r="BD44" i="14"/>
  <c r="CE38" i="14"/>
  <c r="BY43" i="14"/>
  <c r="BR57" i="14"/>
  <c r="BK21" i="14"/>
  <c r="BD10" i="14"/>
  <c r="AV7" i="14"/>
  <c r="AW7" i="14"/>
  <c r="AP12" i="14"/>
  <c r="N48" i="14"/>
  <c r="U15" i="14"/>
  <c r="BY26" i="14"/>
  <c r="AW14" i="14"/>
  <c r="AP11" i="14"/>
  <c r="AW43" i="14"/>
  <c r="G12" i="14"/>
  <c r="BC53" i="14"/>
  <c r="CM43" i="14"/>
  <c r="AV37" i="14"/>
  <c r="CL53" i="14"/>
  <c r="CM36" i="14"/>
  <c r="BX6" i="14"/>
  <c r="BY6" i="14"/>
  <c r="AO23" i="14"/>
  <c r="AP23" i="14"/>
  <c r="CM35" i="14"/>
  <c r="BX5" i="14"/>
  <c r="BC36" i="14"/>
  <c r="BD36" i="14"/>
  <c r="CE19" i="14"/>
  <c r="BQ13" i="14"/>
  <c r="BR13" i="14"/>
  <c r="BD56" i="14"/>
  <c r="AP24" i="14"/>
  <c r="T47" i="14"/>
  <c r="U47" i="14"/>
  <c r="AP47" i="14"/>
  <c r="AB43" i="14"/>
  <c r="AB11" i="14"/>
  <c r="CM33" i="14"/>
  <c r="AI33" i="14"/>
  <c r="AB54" i="14"/>
  <c r="AB14" i="14"/>
  <c r="CM37" i="14"/>
  <c r="CM5" i="14"/>
  <c r="CF26" i="14"/>
  <c r="AI29" i="14"/>
  <c r="AB50" i="14"/>
  <c r="AB18" i="14"/>
  <c r="N19" i="14"/>
  <c r="BR32" i="14"/>
  <c r="BK48" i="14"/>
  <c r="U42" i="14"/>
  <c r="U10" i="14"/>
  <c r="BB55" i="14"/>
  <c r="BB58" i="14" s="1"/>
  <c r="AW25" i="14"/>
  <c r="AP46" i="14"/>
  <c r="AP14" i="14"/>
  <c r="AI35" i="14"/>
  <c r="U13" i="14"/>
  <c r="N34" i="14"/>
  <c r="G34" i="14" s="1"/>
  <c r="AW57" i="14"/>
  <c r="AW24" i="14"/>
  <c r="AP45" i="14"/>
  <c r="AP13" i="14"/>
  <c r="AB31" i="14"/>
  <c r="CF47" i="14"/>
  <c r="CF15" i="14"/>
  <c r="E49" i="14"/>
  <c r="B49" i="14"/>
  <c r="CS49" i="14" s="1"/>
  <c r="CM25" i="14"/>
  <c r="CF46" i="14"/>
  <c r="CF14" i="14"/>
  <c r="CF21" i="14"/>
  <c r="BR31" i="14"/>
  <c r="BK52" i="14"/>
  <c r="BK20" i="14"/>
  <c r="E16" i="14"/>
  <c r="E39" i="14"/>
  <c r="B39" i="14"/>
  <c r="CS39" i="14" s="1"/>
  <c r="E7" i="14"/>
  <c r="B7" i="14"/>
  <c r="CS7" i="14" s="1"/>
  <c r="BY41" i="14"/>
  <c r="BY9" i="14"/>
  <c r="BR30" i="14"/>
  <c r="BK51" i="14"/>
  <c r="BK19" i="14"/>
  <c r="AW29" i="14"/>
  <c r="AP50" i="14"/>
  <c r="AP18" i="14"/>
  <c r="AI39" i="14"/>
  <c r="AI7" i="14"/>
  <c r="AB28" i="14"/>
  <c r="B54" i="14"/>
  <c r="CS54" i="14" s="1"/>
  <c r="E22" i="14"/>
  <c r="K22" i="14" s="1"/>
  <c r="R22" i="14"/>
  <c r="B22" i="14"/>
  <c r="CS22" i="14" s="1"/>
  <c r="B5" i="14"/>
  <c r="CS5" i="14" s="1"/>
  <c r="BY27" i="14"/>
  <c r="E40" i="14"/>
  <c r="BC11" i="14"/>
  <c r="BJ46" i="14"/>
  <c r="T57" i="14"/>
  <c r="AA17" i="14"/>
  <c r="CL52" i="14"/>
  <c r="BX52" i="14"/>
  <c r="BC43" i="14"/>
  <c r="AO17" i="14"/>
  <c r="AA29" i="14"/>
  <c r="AA4" i="14"/>
  <c r="AO56" i="14"/>
  <c r="CL15" i="14"/>
  <c r="CE12" i="14"/>
  <c r="T4" i="14"/>
  <c r="AH54" i="14"/>
  <c r="F54" i="14" s="1"/>
  <c r="BC10" i="14"/>
  <c r="T43" i="14"/>
  <c r="T16" i="14"/>
  <c r="BQ29" i="14"/>
  <c r="CE34" i="14"/>
  <c r="T50" i="14"/>
  <c r="BQ31" i="14"/>
  <c r="BJ38" i="14"/>
  <c r="BC50" i="14"/>
  <c r="CL32" i="14"/>
  <c r="AV14" i="14"/>
  <c r="BC8" i="14"/>
  <c r="BC45" i="14"/>
  <c r="AH42" i="14"/>
  <c r="F42" i="14" s="1"/>
  <c r="T27" i="14"/>
  <c r="F27" i="14" s="1"/>
  <c r="AV31" i="14"/>
  <c r="T19" i="14"/>
  <c r="AA33" i="14"/>
  <c r="CL19" i="14"/>
  <c r="CL7" i="14"/>
  <c r="BJ16" i="14"/>
  <c r="BJ50" i="14"/>
  <c r="AO24" i="14"/>
  <c r="BC19" i="14"/>
  <c r="BX22" i="14"/>
  <c r="BX12" i="14"/>
  <c r="T12" i="14"/>
  <c r="BQ57" i="14"/>
  <c r="BC42" i="14"/>
  <c r="BX54" i="14"/>
  <c r="BX30" i="14"/>
  <c r="BQ9" i="14"/>
  <c r="BJ30" i="14"/>
  <c r="M17" i="14"/>
  <c r="BC34" i="14"/>
  <c r="BJ12" i="14"/>
  <c r="AV38" i="14"/>
  <c r="AV43" i="14"/>
  <c r="AV12" i="14"/>
  <c r="M43" i="14"/>
  <c r="T23" i="14"/>
  <c r="F23" i="14" s="1"/>
  <c r="BC46" i="14"/>
  <c r="BQ22" i="14"/>
  <c r="CL57" i="14"/>
  <c r="BJ22" i="14"/>
  <c r="AO52" i="14"/>
  <c r="T48" i="14"/>
  <c r="CE16" i="14"/>
  <c r="AH30" i="14"/>
  <c r="CL47" i="14"/>
  <c r="CE20" i="14"/>
  <c r="BC7" i="14"/>
  <c r="AO47" i="14"/>
  <c r="BC18" i="14"/>
  <c r="CE57" i="14"/>
  <c r="BX46" i="14"/>
  <c r="M47" i="14"/>
  <c r="CE22" i="14"/>
  <c r="BC57" i="14"/>
  <c r="AH4" i="14"/>
  <c r="M49" i="14"/>
  <c r="M41" i="14"/>
  <c r="M53" i="14"/>
  <c r="M44" i="14"/>
  <c r="M40" i="14"/>
  <c r="M56" i="14"/>
  <c r="D5" i="14" l="1"/>
  <c r="D29" i="14"/>
  <c r="D12" i="14"/>
  <c r="G17" i="14"/>
  <c r="G8" i="14"/>
  <c r="G56" i="14"/>
  <c r="G37" i="14"/>
  <c r="G43" i="14"/>
  <c r="D20" i="14"/>
  <c r="D24" i="14"/>
  <c r="D37" i="14"/>
  <c r="G40" i="14"/>
  <c r="D21" i="14"/>
  <c r="G44" i="14"/>
  <c r="D40" i="14"/>
  <c r="D16" i="14"/>
  <c r="D36" i="14"/>
  <c r="G48" i="14"/>
  <c r="D44" i="14"/>
  <c r="D53" i="14"/>
  <c r="G45" i="14"/>
  <c r="G5" i="14"/>
  <c r="D47" i="14"/>
  <c r="AH26" i="14"/>
  <c r="BX32" i="14"/>
  <c r="CE48" i="14"/>
  <c r="AA21" i="14"/>
  <c r="BQ25" i="14"/>
  <c r="BC32" i="14"/>
  <c r="AO40" i="14"/>
  <c r="AO51" i="14"/>
  <c r="BX16" i="14"/>
  <c r="BC52" i="14"/>
  <c r="AV11" i="14"/>
  <c r="AO27" i="14"/>
  <c r="CE29" i="14"/>
  <c r="AA57" i="14"/>
  <c r="AH18" i="14"/>
  <c r="M21" i="14"/>
  <c r="AA13" i="14"/>
  <c r="M29" i="14"/>
  <c r="CE47" i="14"/>
  <c r="CF55" i="14"/>
  <c r="CF58" i="14" s="1"/>
  <c r="T46" i="14"/>
  <c r="N55" i="14"/>
  <c r="N58" i="14" s="1"/>
  <c r="D4" i="14"/>
  <c r="G4" i="14"/>
  <c r="AW55" i="14"/>
  <c r="AW58" i="14" s="1"/>
  <c r="M20" i="14"/>
  <c r="AV57" i="14"/>
  <c r="G47" i="14"/>
  <c r="BQ7" i="14"/>
  <c r="BK55" i="14"/>
  <c r="BK58" i="14" s="1"/>
  <c r="E55" i="14"/>
  <c r="E58" i="14" s="1"/>
  <c r="CE26" i="14"/>
  <c r="D43" i="14"/>
  <c r="BQ40" i="14"/>
  <c r="AH45" i="14"/>
  <c r="D56" i="14"/>
  <c r="D48" i="14"/>
  <c r="BQ54" i="14"/>
  <c r="BQ45" i="14"/>
  <c r="AV46" i="14"/>
  <c r="BC27" i="14"/>
  <c r="T33" i="14"/>
  <c r="AO32" i="14"/>
  <c r="AA53" i="14"/>
  <c r="BX34" i="14"/>
  <c r="T15" i="14"/>
  <c r="BX35" i="14"/>
  <c r="AV30" i="14"/>
  <c r="BX48" i="14"/>
  <c r="AV51" i="14"/>
  <c r="AO7" i="14"/>
  <c r="BC30" i="14"/>
  <c r="AV6" i="14"/>
  <c r="CL8" i="14"/>
  <c r="BJ29" i="14"/>
  <c r="C29" i="14" s="1"/>
  <c r="AH50" i="14"/>
  <c r="F50" i="14" s="1"/>
  <c r="M57" i="14"/>
  <c r="T28" i="14"/>
  <c r="BJ54" i="14"/>
  <c r="BX26" i="14"/>
  <c r="BJ17" i="14"/>
  <c r="D57" i="14"/>
  <c r="CE4" i="14"/>
  <c r="CE15" i="14"/>
  <c r="CM55" i="14"/>
  <c r="CM58" i="14" s="1"/>
  <c r="M4" i="14"/>
  <c r="AI55" i="14"/>
  <c r="AI58" i="14" s="1"/>
  <c r="BQ19" i="14"/>
  <c r="D41" i="14"/>
  <c r="CL41" i="14"/>
  <c r="G10" i="14"/>
  <c r="BX8" i="14"/>
  <c r="AA39" i="14"/>
  <c r="F39" i="14" s="1"/>
  <c r="BQ43" i="14"/>
  <c r="G51" i="14"/>
  <c r="BX24" i="14"/>
  <c r="AO16" i="14"/>
  <c r="CL16" i="14"/>
  <c r="AO36" i="14"/>
  <c r="BJ6" i="14"/>
  <c r="AV18" i="14"/>
  <c r="CE13" i="14"/>
  <c r="T32" i="14"/>
  <c r="BC20" i="14"/>
  <c r="AA5" i="14"/>
  <c r="CL40" i="14"/>
  <c r="T45" i="14"/>
  <c r="AO12" i="14"/>
  <c r="BQ41" i="14"/>
  <c r="CL20" i="14"/>
  <c r="M24" i="14"/>
  <c r="M13" i="14"/>
  <c r="T11" i="14"/>
  <c r="G50" i="14"/>
  <c r="D33" i="14"/>
  <c r="M48" i="14"/>
  <c r="T14" i="14"/>
  <c r="BQ39" i="14"/>
  <c r="AB55" i="14"/>
  <c r="AB58" i="14" s="1"/>
  <c r="D9" i="14"/>
  <c r="CL4" i="14"/>
  <c r="T26" i="14"/>
  <c r="G6" i="14"/>
  <c r="D6" i="14"/>
  <c r="BQ12" i="14"/>
  <c r="CE43" i="14"/>
  <c r="AH40" i="14"/>
  <c r="M5" i="14"/>
  <c r="G27" i="14"/>
  <c r="D51" i="14"/>
  <c r="G26" i="14"/>
  <c r="D26" i="14"/>
  <c r="D42" i="14"/>
  <c r="G25" i="14"/>
  <c r="D25" i="14"/>
  <c r="D54" i="14"/>
  <c r="AV27" i="14"/>
  <c r="CL48" i="14"/>
  <c r="T37" i="14"/>
  <c r="AV15" i="14"/>
  <c r="BC31" i="14"/>
  <c r="CE36" i="14"/>
  <c r="AO11" i="14"/>
  <c r="CE45" i="14"/>
  <c r="BJ13" i="14"/>
  <c r="BX36" i="14"/>
  <c r="BQ33" i="14"/>
  <c r="AO8" i="14"/>
  <c r="BC15" i="14"/>
  <c r="AA37" i="14"/>
  <c r="F49" i="14"/>
  <c r="CE56" i="14"/>
  <c r="M12" i="14"/>
  <c r="F43" i="14"/>
  <c r="BX42" i="14"/>
  <c r="BC17" i="14"/>
  <c r="AA6" i="14"/>
  <c r="BJ21" i="14"/>
  <c r="G38" i="14"/>
  <c r="D38" i="14"/>
  <c r="CL37" i="14"/>
  <c r="G33" i="14"/>
  <c r="G36" i="14"/>
  <c r="D14" i="14"/>
  <c r="G14" i="14"/>
  <c r="T38" i="14"/>
  <c r="F51" i="14"/>
  <c r="G11" i="14"/>
  <c r="D11" i="14"/>
  <c r="BC49" i="14"/>
  <c r="M25" i="14"/>
  <c r="D8" i="14"/>
  <c r="AO42" i="14"/>
  <c r="AA38" i="14"/>
  <c r="BC23" i="14"/>
  <c r="CE24" i="14"/>
  <c r="BC54" i="14"/>
  <c r="AV50" i="14"/>
  <c r="T29" i="14"/>
  <c r="AV47" i="14"/>
  <c r="BJ10" i="14"/>
  <c r="CE40" i="14"/>
  <c r="BJ25" i="14"/>
  <c r="AO43" i="14"/>
  <c r="C43" i="14" s="1"/>
  <c r="CL24" i="14"/>
  <c r="AH46" i="14"/>
  <c r="BX44" i="14"/>
  <c r="BC47" i="14"/>
  <c r="CE52" i="14"/>
  <c r="BJ49" i="14"/>
  <c r="AV39" i="14"/>
  <c r="CL28" i="14"/>
  <c r="BD55" i="14"/>
  <c r="BD58" i="14" s="1"/>
  <c r="D13" i="14"/>
  <c r="G13" i="14"/>
  <c r="BR55" i="14"/>
  <c r="BR58" i="14" s="1"/>
  <c r="AV4" i="14"/>
  <c r="AA16" i="14"/>
  <c r="M33" i="14"/>
  <c r="G18" i="14"/>
  <c r="D18" i="14"/>
  <c r="M36" i="14"/>
  <c r="D46" i="14"/>
  <c r="G46" i="14"/>
  <c r="D31" i="14"/>
  <c r="G31" i="14"/>
  <c r="D52" i="14"/>
  <c r="G52" i="14"/>
  <c r="D32" i="14"/>
  <c r="G32" i="14"/>
  <c r="F17" i="14"/>
  <c r="U55" i="14"/>
  <c r="U58" i="14" s="1"/>
  <c r="BC56" i="14"/>
  <c r="CL27" i="14"/>
  <c r="CE32" i="14"/>
  <c r="BC26" i="14"/>
  <c r="BQ17" i="14"/>
  <c r="BJ42" i="14"/>
  <c r="CL35" i="14"/>
  <c r="CE9" i="14"/>
  <c r="AV22" i="14"/>
  <c r="CL44" i="14"/>
  <c r="BJ18" i="14"/>
  <c r="CL12" i="14"/>
  <c r="CL23" i="14"/>
  <c r="T40" i="14"/>
  <c r="F40" i="14" s="1"/>
  <c r="BJ26" i="14"/>
  <c r="CL11" i="14"/>
  <c r="CE8" i="14"/>
  <c r="AV10" i="14"/>
  <c r="C10" i="14" s="1"/>
  <c r="BX51" i="14"/>
  <c r="C51" i="14" s="1"/>
  <c r="BX56" i="14"/>
  <c r="AA45" i="14"/>
  <c r="BJ53" i="14"/>
  <c r="CL36" i="14"/>
  <c r="BX43" i="14"/>
  <c r="BX39" i="14"/>
  <c r="F47" i="14"/>
  <c r="CL22" i="14"/>
  <c r="BQ26" i="14"/>
  <c r="G29" i="14"/>
  <c r="BC4" i="14"/>
  <c r="D10" i="14"/>
  <c r="AH33" i="14"/>
  <c r="D50" i="14"/>
  <c r="AA19" i="14"/>
  <c r="M52" i="14"/>
  <c r="BQ4" i="14"/>
  <c r="BQ18" i="14"/>
  <c r="AA34" i="14"/>
  <c r="M32" i="14"/>
  <c r="CL9" i="14"/>
  <c r="D7" i="14"/>
  <c r="G7" i="14"/>
  <c r="AP55" i="14"/>
  <c r="AP58" i="14" s="1"/>
  <c r="CE30" i="14"/>
  <c r="C30" i="14" s="1"/>
  <c r="D34" i="14"/>
  <c r="BJ34" i="14"/>
  <c r="BC44" i="14"/>
  <c r="AV42" i="14"/>
  <c r="CE28" i="14"/>
  <c r="BJ37" i="14"/>
  <c r="T36" i="14"/>
  <c r="BQ49" i="14"/>
  <c r="T56" i="14"/>
  <c r="F56" i="14" s="1"/>
  <c r="BQ21" i="14"/>
  <c r="T7" i="14"/>
  <c r="AV54" i="14"/>
  <c r="AV23" i="14"/>
  <c r="T44" i="14"/>
  <c r="T20" i="14"/>
  <c r="T41" i="14"/>
  <c r="F41" i="14" s="1"/>
  <c r="CL56" i="14"/>
  <c r="AA9" i="14"/>
  <c r="BQ5" i="14"/>
  <c r="CE41" i="14"/>
  <c r="CL43" i="14"/>
  <c r="BX18" i="14"/>
  <c r="M9" i="14"/>
  <c r="M37" i="14"/>
  <c r="M8" i="14"/>
  <c r="BX10" i="14"/>
  <c r="D19" i="14"/>
  <c r="G19" i="14"/>
  <c r="BY55" i="14"/>
  <c r="BY58" i="14" s="1"/>
  <c r="G30" i="14"/>
  <c r="D30" i="14"/>
  <c r="G15" i="14"/>
  <c r="D17" i="14"/>
  <c r="G42" i="14"/>
  <c r="AH53" i="14"/>
  <c r="F53" i="14" s="1"/>
  <c r="G22" i="14"/>
  <c r="D15" i="14"/>
  <c r="CL21" i="14"/>
  <c r="T6" i="14"/>
  <c r="G24" i="14"/>
  <c r="D49" i="14"/>
  <c r="D22" i="14"/>
  <c r="G39" i="14"/>
  <c r="D39" i="14"/>
  <c r="AO4" i="14"/>
  <c r="M28" i="14"/>
  <c r="F28" i="14" s="1"/>
  <c r="BJ41" i="14"/>
  <c r="BJ57" i="14"/>
  <c r="AH6" i="14"/>
  <c r="BX28" i="14"/>
  <c r="BQ53" i="14"/>
  <c r="BC28" i="14"/>
  <c r="AH14" i="14"/>
  <c r="AH34" i="14"/>
  <c r="AA41" i="14"/>
  <c r="AO19" i="14"/>
  <c r="BX14" i="14"/>
  <c r="BQ37" i="14"/>
  <c r="BX50" i="14"/>
  <c r="M16" i="14"/>
  <c r="M45" i="14"/>
  <c r="AH38" i="14"/>
  <c r="BC48" i="14"/>
  <c r="BX20" i="14"/>
  <c r="BX38" i="14"/>
  <c r="T35" i="14"/>
  <c r="C35" i="14" s="1"/>
  <c r="D28" i="14"/>
  <c r="D45" i="14"/>
  <c r="AA47" i="14"/>
  <c r="BX4" i="14"/>
  <c r="AH7" i="14"/>
  <c r="G28" i="14"/>
  <c r="D27" i="14"/>
  <c r="D23" i="14"/>
  <c r="G20" i="14"/>
  <c r="G35" i="14"/>
  <c r="D35" i="14"/>
  <c r="CL54" i="14"/>
  <c r="AH31" i="14"/>
  <c r="AV24" i="14"/>
  <c r="B55" i="14"/>
  <c r="CS4" i="14"/>
  <c r="F18" i="14"/>
  <c r="T31" i="14"/>
  <c r="G54" i="14"/>
  <c r="AV36" i="14"/>
  <c r="F30" i="14"/>
  <c r="BJ4" i="14"/>
  <c r="F9" i="14" l="1"/>
  <c r="C47" i="14"/>
  <c r="C23" i="14"/>
  <c r="C27" i="14"/>
  <c r="C44" i="14"/>
  <c r="C22" i="14"/>
  <c r="C42" i="14"/>
  <c r="D55" i="14"/>
  <c r="D58" i="14" s="1"/>
  <c r="C54" i="14"/>
  <c r="AA55" i="14"/>
  <c r="AA58" i="14" s="1"/>
  <c r="AH55" i="14"/>
  <c r="AH58" i="14" s="1"/>
  <c r="C17" i="14"/>
  <c r="C41" i="14"/>
  <c r="C50" i="14"/>
  <c r="C49" i="14"/>
  <c r="F37" i="14"/>
  <c r="AO55" i="14"/>
  <c r="AO58" i="14" s="1"/>
  <c r="C28" i="14"/>
  <c r="C19" i="14"/>
  <c r="F26" i="14"/>
  <c r="C26" i="14"/>
  <c r="F20" i="14"/>
  <c r="C20" i="14"/>
  <c r="C39" i="14"/>
  <c r="F35" i="14"/>
  <c r="C6" i="14"/>
  <c r="F6" i="14"/>
  <c r="AV55" i="14"/>
  <c r="AV58" i="14" s="1"/>
  <c r="C5" i="14"/>
  <c r="F5" i="14"/>
  <c r="CL55" i="14"/>
  <c r="CL58" i="14" s="1"/>
  <c r="C18" i="14"/>
  <c r="C15" i="14"/>
  <c r="F15" i="14"/>
  <c r="C31" i="14"/>
  <c r="F31" i="14"/>
  <c r="C45" i="14"/>
  <c r="C33" i="14"/>
  <c r="C38" i="14"/>
  <c r="F38" i="14"/>
  <c r="F11" i="14"/>
  <c r="C11" i="14"/>
  <c r="C57" i="14"/>
  <c r="F29" i="14"/>
  <c r="F57" i="14"/>
  <c r="C16" i="14"/>
  <c r="F16" i="14"/>
  <c r="C8" i="14"/>
  <c r="F8" i="14"/>
  <c r="F32" i="14"/>
  <c r="C32" i="14"/>
  <c r="F36" i="14"/>
  <c r="C36" i="14"/>
  <c r="C25" i="14"/>
  <c r="F25" i="14"/>
  <c r="C12" i="14"/>
  <c r="F12" i="14"/>
  <c r="F44" i="14"/>
  <c r="M55" i="14"/>
  <c r="M58" i="14" s="1"/>
  <c r="F4" i="14"/>
  <c r="C4" i="14"/>
  <c r="C53" i="14"/>
  <c r="G55" i="14"/>
  <c r="G58" i="14" s="1"/>
  <c r="BX55" i="14"/>
  <c r="BX58" i="14" s="1"/>
  <c r="C37" i="14"/>
  <c r="F34" i="14"/>
  <c r="C34" i="14"/>
  <c r="BC55" i="14"/>
  <c r="BC58" i="14" s="1"/>
  <c r="C13" i="14"/>
  <c r="F13" i="14"/>
  <c r="C40" i="14"/>
  <c r="BJ55" i="14"/>
  <c r="BJ58" i="14" s="1"/>
  <c r="C9" i="14"/>
  <c r="F14" i="14"/>
  <c r="C14" i="14"/>
  <c r="F24" i="14"/>
  <c r="C24" i="14"/>
  <c r="T55" i="14"/>
  <c r="T58" i="14" s="1"/>
  <c r="BQ55" i="14"/>
  <c r="BQ58" i="14" s="1"/>
  <c r="C56" i="14"/>
  <c r="F48" i="14"/>
  <c r="C48" i="14"/>
  <c r="F45" i="14"/>
  <c r="F46" i="14"/>
  <c r="C46" i="14"/>
  <c r="C21" i="14"/>
  <c r="F21" i="14"/>
  <c r="F19" i="14"/>
  <c r="B58" i="14"/>
  <c r="CS58" i="14" s="1"/>
  <c r="CS55" i="14"/>
  <c r="C7" i="14"/>
  <c r="F7" i="14"/>
  <c r="C52" i="14"/>
  <c r="F52" i="14"/>
  <c r="F33" i="14"/>
  <c r="CE55" i="14"/>
  <c r="CE58" i="14" s="1"/>
  <c r="F55" i="14" l="1"/>
  <c r="F58" i="14" s="1"/>
  <c r="C55" i="14"/>
  <c r="C58" i="14" s="1"/>
  <c r="AZ7" i="14" l="1"/>
  <c r="BA7" i="14" s="1"/>
  <c r="AZ39" i="14"/>
  <c r="BA39" i="14" s="1"/>
  <c r="AZ47" i="14"/>
  <c r="AZ15" i="14"/>
  <c r="BA15" i="14" s="1"/>
  <c r="BU11" i="14"/>
  <c r="CB48" i="14"/>
  <c r="CC48" i="14" s="1"/>
  <c r="BN44" i="14"/>
  <c r="CB56" i="14"/>
  <c r="CC56" i="14" s="1"/>
  <c r="CB6" i="14"/>
  <c r="CC6" i="14" s="1"/>
  <c r="BN56" i="14"/>
  <c r="BO56" i="14" s="1"/>
  <c r="CP9" i="14"/>
  <c r="CQ9" i="14" s="1"/>
  <c r="AZ44" i="14"/>
  <c r="CB7" i="14"/>
  <c r="CC7" i="14" s="1"/>
  <c r="AZ43" i="14"/>
  <c r="BA43" i="14" s="1"/>
  <c r="BN13" i="14"/>
  <c r="BO13" i="14" s="1"/>
  <c r="BN5" i="14"/>
  <c r="BO5" i="14" s="1"/>
  <c r="CB12" i="14"/>
  <c r="CC12" i="14" s="1"/>
  <c r="BU52" i="14"/>
  <c r="BV52" i="14" s="1"/>
  <c r="CI53" i="14"/>
  <c r="CJ53" i="14" s="1"/>
  <c r="AZ8" i="14"/>
  <c r="CI16" i="14"/>
  <c r="CJ16" i="14" s="1"/>
  <c r="AZ51" i="14"/>
  <c r="BA51" i="14" s="1"/>
  <c r="CI8" i="14"/>
  <c r="BG30" i="14"/>
  <c r="BH30" i="14" s="1"/>
  <c r="BU30" i="14"/>
  <c r="BV30" i="14" s="1"/>
  <c r="CI36" i="14"/>
  <c r="CJ36" i="14" s="1"/>
  <c r="AZ31" i="14"/>
  <c r="BA31" i="14" s="1"/>
  <c r="CB15" i="14"/>
  <c r="CC15" i="14" s="1"/>
  <c r="BN4" i="14"/>
  <c r="AZ11" i="14"/>
  <c r="BU13" i="14"/>
  <c r="BV13" i="14" s="1"/>
  <c r="CB4" i="14"/>
  <c r="BU5" i="14"/>
  <c r="BV5" i="14" s="1"/>
  <c r="BN31" i="14"/>
  <c r="BO31" i="14" s="1"/>
  <c r="AS15" i="14"/>
  <c r="AT15" i="14" s="1"/>
  <c r="BG50" i="14" l="1"/>
  <c r="BH50" i="14" s="1"/>
  <c r="CI39" i="14"/>
  <c r="CJ39" i="14" s="1"/>
  <c r="CP16" i="14"/>
  <c r="CQ16" i="14" s="1"/>
  <c r="AZ53" i="14"/>
  <c r="BA53" i="14" s="1"/>
  <c r="CB43" i="14"/>
  <c r="CC43" i="14" s="1"/>
  <c r="BN52" i="14"/>
  <c r="BO52" i="14" s="1"/>
  <c r="BU47" i="14"/>
  <c r="CI4" i="14"/>
  <c r="BU12" i="14"/>
  <c r="BV12" i="14" s="1"/>
  <c r="BN36" i="14"/>
  <c r="BO36" i="14" s="1"/>
  <c r="CB45" i="14"/>
  <c r="BN50" i="14"/>
  <c r="BO50" i="14" s="1"/>
  <c r="BN14" i="14"/>
  <c r="BO14" i="14" s="1"/>
  <c r="AZ56" i="14"/>
  <c r="BA56" i="14" s="1"/>
  <c r="BN48" i="14"/>
  <c r="BO48" i="14" s="1"/>
  <c r="BN40" i="14"/>
  <c r="BO40" i="14" s="1"/>
  <c r="AS49" i="14"/>
  <c r="AT49" i="14" s="1"/>
  <c r="BN9" i="14"/>
  <c r="BO9" i="14" s="1"/>
  <c r="CB10" i="14"/>
  <c r="CC10" i="14" s="1"/>
  <c r="BU6" i="14"/>
  <c r="BV6" i="14" s="1"/>
  <c r="AZ5" i="14"/>
  <c r="BA5" i="14" s="1"/>
  <c r="AR4" i="14"/>
  <c r="AS4" i="14"/>
  <c r="BN51" i="14"/>
  <c r="BO51" i="14" s="1"/>
  <c r="CI12" i="14"/>
  <c r="CJ12" i="14" s="1"/>
  <c r="BN10" i="14"/>
  <c r="BO10" i="14" s="1"/>
  <c r="AZ12" i="14"/>
  <c r="BA12" i="14" s="1"/>
  <c r="AS51" i="14"/>
  <c r="AT51" i="14" s="1"/>
  <c r="AS36" i="14"/>
  <c r="AT36" i="14" s="1"/>
  <c r="AR44" i="14"/>
  <c r="AS44" i="14"/>
  <c r="CP31" i="14"/>
  <c r="CQ31" i="14" s="1"/>
  <c r="BG10" i="14"/>
  <c r="BH10" i="14" s="1"/>
  <c r="BG31" i="14"/>
  <c r="BH31" i="14" s="1"/>
  <c r="CB39" i="14"/>
  <c r="CC39" i="14" s="1"/>
  <c r="AS57" i="14"/>
  <c r="AT57" i="14" s="1"/>
  <c r="BN37" i="14"/>
  <c r="BO37" i="14" s="1"/>
  <c r="CP57" i="14"/>
  <c r="CQ57" i="14" s="1"/>
  <c r="AS54" i="14"/>
  <c r="AT54" i="14" s="1"/>
  <c r="AS48" i="14"/>
  <c r="AT48" i="14" s="1"/>
  <c r="CB40" i="14"/>
  <c r="CC40" i="14" s="1"/>
  <c r="CP38" i="14"/>
  <c r="CQ38" i="14" s="1"/>
  <c r="BG16" i="14"/>
  <c r="BH16" i="14" s="1"/>
  <c r="AS43" i="14"/>
  <c r="AT43" i="14" s="1"/>
  <c r="CI9" i="14"/>
  <c r="CJ9" i="14" s="1"/>
  <c r="CB8" i="14"/>
  <c r="CI11" i="14"/>
  <c r="CB52" i="14"/>
  <c r="CC52" i="14" s="1"/>
  <c r="AS5" i="14"/>
  <c r="AT5" i="14" s="1"/>
  <c r="BN53" i="14"/>
  <c r="BO53" i="14" s="1"/>
  <c r="CI5" i="14"/>
  <c r="CJ5" i="14" s="1"/>
  <c r="BU39" i="14"/>
  <c r="BV39" i="14" s="1"/>
  <c r="AZ4" i="14"/>
  <c r="CI37" i="14"/>
  <c r="CJ37" i="14" s="1"/>
  <c r="BG36" i="14"/>
  <c r="BH36" i="14" s="1"/>
  <c r="CI15" i="14"/>
  <c r="CJ15" i="14" s="1"/>
  <c r="CO8" i="14"/>
  <c r="CP8" i="14"/>
  <c r="AS40" i="14"/>
  <c r="AT40" i="14" s="1"/>
  <c r="BU38" i="14"/>
  <c r="BV38" i="14" s="1"/>
  <c r="BN45" i="14"/>
  <c r="CP15" i="14"/>
  <c r="CQ15" i="14" s="1"/>
  <c r="BG9" i="14"/>
  <c r="BH9" i="14" s="1"/>
  <c r="BG51" i="14"/>
  <c r="BH51" i="14" s="1"/>
  <c r="CB16" i="14"/>
  <c r="CC16" i="14" s="1"/>
  <c r="AZ45" i="14"/>
  <c r="AS9" i="14"/>
  <c r="AT9" i="14" s="1"/>
  <c r="BU57" i="14"/>
  <c r="BV57" i="14" s="1"/>
  <c r="BU8" i="14"/>
  <c r="BU37" i="14"/>
  <c r="CB11" i="14"/>
  <c r="AZ9" i="14"/>
  <c r="BA9" i="14" s="1"/>
  <c r="AS50" i="14"/>
  <c r="AT50" i="14" s="1"/>
  <c r="BU36" i="14"/>
  <c r="BV36" i="14" s="1"/>
  <c r="CP48" i="14"/>
  <c r="CQ48" i="14" s="1"/>
  <c r="CP37" i="14"/>
  <c r="CQ37" i="14" s="1"/>
  <c r="CI49" i="14"/>
  <c r="CJ49" i="14" s="1"/>
  <c r="CI54" i="14"/>
  <c r="CI56" i="14"/>
  <c r="CJ56" i="14" s="1"/>
  <c r="CP12" i="14"/>
  <c r="CQ12" i="14" s="1"/>
  <c r="CP50" i="14"/>
  <c r="CQ50" i="14" s="1"/>
  <c r="CP53" i="14"/>
  <c r="CQ53" i="14" s="1"/>
  <c r="BU50" i="14"/>
  <c r="BV50" i="14" s="1"/>
  <c r="CB47" i="14"/>
  <c r="BN15" i="14"/>
  <c r="BO15" i="14" s="1"/>
  <c r="BG14" i="14"/>
  <c r="BH14" i="14" s="1"/>
  <c r="BN30" i="14"/>
  <c r="BO30" i="14" s="1"/>
  <c r="AZ6" i="14"/>
  <c r="BA6" i="14" s="1"/>
  <c r="CC4" i="14"/>
  <c r="BU56" i="14"/>
  <c r="BV56" i="14" s="1"/>
  <c r="AZ37" i="14"/>
  <c r="BA37" i="14" s="1"/>
  <c r="CB14" i="14"/>
  <c r="CC14" i="14" s="1"/>
  <c r="BG54" i="14"/>
  <c r="BH54" i="14" s="1"/>
  <c r="BG47" i="14"/>
  <c r="AZ52" i="14"/>
  <c r="BA52" i="14" s="1"/>
  <c r="BG13" i="14"/>
  <c r="BH13" i="14" s="1"/>
  <c r="CP51" i="14"/>
  <c r="CQ51" i="14" s="1"/>
  <c r="CI51" i="14"/>
  <c r="CJ51" i="14" s="1"/>
  <c r="BU45" i="14"/>
  <c r="CB49" i="14"/>
  <c r="CC49" i="14" s="1"/>
  <c r="BG8" i="14"/>
  <c r="BH8" i="14" s="1"/>
  <c r="CB9" i="14"/>
  <c r="CC9" i="14" s="1"/>
  <c r="BU31" i="14"/>
  <c r="BV31" i="14" s="1"/>
  <c r="CI48" i="14"/>
  <c r="CJ48" i="14" s="1"/>
  <c r="BN7" i="14"/>
  <c r="BO7" i="14" s="1"/>
  <c r="AZ57" i="14"/>
  <c r="BA57" i="14" s="1"/>
  <c r="CP44" i="14"/>
  <c r="AS38" i="14"/>
  <c r="AT38" i="14" s="1"/>
  <c r="CP43" i="14"/>
  <c r="CQ43" i="14" s="1"/>
  <c r="BN49" i="14"/>
  <c r="BO49" i="14" s="1"/>
  <c r="AS46" i="14"/>
  <c r="BO4" i="14"/>
  <c r="BG53" i="14"/>
  <c r="BH53" i="14" s="1"/>
  <c r="AY46" i="14"/>
  <c r="AZ46" i="14"/>
  <c r="CI40" i="14"/>
  <c r="CJ40" i="14" s="1"/>
  <c r="BN47" i="14"/>
  <c r="BG44" i="14"/>
  <c r="BG49" i="14"/>
  <c r="BH49" i="14" s="1"/>
  <c r="AS7" i="14"/>
  <c r="AT7" i="14" s="1"/>
  <c r="AZ30" i="14"/>
  <c r="BA30" i="14" s="1"/>
  <c r="CP45" i="14"/>
  <c r="BU48" i="14"/>
  <c r="BV48" i="14" s="1"/>
  <c r="CB54" i="14"/>
  <c r="AS30" i="14"/>
  <c r="AT30" i="14" s="1"/>
  <c r="BG52" i="14"/>
  <c r="BH52" i="14" s="1"/>
  <c r="CI6" i="14"/>
  <c r="CJ6" i="14" s="1"/>
  <c r="BU15" i="14"/>
  <c r="BV15" i="14" s="1"/>
  <c r="CO46" i="14"/>
  <c r="CP46" i="14"/>
  <c r="CI13" i="14"/>
  <c r="CJ13" i="14" s="1"/>
  <c r="BU51" i="14"/>
  <c r="BV51" i="14" s="1"/>
  <c r="BG56" i="14"/>
  <c r="BH56" i="14" s="1"/>
  <c r="BG5" i="14"/>
  <c r="BH5" i="14" s="1"/>
  <c r="CB50" i="14"/>
  <c r="CC50" i="14" s="1"/>
  <c r="BG39" i="14"/>
  <c r="BH39" i="14" s="1"/>
  <c r="BU40" i="14"/>
  <c r="BV40" i="14" s="1"/>
  <c r="BG15" i="14"/>
  <c r="BH15" i="14" s="1"/>
  <c r="CI52" i="14"/>
  <c r="CJ52" i="14" s="1"/>
  <c r="CP30" i="14"/>
  <c r="CQ30" i="14" s="1"/>
  <c r="AS13" i="14"/>
  <c r="AT13" i="14" s="1"/>
  <c r="CP10" i="14"/>
  <c r="CQ10" i="14" s="1"/>
  <c r="CB53" i="14"/>
  <c r="CC53" i="14" s="1"/>
  <c r="CO54" i="14"/>
  <c r="CP54" i="14"/>
  <c r="BG37" i="14"/>
  <c r="BH37" i="14" s="1"/>
  <c r="AS56" i="14"/>
  <c r="AT56" i="14" s="1"/>
  <c r="CI47" i="14"/>
  <c r="CP40" i="14"/>
  <c r="CQ40" i="14" s="1"/>
  <c r="BG38" i="14"/>
  <c r="BH38" i="14" s="1"/>
  <c r="BN39" i="14"/>
  <c r="BO39" i="14" s="1"/>
  <c r="BN16" i="14"/>
  <c r="BO16" i="14" s="1"/>
  <c r="BG45" i="14"/>
  <c r="AS45" i="14"/>
  <c r="BU43" i="14"/>
  <c r="BV43" i="14" s="1"/>
  <c r="CP4" i="14"/>
  <c r="BG57" i="14"/>
  <c r="BH57" i="14" s="1"/>
  <c r="BG7" i="14"/>
  <c r="BH7" i="14" s="1"/>
  <c r="AY48" i="14"/>
  <c r="AZ48" i="14"/>
  <c r="CP36" i="14"/>
  <c r="CQ36" i="14" s="1"/>
  <c r="BG6" i="14"/>
  <c r="BH6" i="14" s="1"/>
  <c r="CP7" i="14"/>
  <c r="CQ7" i="14" s="1"/>
  <c r="CB30" i="14"/>
  <c r="CC30" i="14" s="1"/>
  <c r="BU16" i="14"/>
  <c r="BV16" i="14" s="1"/>
  <c r="BN8" i="14"/>
  <c r="CP14" i="14"/>
  <c r="CQ14" i="14" s="1"/>
  <c r="BU4" i="14"/>
  <c r="CP52" i="14"/>
  <c r="CQ52" i="14" s="1"/>
  <c r="CP49" i="14"/>
  <c r="CQ49" i="14" s="1"/>
  <c r="CP39" i="14"/>
  <c r="CQ39" i="14" s="1"/>
  <c r="AY36" i="14"/>
  <c r="AZ36" i="14"/>
  <c r="BA36" i="14" s="1"/>
  <c r="BN38" i="14"/>
  <c r="BO38" i="14" s="1"/>
  <c r="CI46" i="14"/>
  <c r="CI43" i="14"/>
  <c r="CJ43" i="14" s="1"/>
  <c r="AR37" i="14"/>
  <c r="AS37" i="14"/>
  <c r="AT37" i="14" s="1"/>
  <c r="AS11" i="14"/>
  <c r="CB5" i="14"/>
  <c r="CC5" i="14" s="1"/>
  <c r="CI57" i="14"/>
  <c r="CJ57" i="14" s="1"/>
  <c r="CP6" i="14"/>
  <c r="CQ6" i="14" s="1"/>
  <c r="AR8" i="14"/>
  <c r="AS8" i="14"/>
  <c r="AS39" i="14"/>
  <c r="AT39" i="14" s="1"/>
  <c r="CB57" i="14"/>
  <c r="CC57" i="14" s="1"/>
  <c r="AS47" i="14"/>
  <c r="BG11" i="14"/>
  <c r="AS31" i="14"/>
  <c r="AT31" i="14" s="1"/>
  <c r="CI10" i="14"/>
  <c r="CJ10" i="14" s="1"/>
  <c r="CB38" i="14"/>
  <c r="CC38" i="14" s="1"/>
  <c r="CP13" i="14"/>
  <c r="CQ13" i="14" s="1"/>
  <c r="BM54" i="14"/>
  <c r="BN54" i="14"/>
  <c r="BN12" i="14"/>
  <c r="BO12" i="14" s="1"/>
  <c r="CP47" i="14"/>
  <c r="BM46" i="14"/>
  <c r="BN46" i="14"/>
  <c r="CB44" i="14"/>
  <c r="AY49" i="14"/>
  <c r="AZ49" i="14"/>
  <c r="BA49" i="14" s="1"/>
  <c r="BU10" i="14"/>
  <c r="BV10" i="14" s="1"/>
  <c r="CP5" i="14"/>
  <c r="CQ5" i="14" s="1"/>
  <c r="CB46" i="14"/>
  <c r="CB31" i="14"/>
  <c r="CC31" i="14" s="1"/>
  <c r="BU44" i="14"/>
  <c r="CI31" i="14"/>
  <c r="CJ31" i="14" s="1"/>
  <c r="CH14" i="14"/>
  <c r="CI14" i="14"/>
  <c r="CJ14" i="14" s="1"/>
  <c r="BG40" i="14"/>
  <c r="BH40" i="14" s="1"/>
  <c r="CB36" i="14"/>
  <c r="CC36" i="14" s="1"/>
  <c r="AS14" i="14"/>
  <c r="AT14" i="14" s="1"/>
  <c r="BU14" i="14"/>
  <c r="BV14" i="14" s="1"/>
  <c r="BU7" i="14"/>
  <c r="BV7" i="14" s="1"/>
  <c r="BN6" i="14"/>
  <c r="BO6" i="14" s="1"/>
  <c r="AS53" i="14"/>
  <c r="AT53" i="14" s="1"/>
  <c r="BN57" i="14"/>
  <c r="BO57" i="14" s="1"/>
  <c r="AZ54" i="14"/>
  <c r="BA54" i="14" s="1"/>
  <c r="AS10" i="14"/>
  <c r="AT10" i="14" s="1"/>
  <c r="BU54" i="14"/>
  <c r="AS6" i="14"/>
  <c r="AT6" i="14" s="1"/>
  <c r="CI7" i="14"/>
  <c r="CJ7" i="14" s="1"/>
  <c r="AZ16" i="14"/>
  <c r="BA16" i="14" s="1"/>
  <c r="CI50" i="14"/>
  <c r="CJ50" i="14" s="1"/>
  <c r="CB13" i="14"/>
  <c r="CC13" i="14" s="1"/>
  <c r="BU46" i="14"/>
  <c r="BU53" i="14"/>
  <c r="BV53" i="14" s="1"/>
  <c r="CP11" i="14"/>
  <c r="CI30" i="14"/>
  <c r="CJ30" i="14" s="1"/>
  <c r="CI38" i="14"/>
  <c r="CJ38" i="14" s="1"/>
  <c r="AS16" i="14"/>
  <c r="AT16" i="14" s="1"/>
  <c r="BG46" i="14"/>
  <c r="AY40" i="14"/>
  <c r="AZ40" i="14"/>
  <c r="BA40" i="14" s="1"/>
  <c r="BG4" i="14"/>
  <c r="CB37" i="14"/>
  <c r="CC37" i="14" s="1"/>
  <c r="BN11" i="14"/>
  <c r="AS52" i="14"/>
  <c r="AT52" i="14" s="1"/>
  <c r="AZ14" i="14"/>
  <c r="BA14" i="14" s="1"/>
  <c r="BU9" i="14"/>
  <c r="BV9" i="14" s="1"/>
  <c r="CI44" i="14"/>
  <c r="AZ10" i="14"/>
  <c r="BA10" i="14" s="1"/>
  <c r="BU49" i="14"/>
  <c r="BV49" i="14" s="1"/>
  <c r="BG43" i="14"/>
  <c r="BH43" i="14" s="1"/>
  <c r="AZ50" i="14"/>
  <c r="BA50" i="14" s="1"/>
  <c r="BN43" i="14"/>
  <c r="BO43" i="14" s="1"/>
  <c r="CP56" i="14"/>
  <c r="CQ56" i="14" s="1"/>
  <c r="AZ38" i="14"/>
  <c r="BA38" i="14" s="1"/>
  <c r="BG12" i="14"/>
  <c r="BH12" i="14" s="1"/>
  <c r="CB51" i="14"/>
  <c r="CC51" i="14" s="1"/>
  <c r="BG48" i="14"/>
  <c r="BH48" i="14" s="1"/>
  <c r="CI45" i="14"/>
  <c r="AY13" i="14"/>
  <c r="AZ13" i="14"/>
  <c r="BA13" i="14" s="1"/>
  <c r="AS12" i="14"/>
  <c r="AT12" i="14" s="1"/>
  <c r="AR15" i="14"/>
  <c r="CH7" i="14"/>
  <c r="CO39" i="14"/>
  <c r="AY31" i="14"/>
  <c r="CH40" i="14"/>
  <c r="BM53" i="14"/>
  <c r="AR39" i="14"/>
  <c r="AR7" i="14"/>
  <c r="CO11" i="14"/>
  <c r="CO45" i="14"/>
  <c r="BT48" i="14"/>
  <c r="BM52" i="14"/>
  <c r="CA44" i="14"/>
  <c r="AY47" i="14"/>
  <c r="BT45" i="14"/>
  <c r="BF15" i="14"/>
  <c r="CO7" i="14"/>
  <c r="CO53" i="14"/>
  <c r="CO43" i="14"/>
  <c r="CH11" i="14"/>
  <c r="BM31" i="14"/>
  <c r="BM57" i="14"/>
  <c r="BT38" i="14"/>
  <c r="AY51" i="14"/>
  <c r="CO15" i="14"/>
  <c r="BT53" i="14"/>
  <c r="AY44" i="14"/>
  <c r="AR11" i="14"/>
  <c r="CA14" i="14"/>
  <c r="BT37" i="14"/>
  <c r="CA11" i="14"/>
  <c r="BT12" i="14"/>
  <c r="CO51" i="14"/>
  <c r="CA50" i="14"/>
  <c r="CA31" i="14"/>
  <c r="CH31" i="14"/>
  <c r="BM7" i="14"/>
  <c r="BT6" i="14"/>
  <c r="CA36" i="14"/>
  <c r="CA5" i="14"/>
  <c r="CH4" i="14"/>
  <c r="AY15" i="14"/>
  <c r="BM15" i="14"/>
  <c r="CH15" i="14"/>
  <c r="BT5" i="14"/>
  <c r="BM45" i="14"/>
  <c r="AY8" i="14"/>
  <c r="CH53" i="14"/>
  <c r="CA12" i="14"/>
  <c r="BM13" i="14"/>
  <c r="BF50" i="14"/>
  <c r="BF11" i="14"/>
  <c r="CA38" i="14"/>
  <c r="BT8" i="14"/>
  <c r="BF31" i="14"/>
  <c r="CH49" i="14"/>
  <c r="BF43" i="14"/>
  <c r="BM43" i="14"/>
  <c r="CA51" i="14"/>
  <c r="BM49" i="14"/>
  <c r="CH47" i="14"/>
  <c r="BF30" i="14"/>
  <c r="BM5" i="14"/>
  <c r="CA56" i="14"/>
  <c r="CA48" i="14"/>
  <c r="CH16" i="14"/>
  <c r="CA57" i="14"/>
  <c r="CO9" i="14"/>
  <c r="CH37" i="14"/>
  <c r="CA6" i="14"/>
  <c r="BF46" i="14"/>
  <c r="BM39" i="14"/>
  <c r="BT15" i="14"/>
  <c r="BF10" i="14"/>
  <c r="CA45" i="14"/>
  <c r="BT43" i="14"/>
  <c r="CH51" i="14"/>
  <c r="CA49" i="14"/>
  <c r="BM48" i="14"/>
  <c r="BT31" i="14"/>
  <c r="BT16" i="14"/>
  <c r="CA47" i="14"/>
  <c r="CH12" i="14"/>
  <c r="BM56" i="14"/>
  <c r="AY7" i="14"/>
  <c r="CA4" i="14"/>
  <c r="AY11" i="14"/>
  <c r="BM47" i="14"/>
  <c r="BT39" i="14"/>
  <c r="CH39" i="14"/>
  <c r="AR31" i="14"/>
  <c r="BM44" i="14"/>
  <c r="CA43" i="14"/>
  <c r="BT11" i="14"/>
  <c r="CO5" i="14"/>
  <c r="BT44" i="14"/>
  <c r="CH52" i="14"/>
  <c r="CA40" i="14"/>
  <c r="CA10" i="14"/>
  <c r="CA8" i="14"/>
  <c r="BT14" i="14"/>
  <c r="CO49" i="14"/>
  <c r="CA13" i="14"/>
  <c r="CA7" i="14"/>
  <c r="BF51" i="14"/>
  <c r="CA54" i="14"/>
  <c r="AR51" i="14"/>
  <c r="CO13" i="14"/>
  <c r="BT51" i="14"/>
  <c r="BF39" i="14"/>
  <c r="BT49" i="14"/>
  <c r="BF6" i="14"/>
  <c r="BM9" i="14"/>
  <c r="CA30" i="14"/>
  <c r="CH45" i="14"/>
  <c r="BT4" i="14"/>
  <c r="CA52" i="14"/>
  <c r="CA15" i="14"/>
  <c r="BT46" i="14"/>
  <c r="AR47" i="14"/>
  <c r="CO47" i="14"/>
  <c r="CA9" i="14"/>
  <c r="BT13" i="14"/>
  <c r="BM4" i="14"/>
  <c r="CH43" i="14"/>
  <c r="BT52" i="14"/>
  <c r="CA16" i="14"/>
  <c r="BF38" i="14"/>
  <c r="BT57" i="14"/>
  <c r="BT47" i="14"/>
  <c r="CA37" i="14"/>
  <c r="BM16" i="14"/>
  <c r="CA39" i="14"/>
  <c r="BT9" i="14"/>
  <c r="BM40" i="14"/>
  <c r="CH48" i="14"/>
  <c r="BT50" i="14"/>
  <c r="CA53" i="14"/>
  <c r="BM8" i="14"/>
  <c r="BM51" i="14"/>
  <c r="BT7" i="14"/>
  <c r="BM12" i="14" l="1"/>
  <c r="CA46" i="14"/>
  <c r="BF47" i="14"/>
  <c r="BF54" i="14"/>
  <c r="BT10" i="14"/>
  <c r="BT56" i="14"/>
  <c r="BM37" i="14"/>
  <c r="BM11" i="14"/>
  <c r="CH8" i="14"/>
  <c r="AR52" i="14"/>
  <c r="AR6" i="14"/>
  <c r="AR53" i="14"/>
  <c r="BU55" i="14"/>
  <c r="BV4" i="14"/>
  <c r="CO4" i="14"/>
  <c r="CO30" i="14"/>
  <c r="AY9" i="14"/>
  <c r="AY45" i="14"/>
  <c r="AZ55" i="14"/>
  <c r="BA4" i="14"/>
  <c r="BM14" i="14"/>
  <c r="BF14" i="14"/>
  <c r="CH57" i="14"/>
  <c r="BT54" i="14"/>
  <c r="CO31" i="14"/>
  <c r="AY38" i="14"/>
  <c r="AR16" i="14"/>
  <c r="BF40" i="14"/>
  <c r="BM38" i="14"/>
  <c r="CO36" i="14"/>
  <c r="BF56" i="14"/>
  <c r="CH6" i="14"/>
  <c r="AR46" i="14"/>
  <c r="AY57" i="14"/>
  <c r="AY6" i="14"/>
  <c r="AR40" i="14"/>
  <c r="AY4" i="14"/>
  <c r="CO38" i="14"/>
  <c r="AY39" i="14"/>
  <c r="BT30" i="14"/>
  <c r="AR43" i="14"/>
  <c r="AY10" i="14"/>
  <c r="BM6" i="14"/>
  <c r="CO14" i="14"/>
  <c r="BA48" i="14"/>
  <c r="CO40" i="14"/>
  <c r="AY30" i="14"/>
  <c r="CO50" i="14"/>
  <c r="BV37" i="14"/>
  <c r="AR57" i="14"/>
  <c r="AR36" i="14"/>
  <c r="AS55" i="14"/>
  <c r="AT4" i="14"/>
  <c r="AR49" i="14"/>
  <c r="BM50" i="14"/>
  <c r="CA55" i="14"/>
  <c r="CA58" i="14" s="1"/>
  <c r="CO56" i="14"/>
  <c r="BG55" i="14"/>
  <c r="BH4" i="14"/>
  <c r="CH38" i="14"/>
  <c r="CH50" i="14"/>
  <c r="AR10" i="14"/>
  <c r="AR45" i="14"/>
  <c r="BF52" i="14"/>
  <c r="BM30" i="14"/>
  <c r="CO48" i="14"/>
  <c r="AY53" i="14"/>
  <c r="CH56" i="14"/>
  <c r="BF48" i="14"/>
  <c r="BF4" i="14"/>
  <c r="CO10" i="14"/>
  <c r="CH13" i="14"/>
  <c r="AY37" i="14"/>
  <c r="CO12" i="14"/>
  <c r="BF9" i="14"/>
  <c r="CH5" i="14"/>
  <c r="CH9" i="14"/>
  <c r="AR48" i="14"/>
  <c r="BT36" i="14"/>
  <c r="CH30" i="14"/>
  <c r="AY16" i="14"/>
  <c r="AY54" i="14"/>
  <c r="BF45" i="14"/>
  <c r="AR56" i="14"/>
  <c r="AR30" i="14"/>
  <c r="BF49" i="14"/>
  <c r="BF53" i="14"/>
  <c r="AR38" i="14"/>
  <c r="BF13" i="14"/>
  <c r="AY12" i="14"/>
  <c r="AY5" i="14"/>
  <c r="CO16" i="14"/>
  <c r="CH44" i="14"/>
  <c r="CH36" i="14"/>
  <c r="CO57" i="14"/>
  <c r="AY50" i="14"/>
  <c r="AY14" i="14"/>
  <c r="AR14" i="14"/>
  <c r="CH10" i="14"/>
  <c r="BF57" i="14"/>
  <c r="AR13" i="14"/>
  <c r="AR50" i="14"/>
  <c r="AR9" i="14"/>
  <c r="BF36" i="14"/>
  <c r="AR54" i="14"/>
  <c r="AY56" i="14"/>
  <c r="CI55" i="14"/>
  <c r="CJ4" i="14"/>
  <c r="BT40" i="14"/>
  <c r="AY43" i="14"/>
  <c r="BF7" i="14"/>
  <c r="BM36" i="14"/>
  <c r="CO37" i="14"/>
  <c r="AR12" i="14"/>
  <c r="BF12" i="14"/>
  <c r="CO6" i="14"/>
  <c r="CH46" i="14"/>
  <c r="CO52" i="14"/>
  <c r="CP55" i="14"/>
  <c r="CQ4" i="14"/>
  <c r="BF37" i="14"/>
  <c r="BF5" i="14"/>
  <c r="BF44" i="14"/>
  <c r="BN55" i="14"/>
  <c r="CO44" i="14"/>
  <c r="BF8" i="14"/>
  <c r="AY52" i="14"/>
  <c r="CB55" i="14"/>
  <c r="CH54" i="14"/>
  <c r="AR5" i="14"/>
  <c r="BF16" i="14"/>
  <c r="BM10" i="14"/>
  <c r="BT55" i="14" l="1"/>
  <c r="BT58" i="14" s="1"/>
  <c r="BM55" i="14"/>
  <c r="BM58" i="14" s="1"/>
  <c r="CH55" i="14"/>
  <c r="CH58" i="14" s="1"/>
  <c r="AR55" i="14"/>
  <c r="AR58" i="14" s="1"/>
  <c r="AZ58" i="14"/>
  <c r="BA55" i="14"/>
  <c r="CI58" i="14"/>
  <c r="CJ55" i="14"/>
  <c r="BH55" i="14"/>
  <c r="BG58" i="14"/>
  <c r="BN58" i="14"/>
  <c r="BO55" i="14"/>
  <c r="CO55" i="14"/>
  <c r="CO58" i="14" s="1"/>
  <c r="AY55" i="14"/>
  <c r="AY58" i="14" s="1"/>
  <c r="CB58" i="14"/>
  <c r="CC55" i="14"/>
  <c r="BF55" i="14"/>
  <c r="BF58" i="14" s="1"/>
  <c r="AT55" i="14"/>
  <c r="AS58" i="14"/>
  <c r="CP58" i="14"/>
  <c r="CQ55" i="14"/>
  <c r="BU58" i="14"/>
  <c r="BV55" i="14"/>
  <c r="BG59" i="14" l="1"/>
  <c r="BH58" i="14"/>
  <c r="CC58" i="14"/>
  <c r="CB59" i="14"/>
  <c r="CP59" i="14"/>
  <c r="CQ58" i="14"/>
  <c r="CJ58" i="14"/>
  <c r="CI59" i="14"/>
  <c r="AZ59" i="14"/>
  <c r="BA58" i="14"/>
  <c r="BU59" i="14"/>
  <c r="BV58" i="14"/>
  <c r="BO58" i="14"/>
  <c r="BN59" i="14"/>
  <c r="AS59" i="14"/>
  <c r="AT58" i="14"/>
  <c r="AL34" i="14" l="1"/>
  <c r="AX51" i="14"/>
  <c r="AX50" i="14"/>
  <c r="CN4" i="14"/>
  <c r="BZ4" i="14"/>
  <c r="X34" i="14"/>
  <c r="X35" i="14"/>
  <c r="AQ4" i="14"/>
  <c r="BS4" i="14"/>
  <c r="AL35" i="14"/>
  <c r="BE44" i="14" l="1"/>
  <c r="BS13" i="14"/>
  <c r="BL4" i="14"/>
  <c r="BL44" i="14"/>
  <c r="BS46" i="14"/>
  <c r="BZ13" i="14"/>
  <c r="AQ46" i="14"/>
  <c r="CN46" i="14"/>
  <c r="BS34" i="14"/>
  <c r="CN13" i="14"/>
  <c r="BL46" i="14"/>
  <c r="BS50" i="14"/>
  <c r="CG50" i="14"/>
  <c r="CG13" i="14"/>
  <c r="AX4" i="14"/>
  <c r="CG32" i="14"/>
  <c r="BE46" i="14"/>
  <c r="BE33" i="14"/>
  <c r="BL51" i="14"/>
  <c r="AQ50" i="14"/>
  <c r="AX45" i="14"/>
  <c r="CN32" i="14"/>
  <c r="AQ11" i="14"/>
  <c r="BS11" i="14"/>
  <c r="AX13" i="14"/>
  <c r="AX46" i="14"/>
  <c r="CN34" i="14"/>
  <c r="BZ45" i="14"/>
  <c r="AQ13" i="14"/>
  <c r="AQ44" i="14"/>
  <c r="BE50" i="14"/>
  <c r="CG46" i="14"/>
  <c r="BS33" i="14"/>
  <c r="CN51" i="14"/>
  <c r="BE45" i="14"/>
  <c r="AX35" i="14"/>
  <c r="BZ32" i="14"/>
  <c r="AQ47" i="14"/>
  <c r="CG54" i="14"/>
  <c r="BE4" i="14"/>
  <c r="CG11" i="14"/>
  <c r="BZ54" i="14"/>
  <c r="Y34" i="14"/>
  <c r="BS51" i="14"/>
  <c r="CG34" i="14"/>
  <c r="AX33" i="14"/>
  <c r="BE11" i="14"/>
  <c r="BZ34" i="14"/>
  <c r="CN54" i="14"/>
  <c r="BS54" i="14"/>
  <c r="BZ11" i="14"/>
  <c r="BL34" i="14"/>
  <c r="CN35" i="14"/>
  <c r="BE35" i="14"/>
  <c r="BL50" i="14"/>
  <c r="BS8" i="14"/>
  <c r="CG33" i="14"/>
  <c r="BL13" i="14"/>
  <c r="BZ8" i="14"/>
  <c r="CN44" i="14"/>
  <c r="CN33" i="14"/>
  <c r="CN8" i="14"/>
  <c r="CG45" i="14"/>
  <c r="BZ33" i="14"/>
  <c r="BE51" i="14"/>
  <c r="AX47" i="14"/>
  <c r="BL35" i="14"/>
  <c r="BL54" i="14"/>
  <c r="BZ51" i="14"/>
  <c r="CN11" i="14"/>
  <c r="BS47" i="14"/>
  <c r="CN47" i="14"/>
  <c r="CG8" i="14"/>
  <c r="BL47" i="14"/>
  <c r="BE32" i="14"/>
  <c r="BL45" i="14"/>
  <c r="AX44" i="14"/>
  <c r="CG4" i="14"/>
  <c r="BZ44" i="14"/>
  <c r="BE47" i="14"/>
  <c r="BS32" i="14"/>
  <c r="BL8" i="14"/>
  <c r="CG35" i="14"/>
  <c r="AX11" i="14"/>
  <c r="CG51" i="14"/>
  <c r="AQ34" i="14"/>
  <c r="BZ46" i="14"/>
  <c r="CG47" i="14"/>
  <c r="AQ8" i="14"/>
  <c r="BL33" i="14"/>
  <c r="BZ47" i="14"/>
  <c r="BL11" i="14"/>
  <c r="CN50" i="14"/>
  <c r="Y35" i="14"/>
  <c r="AX34" i="14"/>
  <c r="CG44" i="14"/>
  <c r="BS45" i="14"/>
  <c r="AQ35" i="14"/>
  <c r="BS44" i="14"/>
  <c r="AX8" i="14"/>
  <c r="AQ51" i="14"/>
  <c r="BE34" i="14"/>
  <c r="BZ50" i="14"/>
  <c r="BZ35" i="14"/>
  <c r="CN45" i="14"/>
  <c r="BS35" i="14"/>
  <c r="AX32" i="14"/>
  <c r="BE13" i="14"/>
  <c r="AQ45" i="14"/>
  <c r="BL32" i="14"/>
  <c r="V34" i="14"/>
  <c r="V35" i="14"/>
  <c r="AX57" i="14"/>
  <c r="CG5" i="14"/>
  <c r="BL5" i="14"/>
  <c r="AX53" i="14"/>
  <c r="AX5" i="14"/>
  <c r="AX16" i="14"/>
  <c r="AX37" i="14"/>
  <c r="AX40" i="14"/>
  <c r="AX56" i="14"/>
  <c r="AX39" i="14"/>
  <c r="AX43" i="14"/>
  <c r="AX38" i="14"/>
  <c r="BS5" i="14"/>
  <c r="AX31" i="14"/>
  <c r="BE5" i="14"/>
  <c r="AX48" i="14"/>
  <c r="AX52" i="14"/>
  <c r="AX49" i="14"/>
  <c r="BZ7" i="14"/>
  <c r="AX36" i="14"/>
  <c r="AX30" i="14"/>
  <c r="AQ6" i="14"/>
  <c r="BZ30" i="14" l="1"/>
  <c r="BL48" i="14"/>
  <c r="AQ36" i="14"/>
  <c r="CG53" i="14"/>
  <c r="BL36" i="14"/>
  <c r="CG38" i="14"/>
  <c r="BS31" i="14"/>
  <c r="CG36" i="14"/>
  <c r="CG52" i="14"/>
  <c r="BS48" i="14"/>
  <c r="CN49" i="14"/>
  <c r="BZ12" i="14"/>
  <c r="AQ43" i="14"/>
  <c r="AX6" i="14"/>
  <c r="AX15" i="14"/>
  <c r="CN36" i="14"/>
  <c r="CG7" i="14"/>
  <c r="AQ54" i="14"/>
  <c r="BS52" i="14"/>
  <c r="CN56" i="14"/>
  <c r="BS56" i="14"/>
  <c r="BZ52" i="14"/>
  <c r="BZ43" i="14"/>
  <c r="AQ12" i="14"/>
  <c r="CG49" i="14"/>
  <c r="CN53" i="14"/>
  <c r="BE16" i="14"/>
  <c r="AQ10" i="14"/>
  <c r="BZ40" i="14"/>
  <c r="CN48" i="14"/>
  <c r="AQ52" i="14"/>
  <c r="CG6" i="14"/>
  <c r="CN31" i="14"/>
  <c r="BZ49" i="14"/>
  <c r="BE40" i="14"/>
  <c r="BL43" i="14"/>
  <c r="AQ38" i="14"/>
  <c r="CG16" i="14"/>
  <c r="CN16" i="14"/>
  <c r="BS39" i="14"/>
  <c r="BZ37" i="14"/>
  <c r="BS36" i="14"/>
  <c r="CG14" i="14"/>
  <c r="BE7" i="14"/>
  <c r="BE30" i="14"/>
  <c r="CN9" i="14"/>
  <c r="AX12" i="14"/>
  <c r="BS15" i="14"/>
  <c r="BL14" i="14"/>
  <c r="BE31" i="14"/>
  <c r="CG57" i="14"/>
  <c r="CG37" i="14"/>
  <c r="BZ31" i="14"/>
  <c r="BS9" i="14"/>
  <c r="BE57" i="14"/>
  <c r="BL38" i="14"/>
  <c r="AQ56" i="14"/>
  <c r="CG39" i="14"/>
  <c r="BE53" i="14"/>
  <c r="BL31" i="14"/>
  <c r="BS12" i="14"/>
  <c r="BL52" i="14"/>
  <c r="BZ36" i="14"/>
  <c r="CN37" i="14"/>
  <c r="AX9" i="14"/>
  <c r="BL10" i="14"/>
  <c r="BL40" i="14"/>
  <c r="BL16" i="14"/>
  <c r="BZ5" i="14"/>
  <c r="CG10" i="14"/>
  <c r="AX14" i="14"/>
  <c r="BE15" i="14"/>
  <c r="BL30" i="14"/>
  <c r="CG31" i="14"/>
  <c r="BE38" i="14"/>
  <c r="CN12" i="14"/>
  <c r="BZ6" i="14"/>
  <c r="AQ30" i="14"/>
  <c r="AQ57" i="14"/>
  <c r="AQ33" i="14"/>
  <c r="H33" i="14" s="1"/>
  <c r="BL49" i="14"/>
  <c r="BL37" i="14"/>
  <c r="BE48" i="14"/>
  <c r="BZ16" i="14"/>
  <c r="CN5" i="14"/>
  <c r="CG48" i="14"/>
  <c r="CN40" i="14"/>
  <c r="BS38" i="14"/>
  <c r="BE36" i="14"/>
  <c r="BE56" i="14"/>
  <c r="BE10" i="14"/>
  <c r="BS57" i="14"/>
  <c r="CN15" i="14"/>
  <c r="AQ37" i="14"/>
  <c r="BZ56" i="14"/>
  <c r="CG12" i="14"/>
  <c r="BZ57" i="14"/>
  <c r="AQ9" i="14"/>
  <c r="BS6" i="14"/>
  <c r="AQ39" i="14"/>
  <c r="AX10" i="14"/>
  <c r="AQ32" i="14"/>
  <c r="H32" i="14" s="1"/>
  <c r="BL53" i="14"/>
  <c r="BS10" i="14"/>
  <c r="CN14" i="14"/>
  <c r="BZ9" i="14"/>
  <c r="CN52" i="14"/>
  <c r="BL39" i="14"/>
  <c r="AX54" i="14"/>
  <c r="CN6" i="14"/>
  <c r="BE6" i="14"/>
  <c r="BZ53" i="14"/>
  <c r="BE14" i="14"/>
  <c r="CN10" i="14"/>
  <c r="CN57" i="14"/>
  <c r="BS16" i="14"/>
  <c r="BE8" i="14"/>
  <c r="BL15" i="14"/>
  <c r="BL12" i="14"/>
  <c r="AQ48" i="14"/>
  <c r="AJ34" i="14"/>
  <c r="BS53" i="14"/>
  <c r="CG9" i="14"/>
  <c r="AQ7" i="14"/>
  <c r="CN7" i="14"/>
  <c r="BL57" i="14"/>
  <c r="AQ53" i="14"/>
  <c r="BS40" i="14"/>
  <c r="BE39" i="14"/>
  <c r="AQ14" i="14"/>
  <c r="BL9" i="14"/>
  <c r="BZ39" i="14"/>
  <c r="AQ40" i="14"/>
  <c r="BS7" i="14"/>
  <c r="AQ5" i="14"/>
  <c r="CG40" i="14"/>
  <c r="BE12" i="14"/>
  <c r="BL7" i="14"/>
  <c r="AX7" i="14"/>
  <c r="CN30" i="14"/>
  <c r="BL6" i="14"/>
  <c r="BZ48" i="14"/>
  <c r="AQ16" i="14"/>
  <c r="CN39" i="14"/>
  <c r="CN43" i="14"/>
  <c r="AQ31" i="14"/>
  <c r="BE9" i="14"/>
  <c r="BS43" i="14"/>
  <c r="BS37" i="14"/>
  <c r="AQ49" i="14"/>
  <c r="BE52" i="14"/>
  <c r="BE37" i="14"/>
  <c r="CG56" i="14"/>
  <c r="CG30" i="14"/>
  <c r="CN38" i="14"/>
  <c r="BZ15" i="14"/>
  <c r="BZ10" i="14"/>
  <c r="CG43" i="14"/>
  <c r="BS14" i="14"/>
  <c r="BE54" i="14"/>
  <c r="BZ38" i="14"/>
  <c r="BE43" i="14"/>
  <c r="BL56" i="14"/>
  <c r="BS49" i="14"/>
  <c r="BZ14" i="14"/>
  <c r="BS30" i="14"/>
  <c r="AQ15" i="14"/>
  <c r="BE49" i="14"/>
  <c r="CG15" i="14"/>
  <c r="AJ35" i="14"/>
  <c r="AX55" i="14" l="1"/>
  <c r="AX58" i="14" s="1"/>
  <c r="CG55" i="14"/>
  <c r="CG58" i="14" s="1"/>
  <c r="BE55" i="14"/>
  <c r="BE58" i="14" s="1"/>
  <c r="BS55" i="14"/>
  <c r="BS58" i="14" s="1"/>
  <c r="BL55" i="14"/>
  <c r="BL58" i="14" s="1"/>
  <c r="AQ55" i="14"/>
  <c r="AQ58" i="14" s="1"/>
  <c r="BZ55" i="14"/>
  <c r="BZ58" i="14" s="1"/>
  <c r="CN55" i="14"/>
  <c r="CN58" i="14" s="1"/>
  <c r="Q43" i="14" l="1"/>
  <c r="Q37" i="14"/>
  <c r="X4" i="14"/>
  <c r="X10" i="14"/>
  <c r="Y10" i="14" s="1"/>
  <c r="X12" i="14"/>
  <c r="Y12" i="14" s="1"/>
  <c r="Q12" i="14"/>
  <c r="Q5" i="14"/>
  <c r="Q54" i="14"/>
  <c r="R54" i="14" s="1"/>
  <c r="X13" i="14"/>
  <c r="Y13" i="14" s="1"/>
  <c r="Q52" i="14"/>
  <c r="X53" i="14"/>
  <c r="Y53" i="14" s="1"/>
  <c r="Q53" i="14"/>
  <c r="R53" i="14" s="1"/>
  <c r="X46" i="14"/>
  <c r="X14" i="14"/>
  <c r="Q36" i="14"/>
  <c r="X56" i="14"/>
  <c r="Y56" i="14" s="1"/>
  <c r="Q39" i="14"/>
  <c r="Q38" i="14"/>
  <c r="Q31" i="14"/>
  <c r="Q48" i="14"/>
  <c r="X47" i="14"/>
  <c r="Q10" i="14"/>
  <c r="Q40" i="14"/>
  <c r="R12" i="14" l="1"/>
  <c r="R40" i="14"/>
  <c r="R31" i="14"/>
  <c r="Q57" i="14"/>
  <c r="X37" i="14"/>
  <c r="Y37" i="14" s="1"/>
  <c r="X38" i="14"/>
  <c r="Y38" i="14" s="1"/>
  <c r="Q49" i="14"/>
  <c r="X8" i="14"/>
  <c r="X44" i="14"/>
  <c r="X15" i="14"/>
  <c r="Y15" i="14" s="1"/>
  <c r="R43" i="14"/>
  <c r="X54" i="14"/>
  <c r="X45" i="14"/>
  <c r="R39" i="14"/>
  <c r="Q14" i="14"/>
  <c r="R14" i="14" s="1"/>
  <c r="Q13" i="14"/>
  <c r="R5" i="14"/>
  <c r="X30" i="14"/>
  <c r="Y30" i="14" s="1"/>
  <c r="X11" i="14"/>
  <c r="X31" i="14"/>
  <c r="Y31" i="14" s="1"/>
  <c r="Q15" i="14"/>
  <c r="R10" i="14"/>
  <c r="R38" i="14"/>
  <c r="Q47" i="14"/>
  <c r="R36" i="14"/>
  <c r="Y14" i="14"/>
  <c r="R52" i="14"/>
  <c r="Y4" i="14"/>
  <c r="Q11" i="14"/>
  <c r="X6" i="14"/>
  <c r="Y6" i="14" s="1"/>
  <c r="Q44" i="14"/>
  <c r="X9" i="14"/>
  <c r="Y9" i="14" s="1"/>
  <c r="Q8" i="14"/>
  <c r="Q7" i="14"/>
  <c r="X36" i="14"/>
  <c r="Y36" i="14" s="1"/>
  <c r="X40" i="14"/>
  <c r="Y40" i="14" s="1"/>
  <c r="X57" i="14"/>
  <c r="Y57" i="14" s="1"/>
  <c r="Q51" i="14"/>
  <c r="X43" i="14"/>
  <c r="Y43" i="14" s="1"/>
  <c r="Q50" i="14"/>
  <c r="R37" i="14"/>
  <c r="Q56" i="14"/>
  <c r="X51" i="14"/>
  <c r="Y51" i="14" s="1"/>
  <c r="Q6" i="14"/>
  <c r="X48" i="14"/>
  <c r="Y48" i="14" s="1"/>
  <c r="X49" i="14"/>
  <c r="Y49" i="14" s="1"/>
  <c r="X16" i="14"/>
  <c r="Y16" i="14" s="1"/>
  <c r="X7" i="14"/>
  <c r="Y7" i="14" s="1"/>
  <c r="R48" i="14"/>
  <c r="Q30" i="14"/>
  <c r="Q9" i="14"/>
  <c r="Q4" i="14"/>
  <c r="Q45" i="14"/>
  <c r="Q46" i="14"/>
  <c r="X39" i="14"/>
  <c r="Y39" i="14" s="1"/>
  <c r="Q16" i="14"/>
  <c r="X5" i="14"/>
  <c r="Y5" i="14" s="1"/>
  <c r="X50" i="14"/>
  <c r="Y50" i="14" s="1"/>
  <c r="X52" i="14"/>
  <c r="Y52" i="14" s="1"/>
  <c r="P7" i="14"/>
  <c r="P54" i="14"/>
  <c r="W4" i="14"/>
  <c r="P43" i="14"/>
  <c r="W54" i="14"/>
  <c r="W6" i="14"/>
  <c r="P44" i="14"/>
  <c r="P50" i="14"/>
  <c r="W53" i="14"/>
  <c r="W10" i="14"/>
  <c r="W40" i="14"/>
  <c r="P48" i="14"/>
  <c r="P53" i="14"/>
  <c r="W57" i="14"/>
  <c r="W51" i="14"/>
  <c r="W48" i="14"/>
  <c r="W49" i="14"/>
  <c r="W16" i="14"/>
  <c r="W7" i="14"/>
  <c r="W39" i="14"/>
  <c r="W5" i="14"/>
  <c r="W50" i="14"/>
  <c r="P40" i="14"/>
  <c r="P31" i="14"/>
  <c r="W37" i="14"/>
  <c r="W38" i="14"/>
  <c r="P49" i="14"/>
  <c r="W15" i="14"/>
  <c r="W56" i="14" l="1"/>
  <c r="W45" i="14"/>
  <c r="R56" i="14"/>
  <c r="Y54" i="14"/>
  <c r="P16" i="14"/>
  <c r="P39" i="14"/>
  <c r="P52" i="14"/>
  <c r="P36" i="14"/>
  <c r="P9" i="14"/>
  <c r="P13" i="14"/>
  <c r="R16" i="14"/>
  <c r="X55" i="14"/>
  <c r="R57" i="14"/>
  <c r="P10" i="14"/>
  <c r="P57" i="14"/>
  <c r="P12" i="14"/>
  <c r="R7" i="14"/>
  <c r="W46" i="14"/>
  <c r="W36" i="14"/>
  <c r="W11" i="14"/>
  <c r="P47" i="14"/>
  <c r="P14" i="14"/>
  <c r="P4" i="14"/>
  <c r="R50" i="14"/>
  <c r="R13" i="14"/>
  <c r="P51" i="14"/>
  <c r="P30" i="14"/>
  <c r="W47" i="14"/>
  <c r="V12" i="14"/>
  <c r="W12" i="14"/>
  <c r="P8" i="14"/>
  <c r="V52" i="14"/>
  <c r="W52" i="14"/>
  <c r="P45" i="14"/>
  <c r="V9" i="14"/>
  <c r="W9" i="14"/>
  <c r="P6" i="14"/>
  <c r="P15" i="14"/>
  <c r="Q55" i="14"/>
  <c r="R4" i="14"/>
  <c r="R51" i="14"/>
  <c r="R15" i="14"/>
  <c r="W44" i="14"/>
  <c r="W13" i="14"/>
  <c r="W30" i="14"/>
  <c r="W14" i="14"/>
  <c r="P38" i="14"/>
  <c r="P11" i="14"/>
  <c r="R9" i="14"/>
  <c r="R6" i="14"/>
  <c r="R49" i="14"/>
  <c r="W8" i="14"/>
  <c r="P46" i="14"/>
  <c r="W43" i="14"/>
  <c r="P37" i="14"/>
  <c r="W31" i="14"/>
  <c r="P56" i="14"/>
  <c r="P5" i="14"/>
  <c r="R30" i="14"/>
  <c r="O30" i="14"/>
  <c r="O6" i="14"/>
  <c r="O54" i="14"/>
  <c r="O13" i="14"/>
  <c r="O11" i="14"/>
  <c r="O43" i="14"/>
  <c r="O52" i="14"/>
  <c r="O38" i="14"/>
  <c r="O8" i="14"/>
  <c r="O36" i="14"/>
  <c r="O46" i="14"/>
  <c r="O51" i="14"/>
  <c r="V4" i="14"/>
  <c r="O31" i="14"/>
  <c r="O40" i="14"/>
  <c r="O4" i="14"/>
  <c r="O5" i="14"/>
  <c r="O39" i="14"/>
  <c r="O47" i="14"/>
  <c r="W55" i="14" l="1"/>
  <c r="W58" i="14" s="1"/>
  <c r="V38" i="14"/>
  <c r="O45" i="14"/>
  <c r="V31" i="14"/>
  <c r="V49" i="14"/>
  <c r="V56" i="14"/>
  <c r="V39" i="14"/>
  <c r="V53" i="14"/>
  <c r="V57" i="14"/>
  <c r="O57" i="14"/>
  <c r="V30" i="14"/>
  <c r="V13" i="14"/>
  <c r="O12" i="14"/>
  <c r="V16" i="14"/>
  <c r="O56" i="14"/>
  <c r="V15" i="14"/>
  <c r="V54" i="14"/>
  <c r="V10" i="14"/>
  <c r="O49" i="14"/>
  <c r="O9" i="14"/>
  <c r="O53" i="14"/>
  <c r="V37" i="14"/>
  <c r="V40" i="14"/>
  <c r="X58" i="14"/>
  <c r="Y55" i="14"/>
  <c r="O14" i="14"/>
  <c r="V11" i="14"/>
  <c r="V47" i="14"/>
  <c r="V46" i="14"/>
  <c r="V7" i="14"/>
  <c r="O16" i="14"/>
  <c r="V48" i="14"/>
  <c r="O15" i="14"/>
  <c r="O7" i="14"/>
  <c r="O50" i="14"/>
  <c r="V8" i="14"/>
  <c r="V36" i="14"/>
  <c r="V50" i="14"/>
  <c r="O44" i="14"/>
  <c r="V14" i="14"/>
  <c r="V43" i="14"/>
  <c r="V45" i="14"/>
  <c r="Q58" i="14"/>
  <c r="R55" i="14"/>
  <c r="P55" i="14"/>
  <c r="P58" i="14" s="1"/>
  <c r="O37" i="14"/>
  <c r="V44" i="14"/>
  <c r="V6" i="14"/>
  <c r="V51" i="14"/>
  <c r="O10" i="14"/>
  <c r="V5" i="14"/>
  <c r="O48" i="14"/>
  <c r="V55" i="14" l="1"/>
  <c r="V58" i="14" s="1"/>
  <c r="O55" i="14"/>
  <c r="O58" i="14" s="1"/>
  <c r="Y58" i="14"/>
  <c r="X59" i="14"/>
  <c r="Q59" i="14"/>
  <c r="R58" i="14"/>
  <c r="AL54" i="14" l="1"/>
  <c r="AM54" i="14" s="1"/>
  <c r="AL14" i="14"/>
  <c r="AM14" i="14" s="1"/>
  <c r="AL40" i="14"/>
  <c r="AM40" i="14" s="1"/>
  <c r="AD56" i="14" l="1"/>
  <c r="AD51" i="14"/>
  <c r="AD31" i="14"/>
  <c r="AK50" i="14"/>
  <c r="AL50" i="14"/>
  <c r="AM50" i="14" s="1"/>
  <c r="AD30" i="14"/>
  <c r="AD7" i="14"/>
  <c r="AK9" i="14"/>
  <c r="AL9" i="14"/>
  <c r="AM9" i="14" s="1"/>
  <c r="AD45" i="14"/>
  <c r="AD44" i="14"/>
  <c r="AD6" i="14"/>
  <c r="AD39" i="14"/>
  <c r="AK39" i="14"/>
  <c r="AL39" i="14"/>
  <c r="AM39" i="14" s="1"/>
  <c r="AD10" i="14"/>
  <c r="AD5" i="14"/>
  <c r="AD48" i="14"/>
  <c r="AD49" i="14"/>
  <c r="AK7" i="14"/>
  <c r="AL7" i="14"/>
  <c r="AM7" i="14" s="1"/>
  <c r="AK52" i="14"/>
  <c r="AL52" i="14"/>
  <c r="AM52" i="14" s="1"/>
  <c r="AL31" i="14"/>
  <c r="AM31" i="14" s="1"/>
  <c r="AK56" i="14"/>
  <c r="I56" i="14" s="1"/>
  <c r="AL56" i="14"/>
  <c r="AM56" i="14" s="1"/>
  <c r="AD47" i="14"/>
  <c r="AD11" i="14"/>
  <c r="AD9" i="14"/>
  <c r="AD40" i="14"/>
  <c r="AK15" i="14"/>
  <c r="AL15" i="14"/>
  <c r="AM15" i="14" s="1"/>
  <c r="AK48" i="14"/>
  <c r="AL48" i="14"/>
  <c r="AM48" i="14" s="1"/>
  <c r="AK45" i="14"/>
  <c r="AL45" i="14"/>
  <c r="AK13" i="14"/>
  <c r="AL13" i="14"/>
  <c r="AM13" i="14" s="1"/>
  <c r="AD57" i="14"/>
  <c r="AK4" i="14"/>
  <c r="AL4" i="14"/>
  <c r="AD4" i="14"/>
  <c r="AK30" i="14"/>
  <c r="AL30" i="14"/>
  <c r="AM30" i="14" s="1"/>
  <c r="AD38" i="14"/>
  <c r="AD53" i="14"/>
  <c r="AD13" i="14"/>
  <c r="AD8" i="14"/>
  <c r="I8" i="14" s="1"/>
  <c r="AD50" i="14"/>
  <c r="AK8" i="14"/>
  <c r="AL8" i="14"/>
  <c r="AK44" i="14"/>
  <c r="AL44" i="14"/>
  <c r="AK11" i="14"/>
  <c r="I11" i="14" s="1"/>
  <c r="AL11" i="14"/>
  <c r="AK37" i="14"/>
  <c r="AL37" i="14"/>
  <c r="AM37" i="14" s="1"/>
  <c r="AK12" i="14"/>
  <c r="AL12" i="14"/>
  <c r="AM12" i="14" s="1"/>
  <c r="AD15" i="14"/>
  <c r="AD36" i="14"/>
  <c r="AD52" i="14"/>
  <c r="AD37" i="14"/>
  <c r="AK49" i="14"/>
  <c r="AL49" i="14"/>
  <c r="AM49" i="14" s="1"/>
  <c r="AK16" i="14"/>
  <c r="AL16" i="14"/>
  <c r="AM16" i="14" s="1"/>
  <c r="AK53" i="14"/>
  <c r="AL53" i="14"/>
  <c r="AM53" i="14" s="1"/>
  <c r="AK36" i="14"/>
  <c r="AL36" i="14"/>
  <c r="AM36" i="14" s="1"/>
  <c r="AK47" i="14"/>
  <c r="AL47" i="14"/>
  <c r="AD46" i="14"/>
  <c r="AD14" i="14"/>
  <c r="AK51" i="14"/>
  <c r="AL51" i="14"/>
  <c r="AM51" i="14" s="1"/>
  <c r="AK38" i="14"/>
  <c r="AL38" i="14"/>
  <c r="AM38" i="14" s="1"/>
  <c r="AK6" i="14"/>
  <c r="AL6" i="14"/>
  <c r="AM6" i="14" s="1"/>
  <c r="AD54" i="14"/>
  <c r="AD16" i="14"/>
  <c r="AD12" i="14"/>
  <c r="I12" i="14" s="1"/>
  <c r="AD43" i="14"/>
  <c r="AK5" i="14"/>
  <c r="AL5" i="14"/>
  <c r="AM5" i="14" s="1"/>
  <c r="AK43" i="14"/>
  <c r="AL43" i="14"/>
  <c r="AM43" i="14" s="1"/>
  <c r="AK10" i="14"/>
  <c r="AL10" i="14"/>
  <c r="AM10" i="14" s="1"/>
  <c r="AK46" i="14"/>
  <c r="AL46" i="14"/>
  <c r="AK57" i="14"/>
  <c r="AL57" i="14"/>
  <c r="AM57" i="14" s="1"/>
  <c r="AK31" i="14"/>
  <c r="AK40" i="14"/>
  <c r="AK54" i="14"/>
  <c r="AJ49" i="14"/>
  <c r="I15" i="14" l="1"/>
  <c r="I37" i="14"/>
  <c r="I36" i="14"/>
  <c r="I9" i="14"/>
  <c r="I39" i="14"/>
  <c r="I43" i="14"/>
  <c r="I31" i="14"/>
  <c r="I48" i="14"/>
  <c r="I5" i="14"/>
  <c r="I49" i="14"/>
  <c r="I45" i="14"/>
  <c r="I46" i="14"/>
  <c r="I40" i="14"/>
  <c r="AK14" i="14"/>
  <c r="AK55" i="14" s="1"/>
  <c r="AK58" i="14" s="1"/>
  <c r="I13" i="14"/>
  <c r="AD55" i="14"/>
  <c r="AD58" i="14" s="1"/>
  <c r="I4" i="14"/>
  <c r="AL55" i="14"/>
  <c r="AM4" i="14"/>
  <c r="I6" i="14"/>
  <c r="I16" i="14"/>
  <c r="I53" i="14"/>
  <c r="I7" i="14"/>
  <c r="I51" i="14"/>
  <c r="AJ56" i="14"/>
  <c r="I10" i="14"/>
  <c r="I44" i="14"/>
  <c r="I54" i="14"/>
  <c r="I52" i="14"/>
  <c r="I50" i="14"/>
  <c r="I38" i="14"/>
  <c r="I57" i="14"/>
  <c r="I47" i="14"/>
  <c r="I30" i="14"/>
  <c r="I14" i="14" l="1"/>
  <c r="AJ6" i="14"/>
  <c r="AJ40" i="14"/>
  <c r="AJ4" i="14"/>
  <c r="I55" i="14"/>
  <c r="I58" i="14" s="1"/>
  <c r="AJ30" i="14"/>
  <c r="AJ13" i="14"/>
  <c r="AJ51" i="14"/>
  <c r="AJ54" i="14"/>
  <c r="AJ31" i="14"/>
  <c r="AJ12" i="14"/>
  <c r="AJ38" i="14"/>
  <c r="AJ7" i="14"/>
  <c r="AJ47" i="14"/>
  <c r="AJ37" i="14"/>
  <c r="AJ43" i="14"/>
  <c r="AJ57" i="14"/>
  <c r="AJ44" i="14"/>
  <c r="AJ8" i="14"/>
  <c r="AJ46" i="14"/>
  <c r="AJ15" i="14"/>
  <c r="AJ48" i="14"/>
  <c r="AJ53" i="14"/>
  <c r="AJ5" i="14"/>
  <c r="AJ45" i="14"/>
  <c r="AJ9" i="14"/>
  <c r="AJ50" i="14"/>
  <c r="AL58" i="14"/>
  <c r="AM55" i="14"/>
  <c r="AJ52" i="14"/>
  <c r="AJ16" i="14"/>
  <c r="AJ10" i="14"/>
  <c r="AJ36" i="14"/>
  <c r="AJ11" i="14"/>
  <c r="AJ39" i="14"/>
  <c r="AJ14" i="14"/>
  <c r="AM58" i="14" l="1"/>
  <c r="AL59" i="14"/>
  <c r="AJ55" i="14"/>
  <c r="AJ58" i="14" s="1"/>
  <c r="AE45" i="14" l="1"/>
  <c r="J45" i="14" s="1"/>
  <c r="AE38" i="14"/>
  <c r="AE5" i="14"/>
  <c r="AE49" i="14"/>
  <c r="AE11" i="14"/>
  <c r="J11" i="14" s="1"/>
  <c r="AE57" i="14"/>
  <c r="AE47" i="14"/>
  <c r="J47" i="14" s="1"/>
  <c r="AE16" i="14"/>
  <c r="AE52" i="14"/>
  <c r="AE51" i="14"/>
  <c r="AE35" i="14"/>
  <c r="J35" i="14" s="1"/>
  <c r="K35" i="14" s="1"/>
  <c r="AE40" i="14"/>
  <c r="AE43" i="14"/>
  <c r="AE10" i="14"/>
  <c r="AE13" i="14"/>
  <c r="AE36" i="14"/>
  <c r="AE4" i="14"/>
  <c r="AE44" i="14"/>
  <c r="J44" i="14" s="1"/>
  <c r="AE31" i="14"/>
  <c r="AE39" i="14"/>
  <c r="AE53" i="14"/>
  <c r="AE50" i="14"/>
  <c r="AE46" i="14"/>
  <c r="J46" i="14" s="1"/>
  <c r="AE54" i="14"/>
  <c r="AE14" i="14"/>
  <c r="AE15" i="14"/>
  <c r="AE48" i="14"/>
  <c r="AE9" i="14"/>
  <c r="AE8" i="14"/>
  <c r="J8" i="14" s="1"/>
  <c r="AE56" i="14"/>
  <c r="AE7" i="14"/>
  <c r="AE12" i="14"/>
  <c r="AE30" i="14"/>
  <c r="AE6" i="14"/>
  <c r="AE34" i="14"/>
  <c r="J34" i="14" s="1"/>
  <c r="K34" i="14" s="1"/>
  <c r="AE37" i="14"/>
  <c r="AC9" i="14" l="1"/>
  <c r="H9" i="14" s="1"/>
  <c r="AC38" i="14"/>
  <c r="H38" i="14" s="1"/>
  <c r="AC53" i="14"/>
  <c r="H53" i="14" s="1"/>
  <c r="AC5" i="14"/>
  <c r="H5" i="14" s="1"/>
  <c r="AF37" i="14"/>
  <c r="J37" i="14"/>
  <c r="K37" i="14" s="1"/>
  <c r="AF12" i="14"/>
  <c r="J12" i="14"/>
  <c r="K12" i="14" s="1"/>
  <c r="AF9" i="14"/>
  <c r="J9" i="14"/>
  <c r="K9" i="14" s="1"/>
  <c r="AF54" i="14"/>
  <c r="J54" i="14"/>
  <c r="K54" i="14" s="1"/>
  <c r="AF39" i="14"/>
  <c r="J39" i="14"/>
  <c r="K39" i="14" s="1"/>
  <c r="AF36" i="14"/>
  <c r="J36" i="14"/>
  <c r="K36" i="14" s="1"/>
  <c r="AF40" i="14"/>
  <c r="J40" i="14"/>
  <c r="K40" i="14" s="1"/>
  <c r="AF16" i="14"/>
  <c r="J16" i="14"/>
  <c r="K16" i="14" s="1"/>
  <c r="AF49" i="14"/>
  <c r="J49" i="14"/>
  <c r="K49" i="14" s="1"/>
  <c r="AC12" i="14"/>
  <c r="H12" i="14" s="1"/>
  <c r="AC56" i="14"/>
  <c r="H56" i="14" s="1"/>
  <c r="AC46" i="14"/>
  <c r="H46" i="14" s="1"/>
  <c r="AC36" i="14"/>
  <c r="H36" i="14" s="1"/>
  <c r="AC37" i="14"/>
  <c r="H37" i="14" s="1"/>
  <c r="AC6" i="14"/>
  <c r="H6" i="14" s="1"/>
  <c r="AC43" i="14"/>
  <c r="H43" i="14" s="1"/>
  <c r="AC48" i="14"/>
  <c r="H48" i="14" s="1"/>
  <c r="AC13" i="14"/>
  <c r="H13" i="14" s="1"/>
  <c r="AC31" i="14"/>
  <c r="H31" i="14" s="1"/>
  <c r="AF7" i="14"/>
  <c r="J7" i="14"/>
  <c r="K7" i="14" s="1"/>
  <c r="AF48" i="14"/>
  <c r="J48" i="14"/>
  <c r="K48" i="14" s="1"/>
  <c r="AF31" i="14"/>
  <c r="J31" i="14"/>
  <c r="K31" i="14" s="1"/>
  <c r="AF13" i="14"/>
  <c r="J13" i="14"/>
  <c r="K13" i="14" s="1"/>
  <c r="AF5" i="14"/>
  <c r="J5" i="14"/>
  <c r="K5" i="14" s="1"/>
  <c r="AC51" i="14"/>
  <c r="H51" i="14" s="1"/>
  <c r="AC14" i="14"/>
  <c r="H14" i="14" s="1"/>
  <c r="AC50" i="14"/>
  <c r="H50" i="14" s="1"/>
  <c r="AC16" i="14"/>
  <c r="H16" i="14" s="1"/>
  <c r="AC11" i="14"/>
  <c r="H11" i="14" s="1"/>
  <c r="AC45" i="14"/>
  <c r="H45" i="14" s="1"/>
  <c r="AC44" i="14"/>
  <c r="H44" i="14" s="1"/>
  <c r="AC47" i="14"/>
  <c r="H47" i="14" s="1"/>
  <c r="AF6" i="14"/>
  <c r="J6" i="14"/>
  <c r="K6" i="14" s="1"/>
  <c r="AF56" i="14"/>
  <c r="J56" i="14"/>
  <c r="K56" i="14" s="1"/>
  <c r="AF15" i="14"/>
  <c r="J15" i="14"/>
  <c r="K15" i="14" s="1"/>
  <c r="AF50" i="14"/>
  <c r="J50" i="14"/>
  <c r="K50" i="14" s="1"/>
  <c r="AF10" i="14"/>
  <c r="J10" i="14"/>
  <c r="K10" i="14" s="1"/>
  <c r="AF51" i="14"/>
  <c r="J51" i="14"/>
  <c r="K51" i="14" s="1"/>
  <c r="AF57" i="14"/>
  <c r="J57" i="14"/>
  <c r="K57" i="14" s="1"/>
  <c r="AF38" i="14"/>
  <c r="J38" i="14"/>
  <c r="K38" i="14" s="1"/>
  <c r="AC8" i="14"/>
  <c r="H8" i="14" s="1"/>
  <c r="AC34" i="14"/>
  <c r="H34" i="14" s="1"/>
  <c r="AC15" i="14"/>
  <c r="H15" i="14" s="1"/>
  <c r="AC49" i="14"/>
  <c r="H49" i="14" s="1"/>
  <c r="AC30" i="14"/>
  <c r="H30" i="14" s="1"/>
  <c r="AC52" i="14"/>
  <c r="H52" i="14" s="1"/>
  <c r="AC57" i="14"/>
  <c r="H57" i="14" s="1"/>
  <c r="AC7" i="14"/>
  <c r="H7" i="14" s="1"/>
  <c r="AC10" i="14"/>
  <c r="H10" i="14" s="1"/>
  <c r="AC39" i="14"/>
  <c r="H39" i="14" s="1"/>
  <c r="AC35" i="14"/>
  <c r="H35" i="14" s="1"/>
  <c r="AF30" i="14"/>
  <c r="J30" i="14"/>
  <c r="K30" i="14" s="1"/>
  <c r="AF14" i="14"/>
  <c r="J14" i="14"/>
  <c r="K14" i="14" s="1"/>
  <c r="J53" i="14"/>
  <c r="K53" i="14" s="1"/>
  <c r="AF53" i="14"/>
  <c r="AE55" i="14"/>
  <c r="AF4" i="14"/>
  <c r="J4" i="14"/>
  <c r="AF43" i="14"/>
  <c r="J43" i="14"/>
  <c r="K43" i="14" s="1"/>
  <c r="AF52" i="14"/>
  <c r="J52" i="14"/>
  <c r="K52" i="14" s="1"/>
  <c r="AC54" i="14"/>
  <c r="H54" i="14" s="1"/>
  <c r="AC40" i="14"/>
  <c r="H40" i="14" s="1"/>
  <c r="AC4" i="14"/>
  <c r="AE58" i="14" l="1"/>
  <c r="AF55" i="14"/>
  <c r="AC55" i="14"/>
  <c r="AC58" i="14" s="1"/>
  <c r="H4" i="14"/>
  <c r="H55" i="14" s="1"/>
  <c r="H58" i="14" s="1"/>
  <c r="J55" i="14"/>
  <c r="K4" i="14"/>
  <c r="K55" i="14" l="1"/>
  <c r="J58" i="14"/>
  <c r="AE59" i="14"/>
  <c r="AF58" i="14"/>
  <c r="J59" i="14" l="1"/>
  <c r="K58" i="14"/>
</calcChain>
</file>

<file path=xl/sharedStrings.xml><?xml version="1.0" encoding="utf-8"?>
<sst xmlns="http://schemas.openxmlformats.org/spreadsheetml/2006/main" count="3204" uniqueCount="228">
  <si>
    <t>São Luiz do Pinhal - Orçamento 2024/2025</t>
  </si>
  <si>
    <t>há</t>
  </si>
  <si>
    <t>Junho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</si>
  <si>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</si>
  <si>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</si>
  <si>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</si>
  <si>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</si>
  <si>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</si>
  <si>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</si>
  <si>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</si>
  <si>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</si>
  <si>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</si>
  <si>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</si>
  <si>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</si>
  <si>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PREVISTO TOTAL 2024/2025</t>
  </si>
  <si>
    <t>PREVISTO TOTAL
OPEX</t>
  </si>
  <si>
    <t>PREVISTO TOTAL
CAPEX</t>
  </si>
  <si>
    <t>PREVISTO PERIODO</t>
  </si>
  <si>
    <t>PREVISTO PERIODO
OPEX</t>
  </si>
  <si>
    <t>PREVISTO PERIODO
CAPEX</t>
  </si>
  <si>
    <t>REALIZADO
OPEX</t>
  </si>
  <si>
    <t>REALIZADO
CAPEX</t>
  </si>
  <si>
    <t>REALIZADO TOTAL</t>
  </si>
  <si>
    <t>%</t>
  </si>
  <si>
    <t>PREVISTO</t>
  </si>
  <si>
    <t>PREVISTO
OPEX</t>
  </si>
  <si>
    <t>PREVISTO
CAPEX</t>
  </si>
  <si>
    <t>REALIZADO
TOTAL</t>
  </si>
  <si>
    <t>Salários</t>
  </si>
  <si>
    <t>HE</t>
  </si>
  <si>
    <t>INSS</t>
  </si>
  <si>
    <t>FGTS</t>
  </si>
  <si>
    <t>13 Salário</t>
  </si>
  <si>
    <t>Férias</t>
  </si>
  <si>
    <t>Transporte Funcionario</t>
  </si>
  <si>
    <t>Rescisão Contratual</t>
  </si>
  <si>
    <t>Aluguel Veiculos (Carros)</t>
  </si>
  <si>
    <t>Processos trabalhistas</t>
  </si>
  <si>
    <t>Beneficios</t>
  </si>
  <si>
    <t>Escritório Central/Aska</t>
  </si>
  <si>
    <t>Energia Elétrica</t>
  </si>
  <si>
    <t>Oleo Diesel</t>
  </si>
  <si>
    <t>Lubrificantes</t>
  </si>
  <si>
    <t>Alcool / Gasolina</t>
  </si>
  <si>
    <t>Adubo</t>
  </si>
  <si>
    <t>Corretivo de Solo</t>
  </si>
  <si>
    <t>Fertilizante Orgânico</t>
  </si>
  <si>
    <t>Semente</t>
  </si>
  <si>
    <t>Herbicidas</t>
  </si>
  <si>
    <t>Fungicida</t>
  </si>
  <si>
    <t>Inseticida</t>
  </si>
  <si>
    <t>Acaricida</t>
  </si>
  <si>
    <t>Óleo</t>
  </si>
  <si>
    <t>Reguladores Vegetais</t>
  </si>
  <si>
    <t>MO Terceiros</t>
  </si>
  <si>
    <t>Aluguel de Máquinas e Edifícios</t>
  </si>
  <si>
    <t>Colheita Laranja (351.020 CX)</t>
  </si>
  <si>
    <t>Frete Rodoviário Laranja</t>
  </si>
  <si>
    <t>Colheita Limão (26.301 CX)</t>
  </si>
  <si>
    <t>Frete Rodoviário Limão</t>
  </si>
  <si>
    <t>Manutenção de Máquinas</t>
  </si>
  <si>
    <t>Manutenção de Implementos</t>
  </si>
  <si>
    <t>Manutenção de Veículos</t>
  </si>
  <si>
    <t>Manutenção de Equipamentos</t>
  </si>
  <si>
    <t>Pneus</t>
  </si>
  <si>
    <t>Depreciação</t>
  </si>
  <si>
    <t>Arrendamento</t>
  </si>
  <si>
    <t>Assistência Técnica</t>
  </si>
  <si>
    <t>Beneficiamento/Secagem</t>
  </si>
  <si>
    <t>Investimentos</t>
  </si>
  <si>
    <t>Mudas</t>
  </si>
  <si>
    <t>São Paulo da Canastra</t>
  </si>
  <si>
    <t>Segurança do Trabalho</t>
  </si>
  <si>
    <t>Outras Despesas</t>
  </si>
  <si>
    <t>Caminhão Acello</t>
  </si>
  <si>
    <t>Mecânicos/Eletrecistas</t>
  </si>
  <si>
    <t>Manutenção Civil e Elétrica</t>
  </si>
  <si>
    <t>Impostos  e taxas</t>
  </si>
  <si>
    <t>Funrural/Fundecitrus</t>
  </si>
  <si>
    <t>Subtotal</t>
  </si>
  <si>
    <t>CREDITO ICMS</t>
  </si>
  <si>
    <t>RESULTADO CARRETAS</t>
  </si>
  <si>
    <t>TOTAL</t>
  </si>
  <si>
    <t>OUTRAS DESPESAS</t>
  </si>
  <si>
    <t>RATEIO EDSON</t>
  </si>
  <si>
    <t>DESPESAS LUIZ GUILHERME</t>
  </si>
  <si>
    <t>LABORATÓRIO</t>
  </si>
  <si>
    <t>MATERIAL ESCRITÓRIO</t>
  </si>
  <si>
    <t>PLACAS DE SINALIZAÇÃO</t>
  </si>
  <si>
    <t>MATERIAL LIMPEZA</t>
  </si>
  <si>
    <t>EXAME MÉDICO</t>
  </si>
  <si>
    <t>ROUPEIRO</t>
  </si>
  <si>
    <t>MUDAS</t>
  </si>
  <si>
    <t>PESAGENS</t>
  </si>
  <si>
    <t>SEGURO DE VIDA</t>
  </si>
  <si>
    <t>SINDICATO T. R.</t>
  </si>
  <si>
    <t>LABORATÓRIO DE ANÁLISES</t>
  </si>
  <si>
    <t>PÃO</t>
  </si>
  <si>
    <t>TELEFONE</t>
  </si>
  <si>
    <t>MATERIAL DE CAMPO</t>
  </si>
  <si>
    <t>T.I.</t>
  </si>
  <si>
    <t>SEGURO TRATORES</t>
  </si>
  <si>
    <t>DOCUMENTO MOTO</t>
  </si>
  <si>
    <t>Rosa - Orçamento 2024/2025</t>
  </si>
  <si>
    <t>Colheita Laranja (94.570 CX)</t>
  </si>
  <si>
    <t>Colheita Limão</t>
  </si>
  <si>
    <t>Santa Ana do Guarei  -  Orçamento 2024/2025</t>
  </si>
  <si>
    <t>Colheita Laranja (640.000 CX)</t>
  </si>
  <si>
    <t>Colheita Limão (340.000 CX)</t>
  </si>
  <si>
    <t>BALSA</t>
  </si>
  <si>
    <t>TECTRACKER</t>
  </si>
  <si>
    <t>SEGURO TRATOR</t>
  </si>
  <si>
    <t>MALETA PRIMEIROS SOCORROS</t>
  </si>
  <si>
    <t>SEM PARAR (ERV2A37)</t>
  </si>
  <si>
    <t>ALOJAMENTO</t>
  </si>
  <si>
    <t>SUPORTE DE CELULAR</t>
  </si>
  <si>
    <t>REFEITÓRIO</t>
  </si>
  <si>
    <t>DESPESAS ALAN</t>
  </si>
  <si>
    <t>AFERIÇÃO DE BOMBA</t>
  </si>
  <si>
    <t>SEMENTE BRACHIARIA</t>
  </si>
  <si>
    <t>DOCUMENTO VEICULOS</t>
  </si>
  <si>
    <t>MULTA</t>
  </si>
  <si>
    <t>CAIXINHA</t>
  </si>
  <si>
    <t>MUDAS FRUTIFERAS</t>
  </si>
  <si>
    <t>Boa Esperança  -  Orçamento 2024/2025</t>
  </si>
  <si>
    <t>Colheita Laranja (800.000 CX)</t>
  </si>
  <si>
    <t>Colheita Limão (80.000 CX)</t>
  </si>
  <si>
    <t>DESPESAS DE VIAGEM</t>
  </si>
  <si>
    <t>IDENTIFICAÇÃO IMOBILIZADOS</t>
  </si>
  <si>
    <t>INTERNET</t>
  </si>
  <si>
    <t>PLACAS SINALIZAÇÃO</t>
  </si>
  <si>
    <t>MATERIAL DE LIMPEZA</t>
  </si>
  <si>
    <t>ROUPEIROS</t>
  </si>
  <si>
    <t>SEM PARAR FBV9195</t>
  </si>
  <si>
    <t>SEMENTE DE BRACHIARA</t>
  </si>
  <si>
    <t>DOCUMENTOS VEÍCULOS</t>
  </si>
  <si>
    <t xml:space="preserve">SINDICATO T. R. </t>
  </si>
  <si>
    <t>MOTOR ESTACIONÁRIO</t>
  </si>
  <si>
    <t>LAVAGEM QMZ3H33</t>
  </si>
  <si>
    <t>Santa Maria  -  Orçamento 2024/2025</t>
  </si>
  <si>
    <t>Colheita Laranja (500.000 CX)</t>
  </si>
  <si>
    <t>RAÇÃO CACHORRO</t>
  </si>
  <si>
    <t>CERTIFICADO</t>
  </si>
  <si>
    <t>FRETE PODADEIRA</t>
  </si>
  <si>
    <t>Igarata  -  Orçamento 2024/2025</t>
  </si>
  <si>
    <t>Colheita Laranja (430.000 CX)</t>
  </si>
  <si>
    <t>MARMITAS</t>
  </si>
  <si>
    <t>DESPESAS RAFAEL</t>
  </si>
  <si>
    <t>LABORATÓRIO ANÁLISES DE SOLO</t>
  </si>
  <si>
    <t>SEM PARAR</t>
  </si>
  <si>
    <t>ADVOGADO MESQUITA RIBEIRO</t>
  </si>
  <si>
    <t>MANUTENÇÃO CAMERAS</t>
  </si>
  <si>
    <t>DOCUMENTOS (FCZ-0195 / GHB9F84)</t>
  </si>
  <si>
    <t>MOTOBOMBA</t>
  </si>
  <si>
    <t>CONFIANÇA CONSULTORIA</t>
  </si>
  <si>
    <t>MESQUITA ADVOGADOS</t>
  </si>
  <si>
    <t>Paineiras  -  Orçamento 2024/2025</t>
  </si>
  <si>
    <t>Colheita Laranja (180.000 CX)</t>
  </si>
  <si>
    <t>Colheita Limão (50.000 CX)</t>
  </si>
  <si>
    <t>MATERIAL CAMPO</t>
  </si>
  <si>
    <t>DIAFRAGMA</t>
  </si>
  <si>
    <t>IDENTIFICAÇÃO</t>
  </si>
  <si>
    <t>DIESEL LIMPEZA CIPÓ</t>
  </si>
  <si>
    <t>DIESEL OFICINA</t>
  </si>
  <si>
    <t>PEDÁGIO</t>
  </si>
  <si>
    <t>PEDREGULHO ESTRADA PAINEIRAS/MONJOLINHO</t>
  </si>
  <si>
    <t>ALIMENTAÇÃO PEDREIRO</t>
  </si>
  <si>
    <t>Monjolinho  -  Orçamento 2024/2025</t>
  </si>
  <si>
    <t>Colheita Laranja (200.000 CX)</t>
  </si>
  <si>
    <t>PEDREGULHOS ESTRADA PAINEIRAS/MONJOLINHO</t>
  </si>
  <si>
    <t>DESPESAS THIAGO</t>
  </si>
  <si>
    <t>DIESEL MISTURADOR DE PRODUTO</t>
  </si>
  <si>
    <t>DOCUMENTOS (BRH6B24)</t>
  </si>
  <si>
    <t>SINDICATO T.R.</t>
  </si>
  <si>
    <t>MULTAS DE TRANSITO</t>
  </si>
  <si>
    <t>Rubião I  -  Orçamento 2024/2025</t>
  </si>
  <si>
    <t>JUN.23</t>
  </si>
  <si>
    <t>JUL.23</t>
  </si>
  <si>
    <t>AGO.23</t>
  </si>
  <si>
    <t>SET.23</t>
  </si>
  <si>
    <t>OUT.23</t>
  </si>
  <si>
    <t>NOV.23</t>
  </si>
  <si>
    <t>DEZ.23</t>
  </si>
  <si>
    <t>JAN.24</t>
  </si>
  <si>
    <t>FEV.24</t>
  </si>
  <si>
    <t>MAR.24</t>
  </si>
  <si>
    <t>ABR.24</t>
  </si>
  <si>
    <t>MAI.24</t>
  </si>
  <si>
    <t>ADVOGADO IVAN</t>
  </si>
  <si>
    <t>DOCUMENTO (DAO1475)</t>
  </si>
  <si>
    <t>Cambara I  -  Orçamento 2024/2025</t>
  </si>
  <si>
    <t>Colheita Laranja (261.564 CX)</t>
  </si>
  <si>
    <t>LABORATÓRIO DE ANÁLISE</t>
  </si>
  <si>
    <t>PRODUTOS DE LIMPEZA</t>
  </si>
  <si>
    <t>SINDICATO DOS T. R.</t>
  </si>
  <si>
    <t>CINTA REBOQUE</t>
  </si>
  <si>
    <t>TANQUINHO LAVANDERIA</t>
  </si>
  <si>
    <t>CUROS DAS MOTORISTA VAN</t>
  </si>
  <si>
    <t>KM RODADO GILMAR</t>
  </si>
  <si>
    <t>AREA DE VIVENCIA</t>
  </si>
  <si>
    <t>PESAGEM</t>
  </si>
  <si>
    <t>São Francisco I  -  Orçamento 2024/2025</t>
  </si>
  <si>
    <t>Colheita Laranja (700.000 CX)</t>
  </si>
  <si>
    <t>TOTAL  -  Orçamento 2024/2025 Citrus Produção</t>
  </si>
  <si>
    <t>CX LARANJA E LIMÃO</t>
  </si>
  <si>
    <t>CX LIMÃO</t>
  </si>
  <si>
    <t>Salários/Bonificação</t>
  </si>
  <si>
    <t>Colheita Laranja (5.220.000 CX)</t>
  </si>
  <si>
    <t>Colheita Limão (422.000 CX)</t>
  </si>
  <si>
    <t>Quadras Improdutivas (Q9/10/11/28/29/506/1026/230/231/232/254/255/128/131/133/136/413/429B/430/431/819/822/835</t>
  </si>
  <si>
    <t>Replantas</t>
  </si>
  <si>
    <t>Caixas</t>
  </si>
  <si>
    <t>por caixa</t>
  </si>
  <si>
    <t>Funil - Orçamento 2024/2025</t>
  </si>
  <si>
    <t/>
  </si>
  <si>
    <t>Colheita Laranja (234.410 CX)</t>
  </si>
  <si>
    <t>Colheita Limão (94.699 CX)</t>
  </si>
  <si>
    <t>Santa Clara  -  Orçamento 2024/2025</t>
  </si>
  <si>
    <t>Colheita Laranja (120.000 CXS)</t>
  </si>
  <si>
    <t>OUTRAS DESPESSAS</t>
  </si>
  <si>
    <t xml:space="preserve">RATEIO EDSON </t>
  </si>
  <si>
    <t>DESPESAS BUSCAR MOTO BOMBA</t>
  </si>
  <si>
    <t>ART</t>
  </si>
  <si>
    <t>OUTORGA</t>
  </si>
  <si>
    <t>BUSCAR CANO IRRIGAÇÃO</t>
  </si>
  <si>
    <t>LAAVAGEM EPI'S</t>
  </si>
  <si>
    <t>LAVAGEM EPI'S</t>
  </si>
  <si>
    <t>INSPEÇÃO GRENNIS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</si>
</sst>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#,##0.0000000000000000000000"/>
    <numFmt numFmtId="165" formatCode="0.00000000000000000000"/>
    <numFmt numFmtId="166" formatCode="0.00000000000000000000000000000"/>
    <numFmt numFmtId="167" formatCode="0.000000000000000000"/>
    <numFmt numFmtId="168" formatCode="#,##0.00000"/>
    <numFmt numFmtId="169" formatCode="0.0"/>
    <numFmt numFmtId="170" formatCode="#,##0.000000000000000000000"/>
    <numFmt numFmtId="171" formatCode="#,##0.0000"/>
    <numFmt numFmtId="172" formatCode="#,##0.00000000000000"/>
    <numFmt numFmtId="173" formatCode="0.0000000000000000000000"/>
    <numFmt numFmtId="174" formatCode="0.00000000000000000000000"/>
    <numFmt numFmtId="175" formatCode="#,##0.00000000000000000"/>
  </numFmts>
  <fonts count="15" x14ac:knownFonts="1">
    <font>
      <sz val="11"/>
      <color theme="1"/>
      <name val="Aptos Narrow"/>
      <scheme val="minor"/>
    </font>
    <font>
      <b/>
      <sz val="16"/>
      <color theme="1"/>
      <name val="Arial"/>
      <family val="2"/>
    </font>
    <font>
      <b/>
      <sz val="16"/>
      <color rgb="FFFF0000"/>
      <name val="Arial"/>
      <family val="2"/>
    </font>
    <font>
      <b/>
      <sz val="16"/>
      <color theme="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name val="Arial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8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/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7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17" fontId="4" fillId="0" borderId="0" xfId="0" applyNumberFormat="1" applyFont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7" fillId="0" borderId="15" xfId="0" applyFont="1" applyBorder="1"/>
    <xf numFmtId="3" fontId="6" fillId="0" borderId="16" xfId="0" applyNumberFormat="1" applyFont="1" applyBorder="1"/>
    <xf numFmtId="3" fontId="6" fillId="0" borderId="17" xfId="0" applyNumberFormat="1" applyFont="1" applyBorder="1"/>
    <xf numFmtId="3" fontId="6" fillId="0" borderId="18" xfId="0" applyNumberFormat="1" applyFont="1" applyBorder="1"/>
    <xf numFmtId="3" fontId="6" fillId="0" borderId="19" xfId="0" applyNumberFormat="1" applyFont="1" applyBorder="1"/>
    <xf numFmtId="3" fontId="6" fillId="0" borderId="20" xfId="0" applyNumberFormat="1" applyFont="1" applyBorder="1"/>
    <xf numFmtId="9" fontId="6" fillId="0" borderId="21" xfId="1" applyFont="1" applyFill="1" applyBorder="1"/>
    <xf numFmtId="3" fontId="6" fillId="0" borderId="22" xfId="0" applyNumberFormat="1" applyFont="1" applyBorder="1"/>
    <xf numFmtId="4" fontId="6" fillId="0" borderId="19" xfId="0" applyNumberFormat="1" applyFont="1" applyBorder="1"/>
    <xf numFmtId="9" fontId="6" fillId="0" borderId="21" xfId="0" applyNumberFormat="1" applyFont="1" applyBorder="1"/>
    <xf numFmtId="0" fontId="9" fillId="0" borderId="0" xfId="0" applyFont="1"/>
    <xf numFmtId="4" fontId="6" fillId="0" borderId="23" xfId="0" applyNumberFormat="1" applyFont="1" applyBorder="1"/>
    <xf numFmtId="3" fontId="6" fillId="0" borderId="0" xfId="0" applyNumberFormat="1" applyFont="1"/>
    <xf numFmtId="0" fontId="6" fillId="0" borderId="24" xfId="0" applyFont="1" applyBorder="1"/>
    <xf numFmtId="3" fontId="6" fillId="0" borderId="25" xfId="0" applyNumberFormat="1" applyFont="1" applyBorder="1"/>
    <xf numFmtId="3" fontId="6" fillId="0" borderId="26" xfId="0" applyNumberFormat="1" applyFont="1" applyBorder="1"/>
    <xf numFmtId="3" fontId="6" fillId="0" borderId="27" xfId="0" applyNumberFormat="1" applyFont="1" applyBorder="1"/>
    <xf numFmtId="3" fontId="6" fillId="0" borderId="23" xfId="0" applyNumberFormat="1" applyFont="1" applyBorder="1"/>
    <xf numFmtId="3" fontId="6" fillId="0" borderId="28" xfId="0" applyNumberFormat="1" applyFont="1" applyBorder="1"/>
    <xf numFmtId="9" fontId="6" fillId="0" borderId="29" xfId="1" applyFont="1" applyFill="1" applyBorder="1"/>
    <xf numFmtId="3" fontId="6" fillId="0" borderId="30" xfId="0" applyNumberFormat="1" applyFont="1" applyBorder="1"/>
    <xf numFmtId="9" fontId="6" fillId="0" borderId="29" xfId="0" applyNumberFormat="1" applyFont="1" applyBorder="1"/>
    <xf numFmtId="0" fontId="7" fillId="0" borderId="24" xfId="0" applyFont="1" applyBorder="1"/>
    <xf numFmtId="0" fontId="7" fillId="0" borderId="31" xfId="0" applyFont="1" applyBorder="1"/>
    <xf numFmtId="3" fontId="6" fillId="0" borderId="32" xfId="0" applyNumberFormat="1" applyFont="1" applyBorder="1"/>
    <xf numFmtId="3" fontId="6" fillId="0" borderId="33" xfId="0" applyNumberFormat="1" applyFont="1" applyBorder="1"/>
    <xf numFmtId="4" fontId="6" fillId="0" borderId="33" xfId="0" applyNumberFormat="1" applyFont="1" applyBorder="1"/>
    <xf numFmtId="3" fontId="7" fillId="0" borderId="24" xfId="0" applyNumberFormat="1" applyFont="1" applyBorder="1"/>
    <xf numFmtId="3" fontId="7" fillId="0" borderId="34" xfId="0" applyNumberFormat="1" applyFont="1" applyBorder="1"/>
    <xf numFmtId="3" fontId="7" fillId="0" borderId="23" xfId="0" applyNumberFormat="1" applyFont="1" applyBorder="1"/>
    <xf numFmtId="3" fontId="7" fillId="0" borderId="30" xfId="0" applyNumberFormat="1" applyFont="1" applyBorder="1"/>
    <xf numFmtId="3" fontId="7" fillId="0" borderId="26" xfId="0" applyNumberFormat="1" applyFont="1" applyBorder="1"/>
    <xf numFmtId="4" fontId="7" fillId="0" borderId="23" xfId="0" applyNumberFormat="1" applyFont="1" applyBorder="1"/>
    <xf numFmtId="4" fontId="7" fillId="0" borderId="30" xfId="0" applyNumberFormat="1" applyFont="1" applyBorder="1"/>
    <xf numFmtId="3" fontId="6" fillId="0" borderId="35" xfId="0" applyNumberFormat="1" applyFont="1" applyBorder="1"/>
    <xf numFmtId="3" fontId="6" fillId="0" borderId="36" xfId="0" applyNumberFormat="1" applyFont="1" applyBorder="1"/>
    <xf numFmtId="3" fontId="6" fillId="0" borderId="37" xfId="0" applyNumberFormat="1" applyFont="1" applyBorder="1"/>
    <xf numFmtId="3" fontId="6" fillId="0" borderId="38" xfId="0" applyNumberFormat="1" applyFont="1" applyBorder="1"/>
    <xf numFmtId="3" fontId="6" fillId="0" borderId="39" xfId="0" applyNumberFormat="1" applyFont="1" applyBorder="1"/>
    <xf numFmtId="9" fontId="6" fillId="0" borderId="40" xfId="1" applyFont="1" applyFill="1" applyBorder="1"/>
    <xf numFmtId="3" fontId="6" fillId="0" borderId="41" xfId="0" applyNumberFormat="1" applyFont="1" applyBorder="1"/>
    <xf numFmtId="3" fontId="6" fillId="0" borderId="42" xfId="0" applyNumberFormat="1" applyFont="1" applyBorder="1"/>
    <xf numFmtId="3" fontId="6" fillId="0" borderId="43" xfId="0" applyNumberFormat="1" applyFont="1" applyBorder="1"/>
    <xf numFmtId="4" fontId="6" fillId="0" borderId="43" xfId="0" applyNumberFormat="1" applyFont="1" applyBorder="1"/>
    <xf numFmtId="9" fontId="6" fillId="0" borderId="40" xfId="0" applyNumberFormat="1" applyFont="1" applyBorder="1"/>
    <xf numFmtId="4" fontId="6" fillId="0" borderId="38" xfId="0" applyNumberFormat="1" applyFont="1" applyBorder="1"/>
    <xf numFmtId="0" fontId="10" fillId="0" borderId="1" xfId="0" applyFont="1" applyBorder="1" applyAlignment="1">
      <alignment horizontal="left" vertical="center"/>
    </xf>
    <xf numFmtId="3" fontId="10" fillId="0" borderId="44" xfId="0" applyNumberFormat="1" applyFont="1" applyBorder="1" applyAlignment="1">
      <alignment horizontal="right" vertical="center"/>
    </xf>
    <xf numFmtId="3" fontId="10" fillId="0" borderId="7" xfId="0" applyNumberFormat="1" applyFont="1" applyBorder="1" applyAlignment="1">
      <alignment horizontal="right" vertical="center"/>
    </xf>
    <xf numFmtId="3" fontId="10" fillId="0" borderId="45" xfId="0" applyNumberFormat="1" applyFont="1" applyBorder="1" applyAlignment="1">
      <alignment horizontal="right" vertical="center"/>
    </xf>
    <xf numFmtId="3" fontId="10" fillId="0" borderId="8" xfId="0" applyNumberFormat="1" applyFont="1" applyBorder="1" applyAlignment="1">
      <alignment horizontal="right" vertical="center"/>
    </xf>
    <xf numFmtId="3" fontId="10" fillId="0" borderId="46" xfId="0" applyNumberFormat="1" applyFont="1" applyBorder="1" applyAlignment="1">
      <alignment horizontal="right" vertical="center"/>
    </xf>
    <xf numFmtId="9" fontId="10" fillId="0" borderId="9" xfId="1" applyFont="1" applyFill="1" applyBorder="1" applyAlignment="1">
      <alignment horizontal="right" vertical="center"/>
    </xf>
    <xf numFmtId="3" fontId="10" fillId="0" borderId="6" xfId="0" applyNumberFormat="1" applyFont="1" applyBorder="1" applyAlignment="1">
      <alignment horizontal="right" vertical="center"/>
    </xf>
    <xf numFmtId="4" fontId="10" fillId="0" borderId="8" xfId="0" applyNumberFormat="1" applyFont="1" applyBorder="1" applyAlignment="1">
      <alignment horizontal="right" vertical="center"/>
    </xf>
    <xf numFmtId="9" fontId="10" fillId="0" borderId="9" xfId="0" applyNumberFormat="1" applyFont="1" applyBorder="1" applyAlignment="1">
      <alignment horizontal="right" vertical="center"/>
    </xf>
    <xf numFmtId="0" fontId="6" fillId="0" borderId="0" xfId="0" applyFont="1" applyAlignment="1">
      <alignment horizontal="right" vertical="center"/>
    </xf>
    <xf numFmtId="4" fontId="6" fillId="0" borderId="0" xfId="0" applyNumberFormat="1" applyFont="1" applyAlignment="1">
      <alignment horizontal="right" vertical="center"/>
    </xf>
    <xf numFmtId="0" fontId="10" fillId="0" borderId="47" xfId="0" applyFont="1" applyBorder="1"/>
    <xf numFmtId="3" fontId="6" fillId="0" borderId="48" xfId="0" applyNumberFormat="1" applyFont="1" applyBorder="1"/>
    <xf numFmtId="3" fontId="6" fillId="0" borderId="49" xfId="0" applyNumberFormat="1" applyFont="1" applyBorder="1"/>
    <xf numFmtId="3" fontId="6" fillId="0" borderId="50" xfId="0" applyNumberFormat="1" applyFont="1" applyBorder="1"/>
    <xf numFmtId="3" fontId="6" fillId="0" borderId="51" xfId="0" applyNumberFormat="1" applyFont="1" applyBorder="1"/>
    <xf numFmtId="3" fontId="6" fillId="0" borderId="52" xfId="0" applyNumberFormat="1" applyFont="1" applyBorder="1"/>
    <xf numFmtId="9" fontId="6" fillId="0" borderId="53" xfId="1" applyFont="1" applyFill="1" applyBorder="1"/>
    <xf numFmtId="3" fontId="6" fillId="0" borderId="54" xfId="0" applyNumberFormat="1" applyFont="1" applyBorder="1"/>
    <xf numFmtId="4" fontId="6" fillId="0" borderId="51" xfId="0" applyNumberFormat="1" applyFont="1" applyBorder="1"/>
    <xf numFmtId="9" fontId="6" fillId="0" borderId="53" xfId="0" applyNumberFormat="1" applyFont="1" applyBorder="1"/>
    <xf numFmtId="0" fontId="10" fillId="0" borderId="31" xfId="0" applyFont="1" applyBorder="1"/>
    <xf numFmtId="3" fontId="6" fillId="0" borderId="55" xfId="0" applyNumberFormat="1" applyFont="1" applyBorder="1"/>
    <xf numFmtId="9" fontId="6" fillId="0" borderId="56" xfId="1" applyFont="1" applyFill="1" applyBorder="1"/>
    <xf numFmtId="3" fontId="6" fillId="0" borderId="57" xfId="0" applyNumberFormat="1" applyFont="1" applyBorder="1"/>
    <xf numFmtId="0" fontId="10" fillId="0" borderId="1" xfId="0" applyFont="1" applyBorder="1"/>
    <xf numFmtId="3" fontId="11" fillId="0" borderId="58" xfId="0" applyNumberFormat="1" applyFont="1" applyBorder="1"/>
    <xf numFmtId="3" fontId="11" fillId="0" borderId="59" xfId="0" applyNumberFormat="1" applyFont="1" applyBorder="1"/>
    <xf numFmtId="3" fontId="11" fillId="0" borderId="60" xfId="0" applyNumberFormat="1" applyFont="1" applyBorder="1"/>
    <xf numFmtId="3" fontId="11" fillId="0" borderId="61" xfId="0" applyNumberFormat="1" applyFont="1" applyBorder="1"/>
    <xf numFmtId="3" fontId="11" fillId="0" borderId="62" xfId="0" applyNumberFormat="1" applyFont="1" applyBorder="1"/>
    <xf numFmtId="3" fontId="11" fillId="0" borderId="63" xfId="0" applyNumberFormat="1" applyFont="1" applyBorder="1"/>
    <xf numFmtId="3" fontId="11" fillId="0" borderId="64" xfId="0" applyNumberFormat="1" applyFont="1" applyBorder="1"/>
    <xf numFmtId="3" fontId="11" fillId="0" borderId="65" xfId="0" applyNumberFormat="1" applyFont="1" applyBorder="1"/>
    <xf numFmtId="9" fontId="11" fillId="0" borderId="66" xfId="1" applyFont="1" applyFill="1" applyBorder="1"/>
    <xf numFmtId="3" fontId="11" fillId="0" borderId="67" xfId="0" applyNumberFormat="1" applyFont="1" applyBorder="1"/>
    <xf numFmtId="3" fontId="11" fillId="0" borderId="11" xfId="0" applyNumberFormat="1" applyFont="1" applyBorder="1"/>
    <xf numFmtId="3" fontId="11" fillId="0" borderId="13" xfId="0" applyNumberFormat="1" applyFont="1" applyBorder="1"/>
    <xf numFmtId="9" fontId="11" fillId="0" borderId="68" xfId="1" applyFont="1" applyFill="1" applyBorder="1"/>
    <xf numFmtId="4" fontId="11" fillId="0" borderId="13" xfId="0" applyNumberFormat="1" applyFont="1" applyBorder="1"/>
    <xf numFmtId="9" fontId="11" fillId="0" borderId="68" xfId="0" applyNumberFormat="1" applyFont="1" applyBorder="1"/>
    <xf numFmtId="2" fontId="4" fillId="0" borderId="0" xfId="0" applyNumberFormat="1" applyFont="1"/>
    <xf numFmtId="2" fontId="0" fillId="0" borderId="0" xfId="0" applyNumberFormat="1"/>
    <xf numFmtId="164" fontId="4" fillId="0" borderId="0" xfId="0" applyNumberFormat="1" applyFont="1"/>
    <xf numFmtId="0" fontId="4" fillId="0" borderId="69" xfId="0" applyFont="1" applyBorder="1"/>
    <xf numFmtId="0" fontId="4" fillId="0" borderId="34" xfId="0" applyFont="1" applyBorder="1"/>
    <xf numFmtId="0" fontId="4" fillId="0" borderId="26" xfId="0" applyFont="1" applyBorder="1"/>
    <xf numFmtId="0" fontId="4" fillId="0" borderId="23" xfId="0" applyFont="1" applyBorder="1"/>
    <xf numFmtId="1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1" fontId="4" fillId="0" borderId="23" xfId="0" applyNumberFormat="1" applyFont="1" applyBorder="1"/>
    <xf numFmtId="3" fontId="6" fillId="0" borderId="33" xfId="0" applyNumberFormat="1" applyFont="1" applyBorder="1" applyAlignment="1">
      <alignment shrinkToFit="1"/>
    </xf>
    <xf numFmtId="4" fontId="6" fillId="0" borderId="33" xfId="0" applyNumberFormat="1" applyFont="1" applyBorder="1" applyAlignment="1">
      <alignment shrinkToFit="1"/>
    </xf>
    <xf numFmtId="3" fontId="6" fillId="0" borderId="70" xfId="0" applyNumberFormat="1" applyFont="1" applyBorder="1"/>
    <xf numFmtId="4" fontId="6" fillId="0" borderId="0" xfId="0" applyNumberFormat="1" applyFont="1"/>
    <xf numFmtId="0" fontId="10" fillId="0" borderId="2" xfId="0" applyFont="1" applyBorder="1" applyAlignment="1">
      <alignment horizontal="left" vertical="center"/>
    </xf>
    <xf numFmtId="9" fontId="10" fillId="0" borderId="71" xfId="0" applyNumberFormat="1" applyFont="1" applyBorder="1" applyAlignment="1">
      <alignment horizontal="right" vertical="center"/>
    </xf>
    <xf numFmtId="3" fontId="10" fillId="0" borderId="72" xfId="0" applyNumberFormat="1" applyFont="1" applyBorder="1" applyAlignment="1">
      <alignment horizontal="right" vertical="center"/>
    </xf>
    <xf numFmtId="3" fontId="10" fillId="0" borderId="73" xfId="0" applyNumberFormat="1" applyFont="1" applyBorder="1" applyAlignment="1">
      <alignment horizontal="right" vertical="center"/>
    </xf>
    <xf numFmtId="3" fontId="10" fillId="0" borderId="74" xfId="0" applyNumberFormat="1" applyFont="1" applyBorder="1" applyAlignment="1">
      <alignment horizontal="right" vertical="center"/>
    </xf>
    <xf numFmtId="4" fontId="10" fillId="0" borderId="74" xfId="0" applyNumberFormat="1" applyFont="1" applyBorder="1" applyAlignment="1">
      <alignment horizontal="right" vertical="center"/>
    </xf>
    <xf numFmtId="0" fontId="10" fillId="0" borderId="15" xfId="0" applyFont="1" applyBorder="1"/>
    <xf numFmtId="0" fontId="10" fillId="0" borderId="75" xfId="0" applyFont="1" applyBorder="1"/>
    <xf numFmtId="9" fontId="6" fillId="0" borderId="56" xfId="0" applyNumberFormat="1" applyFont="1" applyBorder="1"/>
    <xf numFmtId="3" fontId="6" fillId="0" borderId="76" xfId="0" applyNumberFormat="1" applyFont="1" applyBorder="1"/>
    <xf numFmtId="3" fontId="6" fillId="0" borderId="77" xfId="0" applyNumberFormat="1" applyFont="1" applyBorder="1"/>
    <xf numFmtId="4" fontId="6" fillId="0" borderId="77" xfId="0" applyNumberFormat="1" applyFont="1" applyBorder="1"/>
    <xf numFmtId="0" fontId="10" fillId="0" borderId="78" xfId="0" applyFont="1" applyBorder="1"/>
    <xf numFmtId="9" fontId="11" fillId="0" borderId="66" xfId="0" applyNumberFormat="1" applyFont="1" applyBorder="1"/>
    <xf numFmtId="3" fontId="11" fillId="0" borderId="79" xfId="0" applyNumberFormat="1" applyFont="1" applyBorder="1"/>
    <xf numFmtId="3" fontId="11" fillId="0" borderId="8" xfId="0" applyNumberFormat="1" applyFont="1" applyBorder="1"/>
    <xf numFmtId="4" fontId="11" fillId="0" borderId="8" xfId="0" applyNumberFormat="1" applyFont="1" applyBorder="1"/>
    <xf numFmtId="3" fontId="11" fillId="0" borderId="6" xfId="0" applyNumberFormat="1" applyFont="1" applyBorder="1"/>
    <xf numFmtId="4" fontId="11" fillId="0" borderId="65" xfId="0" applyNumberFormat="1" applyFont="1" applyBorder="1"/>
    <xf numFmtId="167" fontId="4" fillId="0" borderId="0" xfId="0" applyNumberFormat="1" applyFont="1"/>
    <xf numFmtId="4" fontId="4" fillId="0" borderId="0" xfId="0" applyNumberFormat="1" applyFont="1"/>
    <xf numFmtId="4" fontId="12" fillId="0" borderId="0" xfId="0" applyNumberFormat="1" applyFont="1"/>
    <xf numFmtId="0" fontId="12" fillId="0" borderId="0" xfId="0" applyFont="1"/>
    <xf numFmtId="2" fontId="12" fillId="0" borderId="0" xfId="0" applyNumberFormat="1" applyFont="1"/>
    <xf numFmtId="3" fontId="0" fillId="0" borderId="0" xfId="0" applyNumberFormat="1"/>
    <xf numFmtId="0" fontId="6" fillId="0" borderId="26" xfId="0" applyFont="1" applyBorder="1"/>
    <xf numFmtId="0" fontId="12" fillId="0" borderId="0" xfId="0" applyFont="1" applyAlignment="1">
      <alignment horizontal="center"/>
    </xf>
    <xf numFmtId="10" fontId="4" fillId="0" borderId="0" xfId="0" applyNumberFormat="1" applyFont="1" applyAlignment="1">
      <alignment vertical="center"/>
    </xf>
    <xf numFmtId="3" fontId="6" fillId="0" borderId="19" xfId="0" applyNumberFormat="1" applyFont="1" applyBorder="1" applyAlignment="1">
      <alignment horizontal="right" vertical="center"/>
    </xf>
    <xf numFmtId="3" fontId="6" fillId="0" borderId="23" xfId="0" applyNumberFormat="1" applyFont="1" applyBorder="1" applyAlignment="1">
      <alignment horizontal="right" vertical="center"/>
    </xf>
    <xf numFmtId="3" fontId="6" fillId="0" borderId="33" xfId="0" applyNumberFormat="1" applyFont="1" applyBorder="1" applyAlignment="1">
      <alignment horizontal="right" vertical="center" shrinkToFit="1"/>
    </xf>
    <xf numFmtId="3" fontId="7" fillId="0" borderId="23" xfId="0" applyNumberFormat="1" applyFont="1" applyBorder="1" applyAlignment="1">
      <alignment horizontal="right" vertical="center"/>
    </xf>
    <xf numFmtId="3" fontId="7" fillId="0" borderId="0" xfId="0" applyNumberFormat="1" applyFont="1"/>
    <xf numFmtId="3" fontId="7" fillId="0" borderId="0" xfId="0" applyNumberFormat="1" applyFont="1" applyAlignment="1">
      <alignment horizontal="right" vertical="center"/>
    </xf>
    <xf numFmtId="4" fontId="7" fillId="0" borderId="0" xfId="0" applyNumberFormat="1" applyFont="1"/>
    <xf numFmtId="3" fontId="6" fillId="0" borderId="38" xfId="0" applyNumberFormat="1" applyFont="1" applyBorder="1" applyAlignment="1">
      <alignment horizontal="right" vertical="center"/>
    </xf>
    <xf numFmtId="10" fontId="4" fillId="0" borderId="0" xfId="0" applyNumberFormat="1" applyFont="1"/>
    <xf numFmtId="3" fontId="4" fillId="0" borderId="0" xfId="0" applyNumberFormat="1" applyFont="1"/>
    <xf numFmtId="2" fontId="6" fillId="0" borderId="19" xfId="0" applyNumberFormat="1" applyFont="1" applyBorder="1"/>
    <xf numFmtId="2" fontId="6" fillId="0" borderId="23" xfId="0" applyNumberFormat="1" applyFont="1" applyBorder="1"/>
    <xf numFmtId="2" fontId="6" fillId="0" borderId="33" xfId="0" applyNumberFormat="1" applyFont="1" applyBorder="1" applyAlignment="1">
      <alignment shrinkToFit="1"/>
    </xf>
    <xf numFmtId="1" fontId="6" fillId="0" borderId="23" xfId="0" applyNumberFormat="1" applyFont="1" applyBorder="1"/>
    <xf numFmtId="2" fontId="7" fillId="0" borderId="23" xfId="0" applyNumberFormat="1" applyFont="1" applyBorder="1"/>
    <xf numFmtId="3" fontId="13" fillId="0" borderId="0" xfId="0" applyNumberFormat="1" applyFont="1"/>
    <xf numFmtId="2" fontId="7" fillId="0" borderId="0" xfId="0" applyNumberFormat="1" applyFont="1"/>
    <xf numFmtId="2" fontId="6" fillId="0" borderId="43" xfId="0" applyNumberFormat="1" applyFont="1" applyBorder="1"/>
    <xf numFmtId="168" fontId="4" fillId="0" borderId="0" xfId="0" applyNumberFormat="1" applyFont="1"/>
    <xf numFmtId="3" fontId="4" fillId="0" borderId="23" xfId="0" applyNumberFormat="1" applyFont="1" applyBorder="1"/>
    <xf numFmtId="2" fontId="4" fillId="0" borderId="23" xfId="0" applyNumberFormat="1" applyFont="1" applyBorder="1"/>
    <xf numFmtId="4" fontId="4" fillId="0" borderId="23" xfId="0" applyNumberFormat="1" applyFont="1" applyBorder="1"/>
    <xf numFmtId="0" fontId="12" fillId="0" borderId="23" xfId="0" applyFont="1" applyBorder="1"/>
    <xf numFmtId="2" fontId="12" fillId="0" borderId="23" xfId="0" applyNumberFormat="1" applyFont="1" applyBorder="1"/>
    <xf numFmtId="2" fontId="4" fillId="0" borderId="3" xfId="0" applyNumberFormat="1" applyFont="1" applyBorder="1"/>
    <xf numFmtId="2" fontId="4" fillId="0" borderId="34" xfId="0" applyNumberFormat="1" applyFont="1" applyBorder="1"/>
    <xf numFmtId="0" fontId="12" fillId="0" borderId="69" xfId="0" applyFont="1" applyBorder="1"/>
    <xf numFmtId="0" fontId="12" fillId="0" borderId="34" xfId="0" applyFont="1" applyBorder="1"/>
    <xf numFmtId="4" fontId="0" fillId="0" borderId="0" xfId="0" applyNumberFormat="1"/>
    <xf numFmtId="4" fontId="4" fillId="0" borderId="3" xfId="0" applyNumberFormat="1" applyFont="1" applyBorder="1"/>
    <xf numFmtId="4" fontId="12" fillId="0" borderId="23" xfId="0" applyNumberFormat="1" applyFont="1" applyBorder="1"/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7" fillId="0" borderId="15" xfId="0" applyFont="1" applyBorder="1" applyAlignment="1">
      <alignment horizontal="left" vertical="center"/>
    </xf>
    <xf numFmtId="9" fontId="6" fillId="0" borderId="0" xfId="0" applyNumberFormat="1" applyFont="1"/>
    <xf numFmtId="0" fontId="6" fillId="0" borderId="24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7" fillId="0" borderId="31" xfId="0" applyFont="1" applyBorder="1" applyAlignment="1">
      <alignment horizontal="left" vertical="center"/>
    </xf>
    <xf numFmtId="9" fontId="7" fillId="0" borderId="0" xfId="0" applyNumberFormat="1" applyFont="1"/>
    <xf numFmtId="9" fontId="10" fillId="0" borderId="0" xfId="0" applyNumberFormat="1" applyFont="1" applyAlignment="1">
      <alignment horizontal="right" vertical="center"/>
    </xf>
    <xf numFmtId="4" fontId="10" fillId="0" borderId="23" xfId="0" applyNumberFormat="1" applyFont="1" applyBorder="1" applyAlignment="1">
      <alignment horizontal="right" vertical="center"/>
    </xf>
    <xf numFmtId="4" fontId="6" fillId="0" borderId="23" xfId="0" applyNumberFormat="1" applyFont="1" applyBorder="1" applyAlignment="1">
      <alignment horizontal="right" vertical="center"/>
    </xf>
    <xf numFmtId="0" fontId="10" fillId="0" borderId="15" xfId="0" applyFont="1" applyBorder="1" applyAlignment="1">
      <alignment horizontal="left" vertical="center"/>
    </xf>
    <xf numFmtId="0" fontId="10" fillId="0" borderId="75" xfId="0" applyFont="1" applyBorder="1" applyAlignment="1">
      <alignment horizontal="left" vertical="center"/>
    </xf>
    <xf numFmtId="0" fontId="10" fillId="0" borderId="78" xfId="0" applyFont="1" applyBorder="1" applyAlignment="1">
      <alignment horizontal="left" vertical="center"/>
    </xf>
    <xf numFmtId="9" fontId="11" fillId="0" borderId="0" xfId="0" applyNumberFormat="1" applyFont="1"/>
    <xf numFmtId="4" fontId="11" fillId="0" borderId="23" xfId="0" applyNumberFormat="1" applyFont="1" applyBorder="1"/>
    <xf numFmtId="3" fontId="12" fillId="0" borderId="23" xfId="0" applyNumberFormat="1" applyFont="1" applyBorder="1"/>
    <xf numFmtId="0" fontId="4" fillId="2" borderId="0" xfId="0" applyFont="1" applyFill="1" applyAlignment="1">
      <alignment vertical="center"/>
    </xf>
    <xf numFmtId="0" fontId="8" fillId="0" borderId="0" xfId="0" applyFont="1"/>
    <xf numFmtId="0" fontId="8" fillId="2" borderId="0" xfId="0" applyFont="1" applyFill="1"/>
    <xf numFmtId="0" fontId="6" fillId="0" borderId="23" xfId="0" applyFont="1" applyBorder="1"/>
    <xf numFmtId="0" fontId="6" fillId="0" borderId="0" xfId="0" applyFont="1"/>
    <xf numFmtId="169" fontId="6" fillId="0" borderId="23" xfId="0" applyNumberFormat="1" applyFont="1" applyBorder="1"/>
    <xf numFmtId="0" fontId="6" fillId="0" borderId="23" xfId="0" applyFont="1" applyBorder="1" applyAlignment="1">
      <alignment horizontal="right" vertical="center"/>
    </xf>
    <xf numFmtId="170" fontId="4" fillId="0" borderId="0" xfId="0" applyNumberFormat="1" applyFont="1"/>
    <xf numFmtId="171" fontId="4" fillId="0" borderId="0" xfId="0" applyNumberFormat="1" applyFont="1"/>
    <xf numFmtId="172" fontId="4" fillId="0" borderId="0" xfId="0" applyNumberFormat="1" applyFont="1"/>
    <xf numFmtId="173" fontId="4" fillId="0" borderId="0" xfId="0" applyNumberFormat="1" applyFont="1"/>
    <xf numFmtId="174" fontId="4" fillId="0" borderId="0" xfId="0" applyNumberFormat="1" applyFont="1"/>
    <xf numFmtId="0" fontId="12" fillId="0" borderId="26" xfId="0" applyFont="1" applyBorder="1"/>
    <xf numFmtId="175" fontId="8" fillId="0" borderId="0" xfId="0" applyNumberFormat="1" applyFont="1"/>
    <xf numFmtId="0" fontId="4" fillId="0" borderId="0" xfId="0" applyFont="1"/>
    <xf numFmtId="169" fontId="12" fillId="0" borderId="0" xfId="0" applyNumberFormat="1" applyFont="1"/>
    <xf numFmtId="0" fontId="1" fillId="0" borderId="0" xfId="0" applyFont="1" applyAlignment="1">
      <alignment horizontal="center" vertical="center"/>
    </xf>
    <xf numFmtId="0" fontId="12" fillId="0" borderId="80" xfId="0" applyFont="1" applyBorder="1" applyAlignment="1">
      <alignment horizontal="center" wrapText="1"/>
    </xf>
    <xf numFmtId="3" fontId="12" fillId="0" borderId="0" xfId="0" applyNumberFormat="1" applyFont="1" applyAlignment="1">
      <alignment horizontal="center" vertical="center" wrapText="1"/>
    </xf>
    <xf numFmtId="0" fontId="12" fillId="0" borderId="0" xfId="0" applyFont="1" applyAlignment="1">
      <alignment horizontal="center" wrapText="1"/>
    </xf>
    <xf numFmtId="3" fontId="12" fillId="0" borderId="0" xfId="0" applyNumberFormat="1" applyFont="1" applyAlignment="1">
      <alignment horizontal="center" vertical="center"/>
    </xf>
    <xf numFmtId="3" fontId="12" fillId="0" borderId="81" xfId="0" applyNumberFormat="1" applyFont="1" applyBorder="1" applyAlignment="1">
      <alignment horizontal="center" vertical="center"/>
    </xf>
    <xf numFmtId="0" fontId="14" fillId="0" borderId="15" xfId="0" applyFont="1" applyBorder="1"/>
    <xf numFmtId="9" fontId="4" fillId="0" borderId="21" xfId="0" applyNumberFormat="1" applyFont="1" applyBorder="1"/>
    <xf numFmtId="3" fontId="4" fillId="0" borderId="22" xfId="0" applyNumberFormat="1" applyFont="1" applyBorder="1"/>
    <xf numFmtId="3" fontId="4" fillId="0" borderId="17" xfId="0" applyNumberFormat="1" applyFont="1" applyBorder="1"/>
    <xf numFmtId="3" fontId="4" fillId="0" borderId="19" xfId="0" applyNumberFormat="1" applyFont="1" applyBorder="1"/>
    <xf numFmtId="4" fontId="4" fillId="0" borderId="82" xfId="0" applyNumberFormat="1" applyFont="1" applyBorder="1" applyAlignment="1">
      <alignment horizontal="center"/>
    </xf>
    <xf numFmtId="0" fontId="4" fillId="0" borderId="24" xfId="0" applyFont="1" applyBorder="1"/>
    <xf numFmtId="9" fontId="4" fillId="0" borderId="29" xfId="0" applyNumberFormat="1" applyFont="1" applyBorder="1"/>
    <xf numFmtId="3" fontId="4" fillId="0" borderId="30" xfId="0" applyNumberFormat="1" applyFont="1" applyBorder="1"/>
    <xf numFmtId="3" fontId="4" fillId="0" borderId="26" xfId="0" applyNumberFormat="1" applyFont="1" applyBorder="1"/>
    <xf numFmtId="4" fontId="4" fillId="0" borderId="83" xfId="0" applyNumberFormat="1" applyFont="1" applyBorder="1" applyAlignment="1">
      <alignment horizontal="center"/>
    </xf>
    <xf numFmtId="0" fontId="14" fillId="0" borderId="24" xfId="0" applyFont="1" applyBorder="1"/>
    <xf numFmtId="0" fontId="14" fillId="0" borderId="31" xfId="0" applyFont="1" applyBorder="1"/>
    <xf numFmtId="9" fontId="4" fillId="0" borderId="40" xfId="0" applyNumberFormat="1" applyFont="1" applyBorder="1"/>
    <xf numFmtId="3" fontId="4" fillId="0" borderId="57" xfId="0" applyNumberFormat="1" applyFont="1" applyBorder="1"/>
    <xf numFmtId="3" fontId="4" fillId="0" borderId="32" xfId="0" applyNumberFormat="1" applyFont="1" applyBorder="1"/>
    <xf numFmtId="3" fontId="4" fillId="0" borderId="38" xfId="0" applyNumberFormat="1" applyFont="1" applyBorder="1"/>
    <xf numFmtId="3" fontId="4" fillId="0" borderId="41" xfId="0" applyNumberFormat="1" applyFont="1" applyBorder="1"/>
    <xf numFmtId="3" fontId="4" fillId="0" borderId="43" xfId="0" applyNumberFormat="1" applyFont="1" applyBorder="1"/>
    <xf numFmtId="4" fontId="4" fillId="0" borderId="84" xfId="0" applyNumberFormat="1" applyFont="1" applyBorder="1" applyAlignment="1">
      <alignment horizontal="center"/>
    </xf>
    <xf numFmtId="0" fontId="5" fillId="0" borderId="2" xfId="0" applyFont="1" applyBorder="1" applyAlignment="1">
      <alignment horizontal="left" vertical="center"/>
    </xf>
    <xf numFmtId="9" fontId="5" fillId="0" borderId="71" xfId="0" applyNumberFormat="1" applyFont="1" applyBorder="1" applyAlignment="1">
      <alignment horizontal="right" vertical="center"/>
    </xf>
    <xf numFmtId="3" fontId="5" fillId="0" borderId="72" xfId="0" applyNumberFormat="1" applyFont="1" applyBorder="1" applyAlignment="1">
      <alignment horizontal="right" vertical="center"/>
    </xf>
    <xf numFmtId="3" fontId="5" fillId="0" borderId="73" xfId="0" applyNumberFormat="1" applyFont="1" applyBorder="1" applyAlignment="1">
      <alignment horizontal="right" vertical="center"/>
    </xf>
    <xf numFmtId="3" fontId="5" fillId="0" borderId="74" xfId="0" applyNumberFormat="1" applyFont="1" applyBorder="1" applyAlignment="1">
      <alignment horizontal="right" vertical="center"/>
    </xf>
    <xf numFmtId="3" fontId="5" fillId="0" borderId="8" xfId="0" applyNumberFormat="1" applyFont="1" applyBorder="1" applyAlignment="1">
      <alignment horizontal="right" vertical="center"/>
    </xf>
    <xf numFmtId="10" fontId="4" fillId="0" borderId="0" xfId="0" applyNumberFormat="1" applyFont="1" applyAlignment="1">
      <alignment horizontal="right" vertical="center"/>
    </xf>
    <xf numFmtId="4" fontId="12" fillId="0" borderId="80" xfId="0" applyNumberFormat="1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5" fillId="0" borderId="15" xfId="0" applyFont="1" applyBorder="1"/>
    <xf numFmtId="4" fontId="12" fillId="0" borderId="81" xfId="0" applyNumberFormat="1" applyFont="1" applyBorder="1" applyAlignment="1">
      <alignment horizontal="center"/>
    </xf>
    <xf numFmtId="0" fontId="5" fillId="0" borderId="75" xfId="0" applyFont="1" applyBorder="1"/>
    <xf numFmtId="9" fontId="4" fillId="0" borderId="56" xfId="0" applyNumberFormat="1" applyFont="1" applyBorder="1"/>
    <xf numFmtId="3" fontId="4" fillId="0" borderId="42" xfId="0" applyNumberFormat="1" applyFont="1" applyBorder="1"/>
    <xf numFmtId="0" fontId="5" fillId="0" borderId="78" xfId="0" applyFont="1" applyBorder="1"/>
    <xf numFmtId="9" fontId="12" fillId="0" borderId="66" xfId="0" applyNumberFormat="1" applyFont="1" applyBorder="1"/>
    <xf numFmtId="3" fontId="12" fillId="0" borderId="79" xfId="0" applyNumberFormat="1" applyFont="1" applyBorder="1"/>
    <xf numFmtId="3" fontId="12" fillId="0" borderId="64" xfId="0" applyNumberFormat="1" applyFont="1" applyBorder="1"/>
    <xf numFmtId="3" fontId="12" fillId="0" borderId="65" xfId="0" applyNumberFormat="1" applyFont="1" applyBorder="1"/>
    <xf numFmtId="4" fontId="12" fillId="0" borderId="85" xfId="0" applyNumberFormat="1" applyFont="1" applyBorder="1" applyAlignment="1">
      <alignment horizontal="center"/>
    </xf>
    <xf numFmtId="9" fontId="6" fillId="0" borderId="21" xfId="0" quotePrefix="1" applyNumberFormat="1" applyFont="1" applyBorder="1"/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6" fillId="0" borderId="8" xfId="0" applyFont="1" applyBorder="1"/>
    <xf numFmtId="0" fontId="6" fillId="0" borderId="9" xfId="0" applyFont="1" applyBorder="1"/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6" fillId="0" borderId="4" xfId="0" applyFont="1" applyBorder="1"/>
    <xf numFmtId="0" fontId="6" fillId="0" borderId="5" xfId="0" applyFont="1" applyBorder="1"/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0" applyFont="1" applyBorder="1"/>
    <xf numFmtId="0" fontId="12" fillId="0" borderId="69" xfId="0" applyFont="1" applyBorder="1" applyAlignment="1">
      <alignment horizontal="center"/>
    </xf>
    <xf numFmtId="0" fontId="12" fillId="0" borderId="34" xfId="0" applyFont="1" applyBorder="1" applyAlignment="1">
      <alignment horizontal="center"/>
    </xf>
    <xf numFmtId="0" fontId="6" fillId="0" borderId="34" xfId="0" applyFont="1" applyBorder="1"/>
    <xf numFmtId="0" fontId="6" fillId="0" borderId="26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6" fillId="0" borderId="0" xfId="0" applyFont="1"/>
    <xf numFmtId="14" fontId="1" fillId="0" borderId="0" xfId="0" applyNumberFormat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200.208/arquivos/TIAGO/THIAGO/FECHAMENTO%20MENSAL/MODELO%20OR&#199;AMENTO/OR&#199;AMENTO%202024-%202025/OR&#199;AMENTO%20CITRUS%202024-202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200.208/Dados%20SLP/arquivos/TIAGO/THIAGO/FECHAMENTO%20MENSAL/FECHAMENTO%202024-2025%20PARCERIA/Fechamento%20Mensal%202024-2025%20PARCERI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200.208/arquivos/TIAGO/THIAGO/FECHAMENTO%20MENSAL/FECHAMENTO%20THIAGO%202024-2025/Fechamento%20Mensal%202024-2025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tocastro/PycharmProjects/Custos_Laranja/ORC&#807;AMENTO%20MENSAL%202024-2025%20PARCERIA.xlsx" TargetMode="External"/><Relationship Id="rId1" Type="http://schemas.openxmlformats.org/officeDocument/2006/relationships/externalLinkPath" Target="ORC&#807;AMENTO%20MENSAL%202024-2025%20PARCERI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LP+ROSA+FUNIL"/>
      <sheetName val="SLP"/>
      <sheetName val="ROSA"/>
      <sheetName val="STA ANA"/>
      <sheetName val="BOA"/>
      <sheetName val="STA MARIA"/>
      <sheetName val="CB"/>
      <sheetName val="CB I"/>
      <sheetName val="CB II"/>
      <sheetName val="CB III"/>
      <sheetName val="IG"/>
      <sheetName val="PN"/>
      <sheetName val="MJ"/>
      <sheetName val="RB"/>
      <sheetName val="SF"/>
      <sheetName val="SFI"/>
      <sheetName val="TOTAL CITRUS PRODUÇÃO"/>
      <sheetName val="FUNIL"/>
      <sheetName val="STA CLARA"/>
      <sheetName val="SFII"/>
      <sheetName val="SFIII"/>
      <sheetName val="SFIV"/>
      <sheetName val="MIRANTE"/>
      <sheetName val="TOTAL CITRUS"/>
      <sheetName val="CEREAIS"/>
      <sheetName val="CANASTRA"/>
      <sheetName val="CN I"/>
      <sheetName val="CN II"/>
      <sheetName val="CN III"/>
      <sheetName val="BOL"/>
      <sheetName val="TOTAL CITRUS-CEREAIS-CAN-BOL"/>
      <sheetName val="RESUMO"/>
      <sheetName val="RESUMO EDSON"/>
      <sheetName val="RESUMO 1"/>
      <sheetName val="RESUMO 2"/>
      <sheetName val="OUTRAS DESPESAS"/>
      <sheetName val="RESUMO EDSON INVEST"/>
      <sheetName val="FREDERICO Fat."/>
      <sheetName val="FREDERICO CUST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G1">
            <v>634.33000000000004</v>
          </cell>
        </row>
        <row r="4">
          <cell r="E4">
            <v>106904.80177999998</v>
          </cell>
          <cell r="F4">
            <v>167165.80177999998</v>
          </cell>
          <cell r="G4">
            <v>106904.80177999998</v>
          </cell>
          <cell r="H4">
            <v>106904.80177999998</v>
          </cell>
          <cell r="I4">
            <v>106904.80177999998</v>
          </cell>
          <cell r="J4">
            <v>106904.80177999998</v>
          </cell>
          <cell r="K4">
            <v>106904.80177999998</v>
          </cell>
          <cell r="L4">
            <v>115457.18592239999</v>
          </cell>
          <cell r="M4">
            <v>115457.18592239999</v>
          </cell>
          <cell r="N4">
            <v>115457.18592239999</v>
          </cell>
          <cell r="O4">
            <v>115457.18592239999</v>
          </cell>
          <cell r="P4">
            <v>115457.18592239999</v>
          </cell>
        </row>
        <row r="5">
          <cell r="E5">
            <v>7250</v>
          </cell>
          <cell r="F5">
            <v>7250</v>
          </cell>
          <cell r="G5">
            <v>7250</v>
          </cell>
          <cell r="H5">
            <v>7250</v>
          </cell>
          <cell r="I5">
            <v>7250</v>
          </cell>
          <cell r="J5">
            <v>7250</v>
          </cell>
          <cell r="K5">
            <v>7250</v>
          </cell>
          <cell r="L5">
            <v>7250</v>
          </cell>
          <cell r="M5">
            <v>7250</v>
          </cell>
          <cell r="N5">
            <v>7250</v>
          </cell>
          <cell r="O5">
            <v>7250</v>
          </cell>
          <cell r="P5">
            <v>7250</v>
          </cell>
        </row>
        <row r="6">
          <cell r="E6">
            <v>13604.286039299997</v>
          </cell>
          <cell r="F6">
            <v>13604.286039299997</v>
          </cell>
          <cell r="G6">
            <v>13604.286039299997</v>
          </cell>
          <cell r="H6">
            <v>13604.286039299997</v>
          </cell>
          <cell r="I6">
            <v>13604.286039299997</v>
          </cell>
          <cell r="J6">
            <v>13604.286039299997</v>
          </cell>
          <cell r="K6">
            <v>13604.286039299997</v>
          </cell>
          <cell r="L6">
            <v>14628.712922443998</v>
          </cell>
          <cell r="M6">
            <v>14628.712922443998</v>
          </cell>
          <cell r="N6">
            <v>14628.712922443998</v>
          </cell>
          <cell r="O6">
            <v>14628.712922443998</v>
          </cell>
          <cell r="P6">
            <v>14628.712922443998</v>
          </cell>
        </row>
        <row r="7">
          <cell r="E7">
            <v>10555.049513249996</v>
          </cell>
          <cell r="F7">
            <v>10555.049513249996</v>
          </cell>
          <cell r="G7">
            <v>10555.049513249996</v>
          </cell>
          <cell r="H7">
            <v>10555.049513249996</v>
          </cell>
          <cell r="I7">
            <v>10555.049513249996</v>
          </cell>
          <cell r="J7">
            <v>10555.049513249996</v>
          </cell>
          <cell r="K7">
            <v>10555.049513249996</v>
          </cell>
          <cell r="L7">
            <v>11349.863474309997</v>
          </cell>
          <cell r="M7">
            <v>11349.863474309997</v>
          </cell>
          <cell r="N7">
            <v>11349.863474309997</v>
          </cell>
          <cell r="O7">
            <v>11349.863474309997</v>
          </cell>
          <cell r="P7">
            <v>11349.863474309997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127249.00634594599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13233.933424799998</v>
          </cell>
          <cell r="F9">
            <v>13233.933424799998</v>
          </cell>
          <cell r="G9">
            <v>13233.933424799998</v>
          </cell>
          <cell r="H9">
            <v>13233.933424799998</v>
          </cell>
          <cell r="I9">
            <v>13233.933424799998</v>
          </cell>
          <cell r="J9">
            <v>13233.933424799998</v>
          </cell>
          <cell r="K9">
            <v>13233.933424799998</v>
          </cell>
          <cell r="L9">
            <v>14230.472098784001</v>
          </cell>
          <cell r="M9">
            <v>14230.472098784001</v>
          </cell>
          <cell r="N9">
            <v>14230.472098784001</v>
          </cell>
          <cell r="O9">
            <v>14230.472098784001</v>
          </cell>
          <cell r="P9">
            <v>14230.472098784001</v>
          </cell>
        </row>
        <row r="10">
          <cell r="E10">
            <v>8000</v>
          </cell>
          <cell r="F10">
            <v>8000</v>
          </cell>
          <cell r="G10">
            <v>8000</v>
          </cell>
          <cell r="H10">
            <v>8000</v>
          </cell>
          <cell r="I10">
            <v>8000</v>
          </cell>
          <cell r="J10">
            <v>8000</v>
          </cell>
          <cell r="K10">
            <v>8000</v>
          </cell>
          <cell r="L10">
            <v>8000</v>
          </cell>
          <cell r="M10">
            <v>8000</v>
          </cell>
          <cell r="N10">
            <v>8000</v>
          </cell>
          <cell r="O10">
            <v>8000</v>
          </cell>
          <cell r="P10">
            <v>8000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E14">
            <v>6422.73</v>
          </cell>
          <cell r="F14">
            <v>6422.73</v>
          </cell>
          <cell r="G14">
            <v>6422.73</v>
          </cell>
          <cell r="H14">
            <v>6422.73</v>
          </cell>
          <cell r="I14">
            <v>6422.73</v>
          </cell>
          <cell r="J14">
            <v>6422.73</v>
          </cell>
          <cell r="K14">
            <v>6422.73</v>
          </cell>
          <cell r="L14">
            <v>6422.73</v>
          </cell>
          <cell r="M14">
            <v>6422.73</v>
          </cell>
          <cell r="N14">
            <v>6422.73</v>
          </cell>
          <cell r="O14">
            <v>6422.73</v>
          </cell>
          <cell r="P14">
            <v>6422.73</v>
          </cell>
        </row>
        <row r="15">
          <cell r="E15">
            <v>13338.6</v>
          </cell>
          <cell r="F15">
            <v>13338.6</v>
          </cell>
          <cell r="G15">
            <v>13338.6</v>
          </cell>
          <cell r="H15">
            <v>13338.6</v>
          </cell>
          <cell r="I15">
            <v>13338.6</v>
          </cell>
          <cell r="J15">
            <v>13338.6</v>
          </cell>
          <cell r="K15">
            <v>14379.2</v>
          </cell>
          <cell r="L15">
            <v>13338.6</v>
          </cell>
          <cell r="M15">
            <v>13338.6</v>
          </cell>
          <cell r="N15">
            <v>13338.6</v>
          </cell>
          <cell r="O15">
            <v>13338.6</v>
          </cell>
          <cell r="P15">
            <v>13338.6</v>
          </cell>
        </row>
        <row r="16">
          <cell r="E16">
            <v>700</v>
          </cell>
          <cell r="F16">
            <v>700</v>
          </cell>
          <cell r="G16">
            <v>700</v>
          </cell>
          <cell r="H16">
            <v>700</v>
          </cell>
          <cell r="I16">
            <v>700</v>
          </cell>
          <cell r="J16">
            <v>700</v>
          </cell>
          <cell r="K16">
            <v>700</v>
          </cell>
          <cell r="L16">
            <v>700</v>
          </cell>
          <cell r="M16">
            <v>700</v>
          </cell>
          <cell r="N16">
            <v>700</v>
          </cell>
          <cell r="O16">
            <v>700</v>
          </cell>
          <cell r="P16">
            <v>700</v>
          </cell>
        </row>
        <row r="17">
          <cell r="E17">
            <v>60102</v>
          </cell>
          <cell r="F17">
            <v>60102</v>
          </cell>
          <cell r="G17">
            <v>60102</v>
          </cell>
          <cell r="H17">
            <v>60102</v>
          </cell>
          <cell r="I17">
            <v>60102</v>
          </cell>
          <cell r="J17">
            <v>60102</v>
          </cell>
          <cell r="K17">
            <v>60102</v>
          </cell>
          <cell r="L17">
            <v>60102</v>
          </cell>
          <cell r="M17">
            <v>60102</v>
          </cell>
          <cell r="N17">
            <v>60102</v>
          </cell>
          <cell r="O17">
            <v>60102</v>
          </cell>
          <cell r="P17">
            <v>60102</v>
          </cell>
        </row>
        <row r="18">
          <cell r="E18">
            <v>9340.3333333333339</v>
          </cell>
          <cell r="F18">
            <v>9340.3333333333339</v>
          </cell>
          <cell r="G18">
            <v>9340.3333333333339</v>
          </cell>
          <cell r="H18">
            <v>9340.3333333333339</v>
          </cell>
          <cell r="I18">
            <v>9340.3333333333339</v>
          </cell>
          <cell r="J18">
            <v>9340.3333333333339</v>
          </cell>
          <cell r="K18">
            <v>9340.3333333333339</v>
          </cell>
          <cell r="L18">
            <v>9340.3333333333339</v>
          </cell>
          <cell r="M18">
            <v>9340.3333333333339</v>
          </cell>
          <cell r="N18">
            <v>9340.3333333333339</v>
          </cell>
          <cell r="O18">
            <v>9340.3333333333339</v>
          </cell>
          <cell r="P18">
            <v>9340.3333333333339</v>
          </cell>
        </row>
        <row r="19">
          <cell r="E19">
            <v>2916.6666666666665</v>
          </cell>
          <cell r="F19">
            <v>2916.6666666666665</v>
          </cell>
          <cell r="G19">
            <v>2916.6666666666665</v>
          </cell>
          <cell r="H19">
            <v>2916.6666666666665</v>
          </cell>
          <cell r="I19">
            <v>2916.6666666666665</v>
          </cell>
          <cell r="J19">
            <v>2916.6666666666665</v>
          </cell>
          <cell r="K19">
            <v>2916.6666666666665</v>
          </cell>
          <cell r="L19">
            <v>2916.6666666666665</v>
          </cell>
          <cell r="M19">
            <v>2916.6666666666665</v>
          </cell>
          <cell r="N19">
            <v>2916.6666666666665</v>
          </cell>
          <cell r="O19">
            <v>2916.6666666666665</v>
          </cell>
          <cell r="P19">
            <v>2916.6666666666665</v>
          </cell>
        </row>
        <row r="20">
          <cell r="E20">
            <v>0</v>
          </cell>
          <cell r="F20">
            <v>0</v>
          </cell>
          <cell r="G20">
            <v>508072.99254857103</v>
          </cell>
          <cell r="H20">
            <v>0</v>
          </cell>
          <cell r="I20">
            <v>13140.573119999999</v>
          </cell>
          <cell r="J20">
            <v>13140.573119999999</v>
          </cell>
          <cell r="K20">
            <v>239828.57311999999</v>
          </cell>
          <cell r="L20">
            <v>34738.565668571398</v>
          </cell>
          <cell r="M20">
            <v>242105.57311999999</v>
          </cell>
          <cell r="N20">
            <v>13140.573119999999</v>
          </cell>
          <cell r="O20">
            <v>13140.573119999999</v>
          </cell>
          <cell r="P20">
            <v>13140.573119999999</v>
          </cell>
        </row>
        <row r="21">
          <cell r="E21">
            <v>73616.804999999993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27732.015999999901</v>
          </cell>
          <cell r="F22">
            <v>27732.015999999901</v>
          </cell>
          <cell r="G22">
            <v>27732.015999999901</v>
          </cell>
          <cell r="H22">
            <v>27732.015999999901</v>
          </cell>
          <cell r="I22">
            <v>27732.015999999901</v>
          </cell>
          <cell r="J22">
            <v>27732.015999999901</v>
          </cell>
          <cell r="K22">
            <v>27732.015999999901</v>
          </cell>
          <cell r="L22">
            <v>27732.015999999901</v>
          </cell>
          <cell r="M22">
            <v>27732.015999999901</v>
          </cell>
          <cell r="N22">
            <v>27732.015999999901</v>
          </cell>
          <cell r="O22">
            <v>27732.015999999901</v>
          </cell>
          <cell r="P22">
            <v>27732.015999999901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24454.744072269103</v>
          </cell>
          <cell r="F24">
            <v>24454.744072269103</v>
          </cell>
          <cell r="G24">
            <v>24454.744072269103</v>
          </cell>
          <cell r="H24">
            <v>24454.744072269103</v>
          </cell>
          <cell r="I24">
            <v>24454.744072269103</v>
          </cell>
          <cell r="J24">
            <v>24454.744072269103</v>
          </cell>
          <cell r="K24">
            <v>20205.870595149099</v>
          </cell>
          <cell r="L24">
            <v>24454.744072269103</v>
          </cell>
          <cell r="M24">
            <v>24454.744072269103</v>
          </cell>
          <cell r="N24">
            <v>24454.744072269103</v>
          </cell>
          <cell r="O24">
            <v>24454.744072269103</v>
          </cell>
          <cell r="P24">
            <v>24454.744072269103</v>
          </cell>
        </row>
        <row r="25">
          <cell r="E25">
            <v>0</v>
          </cell>
          <cell r="F25">
            <v>0</v>
          </cell>
          <cell r="G25">
            <v>87906.524159999899</v>
          </cell>
          <cell r="H25">
            <v>116948.215751999</v>
          </cell>
          <cell r="I25">
            <v>116948.215751999</v>
          </cell>
          <cell r="J25">
            <v>121784.398295999</v>
          </cell>
          <cell r="K25">
            <v>41993.285495999997</v>
          </cell>
          <cell r="L25">
            <v>41993.285495999997</v>
          </cell>
          <cell r="M25">
            <v>41993.285495999997</v>
          </cell>
          <cell r="N25">
            <v>31589.033874000001</v>
          </cell>
          <cell r="O25">
            <v>20750.619659999898</v>
          </cell>
          <cell r="P25">
            <v>20750.619659999898</v>
          </cell>
        </row>
        <row r="26">
          <cell r="E26">
            <v>110134.9057818624</v>
          </cell>
          <cell r="F26">
            <v>216555.53336586154</v>
          </cell>
          <cell r="G26">
            <v>329801.34367357357</v>
          </cell>
          <cell r="H26">
            <v>321800.36351101351</v>
          </cell>
          <cell r="I26">
            <v>368780.91560586152</v>
          </cell>
          <cell r="J26">
            <v>286876.52868157439</v>
          </cell>
          <cell r="K26">
            <v>239895.9765867255</v>
          </cell>
          <cell r="L26">
            <v>329801.34367357357</v>
          </cell>
          <cell r="M26">
            <v>411816.04600099201</v>
          </cell>
          <cell r="N26">
            <v>386225.26349471917</v>
          </cell>
          <cell r="O26">
            <v>289366.48013699113</v>
          </cell>
          <cell r="P26">
            <v>282541.29741327913</v>
          </cell>
        </row>
        <row r="27">
          <cell r="E27">
            <v>4634.7986303999996</v>
          </cell>
          <cell r="F27">
            <v>16731.940723199899</v>
          </cell>
          <cell r="G27">
            <v>16731.940723199899</v>
          </cell>
          <cell r="H27">
            <v>17748.590759999999</v>
          </cell>
          <cell r="I27">
            <v>6952.4643599999999</v>
          </cell>
          <cell r="J27">
            <v>22383.389390399901</v>
          </cell>
          <cell r="K27">
            <v>11587.2629903999</v>
          </cell>
          <cell r="L27">
            <v>22383.389390399901</v>
          </cell>
          <cell r="M27">
            <v>22383.389390399901</v>
          </cell>
          <cell r="N27">
            <v>17660.840600399901</v>
          </cell>
          <cell r="O27">
            <v>13026.04197</v>
          </cell>
          <cell r="P27">
            <v>13026.04197</v>
          </cell>
        </row>
        <row r="28">
          <cell r="E28">
            <v>14647.083119999999</v>
          </cell>
          <cell r="F28">
            <v>14647.083119999999</v>
          </cell>
          <cell r="G28">
            <v>19529.444159999999</v>
          </cell>
          <cell r="H28">
            <v>19974.41964</v>
          </cell>
          <cell r="I28">
            <v>17088.263639999899</v>
          </cell>
          <cell r="J28">
            <v>15092.0586</v>
          </cell>
          <cell r="K28">
            <v>12205.902599999999</v>
          </cell>
          <cell r="L28">
            <v>19974.41964</v>
          </cell>
          <cell r="M28">
            <v>19974.41964</v>
          </cell>
          <cell r="N28">
            <v>18556.92081</v>
          </cell>
          <cell r="O28">
            <v>13674.55977</v>
          </cell>
          <cell r="P28">
            <v>13674.55977</v>
          </cell>
        </row>
        <row r="29">
          <cell r="E29">
            <v>29030.078333333233</v>
          </cell>
          <cell r="F29">
            <v>43351.432333333236</v>
          </cell>
          <cell r="G29">
            <v>29030.078333333233</v>
          </cell>
          <cell r="H29">
            <v>43351.432333333236</v>
          </cell>
          <cell r="I29">
            <v>29030.078333333233</v>
          </cell>
          <cell r="J29">
            <v>43351.432333333236</v>
          </cell>
          <cell r="K29">
            <v>29030.078333333233</v>
          </cell>
          <cell r="L29">
            <v>43351.432333333236</v>
          </cell>
          <cell r="M29">
            <v>29030.078333333233</v>
          </cell>
          <cell r="N29">
            <v>43351.432333333236</v>
          </cell>
          <cell r="O29">
            <v>29030.078333333233</v>
          </cell>
          <cell r="P29">
            <v>43351.432333333236</v>
          </cell>
        </row>
        <row r="30">
          <cell r="E30">
            <v>10833.333333333334</v>
          </cell>
          <cell r="F30">
            <v>10833.333333333334</v>
          </cell>
          <cell r="G30">
            <v>10833.333333333334</v>
          </cell>
          <cell r="H30">
            <v>10833.333333333334</v>
          </cell>
          <cell r="I30">
            <v>10833.333333333334</v>
          </cell>
          <cell r="J30">
            <v>10833.333333333334</v>
          </cell>
          <cell r="K30">
            <v>10833.333333333334</v>
          </cell>
          <cell r="L30">
            <v>10833.333333333334</v>
          </cell>
          <cell r="M30">
            <v>10833.333333333334</v>
          </cell>
          <cell r="N30">
            <v>10833.333333333334</v>
          </cell>
          <cell r="O30">
            <v>10833.333333333334</v>
          </cell>
          <cell r="P30">
            <v>10833.333333333334</v>
          </cell>
        </row>
        <row r="31">
          <cell r="E31">
            <v>5833.333333333333</v>
          </cell>
          <cell r="F31">
            <v>5833.333333333333</v>
          </cell>
          <cell r="G31">
            <v>5833.333333333333</v>
          </cell>
          <cell r="H31">
            <v>5833.333333333333</v>
          </cell>
          <cell r="I31">
            <v>5833.333333333333</v>
          </cell>
          <cell r="J31">
            <v>5833.333333333333</v>
          </cell>
          <cell r="K31">
            <v>5833.333333333333</v>
          </cell>
          <cell r="L31">
            <v>5833.333333333333</v>
          </cell>
          <cell r="M31">
            <v>5833.333333333333</v>
          </cell>
          <cell r="N31">
            <v>5833.333333333333</v>
          </cell>
          <cell r="O31">
            <v>5833.333333333333</v>
          </cell>
          <cell r="P31">
            <v>5833.333333333333</v>
          </cell>
        </row>
        <row r="32">
          <cell r="E32">
            <v>675081.52799999993</v>
          </cell>
          <cell r="F32">
            <v>717943.77599999995</v>
          </cell>
          <cell r="G32">
            <v>688551.77599999995</v>
          </cell>
          <cell r="H32">
            <v>650711.77599999995</v>
          </cell>
          <cell r="I32">
            <v>693574.02399999998</v>
          </cell>
          <cell r="J32">
            <v>795289.52799999993</v>
          </cell>
          <cell r="K32">
            <v>830125.03199999989</v>
          </cell>
          <cell r="L32">
            <v>139920</v>
          </cell>
          <cell r="M32">
            <v>34320</v>
          </cell>
          <cell r="N32">
            <v>7920</v>
          </cell>
          <cell r="O32">
            <v>0</v>
          </cell>
          <cell r="P32">
            <v>0</v>
          </cell>
        </row>
        <row r="33">
          <cell r="E33">
            <v>457959.18367346941</v>
          </cell>
          <cell r="F33">
            <v>499591.8367346939</v>
          </cell>
          <cell r="G33">
            <v>499591.8367346939</v>
          </cell>
          <cell r="H33">
            <v>499591.8367346939</v>
          </cell>
          <cell r="I33">
            <v>541224.48979591834</v>
          </cell>
          <cell r="J33">
            <v>457959.18367346941</v>
          </cell>
          <cell r="K33">
            <v>374693.87755102041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16666.666666666668</v>
          </cell>
          <cell r="F36">
            <v>16666.666666666668</v>
          </cell>
          <cell r="G36">
            <v>16666.666666666668</v>
          </cell>
          <cell r="H36">
            <v>16666.666666666668</v>
          </cell>
          <cell r="I36">
            <v>16666.666666666668</v>
          </cell>
          <cell r="J36">
            <v>16666.666666666668</v>
          </cell>
          <cell r="K36">
            <v>16666.666666666668</v>
          </cell>
          <cell r="L36">
            <v>16666.666666666668</v>
          </cell>
          <cell r="M36">
            <v>16666.666666666668</v>
          </cell>
          <cell r="N36">
            <v>16666.666666666668</v>
          </cell>
          <cell r="O36">
            <v>16666.666666666668</v>
          </cell>
          <cell r="P36">
            <v>16666.666666666668</v>
          </cell>
        </row>
        <row r="37">
          <cell r="E37">
            <v>16666.666666666668</v>
          </cell>
          <cell r="F37">
            <v>16666.666666666668</v>
          </cell>
          <cell r="G37">
            <v>16666.666666666668</v>
          </cell>
          <cell r="H37">
            <v>16666.666666666668</v>
          </cell>
          <cell r="I37">
            <v>16666.666666666668</v>
          </cell>
          <cell r="J37">
            <v>16666.666666666668</v>
          </cell>
          <cell r="K37">
            <v>16666.666666666668</v>
          </cell>
          <cell r="L37">
            <v>16666.666666666668</v>
          </cell>
          <cell r="M37">
            <v>16666.666666666668</v>
          </cell>
          <cell r="N37">
            <v>16666.666666666668</v>
          </cell>
          <cell r="O37">
            <v>16666.666666666668</v>
          </cell>
          <cell r="P37">
            <v>16666.666666666668</v>
          </cell>
        </row>
        <row r="38">
          <cell r="E38">
            <v>2500</v>
          </cell>
          <cell r="F38">
            <v>2500</v>
          </cell>
          <cell r="G38">
            <v>2500</v>
          </cell>
          <cell r="H38">
            <v>2500</v>
          </cell>
          <cell r="I38">
            <v>2500</v>
          </cell>
          <cell r="J38">
            <v>2500</v>
          </cell>
          <cell r="K38">
            <v>2500</v>
          </cell>
          <cell r="L38">
            <v>2500</v>
          </cell>
          <cell r="M38">
            <v>2500</v>
          </cell>
          <cell r="N38">
            <v>2500</v>
          </cell>
          <cell r="O38">
            <v>2500</v>
          </cell>
          <cell r="P38">
            <v>2500</v>
          </cell>
        </row>
        <row r="39">
          <cell r="E39">
            <v>1000</v>
          </cell>
          <cell r="F39">
            <v>1000</v>
          </cell>
          <cell r="G39">
            <v>1000</v>
          </cell>
          <cell r="H39">
            <v>1000</v>
          </cell>
          <cell r="I39">
            <v>1000</v>
          </cell>
          <cell r="J39">
            <v>1000</v>
          </cell>
          <cell r="K39">
            <v>1000</v>
          </cell>
          <cell r="L39">
            <v>1000</v>
          </cell>
          <cell r="M39">
            <v>1000</v>
          </cell>
          <cell r="N39">
            <v>1000</v>
          </cell>
          <cell r="O39">
            <v>1000</v>
          </cell>
          <cell r="P39">
            <v>1000</v>
          </cell>
        </row>
        <row r="40">
          <cell r="E40">
            <v>6666.666666666667</v>
          </cell>
          <cell r="F40">
            <v>6666.666666666667</v>
          </cell>
          <cell r="G40">
            <v>6666.666666666667</v>
          </cell>
          <cell r="H40">
            <v>6666.666666666667</v>
          </cell>
          <cell r="I40">
            <v>6666.666666666667</v>
          </cell>
          <cell r="J40">
            <v>6666.666666666667</v>
          </cell>
          <cell r="K40">
            <v>6666.666666666667</v>
          </cell>
          <cell r="L40">
            <v>6666.666666666667</v>
          </cell>
          <cell r="M40">
            <v>6666.666666666667</v>
          </cell>
          <cell r="N40">
            <v>6666.666666666667</v>
          </cell>
          <cell r="O40">
            <v>6666.666666666667</v>
          </cell>
          <cell r="P40">
            <v>6666.666666666667</v>
          </cell>
        </row>
        <row r="41">
          <cell r="E41">
            <v>24916.666666666668</v>
          </cell>
          <cell r="F41">
            <v>24916.666666666668</v>
          </cell>
          <cell r="G41">
            <v>24916.666666666668</v>
          </cell>
          <cell r="H41">
            <v>24916.666666666668</v>
          </cell>
          <cell r="I41">
            <v>24916.666666666668</v>
          </cell>
          <cell r="J41">
            <v>24916.666666666668</v>
          </cell>
          <cell r="K41">
            <v>24916.666666666668</v>
          </cell>
          <cell r="L41">
            <v>24916.666666666668</v>
          </cell>
          <cell r="M41">
            <v>24916.666666666668</v>
          </cell>
          <cell r="N41">
            <v>24916.666666666668</v>
          </cell>
          <cell r="O41">
            <v>24916.666666666668</v>
          </cell>
          <cell r="P41">
            <v>24916.666666666668</v>
          </cell>
        </row>
        <row r="42">
          <cell r="E42">
            <v>720000</v>
          </cell>
          <cell r="F42">
            <v>720000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E43">
            <v>8362.25</v>
          </cell>
          <cell r="F43">
            <v>8362.25</v>
          </cell>
          <cell r="G43">
            <v>8362.25</v>
          </cell>
          <cell r="H43">
            <v>8362.25</v>
          </cell>
          <cell r="I43">
            <v>8362.25</v>
          </cell>
          <cell r="J43">
            <v>8362.25</v>
          </cell>
          <cell r="K43">
            <v>8362.25</v>
          </cell>
          <cell r="L43">
            <v>8362.25</v>
          </cell>
          <cell r="M43">
            <v>8362.25</v>
          </cell>
          <cell r="N43">
            <v>8362.25</v>
          </cell>
          <cell r="O43">
            <v>8362.25</v>
          </cell>
          <cell r="P43">
            <v>8362.25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4166.666666666667</v>
          </cell>
          <cell r="F48">
            <v>4166.666666666667</v>
          </cell>
          <cell r="G48">
            <v>4166.666666666667</v>
          </cell>
          <cell r="H48">
            <v>4166.666666666667</v>
          </cell>
          <cell r="I48">
            <v>4166.666666666667</v>
          </cell>
          <cell r="J48">
            <v>4166.666666666667</v>
          </cell>
          <cell r="K48">
            <v>4166.666666666667</v>
          </cell>
          <cell r="L48">
            <v>4166.666666666667</v>
          </cell>
          <cell r="M48">
            <v>4166.666666666667</v>
          </cell>
          <cell r="N48">
            <v>4166.666666666667</v>
          </cell>
          <cell r="O48">
            <v>4166.666666666667</v>
          </cell>
          <cell r="P48">
            <v>4166.666666666667</v>
          </cell>
        </row>
        <row r="49">
          <cell r="E49">
            <v>16025</v>
          </cell>
          <cell r="F49">
            <v>16025</v>
          </cell>
          <cell r="G49">
            <v>16025</v>
          </cell>
          <cell r="H49">
            <v>16025</v>
          </cell>
          <cell r="I49">
            <v>16025</v>
          </cell>
          <cell r="J49">
            <v>16025</v>
          </cell>
          <cell r="K49">
            <v>16025</v>
          </cell>
          <cell r="L49">
            <v>16025</v>
          </cell>
          <cell r="M49">
            <v>16025</v>
          </cell>
          <cell r="N49">
            <v>16025</v>
          </cell>
          <cell r="O49">
            <v>16025</v>
          </cell>
          <cell r="P49">
            <v>16025</v>
          </cell>
        </row>
        <row r="50">
          <cell r="E50">
            <v>994.63333333333333</v>
          </cell>
          <cell r="F50">
            <v>994.63333333333333</v>
          </cell>
          <cell r="G50">
            <v>994.63333333333333</v>
          </cell>
          <cell r="H50">
            <v>994.63333333333333</v>
          </cell>
          <cell r="I50">
            <v>994.63333333333333</v>
          </cell>
          <cell r="J50">
            <v>994.63333333333333</v>
          </cell>
          <cell r="K50">
            <v>994.63333333333333</v>
          </cell>
          <cell r="L50">
            <v>994.63333333333333</v>
          </cell>
          <cell r="M50">
            <v>994.63333333333333</v>
          </cell>
          <cell r="N50">
            <v>994.63333333333333</v>
          </cell>
          <cell r="O50">
            <v>994.63333333333333</v>
          </cell>
          <cell r="P50">
            <v>994.63333333333333</v>
          </cell>
        </row>
        <row r="51">
          <cell r="E51">
            <v>747.57954999999993</v>
          </cell>
          <cell r="F51">
            <v>747.57954999999993</v>
          </cell>
          <cell r="G51">
            <v>747.57954999999993</v>
          </cell>
          <cell r="H51">
            <v>747.57954999999993</v>
          </cell>
          <cell r="I51">
            <v>747.57954999999993</v>
          </cell>
          <cell r="J51">
            <v>747.57954999999993</v>
          </cell>
          <cell r="K51">
            <v>747.57954999999993</v>
          </cell>
          <cell r="L51">
            <v>747.57954999999993</v>
          </cell>
          <cell r="M51">
            <v>747.57954999999993</v>
          </cell>
          <cell r="N51">
            <v>747.57954999999993</v>
          </cell>
          <cell r="O51">
            <v>747.57954999999993</v>
          </cell>
          <cell r="P51">
            <v>747.57954999999993</v>
          </cell>
        </row>
        <row r="52">
          <cell r="E52">
            <v>2500</v>
          </cell>
          <cell r="F52">
            <v>2500</v>
          </cell>
          <cell r="G52">
            <v>2500</v>
          </cell>
          <cell r="H52">
            <v>2500</v>
          </cell>
          <cell r="I52">
            <v>2500</v>
          </cell>
          <cell r="J52">
            <v>2500</v>
          </cell>
          <cell r="K52">
            <v>2500</v>
          </cell>
          <cell r="L52">
            <v>2500</v>
          </cell>
          <cell r="M52">
            <v>2500</v>
          </cell>
          <cell r="N52">
            <v>2500</v>
          </cell>
          <cell r="O52">
            <v>2500</v>
          </cell>
          <cell r="P52">
            <v>2500</v>
          </cell>
        </row>
        <row r="53">
          <cell r="E53">
            <v>1000</v>
          </cell>
          <cell r="F53">
            <v>1000</v>
          </cell>
          <cell r="G53">
            <v>1000</v>
          </cell>
          <cell r="H53">
            <v>1000</v>
          </cell>
          <cell r="I53">
            <v>1000</v>
          </cell>
          <cell r="J53">
            <v>1000</v>
          </cell>
          <cell r="K53">
            <v>1000</v>
          </cell>
          <cell r="L53">
            <v>1000</v>
          </cell>
          <cell r="M53">
            <v>1000</v>
          </cell>
          <cell r="N53">
            <v>1000</v>
          </cell>
          <cell r="O53">
            <v>1000</v>
          </cell>
          <cell r="P53">
            <v>1000</v>
          </cell>
        </row>
        <row r="54">
          <cell r="E54">
            <v>63142.857142857145</v>
          </cell>
          <cell r="F54">
            <v>63142.857142857145</v>
          </cell>
          <cell r="G54">
            <v>63142.857142857145</v>
          </cell>
          <cell r="H54">
            <v>63142.857142857145</v>
          </cell>
          <cell r="I54">
            <v>63142.857142857145</v>
          </cell>
          <cell r="J54">
            <v>63142.857142857145</v>
          </cell>
          <cell r="K54">
            <v>63142.857142857145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-34602.076124567473</v>
          </cell>
          <cell r="F56">
            <v>-34602.076124567473</v>
          </cell>
          <cell r="G56">
            <v>-34602.076124567473</v>
          </cell>
          <cell r="H56">
            <v>-34602.076124567473</v>
          </cell>
          <cell r="I56">
            <v>-34602.076124567473</v>
          </cell>
          <cell r="J56">
            <v>-34602.076124567473</v>
          </cell>
          <cell r="K56">
            <v>-34602.076124567473</v>
          </cell>
          <cell r="L56">
            <v>-34602.076124567473</v>
          </cell>
          <cell r="M56">
            <v>-34602.076124567473</v>
          </cell>
          <cell r="N56">
            <v>-34602.076124567473</v>
          </cell>
          <cell r="O56">
            <v>-34602.076124567473</v>
          </cell>
          <cell r="P56">
            <v>-34602.076124567473</v>
          </cell>
        </row>
        <row r="57">
          <cell r="E57">
            <v>-11534.025374855824</v>
          </cell>
          <cell r="F57">
            <v>-11534.025374855824</v>
          </cell>
          <cell r="G57">
            <v>-11534.025374855824</v>
          </cell>
          <cell r="H57">
            <v>-11534.025374855824</v>
          </cell>
          <cell r="I57">
            <v>-11534.025374855824</v>
          </cell>
          <cell r="J57">
            <v>-11534.025374855824</v>
          </cell>
          <cell r="K57">
            <v>-11534.025374855824</v>
          </cell>
          <cell r="L57">
            <v>-11534.025374855824</v>
          </cell>
          <cell r="M57">
            <v>-11534.025374855824</v>
          </cell>
          <cell r="N57">
            <v>-11534.025374855824</v>
          </cell>
          <cell r="O57">
            <v>-11534.025374855824</v>
          </cell>
          <cell r="P57">
            <v>-11534.025374855824</v>
          </cell>
        </row>
      </sheetData>
      <sheetData sheetId="5" refreshError="1">
        <row r="4">
          <cell r="E4">
            <v>92558.307887999996</v>
          </cell>
          <cell r="F4">
            <v>144593.30788799998</v>
          </cell>
          <cell r="G4">
            <v>92558.307887999996</v>
          </cell>
          <cell r="H4">
            <v>92558.307887999996</v>
          </cell>
          <cell r="I4">
            <v>92558.307887999996</v>
          </cell>
          <cell r="J4">
            <v>92558.307887999996</v>
          </cell>
          <cell r="K4">
            <v>92558.307887999996</v>
          </cell>
          <cell r="L4">
            <v>99962.972519040006</v>
          </cell>
          <cell r="M4">
            <v>99962.972519040006</v>
          </cell>
          <cell r="N4">
            <v>99962.972519040006</v>
          </cell>
          <cell r="O4">
            <v>99962.972519040006</v>
          </cell>
          <cell r="P4">
            <v>99962.972519040006</v>
          </cell>
        </row>
        <row r="5">
          <cell r="E5">
            <v>6666.666666666667</v>
          </cell>
          <cell r="F5">
            <v>6666.666666666667</v>
          </cell>
          <cell r="G5">
            <v>6666.666666666667</v>
          </cell>
          <cell r="H5">
            <v>6666.666666666667</v>
          </cell>
          <cell r="I5">
            <v>6666.666666666667</v>
          </cell>
          <cell r="J5">
            <v>6666.666666666667</v>
          </cell>
          <cell r="K5">
            <v>6666.666666666667</v>
          </cell>
          <cell r="L5">
            <v>6666.666666666667</v>
          </cell>
          <cell r="M5">
            <v>6666.666666666667</v>
          </cell>
          <cell r="N5">
            <v>6666.666666666667</v>
          </cell>
          <cell r="O5">
            <v>6666.666666666667</v>
          </cell>
          <cell r="P5">
            <v>6666.666666666667</v>
          </cell>
        </row>
        <row r="6">
          <cell r="E6">
            <v>11821.542241946667</v>
          </cell>
          <cell r="F6">
            <v>11821.542241946667</v>
          </cell>
          <cell r="G6">
            <v>11821.542241946667</v>
          </cell>
          <cell r="H6">
            <v>11821.542241946667</v>
          </cell>
          <cell r="I6">
            <v>11821.542241946667</v>
          </cell>
          <cell r="J6">
            <v>11821.542241946667</v>
          </cell>
          <cell r="K6">
            <v>11821.542241946667</v>
          </cell>
          <cell r="L6">
            <v>12708.492287969068</v>
          </cell>
          <cell r="M6">
            <v>12708.492287969068</v>
          </cell>
          <cell r="N6">
            <v>12708.492287969068</v>
          </cell>
          <cell r="O6">
            <v>12708.492287969068</v>
          </cell>
          <cell r="P6">
            <v>12708.492287969068</v>
          </cell>
        </row>
        <row r="7">
          <cell r="E7">
            <v>9171.8862221999989</v>
          </cell>
          <cell r="F7">
            <v>9171.8862221999989</v>
          </cell>
          <cell r="G7">
            <v>9171.8862221999989</v>
          </cell>
          <cell r="H7">
            <v>9171.8862221999989</v>
          </cell>
          <cell r="I7">
            <v>9171.8862221999989</v>
          </cell>
          <cell r="J7">
            <v>9171.8862221999989</v>
          </cell>
          <cell r="K7">
            <v>9171.8862221999989</v>
          </cell>
          <cell r="L7">
            <v>9860.0371199759993</v>
          </cell>
          <cell r="M7">
            <v>9860.0371199759993</v>
          </cell>
          <cell r="N7">
            <v>9860.0371199759993</v>
          </cell>
          <cell r="O7">
            <v>9860.0371199759993</v>
          </cell>
          <cell r="P7">
            <v>9860.0371199759993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102185.64256599134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5749.8608363733338</v>
          </cell>
          <cell r="F9">
            <v>5749.8608363733338</v>
          </cell>
          <cell r="G9">
            <v>5749.8608363733338</v>
          </cell>
          <cell r="H9">
            <v>5749.8608363733338</v>
          </cell>
          <cell r="I9">
            <v>5749.8608363733338</v>
          </cell>
          <cell r="J9">
            <v>5749.8608363733338</v>
          </cell>
          <cell r="K9">
            <v>5749.8608363733338</v>
          </cell>
          <cell r="L9">
            <v>6181.263036616534</v>
          </cell>
          <cell r="M9">
            <v>6181.263036616534</v>
          </cell>
          <cell r="N9">
            <v>6181.263036616534</v>
          </cell>
          <cell r="O9">
            <v>6181.263036616534</v>
          </cell>
          <cell r="P9">
            <v>6181.263036616534</v>
          </cell>
        </row>
        <row r="10">
          <cell r="E10">
            <v>10000</v>
          </cell>
          <cell r="F10">
            <v>10000</v>
          </cell>
          <cell r="G10">
            <v>10000</v>
          </cell>
          <cell r="H10">
            <v>10000</v>
          </cell>
          <cell r="I10">
            <v>10000</v>
          </cell>
          <cell r="J10">
            <v>10000</v>
          </cell>
          <cell r="K10">
            <v>10000</v>
          </cell>
          <cell r="L10">
            <v>10000</v>
          </cell>
          <cell r="M10">
            <v>10000</v>
          </cell>
          <cell r="N10">
            <v>10000</v>
          </cell>
          <cell r="O10">
            <v>10000</v>
          </cell>
          <cell r="P10">
            <v>10000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2000</v>
          </cell>
          <cell r="F13">
            <v>2000</v>
          </cell>
          <cell r="G13">
            <v>2000</v>
          </cell>
          <cell r="H13">
            <v>2000</v>
          </cell>
          <cell r="I13">
            <v>2000</v>
          </cell>
          <cell r="J13">
            <v>2000</v>
          </cell>
          <cell r="K13">
            <v>2000</v>
          </cell>
          <cell r="L13">
            <v>2000</v>
          </cell>
          <cell r="M13">
            <v>2000</v>
          </cell>
          <cell r="N13">
            <v>2000</v>
          </cell>
          <cell r="O13">
            <v>2000</v>
          </cell>
          <cell r="P13">
            <v>2000</v>
          </cell>
        </row>
        <row r="14">
          <cell r="E14">
            <v>4867.7299999999996</v>
          </cell>
          <cell r="F14">
            <v>4867.7299999999996</v>
          </cell>
          <cell r="G14">
            <v>4867.7299999999996</v>
          </cell>
          <cell r="H14">
            <v>4867.7299999999996</v>
          </cell>
          <cell r="I14">
            <v>4867.7299999999996</v>
          </cell>
          <cell r="J14">
            <v>4867.7299999999996</v>
          </cell>
          <cell r="K14">
            <v>4867.7299999999996</v>
          </cell>
          <cell r="L14">
            <v>4867.7299999999996</v>
          </cell>
          <cell r="M14">
            <v>4867.7299999999996</v>
          </cell>
          <cell r="N14">
            <v>4867.7299999999996</v>
          </cell>
          <cell r="O14">
            <v>4867.7299999999996</v>
          </cell>
          <cell r="P14">
            <v>4867.7299999999996</v>
          </cell>
        </row>
        <row r="15">
          <cell r="E15">
            <v>12393.899999999998</v>
          </cell>
          <cell r="F15">
            <v>12393.899999999998</v>
          </cell>
          <cell r="G15">
            <v>12393.899999999998</v>
          </cell>
          <cell r="H15">
            <v>12393.899999999998</v>
          </cell>
          <cell r="I15">
            <v>12393.899999999998</v>
          </cell>
          <cell r="J15">
            <v>12393.899999999998</v>
          </cell>
          <cell r="K15">
            <v>13360.799999999997</v>
          </cell>
          <cell r="L15">
            <v>12393.899999999998</v>
          </cell>
          <cell r="M15">
            <v>12393.899999999998</v>
          </cell>
          <cell r="N15">
            <v>12393.899999999998</v>
          </cell>
          <cell r="O15">
            <v>12393.899999999998</v>
          </cell>
          <cell r="P15">
            <v>12393.899999999998</v>
          </cell>
        </row>
        <row r="16">
          <cell r="E16">
            <v>16666.666666666668</v>
          </cell>
          <cell r="F16">
            <v>16666.666666666668</v>
          </cell>
          <cell r="G16">
            <v>16666.666666666668</v>
          </cell>
          <cell r="H16">
            <v>16666.666666666668</v>
          </cell>
          <cell r="I16">
            <v>16666.666666666668</v>
          </cell>
          <cell r="J16">
            <v>16666.666666666668</v>
          </cell>
          <cell r="K16">
            <v>16666.666666666668</v>
          </cell>
          <cell r="L16">
            <v>16666.666666666668</v>
          </cell>
          <cell r="M16">
            <v>16666.666666666668</v>
          </cell>
          <cell r="N16">
            <v>16666.666666666668</v>
          </cell>
          <cell r="O16">
            <v>16666.666666666668</v>
          </cell>
          <cell r="P16">
            <v>16666.666666666668</v>
          </cell>
        </row>
        <row r="17">
          <cell r="E17">
            <v>53519.4</v>
          </cell>
          <cell r="F17">
            <v>53519.4</v>
          </cell>
          <cell r="G17">
            <v>53519.4</v>
          </cell>
          <cell r="H17">
            <v>53519.4</v>
          </cell>
          <cell r="I17">
            <v>53519.4</v>
          </cell>
          <cell r="J17">
            <v>53519.4</v>
          </cell>
          <cell r="K17">
            <v>53519.4</v>
          </cell>
          <cell r="L17">
            <v>53519.4</v>
          </cell>
          <cell r="M17">
            <v>53519.4</v>
          </cell>
          <cell r="N17">
            <v>53519.4</v>
          </cell>
          <cell r="O17">
            <v>53519.4</v>
          </cell>
          <cell r="P17">
            <v>53519.4</v>
          </cell>
        </row>
        <row r="18">
          <cell r="E18">
            <v>10727.86</v>
          </cell>
          <cell r="F18">
            <v>10727.86</v>
          </cell>
          <cell r="G18">
            <v>10727.86</v>
          </cell>
          <cell r="H18">
            <v>10727.86</v>
          </cell>
          <cell r="I18">
            <v>10727.86</v>
          </cell>
          <cell r="J18">
            <v>10727.86</v>
          </cell>
          <cell r="K18">
            <v>10727.86</v>
          </cell>
          <cell r="L18">
            <v>10727.86</v>
          </cell>
          <cell r="M18">
            <v>10727.86</v>
          </cell>
          <cell r="N18">
            <v>10727.86</v>
          </cell>
          <cell r="O18">
            <v>10727.86</v>
          </cell>
          <cell r="P18">
            <v>10727.86</v>
          </cell>
        </row>
        <row r="19">
          <cell r="E19">
            <v>2916.6666666666665</v>
          </cell>
          <cell r="F19">
            <v>2916.6666666666665</v>
          </cell>
          <cell r="G19">
            <v>2916.6666666666665</v>
          </cell>
          <cell r="H19">
            <v>2916.6666666666665</v>
          </cell>
          <cell r="I19">
            <v>2916.6666666666665</v>
          </cell>
          <cell r="J19">
            <v>2916.6666666666665</v>
          </cell>
          <cell r="K19">
            <v>2916.6666666666665</v>
          </cell>
          <cell r="L19">
            <v>2916.6666666666665</v>
          </cell>
          <cell r="M19">
            <v>2916.6666666666665</v>
          </cell>
          <cell r="N19">
            <v>2916.6666666666665</v>
          </cell>
          <cell r="O19">
            <v>2916.6666666666665</v>
          </cell>
          <cell r="P19">
            <v>2916.6666666666665</v>
          </cell>
        </row>
        <row r="20">
          <cell r="E20">
            <v>0</v>
          </cell>
          <cell r="F20">
            <v>0</v>
          </cell>
          <cell r="G20">
            <v>542194.61516571406</v>
          </cell>
          <cell r="H20">
            <v>0</v>
          </cell>
          <cell r="I20">
            <v>12202.96696</v>
          </cell>
          <cell r="J20">
            <v>12202.96696</v>
          </cell>
          <cell r="K20">
            <v>252046.96695999999</v>
          </cell>
          <cell r="L20">
            <v>33822.582125714202</v>
          </cell>
          <cell r="M20">
            <v>252046.96695999999</v>
          </cell>
          <cell r="N20">
            <v>12202.96696</v>
          </cell>
          <cell r="O20">
            <v>12202.96696</v>
          </cell>
          <cell r="P20">
            <v>12202.96696</v>
          </cell>
        </row>
        <row r="21">
          <cell r="E21">
            <v>53003.49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23144.311333333339</v>
          </cell>
          <cell r="F22">
            <v>23144.311333333339</v>
          </cell>
          <cell r="G22">
            <v>23144.311333333339</v>
          </cell>
          <cell r="H22">
            <v>23144.311333333339</v>
          </cell>
          <cell r="I22">
            <v>23144.311333333339</v>
          </cell>
          <cell r="J22">
            <v>23144.311333333339</v>
          </cell>
          <cell r="K22">
            <v>23144.311333333339</v>
          </cell>
          <cell r="L22">
            <v>23144.311333333339</v>
          </cell>
          <cell r="M22">
            <v>23144.311333333339</v>
          </cell>
          <cell r="N22">
            <v>23144.311333333339</v>
          </cell>
          <cell r="O22">
            <v>23144.311333333339</v>
          </cell>
          <cell r="P22">
            <v>23144.311333333339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23236.260578670335</v>
          </cell>
          <cell r="F24">
            <v>23236.260578670335</v>
          </cell>
          <cell r="G24">
            <v>23236.260578670335</v>
          </cell>
          <cell r="H24">
            <v>23236.260578670335</v>
          </cell>
          <cell r="I24">
            <v>23236.260578670335</v>
          </cell>
          <cell r="J24">
            <v>23236.260578670335</v>
          </cell>
          <cell r="K24">
            <v>18983.133383790337</v>
          </cell>
          <cell r="L24">
            <v>23236.260578670335</v>
          </cell>
          <cell r="M24">
            <v>23236.260578670335</v>
          </cell>
          <cell r="N24">
            <v>23236.260578670335</v>
          </cell>
          <cell r="O24">
            <v>23236.260578670335</v>
          </cell>
          <cell r="P24">
            <v>23236.260578670335</v>
          </cell>
        </row>
        <row r="25">
          <cell r="E25">
            <v>0</v>
          </cell>
          <cell r="F25">
            <v>0</v>
          </cell>
          <cell r="G25">
            <v>79862.475630000001</v>
          </cell>
          <cell r="H25">
            <v>105060.242166</v>
          </cell>
          <cell r="I25">
            <v>105060.242166</v>
          </cell>
          <cell r="J25">
            <v>109551.353418</v>
          </cell>
          <cell r="K25">
            <v>35453.496017999998</v>
          </cell>
          <cell r="L25">
            <v>35453.496017999998</v>
          </cell>
          <cell r="M25">
            <v>35453.496017999998</v>
          </cell>
          <cell r="N25">
            <v>25637.122823999998</v>
          </cell>
          <cell r="O25">
            <v>13933.626791999999</v>
          </cell>
          <cell r="P25">
            <v>13933.626791999999</v>
          </cell>
        </row>
        <row r="26">
          <cell r="E26">
            <v>92394.492887725864</v>
          </cell>
          <cell r="F26">
            <v>191221.79595972586</v>
          </cell>
          <cell r="G26">
            <v>296387.29132462188</v>
          </cell>
          <cell r="H26">
            <v>296387.29132462188</v>
          </cell>
          <cell r="I26">
            <v>332585.59287972585</v>
          </cell>
          <cell r="J26">
            <v>256525.24768862186</v>
          </cell>
          <cell r="K26">
            <v>220326.94613351789</v>
          </cell>
          <cell r="L26">
            <v>296387.29132462188</v>
          </cell>
          <cell r="M26">
            <v>372550.08069432259</v>
          </cell>
          <cell r="N26">
            <v>257089.37914942662</v>
          </cell>
          <cell r="O26">
            <v>350773.37893432262</v>
          </cell>
          <cell r="P26">
            <v>245607.88356942663</v>
          </cell>
        </row>
        <row r="27">
          <cell r="E27">
            <v>5380.1206039999997</v>
          </cell>
          <cell r="F27">
            <v>19422.604132</v>
          </cell>
          <cell r="G27">
            <v>19422.604132</v>
          </cell>
          <cell r="H27">
            <v>16482.193329999998</v>
          </cell>
          <cell r="I27">
            <v>6456.3921300000002</v>
          </cell>
          <cell r="J27">
            <v>21862.313934000002</v>
          </cell>
          <cell r="K27">
            <v>11836.512734</v>
          </cell>
          <cell r="L27">
            <v>21862.313934000002</v>
          </cell>
          <cell r="M27">
            <v>21862.313934000002</v>
          </cell>
          <cell r="N27">
            <v>17345.701624000001</v>
          </cell>
          <cell r="O27">
            <v>11965.58102</v>
          </cell>
          <cell r="P27">
            <v>11965.58102</v>
          </cell>
        </row>
        <row r="28">
          <cell r="E28">
            <v>13601.98446</v>
          </cell>
          <cell r="F28">
            <v>13601.98446</v>
          </cell>
          <cell r="G28">
            <v>18135.97928</v>
          </cell>
          <cell r="H28">
            <v>18549.204870000001</v>
          </cell>
          <cell r="I28">
            <v>15868.98187</v>
          </cell>
          <cell r="J28">
            <v>14015.21005</v>
          </cell>
          <cell r="K28">
            <v>11334.98705</v>
          </cell>
          <cell r="L28">
            <v>18549.204870000001</v>
          </cell>
          <cell r="M28">
            <v>18549.204870000001</v>
          </cell>
          <cell r="N28">
            <v>17193.519</v>
          </cell>
          <cell r="O28">
            <v>12659.52418</v>
          </cell>
          <cell r="P28">
            <v>12659.52418</v>
          </cell>
        </row>
        <row r="29">
          <cell r="E29">
            <v>21116.833333333332</v>
          </cell>
          <cell r="F29">
            <v>37987.896333333236</v>
          </cell>
          <cell r="G29">
            <v>21116.833333333332</v>
          </cell>
          <cell r="H29">
            <v>37987.896333333236</v>
          </cell>
          <cell r="I29">
            <v>21116.833333333332</v>
          </cell>
          <cell r="J29">
            <v>37987.896333333236</v>
          </cell>
          <cell r="K29">
            <v>21116.833333333332</v>
          </cell>
          <cell r="L29">
            <v>37987.896333333236</v>
          </cell>
          <cell r="M29">
            <v>21116.833333333332</v>
          </cell>
          <cell r="N29">
            <v>37987.896333333236</v>
          </cell>
          <cell r="O29">
            <v>21116.833333333332</v>
          </cell>
          <cell r="P29">
            <v>37987.896333333236</v>
          </cell>
        </row>
        <row r="30">
          <cell r="E30">
            <v>8333.3333333333339</v>
          </cell>
          <cell r="F30">
            <v>8333.3333333333339</v>
          </cell>
          <cell r="G30">
            <v>8333.3333333333339</v>
          </cell>
          <cell r="H30">
            <v>8333.3333333333339</v>
          </cell>
          <cell r="I30">
            <v>8333.3333333333339</v>
          </cell>
          <cell r="J30">
            <v>8333.3333333333339</v>
          </cell>
          <cell r="K30">
            <v>8333.3333333333339</v>
          </cell>
          <cell r="L30">
            <v>8333.3333333333339</v>
          </cell>
          <cell r="M30">
            <v>8333.3333333333339</v>
          </cell>
          <cell r="N30">
            <v>8333.3333333333339</v>
          </cell>
          <cell r="O30">
            <v>8333.3333333333339</v>
          </cell>
          <cell r="P30">
            <v>8333.3333333333339</v>
          </cell>
        </row>
        <row r="31">
          <cell r="E31">
            <v>4583.333333333333</v>
          </cell>
          <cell r="F31">
            <v>4583.333333333333</v>
          </cell>
          <cell r="G31">
            <v>4583.333333333333</v>
          </cell>
          <cell r="H31">
            <v>4583.333333333333</v>
          </cell>
          <cell r="I31">
            <v>4583.333333333333</v>
          </cell>
          <cell r="J31">
            <v>4583.333333333333</v>
          </cell>
          <cell r="K31">
            <v>4583.333333333333</v>
          </cell>
          <cell r="L31">
            <v>4583.333333333333</v>
          </cell>
          <cell r="M31">
            <v>4583.333333333333</v>
          </cell>
          <cell r="N31">
            <v>4583.333333333333</v>
          </cell>
          <cell r="O31">
            <v>4583.333333333333</v>
          </cell>
          <cell r="P31">
            <v>4583.333333333333</v>
          </cell>
        </row>
        <row r="32">
          <cell r="E32">
            <v>973329.63199999987</v>
          </cell>
          <cell r="F32">
            <v>852870.304</v>
          </cell>
          <cell r="G32">
            <v>822070.304</v>
          </cell>
          <cell r="H32">
            <v>774990.304</v>
          </cell>
          <cell r="I32">
            <v>821190.304</v>
          </cell>
          <cell r="J32">
            <v>842360.64</v>
          </cell>
          <cell r="K32">
            <v>928701.31199999992</v>
          </cell>
          <cell r="L32">
            <v>114400</v>
          </cell>
          <cell r="M32">
            <v>6160</v>
          </cell>
          <cell r="N32">
            <v>6160</v>
          </cell>
          <cell r="O32">
            <v>0</v>
          </cell>
          <cell r="P32">
            <v>0</v>
          </cell>
        </row>
        <row r="33">
          <cell r="E33">
            <v>530612.24489795917</v>
          </cell>
          <cell r="F33">
            <v>448979.59183673467</v>
          </cell>
          <cell r="G33">
            <v>448979.59183673467</v>
          </cell>
          <cell r="H33">
            <v>448979.59183673467</v>
          </cell>
          <cell r="I33">
            <v>448979.59183673467</v>
          </cell>
          <cell r="J33">
            <v>408163.26530612248</v>
          </cell>
          <cell r="K33">
            <v>326530.61224489799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20833.333333333332</v>
          </cell>
          <cell r="F36">
            <v>20833.333333333332</v>
          </cell>
          <cell r="G36">
            <v>20833.333333333332</v>
          </cell>
          <cell r="H36">
            <v>20833.333333333332</v>
          </cell>
          <cell r="I36">
            <v>20833.333333333332</v>
          </cell>
          <cell r="J36">
            <v>20833.333333333332</v>
          </cell>
          <cell r="K36">
            <v>20833.333333333332</v>
          </cell>
          <cell r="L36">
            <v>20833.333333333332</v>
          </cell>
          <cell r="M36">
            <v>20833.333333333332</v>
          </cell>
          <cell r="N36">
            <v>20833.333333333332</v>
          </cell>
          <cell r="O36">
            <v>20833.333333333332</v>
          </cell>
          <cell r="P36">
            <v>20833.333333333332</v>
          </cell>
        </row>
        <row r="37">
          <cell r="E37">
            <v>29166.666666666668</v>
          </cell>
          <cell r="F37">
            <v>29166.666666666668</v>
          </cell>
          <cell r="G37">
            <v>29166.666666666668</v>
          </cell>
          <cell r="H37">
            <v>29166.666666666668</v>
          </cell>
          <cell r="I37">
            <v>29166.666666666668</v>
          </cell>
          <cell r="J37">
            <v>29166.666666666668</v>
          </cell>
          <cell r="K37">
            <v>29166.666666666668</v>
          </cell>
          <cell r="L37">
            <v>29166.666666666668</v>
          </cell>
          <cell r="M37">
            <v>29166.666666666668</v>
          </cell>
          <cell r="N37">
            <v>29166.666666666668</v>
          </cell>
          <cell r="O37">
            <v>29166.666666666668</v>
          </cell>
          <cell r="P37">
            <v>29166.666666666668</v>
          </cell>
        </row>
        <row r="38">
          <cell r="E38">
            <v>3750</v>
          </cell>
          <cell r="F38">
            <v>3750</v>
          </cell>
          <cell r="G38">
            <v>3750</v>
          </cell>
          <cell r="H38">
            <v>3750</v>
          </cell>
          <cell r="I38">
            <v>3750</v>
          </cell>
          <cell r="J38">
            <v>3750</v>
          </cell>
          <cell r="K38">
            <v>3750</v>
          </cell>
          <cell r="L38">
            <v>3750</v>
          </cell>
          <cell r="M38">
            <v>3750</v>
          </cell>
          <cell r="N38">
            <v>3750</v>
          </cell>
          <cell r="O38">
            <v>3750</v>
          </cell>
          <cell r="P38">
            <v>3750</v>
          </cell>
        </row>
        <row r="39">
          <cell r="E39">
            <v>10000</v>
          </cell>
          <cell r="F39">
            <v>10000</v>
          </cell>
          <cell r="G39">
            <v>10000</v>
          </cell>
          <cell r="H39">
            <v>10000</v>
          </cell>
          <cell r="I39">
            <v>10000</v>
          </cell>
          <cell r="J39">
            <v>10000</v>
          </cell>
          <cell r="K39">
            <v>10000</v>
          </cell>
          <cell r="L39">
            <v>10000</v>
          </cell>
          <cell r="M39">
            <v>10000</v>
          </cell>
          <cell r="N39">
            <v>10000</v>
          </cell>
          <cell r="O39">
            <v>10000</v>
          </cell>
          <cell r="P39">
            <v>10000</v>
          </cell>
        </row>
        <row r="40">
          <cell r="E40">
            <v>3333.3333333333335</v>
          </cell>
          <cell r="F40">
            <v>3333.3333333333335</v>
          </cell>
          <cell r="G40">
            <v>3333.3333333333335</v>
          </cell>
          <cell r="H40">
            <v>3333.3333333333335</v>
          </cell>
          <cell r="I40">
            <v>3333.3333333333335</v>
          </cell>
          <cell r="J40">
            <v>3333.3333333333335</v>
          </cell>
          <cell r="K40">
            <v>3333.3333333333335</v>
          </cell>
          <cell r="L40">
            <v>3333.3333333333335</v>
          </cell>
          <cell r="M40">
            <v>3333.3333333333335</v>
          </cell>
          <cell r="N40">
            <v>3333.3333333333335</v>
          </cell>
          <cell r="O40">
            <v>3333.3333333333335</v>
          </cell>
          <cell r="P40">
            <v>3333.3333333333335</v>
          </cell>
        </row>
        <row r="41">
          <cell r="E41">
            <v>115000</v>
          </cell>
          <cell r="F41">
            <v>115000</v>
          </cell>
          <cell r="G41">
            <v>115000</v>
          </cell>
          <cell r="H41">
            <v>115000</v>
          </cell>
          <cell r="I41">
            <v>115000</v>
          </cell>
          <cell r="J41">
            <v>115000</v>
          </cell>
          <cell r="K41">
            <v>115000</v>
          </cell>
          <cell r="L41">
            <v>115000</v>
          </cell>
          <cell r="M41">
            <v>115000</v>
          </cell>
          <cell r="N41">
            <v>115000</v>
          </cell>
          <cell r="O41">
            <v>115000</v>
          </cell>
          <cell r="P41">
            <v>115000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E43">
            <v>7765.5</v>
          </cell>
          <cell r="F43">
            <v>7765.5</v>
          </cell>
          <cell r="G43">
            <v>7765.5</v>
          </cell>
          <cell r="H43">
            <v>7765.5</v>
          </cell>
          <cell r="I43">
            <v>7765.5</v>
          </cell>
          <cell r="J43">
            <v>7765.5</v>
          </cell>
          <cell r="K43">
            <v>7765.5</v>
          </cell>
          <cell r="L43">
            <v>7765.5</v>
          </cell>
          <cell r="M43">
            <v>7765.5</v>
          </cell>
          <cell r="N43">
            <v>7765.5</v>
          </cell>
          <cell r="O43">
            <v>7765.5</v>
          </cell>
          <cell r="P43">
            <v>7765.5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4166.666666666667</v>
          </cell>
          <cell r="F48">
            <v>4166.666666666667</v>
          </cell>
          <cell r="G48">
            <v>4166.666666666667</v>
          </cell>
          <cell r="H48">
            <v>4166.666666666667</v>
          </cell>
          <cell r="I48">
            <v>4166.666666666667</v>
          </cell>
          <cell r="J48">
            <v>4166.666666666667</v>
          </cell>
          <cell r="K48">
            <v>4166.666666666667</v>
          </cell>
          <cell r="L48">
            <v>4166.666666666667</v>
          </cell>
          <cell r="M48">
            <v>4166.666666666667</v>
          </cell>
          <cell r="N48">
            <v>4166.666666666667</v>
          </cell>
          <cell r="O48">
            <v>4166.666666666667</v>
          </cell>
          <cell r="P48">
            <v>4166.666666666667</v>
          </cell>
        </row>
        <row r="49">
          <cell r="E49">
            <v>8666.6666666666661</v>
          </cell>
          <cell r="F49">
            <v>8666.6666666666661</v>
          </cell>
          <cell r="G49">
            <v>8666.6666666666661</v>
          </cell>
          <cell r="H49">
            <v>8666.6666666666661</v>
          </cell>
          <cell r="I49">
            <v>8666.6666666666661</v>
          </cell>
          <cell r="J49">
            <v>8666.6666666666661</v>
          </cell>
          <cell r="K49">
            <v>8666.6666666666661</v>
          </cell>
          <cell r="L49">
            <v>8666.6666666666661</v>
          </cell>
          <cell r="M49">
            <v>8666.6666666666661</v>
          </cell>
          <cell r="N49">
            <v>8666.6666666666661</v>
          </cell>
          <cell r="O49">
            <v>8666.6666666666661</v>
          </cell>
          <cell r="P49">
            <v>8666.6666666666661</v>
          </cell>
        </row>
        <row r="50">
          <cell r="E50">
            <v>923.96666666666681</v>
          </cell>
          <cell r="F50">
            <v>923.96666666666681</v>
          </cell>
          <cell r="G50">
            <v>923.96666666666681</v>
          </cell>
          <cell r="H50">
            <v>923.96666666666681</v>
          </cell>
          <cell r="I50">
            <v>923.96666666666681</v>
          </cell>
          <cell r="J50">
            <v>923.96666666666681</v>
          </cell>
          <cell r="K50">
            <v>923.96666666666681</v>
          </cell>
          <cell r="L50">
            <v>923.96666666666681</v>
          </cell>
          <cell r="M50">
            <v>923.96666666666681</v>
          </cell>
          <cell r="N50">
            <v>923.96666666666681</v>
          </cell>
          <cell r="O50">
            <v>923.96666666666681</v>
          </cell>
          <cell r="P50">
            <v>923.96666666666681</v>
          </cell>
        </row>
        <row r="51">
          <cell r="E51">
            <v>694.46555000000012</v>
          </cell>
          <cell r="F51">
            <v>694.46555000000012</v>
          </cell>
          <cell r="G51">
            <v>694.46555000000012</v>
          </cell>
          <cell r="H51">
            <v>694.46555000000012</v>
          </cell>
          <cell r="I51">
            <v>694.46555000000012</v>
          </cell>
          <cell r="J51">
            <v>694.46555000000012</v>
          </cell>
          <cell r="K51">
            <v>694.46555000000012</v>
          </cell>
          <cell r="L51">
            <v>694.46555000000012</v>
          </cell>
          <cell r="M51">
            <v>694.46555000000012</v>
          </cell>
          <cell r="N51">
            <v>694.46555000000012</v>
          </cell>
          <cell r="O51">
            <v>694.46555000000012</v>
          </cell>
          <cell r="P51">
            <v>694.46555000000012</v>
          </cell>
        </row>
        <row r="52">
          <cell r="E52">
            <v>1666.6666666666667</v>
          </cell>
          <cell r="F52">
            <v>1666.6666666666667</v>
          </cell>
          <cell r="G52">
            <v>1666.6666666666667</v>
          </cell>
          <cell r="H52">
            <v>1666.6666666666667</v>
          </cell>
          <cell r="I52">
            <v>1666.6666666666667</v>
          </cell>
          <cell r="J52">
            <v>1666.6666666666667</v>
          </cell>
          <cell r="K52">
            <v>1666.6666666666667</v>
          </cell>
          <cell r="L52">
            <v>1666.6666666666667</v>
          </cell>
          <cell r="M52">
            <v>1666.6666666666667</v>
          </cell>
          <cell r="N52">
            <v>1666.6666666666667</v>
          </cell>
          <cell r="O52">
            <v>1666.6666666666667</v>
          </cell>
          <cell r="P52">
            <v>1666.6666666666667</v>
          </cell>
        </row>
        <row r="53">
          <cell r="E53">
            <v>10000</v>
          </cell>
          <cell r="F53">
            <v>10000</v>
          </cell>
          <cell r="G53">
            <v>10000</v>
          </cell>
          <cell r="H53">
            <v>10000</v>
          </cell>
          <cell r="I53">
            <v>10000</v>
          </cell>
          <cell r="J53">
            <v>10000</v>
          </cell>
          <cell r="K53">
            <v>10000</v>
          </cell>
          <cell r="L53">
            <v>10000</v>
          </cell>
          <cell r="M53">
            <v>10000</v>
          </cell>
          <cell r="N53">
            <v>10000</v>
          </cell>
          <cell r="O53">
            <v>10000</v>
          </cell>
          <cell r="P53">
            <v>10000</v>
          </cell>
        </row>
        <row r="54">
          <cell r="E54">
            <v>59196.428571428572</v>
          </cell>
          <cell r="F54">
            <v>59196.428571428572</v>
          </cell>
          <cell r="G54">
            <v>59196.428571428572</v>
          </cell>
          <cell r="H54">
            <v>59196.428571428572</v>
          </cell>
          <cell r="I54">
            <v>59196.428571428572</v>
          </cell>
          <cell r="J54">
            <v>59196.428571428572</v>
          </cell>
          <cell r="K54">
            <v>59196.428571428572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-32439.446366782009</v>
          </cell>
          <cell r="F56">
            <v>-32439.446366782009</v>
          </cell>
          <cell r="G56">
            <v>-32439.446366782009</v>
          </cell>
          <cell r="H56">
            <v>-32439.446366782009</v>
          </cell>
          <cell r="I56">
            <v>-32439.446366782009</v>
          </cell>
          <cell r="J56">
            <v>-32439.446366782009</v>
          </cell>
          <cell r="K56">
            <v>-32439.446366782009</v>
          </cell>
          <cell r="L56">
            <v>-32439.446366782009</v>
          </cell>
          <cell r="M56">
            <v>-32439.446366782009</v>
          </cell>
          <cell r="N56">
            <v>-32439.446366782009</v>
          </cell>
          <cell r="O56">
            <v>-32439.446366782009</v>
          </cell>
          <cell r="P56">
            <v>-32439.446366782009</v>
          </cell>
        </row>
        <row r="57">
          <cell r="E57">
            <v>-10813.148788927336</v>
          </cell>
          <cell r="F57">
            <v>-10813.148788927336</v>
          </cell>
          <cell r="G57">
            <v>-10813.148788927336</v>
          </cell>
          <cell r="H57">
            <v>-10813.148788927336</v>
          </cell>
          <cell r="I57">
            <v>-10813.148788927336</v>
          </cell>
          <cell r="J57">
            <v>-10813.148788927336</v>
          </cell>
          <cell r="K57">
            <v>-10813.148788927336</v>
          </cell>
          <cell r="L57">
            <v>-10813.148788927336</v>
          </cell>
          <cell r="M57">
            <v>-10813.148788927336</v>
          </cell>
          <cell r="N57">
            <v>-10813.148788927336</v>
          </cell>
          <cell r="O57">
            <v>-10813.148788927336</v>
          </cell>
          <cell r="P57">
            <v>-10813.148788927336</v>
          </cell>
        </row>
      </sheetData>
      <sheetData sheetId="6" refreshError="1"/>
      <sheetData sheetId="7" refreshError="1">
        <row r="1">
          <cell r="G1">
            <v>227.71</v>
          </cell>
        </row>
        <row r="4">
          <cell r="E4">
            <v>39849.882347359999</v>
          </cell>
          <cell r="F4">
            <v>60058.76074736</v>
          </cell>
          <cell r="G4">
            <v>39849.882347359999</v>
          </cell>
          <cell r="H4">
            <v>39849.882347359999</v>
          </cell>
          <cell r="I4">
            <v>39849.882347359999</v>
          </cell>
          <cell r="J4">
            <v>39849.882347359999</v>
          </cell>
          <cell r="K4">
            <v>39849.882347359999</v>
          </cell>
          <cell r="L4">
            <v>43037.8729351488</v>
          </cell>
          <cell r="M4">
            <v>43037.8729351488</v>
          </cell>
          <cell r="N4">
            <v>43037.8729351488</v>
          </cell>
          <cell r="O4">
            <v>43037.8729351488</v>
          </cell>
          <cell r="P4">
            <v>43037.8729351488</v>
          </cell>
        </row>
        <row r="5">
          <cell r="E5">
            <v>1863.6</v>
          </cell>
          <cell r="F5">
            <v>1863.6</v>
          </cell>
          <cell r="G5">
            <v>1863.6</v>
          </cell>
          <cell r="H5">
            <v>1863.6</v>
          </cell>
          <cell r="I5">
            <v>1863.6</v>
          </cell>
          <cell r="J5">
            <v>1863.6</v>
          </cell>
          <cell r="K5">
            <v>1863.6</v>
          </cell>
          <cell r="L5">
            <v>1863.6</v>
          </cell>
          <cell r="M5">
            <v>1863.6</v>
          </cell>
          <cell r="N5">
            <v>1863.6</v>
          </cell>
          <cell r="O5">
            <v>1863.6</v>
          </cell>
          <cell r="P5">
            <v>1863.6</v>
          </cell>
        </row>
        <row r="6">
          <cell r="E6">
            <v>5240.7279829279996</v>
          </cell>
          <cell r="F6">
            <v>5240.7279829279996</v>
          </cell>
          <cell r="G6">
            <v>5240.7279829279996</v>
          </cell>
          <cell r="H6">
            <v>5240.7279829279996</v>
          </cell>
          <cell r="I6">
            <v>5240.7279829279996</v>
          </cell>
          <cell r="J6">
            <v>5240.7279829279996</v>
          </cell>
          <cell r="K6">
            <v>5240.7279829279996</v>
          </cell>
          <cell r="L6">
            <v>5642.6920135622404</v>
          </cell>
          <cell r="M6">
            <v>5642.6920135622404</v>
          </cell>
          <cell r="N6">
            <v>5642.6920135622404</v>
          </cell>
          <cell r="O6">
            <v>5642.6920135622404</v>
          </cell>
          <cell r="P6">
            <v>5642.6920135622404</v>
          </cell>
        </row>
        <row r="7">
          <cell r="E7">
            <v>4066.0820557199995</v>
          </cell>
          <cell r="F7">
            <v>4066.0820557199995</v>
          </cell>
          <cell r="G7">
            <v>4066.0820557199995</v>
          </cell>
          <cell r="H7">
            <v>4066.0820557199995</v>
          </cell>
          <cell r="I7">
            <v>4066.0820557199995</v>
          </cell>
          <cell r="J7">
            <v>4066.0820557199995</v>
          </cell>
          <cell r="K7">
            <v>4066.0820557199995</v>
          </cell>
          <cell r="L7">
            <v>4377.9507001775992</v>
          </cell>
          <cell r="M7">
            <v>4377.9507001775992</v>
          </cell>
          <cell r="N7">
            <v>4377.9507001775992</v>
          </cell>
          <cell r="O7">
            <v>4377.9507001775992</v>
          </cell>
          <cell r="P7">
            <v>4377.9507001775992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45918.263147407197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3026.9721970360001</v>
          </cell>
          <cell r="F9">
            <v>3026.9721970360001</v>
          </cell>
          <cell r="G9">
            <v>3026.9721970360001</v>
          </cell>
          <cell r="H9">
            <v>3026.9721970360001</v>
          </cell>
          <cell r="I9">
            <v>3026.9721970360001</v>
          </cell>
          <cell r="J9">
            <v>3026.9721970360001</v>
          </cell>
          <cell r="K9">
            <v>3026.9721970360001</v>
          </cell>
          <cell r="L9">
            <v>3259.14107679888</v>
          </cell>
          <cell r="M9">
            <v>3259.14107679888</v>
          </cell>
          <cell r="N9">
            <v>3259.14107679888</v>
          </cell>
          <cell r="O9">
            <v>3259.14107679888</v>
          </cell>
          <cell r="P9">
            <v>3259.14107679888</v>
          </cell>
        </row>
        <row r="10">
          <cell r="E10">
            <v>1428.76</v>
          </cell>
          <cell r="F10">
            <v>1428.76</v>
          </cell>
          <cell r="G10">
            <v>1428.76</v>
          </cell>
          <cell r="H10">
            <v>1428.76</v>
          </cell>
          <cell r="I10">
            <v>1428.76</v>
          </cell>
          <cell r="J10">
            <v>1428.76</v>
          </cell>
          <cell r="K10">
            <v>1428.76</v>
          </cell>
          <cell r="L10">
            <v>1428.76</v>
          </cell>
          <cell r="M10">
            <v>1428.76</v>
          </cell>
          <cell r="N10">
            <v>1428.76</v>
          </cell>
          <cell r="O10">
            <v>1428.76</v>
          </cell>
          <cell r="P10">
            <v>1428.76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1928.826</v>
          </cell>
          <cell r="F12">
            <v>1928.826</v>
          </cell>
          <cell r="G12">
            <v>1928.826</v>
          </cell>
          <cell r="H12">
            <v>1928.826</v>
          </cell>
          <cell r="I12">
            <v>1928.826</v>
          </cell>
          <cell r="J12">
            <v>1928.826</v>
          </cell>
          <cell r="K12">
            <v>1928.826</v>
          </cell>
          <cell r="L12">
            <v>1928.826</v>
          </cell>
          <cell r="M12">
            <v>1928.826</v>
          </cell>
          <cell r="N12">
            <v>1928.826</v>
          </cell>
          <cell r="O12">
            <v>1928.826</v>
          </cell>
          <cell r="P12">
            <v>1928.826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E14">
            <v>2058.5263479999999</v>
          </cell>
          <cell r="F14">
            <v>2058.5263479999999</v>
          </cell>
          <cell r="G14">
            <v>2058.5263479999999</v>
          </cell>
          <cell r="H14">
            <v>2058.5263479999999</v>
          </cell>
          <cell r="I14">
            <v>2058.5263479999999</v>
          </cell>
          <cell r="J14">
            <v>2058.5263479999999</v>
          </cell>
          <cell r="K14">
            <v>2058.5263479999999</v>
          </cell>
          <cell r="L14">
            <v>2058.5263479999999</v>
          </cell>
          <cell r="M14">
            <v>2058.5263479999999</v>
          </cell>
          <cell r="N14">
            <v>2058.5263479999999</v>
          </cell>
          <cell r="O14">
            <v>2058.5263479999999</v>
          </cell>
          <cell r="P14">
            <v>2058.5263479999999</v>
          </cell>
        </row>
        <row r="15">
          <cell r="E15">
            <v>4791.1292399999993</v>
          </cell>
          <cell r="F15">
            <v>4791.1292399999993</v>
          </cell>
          <cell r="G15">
            <v>4791.1292399999993</v>
          </cell>
          <cell r="H15">
            <v>4791.1292399999993</v>
          </cell>
          <cell r="I15">
            <v>4791.1292399999993</v>
          </cell>
          <cell r="J15">
            <v>4791.1292399999993</v>
          </cell>
          <cell r="K15">
            <v>5164.9052799999999</v>
          </cell>
          <cell r="L15">
            <v>4791.1292399999993</v>
          </cell>
          <cell r="M15">
            <v>4791.1292399999993</v>
          </cell>
          <cell r="N15">
            <v>4791.1292399999993</v>
          </cell>
          <cell r="O15">
            <v>4791.1292399999993</v>
          </cell>
          <cell r="P15">
            <v>4791.1292399999993</v>
          </cell>
        </row>
        <row r="16">
          <cell r="E16">
            <v>931.8</v>
          </cell>
          <cell r="F16">
            <v>931.8</v>
          </cell>
          <cell r="G16">
            <v>931.8</v>
          </cell>
          <cell r="H16">
            <v>931.8</v>
          </cell>
          <cell r="I16">
            <v>931.8</v>
          </cell>
          <cell r="J16">
            <v>931.8</v>
          </cell>
          <cell r="K16">
            <v>931.8</v>
          </cell>
          <cell r="L16">
            <v>931.8</v>
          </cell>
          <cell r="M16">
            <v>931.8</v>
          </cell>
          <cell r="N16">
            <v>931.8</v>
          </cell>
          <cell r="O16">
            <v>931.8</v>
          </cell>
          <cell r="P16">
            <v>931.8</v>
          </cell>
        </row>
        <row r="17">
          <cell r="E17">
            <v>27655.824000000001</v>
          </cell>
          <cell r="F17">
            <v>27655.824000000001</v>
          </cell>
          <cell r="G17">
            <v>27655.824000000001</v>
          </cell>
          <cell r="H17">
            <v>27655.824000000001</v>
          </cell>
          <cell r="I17">
            <v>27655.824000000001</v>
          </cell>
          <cell r="J17">
            <v>27655.824000000001</v>
          </cell>
          <cell r="K17">
            <v>27655.824000000001</v>
          </cell>
          <cell r="L17">
            <v>27655.824000000001</v>
          </cell>
          <cell r="M17">
            <v>27655.824000000001</v>
          </cell>
          <cell r="N17">
            <v>27655.824000000001</v>
          </cell>
          <cell r="O17">
            <v>27655.824000000001</v>
          </cell>
          <cell r="P17">
            <v>27655.824000000001</v>
          </cell>
        </row>
        <row r="18">
          <cell r="E18">
            <v>4240.8205840000001</v>
          </cell>
          <cell r="F18">
            <v>4240.8205840000001</v>
          </cell>
          <cell r="G18">
            <v>4240.8205840000001</v>
          </cell>
          <cell r="H18">
            <v>4240.8205840000001</v>
          </cell>
          <cell r="I18">
            <v>4240.8205840000001</v>
          </cell>
          <cell r="J18">
            <v>4240.8205840000001</v>
          </cell>
          <cell r="K18">
            <v>4240.8205840000001</v>
          </cell>
          <cell r="L18">
            <v>4240.8205840000001</v>
          </cell>
          <cell r="M18">
            <v>4240.8205840000001</v>
          </cell>
          <cell r="N18">
            <v>4240.8205840000001</v>
          </cell>
          <cell r="O18">
            <v>4240.8205840000001</v>
          </cell>
          <cell r="P18">
            <v>4240.8205840000001</v>
          </cell>
        </row>
        <row r="19">
          <cell r="E19">
            <v>1811.8333333333333</v>
          </cell>
          <cell r="F19">
            <v>1811.8333333333333</v>
          </cell>
          <cell r="G19">
            <v>1811.8333333333333</v>
          </cell>
          <cell r="H19">
            <v>1811.8333333333333</v>
          </cell>
          <cell r="I19">
            <v>1811.8333333333333</v>
          </cell>
          <cell r="J19">
            <v>1811.8333333333333</v>
          </cell>
          <cell r="K19">
            <v>1811.8333333333333</v>
          </cell>
          <cell r="L19">
            <v>1811.8333333333333</v>
          </cell>
          <cell r="M19">
            <v>1811.8333333333333</v>
          </cell>
          <cell r="N19">
            <v>1811.8333333333333</v>
          </cell>
          <cell r="O19">
            <v>1811.8333333333333</v>
          </cell>
          <cell r="P19">
            <v>1811.8333333333333</v>
          </cell>
        </row>
        <row r="20">
          <cell r="E20">
            <v>0</v>
          </cell>
          <cell r="F20">
            <v>0</v>
          </cell>
          <cell r="G20">
            <v>187758.39127135999</v>
          </cell>
          <cell r="H20">
            <v>0</v>
          </cell>
          <cell r="I20">
            <v>4637.3932725120003</v>
          </cell>
          <cell r="J20">
            <v>4637.3932725120003</v>
          </cell>
          <cell r="K20">
            <v>88405.592072511383</v>
          </cell>
          <cell r="L20">
            <v>12170.134543871998</v>
          </cell>
          <cell r="M20">
            <v>88405.592072511383</v>
          </cell>
          <cell r="N20">
            <v>4637.3932725120003</v>
          </cell>
          <cell r="O20">
            <v>4637.3932725120003</v>
          </cell>
          <cell r="P20">
            <v>4637.3932725120003</v>
          </cell>
        </row>
        <row r="21">
          <cell r="E21">
            <v>20436.083853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9786.7997615999375</v>
          </cell>
          <cell r="F22">
            <v>9786.7997615999375</v>
          </cell>
          <cell r="G22">
            <v>9786.7997615999375</v>
          </cell>
          <cell r="H22">
            <v>9786.7997615999375</v>
          </cell>
          <cell r="I22">
            <v>9786.7997615999375</v>
          </cell>
          <cell r="J22">
            <v>9786.7997615999375</v>
          </cell>
          <cell r="K22">
            <v>9786.7997615999375</v>
          </cell>
          <cell r="L22">
            <v>9786.7997615999375</v>
          </cell>
          <cell r="M22">
            <v>9786.7997615999375</v>
          </cell>
          <cell r="N22">
            <v>9786.7997615999375</v>
          </cell>
          <cell r="O22">
            <v>9786.7997615999375</v>
          </cell>
          <cell r="P22">
            <v>9786.7997615999375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8529.0713483190611</v>
          </cell>
          <cell r="F24">
            <v>8529.0713483190611</v>
          </cell>
          <cell r="G24">
            <v>8529.0713483190611</v>
          </cell>
          <cell r="H24">
            <v>8529.0713483190611</v>
          </cell>
          <cell r="I24">
            <v>8529.0713483190611</v>
          </cell>
          <cell r="J24">
            <v>8529.0713483190611</v>
          </cell>
          <cell r="K24">
            <v>7047.1898944797013</v>
          </cell>
          <cell r="L24">
            <v>8529.0713483190611</v>
          </cell>
          <cell r="M24">
            <v>8529.0713483190611</v>
          </cell>
          <cell r="N24">
            <v>8529.0713483190611</v>
          </cell>
          <cell r="O24">
            <v>8529.0713483190611</v>
          </cell>
          <cell r="P24">
            <v>8529.0713483190611</v>
          </cell>
        </row>
        <row r="25">
          <cell r="E25">
            <v>0</v>
          </cell>
          <cell r="F25">
            <v>0</v>
          </cell>
          <cell r="G25">
            <v>28158.799949279997</v>
          </cell>
          <cell r="H25">
            <v>35543.819634523199</v>
          </cell>
          <cell r="I25">
            <v>35543.819634523199</v>
          </cell>
          <cell r="J25">
            <v>37250.539744017595</v>
          </cell>
          <cell r="K25">
            <v>9091.7397947375994</v>
          </cell>
          <cell r="L25">
            <v>9091.7397947375994</v>
          </cell>
          <cell r="M25">
            <v>9091.7397947375994</v>
          </cell>
          <cell r="N25">
            <v>5161.6852817243998</v>
          </cell>
          <cell r="O25">
            <v>3954.621069656394</v>
          </cell>
          <cell r="P25">
            <v>3954.621069656394</v>
          </cell>
        </row>
        <row r="26">
          <cell r="E26">
            <v>36115.9770027493</v>
          </cell>
          <cell r="F26">
            <v>73672.505010147695</v>
          </cell>
          <cell r="G26">
            <v>113637.68415913398</v>
          </cell>
          <cell r="H26">
            <v>113637.68415913398</v>
          </cell>
          <cell r="I26">
            <v>127393.82728877167</v>
          </cell>
          <cell r="J26">
            <v>98489.239228314778</v>
          </cell>
          <cell r="K26">
            <v>84733.096098677066</v>
          </cell>
          <cell r="L26">
            <v>113637.68415913398</v>
          </cell>
          <cell r="M26">
            <v>142581.20323908722</v>
          </cell>
          <cell r="N26">
            <v>135874.23093684734</v>
          </cell>
          <cell r="O26">
            <v>98392.764649316829</v>
          </cell>
          <cell r="P26">
            <v>95984.113507728922</v>
          </cell>
        </row>
        <row r="27">
          <cell r="E27">
            <v>1663.83720646848</v>
          </cell>
          <cell r="F27">
            <v>6006.5663541638396</v>
          </cell>
          <cell r="G27">
            <v>6006.5663541638396</v>
          </cell>
          <cell r="H27">
            <v>6263.5925111759998</v>
          </cell>
          <cell r="I27">
            <v>2453.5696545360001</v>
          </cell>
          <cell r="J27">
            <v>7927.4297176444788</v>
          </cell>
          <cell r="K27">
            <v>4117.4068610044797</v>
          </cell>
          <cell r="L27">
            <v>7927.4297176444788</v>
          </cell>
          <cell r="M27">
            <v>7927.4297176444788</v>
          </cell>
          <cell r="N27">
            <v>6041.7122364104798</v>
          </cell>
          <cell r="O27">
            <v>4377.8750299419935</v>
          </cell>
          <cell r="P27">
            <v>4377.8750299419935</v>
          </cell>
        </row>
        <row r="28">
          <cell r="E28">
            <v>5169.0503985119994</v>
          </cell>
          <cell r="F28">
            <v>5169.0503985119994</v>
          </cell>
          <cell r="G28">
            <v>6892.0671980159996</v>
          </cell>
          <cell r="H28">
            <v>7049.1019238640001</v>
          </cell>
          <cell r="I28">
            <v>6030.5587982639991</v>
          </cell>
          <cell r="J28">
            <v>5326.0851243599991</v>
          </cell>
          <cell r="K28">
            <v>4307.5419987599998</v>
          </cell>
          <cell r="L28">
            <v>7049.1019238640001</v>
          </cell>
          <cell r="M28">
            <v>7049.1019238640001</v>
          </cell>
          <cell r="N28">
            <v>6483.0935156459991</v>
          </cell>
          <cell r="O28">
            <v>4760.0767161419999</v>
          </cell>
          <cell r="P28">
            <v>4760.0767161419999</v>
          </cell>
        </row>
        <row r="29">
          <cell r="E29">
            <v>9165.7407739999999</v>
          </cell>
          <cell r="F29">
            <v>11653.826922</v>
          </cell>
          <cell r="G29">
            <v>9165.7407739999999</v>
          </cell>
          <cell r="H29">
            <v>11653.826922</v>
          </cell>
          <cell r="I29">
            <v>9165.7407739999999</v>
          </cell>
          <cell r="J29">
            <v>11653.826922</v>
          </cell>
          <cell r="K29">
            <v>9165.7407739999999</v>
          </cell>
          <cell r="L29">
            <v>11653.826922</v>
          </cell>
          <cell r="M29">
            <v>9165.7407739999999</v>
          </cell>
          <cell r="N29">
            <v>11653.826922</v>
          </cell>
          <cell r="O29">
            <v>9165.7407739999999</v>
          </cell>
          <cell r="P29">
            <v>11653.826922</v>
          </cell>
        </row>
        <row r="30">
          <cell r="E30">
            <v>4141.333333333333</v>
          </cell>
          <cell r="F30">
            <v>4141.333333333333</v>
          </cell>
          <cell r="G30">
            <v>4141.333333333333</v>
          </cell>
          <cell r="H30">
            <v>4141.333333333333</v>
          </cell>
          <cell r="I30">
            <v>4141.333333333333</v>
          </cell>
          <cell r="J30">
            <v>4141.333333333333</v>
          </cell>
          <cell r="K30">
            <v>4141.333333333333</v>
          </cell>
          <cell r="L30">
            <v>4141.333333333333</v>
          </cell>
          <cell r="M30">
            <v>4141.333333333333</v>
          </cell>
          <cell r="N30">
            <v>4141.333333333333</v>
          </cell>
          <cell r="O30">
            <v>4141.333333333333</v>
          </cell>
          <cell r="P30">
            <v>4141.333333333333</v>
          </cell>
        </row>
        <row r="31">
          <cell r="E31">
            <v>1811.8333333333333</v>
          </cell>
          <cell r="F31">
            <v>1811.8333333333333</v>
          </cell>
          <cell r="G31">
            <v>1811.8333333333333</v>
          </cell>
          <cell r="H31">
            <v>1811.8333333333333</v>
          </cell>
          <cell r="I31">
            <v>1811.8333333333333</v>
          </cell>
          <cell r="J31">
            <v>1811.8333333333333</v>
          </cell>
          <cell r="K31">
            <v>1811.8333333333333</v>
          </cell>
          <cell r="L31">
            <v>1811.8333333333333</v>
          </cell>
          <cell r="M31">
            <v>1811.8333333333333</v>
          </cell>
          <cell r="N31">
            <v>1811.8333333333333</v>
          </cell>
          <cell r="O31">
            <v>1811.8333333333333</v>
          </cell>
          <cell r="P31">
            <v>1811.8333333333333</v>
          </cell>
        </row>
        <row r="32">
          <cell r="E32">
            <v>228168.21590639997</v>
          </cell>
          <cell r="F32">
            <v>162171.75134159994</v>
          </cell>
          <cell r="G32">
            <v>162171.75134159994</v>
          </cell>
          <cell r="H32">
            <v>175943.39162399998</v>
          </cell>
          <cell r="I32">
            <v>175943.39162399998</v>
          </cell>
          <cell r="J32">
            <v>219485.96762399998</v>
          </cell>
          <cell r="K32">
            <v>191908.39021199997</v>
          </cell>
          <cell r="L32">
            <v>39584.159999999996</v>
          </cell>
          <cell r="M32">
            <v>2827.4399999999996</v>
          </cell>
          <cell r="N32">
            <v>2827.4399999999996</v>
          </cell>
          <cell r="O32">
            <v>0</v>
          </cell>
          <cell r="P32">
            <v>0</v>
          </cell>
        </row>
        <row r="33">
          <cell r="E33">
            <v>144257.14285714284</v>
          </cell>
          <cell r="F33">
            <v>118028.57142857143</v>
          </cell>
          <cell r="G33">
            <v>118028.57142857143</v>
          </cell>
          <cell r="H33">
            <v>131142.85714285713</v>
          </cell>
          <cell r="I33">
            <v>131142.85714285713</v>
          </cell>
          <cell r="J33">
            <v>131142.85714285713</v>
          </cell>
          <cell r="K33">
            <v>65571.428571428565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7765</v>
          </cell>
          <cell r="F36">
            <v>7765</v>
          </cell>
          <cell r="G36">
            <v>7765</v>
          </cell>
          <cell r="H36">
            <v>7765</v>
          </cell>
          <cell r="I36">
            <v>7765</v>
          </cell>
          <cell r="J36">
            <v>7765</v>
          </cell>
          <cell r="K36">
            <v>7765</v>
          </cell>
          <cell r="L36">
            <v>7765</v>
          </cell>
          <cell r="M36">
            <v>7765</v>
          </cell>
          <cell r="N36">
            <v>7765</v>
          </cell>
          <cell r="O36">
            <v>7765</v>
          </cell>
          <cell r="P36">
            <v>7765</v>
          </cell>
        </row>
        <row r="37">
          <cell r="E37">
            <v>7247.333333333333</v>
          </cell>
          <cell r="F37">
            <v>7247.333333333333</v>
          </cell>
          <cell r="G37">
            <v>7247.333333333333</v>
          </cell>
          <cell r="H37">
            <v>7247.333333333333</v>
          </cell>
          <cell r="I37">
            <v>7247.333333333333</v>
          </cell>
          <cell r="J37">
            <v>7247.333333333333</v>
          </cell>
          <cell r="K37">
            <v>7247.333333333333</v>
          </cell>
          <cell r="L37">
            <v>7247.333333333333</v>
          </cell>
          <cell r="M37">
            <v>7247.333333333333</v>
          </cell>
          <cell r="N37">
            <v>7247.333333333333</v>
          </cell>
          <cell r="O37">
            <v>7247.333333333333</v>
          </cell>
          <cell r="P37">
            <v>7247.333333333333</v>
          </cell>
        </row>
        <row r="38">
          <cell r="E38">
            <v>1397.7</v>
          </cell>
          <cell r="F38">
            <v>1397.7</v>
          </cell>
          <cell r="G38">
            <v>1397.7</v>
          </cell>
          <cell r="H38">
            <v>1397.7</v>
          </cell>
          <cell r="I38">
            <v>1397.7</v>
          </cell>
          <cell r="J38">
            <v>1397.7</v>
          </cell>
          <cell r="K38">
            <v>1397.7</v>
          </cell>
          <cell r="L38">
            <v>1397.7</v>
          </cell>
          <cell r="M38">
            <v>1397.7</v>
          </cell>
          <cell r="N38">
            <v>1397.7</v>
          </cell>
          <cell r="O38">
            <v>1397.7</v>
          </cell>
          <cell r="P38">
            <v>1397.7</v>
          </cell>
        </row>
        <row r="39">
          <cell r="E39">
            <v>517.66666666666663</v>
          </cell>
          <cell r="F39">
            <v>517.66666666666663</v>
          </cell>
          <cell r="G39">
            <v>517.66666666666663</v>
          </cell>
          <cell r="H39">
            <v>517.66666666666663</v>
          </cell>
          <cell r="I39">
            <v>517.66666666666663</v>
          </cell>
          <cell r="J39">
            <v>517.66666666666663</v>
          </cell>
          <cell r="K39">
            <v>517.66666666666663</v>
          </cell>
          <cell r="L39">
            <v>517.66666666666663</v>
          </cell>
          <cell r="M39">
            <v>517.66666666666663</v>
          </cell>
          <cell r="N39">
            <v>517.66666666666663</v>
          </cell>
          <cell r="O39">
            <v>517.66666666666663</v>
          </cell>
          <cell r="P39">
            <v>517.66666666666663</v>
          </cell>
        </row>
        <row r="40">
          <cell r="E40">
            <v>1553</v>
          </cell>
          <cell r="F40">
            <v>1553</v>
          </cell>
          <cell r="G40">
            <v>1553</v>
          </cell>
          <cell r="H40">
            <v>1553</v>
          </cell>
          <cell r="I40">
            <v>1553</v>
          </cell>
          <cell r="J40">
            <v>1553</v>
          </cell>
          <cell r="K40">
            <v>1553</v>
          </cell>
          <cell r="L40">
            <v>1553</v>
          </cell>
          <cell r="M40">
            <v>1553</v>
          </cell>
          <cell r="N40">
            <v>1553</v>
          </cell>
          <cell r="O40">
            <v>1553</v>
          </cell>
          <cell r="P40">
            <v>1553</v>
          </cell>
        </row>
        <row r="41">
          <cell r="E41">
            <v>45451.133333333331</v>
          </cell>
          <cell r="F41">
            <v>45451.133333333331</v>
          </cell>
          <cell r="G41">
            <v>45451.133333333331</v>
          </cell>
          <cell r="H41">
            <v>45451.133333333331</v>
          </cell>
          <cell r="I41">
            <v>45451.133333333331</v>
          </cell>
          <cell r="J41">
            <v>45451.133333333331</v>
          </cell>
          <cell r="K41">
            <v>45451.133333333331</v>
          </cell>
          <cell r="L41">
            <v>45451.133333333331</v>
          </cell>
          <cell r="M41">
            <v>45451.133333333331</v>
          </cell>
          <cell r="N41">
            <v>45451.133333333331</v>
          </cell>
          <cell r="O41">
            <v>45451.133333333331</v>
          </cell>
          <cell r="P41">
            <v>45451.133333333331</v>
          </cell>
        </row>
        <row r="42"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E43">
            <v>2999.3089</v>
          </cell>
          <cell r="F43">
            <v>2999.3089</v>
          </cell>
          <cell r="G43">
            <v>2999.3089</v>
          </cell>
          <cell r="H43">
            <v>2999.3089</v>
          </cell>
          <cell r="I43">
            <v>2999.3089</v>
          </cell>
          <cell r="J43">
            <v>2999.3089</v>
          </cell>
          <cell r="K43">
            <v>2999.3089</v>
          </cell>
          <cell r="L43">
            <v>2999.3089</v>
          </cell>
          <cell r="M43">
            <v>2999.3089</v>
          </cell>
          <cell r="N43">
            <v>2999.3089</v>
          </cell>
          <cell r="O43">
            <v>2999.3089</v>
          </cell>
          <cell r="P43">
            <v>2999.3089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2070.6666666666665</v>
          </cell>
          <cell r="F48">
            <v>2070.6666666666665</v>
          </cell>
          <cell r="G48">
            <v>2070.6666666666665</v>
          </cell>
          <cell r="H48">
            <v>2070.6666666666665</v>
          </cell>
          <cell r="I48">
            <v>2070.6666666666665</v>
          </cell>
          <cell r="J48">
            <v>2070.6666666666665</v>
          </cell>
          <cell r="K48">
            <v>2070.6666666666665</v>
          </cell>
          <cell r="L48">
            <v>2070.6666666666665</v>
          </cell>
          <cell r="M48">
            <v>2070.6666666666665</v>
          </cell>
          <cell r="N48">
            <v>2070.6666666666665</v>
          </cell>
          <cell r="O48">
            <v>2070.6666666666665</v>
          </cell>
          <cell r="P48">
            <v>2070.6666666666665</v>
          </cell>
        </row>
        <row r="49">
          <cell r="E49">
            <v>5409.6166666666668</v>
          </cell>
          <cell r="F49">
            <v>5409.6166666666668</v>
          </cell>
          <cell r="G49">
            <v>5409.6166666666668</v>
          </cell>
          <cell r="H49">
            <v>5409.6166666666668</v>
          </cell>
          <cell r="I49">
            <v>5409.6166666666668</v>
          </cell>
          <cell r="J49">
            <v>5409.6166666666668</v>
          </cell>
          <cell r="K49">
            <v>5409.6166666666668</v>
          </cell>
          <cell r="L49">
            <v>5409.6166666666668</v>
          </cell>
          <cell r="M49">
            <v>5409.6166666666668</v>
          </cell>
          <cell r="N49">
            <v>5409.6166666666668</v>
          </cell>
          <cell r="O49">
            <v>5409.6166666666668</v>
          </cell>
          <cell r="P49">
            <v>5409.6166666666668</v>
          </cell>
        </row>
        <row r="50">
          <cell r="E50">
            <v>357.22105999999997</v>
          </cell>
          <cell r="F50">
            <v>357.22105999999997</v>
          </cell>
          <cell r="G50">
            <v>357.22105999999997</v>
          </cell>
          <cell r="H50">
            <v>357.22105999999997</v>
          </cell>
          <cell r="I50">
            <v>357.22105999999997</v>
          </cell>
          <cell r="J50">
            <v>357.22105999999997</v>
          </cell>
          <cell r="K50">
            <v>357.22105999999997</v>
          </cell>
          <cell r="L50">
            <v>357.22105999999997</v>
          </cell>
          <cell r="M50">
            <v>357.22105999999997</v>
          </cell>
          <cell r="N50">
            <v>357.22105999999997</v>
          </cell>
          <cell r="O50">
            <v>357.22105999999997</v>
          </cell>
          <cell r="P50">
            <v>357.22105999999997</v>
          </cell>
        </row>
        <row r="51">
          <cell r="E51">
            <v>268.49206670999996</v>
          </cell>
          <cell r="F51">
            <v>268.49206670999996</v>
          </cell>
          <cell r="G51">
            <v>268.49206670999996</v>
          </cell>
          <cell r="H51">
            <v>268.49206670999996</v>
          </cell>
          <cell r="I51">
            <v>268.49206670999996</v>
          </cell>
          <cell r="J51">
            <v>268.49206670999996</v>
          </cell>
          <cell r="K51">
            <v>268.49206670999996</v>
          </cell>
          <cell r="L51">
            <v>268.49206670999996</v>
          </cell>
          <cell r="M51">
            <v>268.49206670999996</v>
          </cell>
          <cell r="N51">
            <v>268.49206670999996</v>
          </cell>
          <cell r="O51">
            <v>268.49206670999996</v>
          </cell>
          <cell r="P51">
            <v>268.49206670999996</v>
          </cell>
        </row>
        <row r="52">
          <cell r="E52">
            <v>2070.6666666666665</v>
          </cell>
          <cell r="F52">
            <v>2070.6666666666665</v>
          </cell>
          <cell r="G52">
            <v>2070.6666666666665</v>
          </cell>
          <cell r="H52">
            <v>2070.6666666666665</v>
          </cell>
          <cell r="I52">
            <v>2070.6666666666665</v>
          </cell>
          <cell r="J52">
            <v>2070.6666666666665</v>
          </cell>
          <cell r="K52">
            <v>2070.6666666666665</v>
          </cell>
          <cell r="L52">
            <v>2070.6666666666665</v>
          </cell>
          <cell r="M52">
            <v>2070.6666666666665</v>
          </cell>
          <cell r="N52">
            <v>2070.6666666666665</v>
          </cell>
          <cell r="O52">
            <v>2070.6666666666665</v>
          </cell>
          <cell r="P52">
            <v>2070.6666666666665</v>
          </cell>
        </row>
        <row r="53">
          <cell r="E53">
            <v>1035.3333333333333</v>
          </cell>
          <cell r="F53">
            <v>1035.3333333333333</v>
          </cell>
          <cell r="G53">
            <v>1035.3333333333333</v>
          </cell>
          <cell r="H53">
            <v>1035.3333333333333</v>
          </cell>
          <cell r="I53">
            <v>1035.3333333333333</v>
          </cell>
          <cell r="J53">
            <v>1035.3333333333333</v>
          </cell>
          <cell r="K53">
            <v>1035.3333333333333</v>
          </cell>
          <cell r="L53">
            <v>1035.3333333333333</v>
          </cell>
          <cell r="M53">
            <v>1035.3333333333333</v>
          </cell>
          <cell r="N53">
            <v>1035.3333333333333</v>
          </cell>
          <cell r="O53">
            <v>1035.3333333333333</v>
          </cell>
          <cell r="P53">
            <v>1035.3333333333333</v>
          </cell>
        </row>
        <row r="54">
          <cell r="E54">
            <v>15754.771400135465</v>
          </cell>
          <cell r="F54">
            <v>15754.771400135465</v>
          </cell>
          <cell r="G54">
            <v>15754.771400135465</v>
          </cell>
          <cell r="H54">
            <v>15754.771400135465</v>
          </cell>
          <cell r="I54">
            <v>15754.771400135465</v>
          </cell>
          <cell r="J54">
            <v>15754.771400135465</v>
          </cell>
          <cell r="K54">
            <v>15754.771400135465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-9004.6862802768155</v>
          </cell>
          <cell r="F56">
            <v>-9004.6862802768155</v>
          </cell>
          <cell r="G56">
            <v>-9004.6862802768155</v>
          </cell>
          <cell r="H56">
            <v>-9004.6862802768155</v>
          </cell>
          <cell r="I56">
            <v>-9004.6862802768155</v>
          </cell>
          <cell r="J56">
            <v>-9004.6862802768155</v>
          </cell>
          <cell r="K56">
            <v>-9004.6862802768155</v>
          </cell>
          <cell r="L56">
            <v>-9004.6862802768155</v>
          </cell>
          <cell r="M56">
            <v>-9004.6862802768155</v>
          </cell>
          <cell r="N56">
            <v>-9004.6862802768155</v>
          </cell>
          <cell r="O56">
            <v>-9004.6862802768155</v>
          </cell>
          <cell r="P56">
            <v>-9004.6862802768155</v>
          </cell>
        </row>
        <row r="57">
          <cell r="E57">
            <v>-3001.5620934256053</v>
          </cell>
          <cell r="F57">
            <v>-3001.5620934256053</v>
          </cell>
          <cell r="G57">
            <v>-3001.5620934256053</v>
          </cell>
          <cell r="H57">
            <v>-3001.5620934256053</v>
          </cell>
          <cell r="I57">
            <v>-3001.5620934256053</v>
          </cell>
          <cell r="J57">
            <v>-3001.5620934256053</v>
          </cell>
          <cell r="K57">
            <v>-3001.5620934256053</v>
          </cell>
          <cell r="L57">
            <v>-3001.5620934256053</v>
          </cell>
          <cell r="M57">
            <v>-3001.5620934256053</v>
          </cell>
          <cell r="N57">
            <v>-3001.5620934256053</v>
          </cell>
          <cell r="O57">
            <v>-3001.5620934256053</v>
          </cell>
          <cell r="P57">
            <v>-3001.5620934256053</v>
          </cell>
        </row>
      </sheetData>
      <sheetData sheetId="8" refreshError="1"/>
      <sheetData sheetId="9" refreshError="1"/>
      <sheetData sheetId="10" refreshError="1">
        <row r="1">
          <cell r="G1">
            <v>686.73</v>
          </cell>
        </row>
        <row r="4">
          <cell r="E4">
            <v>118494.27040000001</v>
          </cell>
          <cell r="F4">
            <v>173997.27040000001</v>
          </cell>
          <cell r="G4">
            <v>118494.27040000001</v>
          </cell>
          <cell r="H4">
            <v>118494.27040000001</v>
          </cell>
          <cell r="I4">
            <v>118494.27040000001</v>
          </cell>
          <cell r="J4">
            <v>118494.27040000001</v>
          </cell>
          <cell r="K4">
            <v>118494.27040000001</v>
          </cell>
          <cell r="L4">
            <v>127973.81203200002</v>
          </cell>
          <cell r="M4">
            <v>127973.81203200002</v>
          </cell>
          <cell r="N4">
            <v>127973.81203200002</v>
          </cell>
          <cell r="O4">
            <v>127973.81203200002</v>
          </cell>
          <cell r="P4">
            <v>127973.81203200002</v>
          </cell>
        </row>
        <row r="5">
          <cell r="E5">
            <v>8333.3333333333339</v>
          </cell>
          <cell r="F5">
            <v>8333.3333333333339</v>
          </cell>
          <cell r="G5">
            <v>8333.3333333333339</v>
          </cell>
          <cell r="H5">
            <v>8333.3333333333339</v>
          </cell>
          <cell r="I5">
            <v>8333.3333333333339</v>
          </cell>
          <cell r="J5">
            <v>8333.3333333333339</v>
          </cell>
          <cell r="K5">
            <v>8333.3333333333339</v>
          </cell>
          <cell r="L5">
            <v>8333.3333333333339</v>
          </cell>
          <cell r="M5">
            <v>8333.3333333333339</v>
          </cell>
          <cell r="N5">
            <v>8333.3333333333339</v>
          </cell>
          <cell r="O5">
            <v>8333.3333333333339</v>
          </cell>
          <cell r="P5">
            <v>8333.3333333333339</v>
          </cell>
        </row>
        <row r="6">
          <cell r="E6">
            <v>15111.886157333334</v>
          </cell>
          <cell r="F6">
            <v>15111.886157333334</v>
          </cell>
          <cell r="G6">
            <v>15111.886157333334</v>
          </cell>
          <cell r="H6">
            <v>15111.886157333334</v>
          </cell>
          <cell r="I6">
            <v>15111.886157333334</v>
          </cell>
          <cell r="J6">
            <v>15111.886157333334</v>
          </cell>
          <cell r="K6">
            <v>15111.886157333334</v>
          </cell>
          <cell r="L6">
            <v>16247.370383253336</v>
          </cell>
          <cell r="M6">
            <v>16247.370383253336</v>
          </cell>
          <cell r="N6">
            <v>16247.370383253336</v>
          </cell>
          <cell r="O6">
            <v>16247.370383253336</v>
          </cell>
          <cell r="P6">
            <v>16247.370383253336</v>
          </cell>
        </row>
        <row r="7">
          <cell r="E7">
            <v>11724.739259999998</v>
          </cell>
          <cell r="F7">
            <v>11724.739259999998</v>
          </cell>
          <cell r="G7">
            <v>11724.739259999998</v>
          </cell>
          <cell r="H7">
            <v>11724.739259999998</v>
          </cell>
          <cell r="I7">
            <v>11724.739259999998</v>
          </cell>
          <cell r="J7">
            <v>11724.739259999998</v>
          </cell>
          <cell r="K7">
            <v>11724.739259999998</v>
          </cell>
          <cell r="L7">
            <v>12605.7184008</v>
          </cell>
          <cell r="M7">
            <v>12605.7184008</v>
          </cell>
          <cell r="N7">
            <v>12605.7184008</v>
          </cell>
          <cell r="O7">
            <v>12605.7184008</v>
          </cell>
          <cell r="P7">
            <v>12605.7184008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141371.09081861336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9187.8073733333331</v>
          </cell>
          <cell r="F9">
            <v>9187.8073733333331</v>
          </cell>
          <cell r="G9">
            <v>9187.8073733333331</v>
          </cell>
          <cell r="H9">
            <v>9187.8073733333331</v>
          </cell>
          <cell r="I9">
            <v>9187.8073733333331</v>
          </cell>
          <cell r="J9">
            <v>9187.8073733333331</v>
          </cell>
          <cell r="K9">
            <v>9187.8073733333331</v>
          </cell>
          <cell r="L9">
            <v>9878.165296533336</v>
          </cell>
          <cell r="M9">
            <v>9878.165296533336</v>
          </cell>
          <cell r="N9">
            <v>9878.165296533336</v>
          </cell>
          <cell r="O9">
            <v>9878.165296533336</v>
          </cell>
          <cell r="P9">
            <v>9878.165296533336</v>
          </cell>
        </row>
        <row r="10">
          <cell r="E10">
            <v>10000</v>
          </cell>
          <cell r="F10">
            <v>10000</v>
          </cell>
          <cell r="G10">
            <v>10000</v>
          </cell>
          <cell r="H10">
            <v>10000</v>
          </cell>
          <cell r="I10">
            <v>10000</v>
          </cell>
          <cell r="J10">
            <v>10000</v>
          </cell>
          <cell r="K10">
            <v>10000</v>
          </cell>
          <cell r="L10">
            <v>10000</v>
          </cell>
          <cell r="M10">
            <v>10000</v>
          </cell>
          <cell r="N10">
            <v>10000</v>
          </cell>
          <cell r="O10">
            <v>10000</v>
          </cell>
          <cell r="P10">
            <v>10000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20000</v>
          </cell>
          <cell r="F13">
            <v>20000</v>
          </cell>
          <cell r="G13">
            <v>20000</v>
          </cell>
          <cell r="H13">
            <v>20000</v>
          </cell>
          <cell r="I13">
            <v>20000</v>
          </cell>
          <cell r="J13">
            <v>20000</v>
          </cell>
          <cell r="K13">
            <v>20000</v>
          </cell>
          <cell r="L13">
            <v>20000</v>
          </cell>
          <cell r="M13">
            <v>20000</v>
          </cell>
          <cell r="N13">
            <v>20000</v>
          </cell>
          <cell r="O13">
            <v>20000</v>
          </cell>
          <cell r="P13">
            <v>20000</v>
          </cell>
        </row>
        <row r="14">
          <cell r="E14">
            <v>5960.91</v>
          </cell>
          <cell r="F14">
            <v>5960.91</v>
          </cell>
          <cell r="G14">
            <v>5960.91</v>
          </cell>
          <cell r="H14">
            <v>5960.91</v>
          </cell>
          <cell r="I14">
            <v>5960.91</v>
          </cell>
          <cell r="J14">
            <v>5960.91</v>
          </cell>
          <cell r="K14">
            <v>5960.91</v>
          </cell>
          <cell r="L14">
            <v>5960.91</v>
          </cell>
          <cell r="M14">
            <v>5960.91</v>
          </cell>
          <cell r="N14">
            <v>5960.91</v>
          </cell>
          <cell r="O14">
            <v>5960.91</v>
          </cell>
          <cell r="P14">
            <v>5960.91</v>
          </cell>
        </row>
        <row r="15">
          <cell r="E15">
            <v>14452.5</v>
          </cell>
          <cell r="F15">
            <v>14452.5</v>
          </cell>
          <cell r="G15">
            <v>14452.5</v>
          </cell>
          <cell r="H15">
            <v>14452.5</v>
          </cell>
          <cell r="I15">
            <v>14452.5</v>
          </cell>
          <cell r="J15">
            <v>14452.5</v>
          </cell>
          <cell r="K15">
            <v>15580</v>
          </cell>
          <cell r="L15">
            <v>14452.5</v>
          </cell>
          <cell r="M15">
            <v>14452.5</v>
          </cell>
          <cell r="N15">
            <v>14452.5</v>
          </cell>
          <cell r="O15">
            <v>14452.5</v>
          </cell>
          <cell r="P15">
            <v>14452.5</v>
          </cell>
        </row>
        <row r="16">
          <cell r="E16">
            <v>2500</v>
          </cell>
          <cell r="F16">
            <v>2500</v>
          </cell>
          <cell r="G16">
            <v>2500</v>
          </cell>
          <cell r="H16">
            <v>2500</v>
          </cell>
          <cell r="I16">
            <v>2500</v>
          </cell>
          <cell r="J16">
            <v>2500</v>
          </cell>
          <cell r="K16">
            <v>2500</v>
          </cell>
          <cell r="L16">
            <v>2500</v>
          </cell>
          <cell r="M16">
            <v>2500</v>
          </cell>
          <cell r="N16">
            <v>2500</v>
          </cell>
          <cell r="O16">
            <v>2500</v>
          </cell>
          <cell r="P16">
            <v>2500</v>
          </cell>
        </row>
        <row r="17">
          <cell r="E17">
            <v>77274</v>
          </cell>
          <cell r="F17">
            <v>77274</v>
          </cell>
          <cell r="G17">
            <v>77274</v>
          </cell>
          <cell r="H17">
            <v>77274</v>
          </cell>
          <cell r="I17">
            <v>77274</v>
          </cell>
          <cell r="J17">
            <v>77274</v>
          </cell>
          <cell r="K17">
            <v>77274</v>
          </cell>
          <cell r="L17">
            <v>77274</v>
          </cell>
          <cell r="M17">
            <v>77274</v>
          </cell>
          <cell r="N17">
            <v>77274</v>
          </cell>
          <cell r="O17">
            <v>77274</v>
          </cell>
          <cell r="P17">
            <v>77274</v>
          </cell>
        </row>
        <row r="18">
          <cell r="E18">
            <v>16411.23</v>
          </cell>
          <cell r="F18">
            <v>16411.23</v>
          </cell>
          <cell r="G18">
            <v>16411.23</v>
          </cell>
          <cell r="H18">
            <v>16411.23</v>
          </cell>
          <cell r="I18">
            <v>16411.23</v>
          </cell>
          <cell r="J18">
            <v>16411.23</v>
          </cell>
          <cell r="K18">
            <v>16411.23</v>
          </cell>
          <cell r="L18">
            <v>16411.23</v>
          </cell>
          <cell r="M18">
            <v>16411.23</v>
          </cell>
          <cell r="N18">
            <v>16411.23</v>
          </cell>
          <cell r="O18">
            <v>16411.23</v>
          </cell>
          <cell r="P18">
            <v>16411.23</v>
          </cell>
        </row>
        <row r="19">
          <cell r="E19">
            <v>3750</v>
          </cell>
          <cell r="F19">
            <v>3750</v>
          </cell>
          <cell r="G19">
            <v>3750</v>
          </cell>
          <cell r="H19">
            <v>3750</v>
          </cell>
          <cell r="I19">
            <v>3750</v>
          </cell>
          <cell r="J19">
            <v>3750</v>
          </cell>
          <cell r="K19">
            <v>3750</v>
          </cell>
          <cell r="L19">
            <v>3750</v>
          </cell>
          <cell r="M19">
            <v>3750</v>
          </cell>
          <cell r="N19">
            <v>3750</v>
          </cell>
          <cell r="O19">
            <v>3750</v>
          </cell>
          <cell r="P19">
            <v>3750</v>
          </cell>
        </row>
        <row r="20">
          <cell r="E20">
            <v>0</v>
          </cell>
          <cell r="F20">
            <v>0</v>
          </cell>
          <cell r="G20">
            <v>636914.16342857096</v>
          </cell>
          <cell r="H20">
            <v>0</v>
          </cell>
          <cell r="I20">
            <v>14211.175999999999</v>
          </cell>
          <cell r="J20">
            <v>14211.175999999999</v>
          </cell>
          <cell r="K20">
            <v>302631.17599999899</v>
          </cell>
          <cell r="L20">
            <v>38700.339428571402</v>
          </cell>
          <cell r="M20">
            <v>309462.17599999899</v>
          </cell>
          <cell r="N20">
            <v>14211.175999999999</v>
          </cell>
          <cell r="O20">
            <v>14211.175999999999</v>
          </cell>
          <cell r="P20">
            <v>14211.175999999999</v>
          </cell>
        </row>
        <row r="21">
          <cell r="E21">
            <v>29735.754000000001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29991.383333333237</v>
          </cell>
          <cell r="F22">
            <v>29991.383333333237</v>
          </cell>
          <cell r="G22">
            <v>29991.383333333237</v>
          </cell>
          <cell r="H22">
            <v>29991.383333333237</v>
          </cell>
          <cell r="I22">
            <v>29991.383333333237</v>
          </cell>
          <cell r="J22">
            <v>29991.383333333237</v>
          </cell>
          <cell r="K22">
            <v>29991.383333333237</v>
          </cell>
          <cell r="L22">
            <v>29991.383333333237</v>
          </cell>
          <cell r="M22">
            <v>29991.383333333237</v>
          </cell>
          <cell r="N22">
            <v>29991.383333333237</v>
          </cell>
          <cell r="O22">
            <v>29991.383333333237</v>
          </cell>
          <cell r="P22">
            <v>29991.383333333237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27728.309791589862</v>
          </cell>
          <cell r="F24">
            <v>27728.309791589862</v>
          </cell>
          <cell r="G24">
            <v>27728.309791589862</v>
          </cell>
          <cell r="H24">
            <v>27728.309791589862</v>
          </cell>
          <cell r="I24">
            <v>27728.309791589862</v>
          </cell>
          <cell r="J24">
            <v>27728.309791589862</v>
          </cell>
          <cell r="K24">
            <v>22910.669599589863</v>
          </cell>
          <cell r="L24">
            <v>27728.309791589862</v>
          </cell>
          <cell r="M24">
            <v>27728.309791589862</v>
          </cell>
          <cell r="N24">
            <v>27728.309791589862</v>
          </cell>
          <cell r="O24">
            <v>27728.309791589862</v>
          </cell>
          <cell r="P24">
            <v>27728.309791589862</v>
          </cell>
        </row>
        <row r="25">
          <cell r="E25">
            <v>0</v>
          </cell>
          <cell r="F25">
            <v>0</v>
          </cell>
          <cell r="G25">
            <v>103160.924999999</v>
          </cell>
          <cell r="H25">
            <v>142661.11859999999</v>
          </cell>
          <cell r="I25">
            <v>142661.11859999999</v>
          </cell>
          <cell r="J25">
            <v>147891.3198</v>
          </cell>
          <cell r="K25">
            <v>61599.379799999901</v>
          </cell>
          <cell r="L25">
            <v>61599.379799999901</v>
          </cell>
          <cell r="M25">
            <v>61599.379799999901</v>
          </cell>
          <cell r="N25">
            <v>48748.465499999998</v>
          </cell>
          <cell r="O25">
            <v>29075.322</v>
          </cell>
          <cell r="P25">
            <v>29075.322</v>
          </cell>
        </row>
        <row r="26">
          <cell r="E26">
            <v>114279.08114244268</v>
          </cell>
          <cell r="F26">
            <v>229370.12434244266</v>
          </cell>
          <cell r="G26">
            <v>351842.41888004262</v>
          </cell>
          <cell r="H26">
            <v>348156.93295978667</v>
          </cell>
          <cell r="I26">
            <v>393997.77634244267</v>
          </cell>
          <cell r="J26">
            <v>305420.38728004269</v>
          </cell>
          <cell r="K26">
            <v>259579.5438973867</v>
          </cell>
          <cell r="L26">
            <v>351842.41888004262</v>
          </cell>
          <cell r="M26">
            <v>440539.11108052265</v>
          </cell>
          <cell r="N26">
            <v>414739.42482266575</v>
          </cell>
          <cell r="O26">
            <v>305293.90388052264</v>
          </cell>
          <cell r="P26">
            <v>297912.65254292265</v>
          </cell>
        </row>
        <row r="27">
          <cell r="E27">
            <v>2004.963968</v>
          </cell>
          <cell r="F27">
            <v>7238.0573439999998</v>
          </cell>
          <cell r="G27">
            <v>7238.0573439999998</v>
          </cell>
          <cell r="H27">
            <v>19194.623</v>
          </cell>
          <cell r="I27">
            <v>7518.9030000000002</v>
          </cell>
          <cell r="J27">
            <v>21199.586968</v>
          </cell>
          <cell r="K27">
            <v>9523.8669680000003</v>
          </cell>
          <cell r="L27">
            <v>21199.586968</v>
          </cell>
          <cell r="M27">
            <v>21199.586968</v>
          </cell>
          <cell r="N27">
            <v>14736.0914679999</v>
          </cell>
          <cell r="O27">
            <v>12731.1274999999</v>
          </cell>
          <cell r="P27">
            <v>12731.1274999999</v>
          </cell>
        </row>
        <row r="28">
          <cell r="E28">
            <v>15840.425999999999</v>
          </cell>
          <cell r="F28">
            <v>15840.425999999999</v>
          </cell>
          <cell r="G28">
            <v>21120.567999999999</v>
          </cell>
          <cell r="H28">
            <v>21601.796999999999</v>
          </cell>
          <cell r="I28">
            <v>18480.496999999999</v>
          </cell>
          <cell r="J28">
            <v>16321.654999999901</v>
          </cell>
          <cell r="K28">
            <v>13200.355</v>
          </cell>
          <cell r="L28">
            <v>21601.796999999999</v>
          </cell>
          <cell r="M28">
            <v>21601.796999999999</v>
          </cell>
          <cell r="N28">
            <v>19661.7435</v>
          </cell>
          <cell r="O28">
            <v>14381.601500000001</v>
          </cell>
          <cell r="P28">
            <v>14381.601500000001</v>
          </cell>
        </row>
        <row r="29">
          <cell r="E29">
            <v>29747.333333333332</v>
          </cell>
          <cell r="F29">
            <v>34631.833333333336</v>
          </cell>
          <cell r="G29">
            <v>29747.333333333332</v>
          </cell>
          <cell r="H29">
            <v>34631.833333333336</v>
          </cell>
          <cell r="I29">
            <v>29747.333333333332</v>
          </cell>
          <cell r="J29">
            <v>34631.833333333336</v>
          </cell>
          <cell r="K29">
            <v>29747.333333333332</v>
          </cell>
          <cell r="L29">
            <v>34631.833333333336</v>
          </cell>
          <cell r="M29">
            <v>29747.333333333332</v>
          </cell>
          <cell r="N29">
            <v>34631.833333333336</v>
          </cell>
          <cell r="O29">
            <v>29747.333333333332</v>
          </cell>
          <cell r="P29">
            <v>34631.833333333336</v>
          </cell>
        </row>
        <row r="30">
          <cell r="E30">
            <v>41666.666666666664</v>
          </cell>
          <cell r="F30">
            <v>41666.666666666664</v>
          </cell>
          <cell r="G30">
            <v>41666.666666666664</v>
          </cell>
          <cell r="H30">
            <v>41666.666666666664</v>
          </cell>
          <cell r="I30">
            <v>41666.666666666664</v>
          </cell>
          <cell r="J30">
            <v>41666.666666666664</v>
          </cell>
          <cell r="K30">
            <v>41666.666666666664</v>
          </cell>
          <cell r="L30">
            <v>41666.666666666664</v>
          </cell>
          <cell r="M30">
            <v>41666.666666666664</v>
          </cell>
          <cell r="N30">
            <v>41666.666666666664</v>
          </cell>
          <cell r="O30">
            <v>41666.666666666664</v>
          </cell>
          <cell r="P30">
            <v>41666.666666666664</v>
          </cell>
        </row>
        <row r="31">
          <cell r="E31">
            <v>1666.6666666666667</v>
          </cell>
          <cell r="F31">
            <v>1666.6666666666667</v>
          </cell>
          <cell r="G31">
            <v>1666.6666666666667</v>
          </cell>
          <cell r="H31">
            <v>1666.6666666666667</v>
          </cell>
          <cell r="I31">
            <v>1666.6666666666667</v>
          </cell>
          <cell r="J31">
            <v>1666.6666666666667</v>
          </cell>
          <cell r="K31">
            <v>1666.6666666666667</v>
          </cell>
          <cell r="L31">
            <v>1666.6666666666667</v>
          </cell>
          <cell r="M31">
            <v>1666.6666666666667</v>
          </cell>
          <cell r="N31">
            <v>1666.6666666666667</v>
          </cell>
          <cell r="O31">
            <v>1666.6666666666667</v>
          </cell>
          <cell r="P31">
            <v>1666.6666666666667</v>
          </cell>
        </row>
        <row r="32">
          <cell r="E32">
            <v>1052686.7119999998</v>
          </cell>
          <cell r="F32">
            <v>881237.72</v>
          </cell>
          <cell r="G32">
            <v>772944.348</v>
          </cell>
          <cell r="H32">
            <v>802606.59600000002</v>
          </cell>
          <cell r="I32">
            <v>912037.72</v>
          </cell>
          <cell r="J32">
            <v>982437.72</v>
          </cell>
          <cell r="K32">
            <v>1150775.4719999998</v>
          </cell>
          <cell r="L32">
            <v>160160</v>
          </cell>
          <cell r="M32">
            <v>8800</v>
          </cell>
          <cell r="N32">
            <v>8800</v>
          </cell>
          <cell r="O32">
            <v>0</v>
          </cell>
          <cell r="P32">
            <v>0</v>
          </cell>
        </row>
        <row r="33">
          <cell r="E33">
            <v>760000</v>
          </cell>
          <cell r="F33">
            <v>600000</v>
          </cell>
          <cell r="G33">
            <v>540000</v>
          </cell>
          <cell r="H33">
            <v>580000</v>
          </cell>
          <cell r="I33">
            <v>600000</v>
          </cell>
          <cell r="J33">
            <v>600000</v>
          </cell>
          <cell r="K33">
            <v>560000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33333.333333333336</v>
          </cell>
          <cell r="F36">
            <v>33333.333333333336</v>
          </cell>
          <cell r="G36">
            <v>33333.333333333336</v>
          </cell>
          <cell r="H36">
            <v>33333.333333333336</v>
          </cell>
          <cell r="I36">
            <v>33333.333333333336</v>
          </cell>
          <cell r="J36">
            <v>33333.333333333336</v>
          </cell>
          <cell r="K36">
            <v>33333.333333333336</v>
          </cell>
          <cell r="L36">
            <v>33333.333333333336</v>
          </cell>
          <cell r="M36">
            <v>33333.333333333336</v>
          </cell>
          <cell r="N36">
            <v>33333.333333333336</v>
          </cell>
          <cell r="O36">
            <v>33333.333333333336</v>
          </cell>
          <cell r="P36">
            <v>33333.333333333336</v>
          </cell>
        </row>
        <row r="37">
          <cell r="E37">
            <v>37500</v>
          </cell>
          <cell r="F37">
            <v>37500</v>
          </cell>
          <cell r="G37">
            <v>37500</v>
          </cell>
          <cell r="H37">
            <v>37500</v>
          </cell>
          <cell r="I37">
            <v>37500</v>
          </cell>
          <cell r="J37">
            <v>37500</v>
          </cell>
          <cell r="K37">
            <v>37500</v>
          </cell>
          <cell r="L37">
            <v>37500</v>
          </cell>
          <cell r="M37">
            <v>37500</v>
          </cell>
          <cell r="N37">
            <v>37500</v>
          </cell>
          <cell r="O37">
            <v>37500</v>
          </cell>
          <cell r="P37">
            <v>37500</v>
          </cell>
        </row>
        <row r="38">
          <cell r="E38">
            <v>6666.666666666667</v>
          </cell>
          <cell r="F38">
            <v>6666.666666666667</v>
          </cell>
          <cell r="G38">
            <v>6666.666666666667</v>
          </cell>
          <cell r="H38">
            <v>6666.666666666667</v>
          </cell>
          <cell r="I38">
            <v>6666.666666666667</v>
          </cell>
          <cell r="J38">
            <v>6666.666666666667</v>
          </cell>
          <cell r="K38">
            <v>6666.666666666667</v>
          </cell>
          <cell r="L38">
            <v>6666.666666666667</v>
          </cell>
          <cell r="M38">
            <v>6666.666666666667</v>
          </cell>
          <cell r="N38">
            <v>6666.666666666667</v>
          </cell>
          <cell r="O38">
            <v>6666.666666666667</v>
          </cell>
          <cell r="P38">
            <v>6666.666666666667</v>
          </cell>
        </row>
        <row r="39">
          <cell r="E39">
            <v>1666.6666666666667</v>
          </cell>
          <cell r="F39">
            <v>1666.6666666666667</v>
          </cell>
          <cell r="G39">
            <v>1666.6666666666667</v>
          </cell>
          <cell r="H39">
            <v>1666.6666666666667</v>
          </cell>
          <cell r="I39">
            <v>1666.6666666666667</v>
          </cell>
          <cell r="J39">
            <v>1666.6666666666667</v>
          </cell>
          <cell r="K39">
            <v>1666.6666666666667</v>
          </cell>
          <cell r="L39">
            <v>1666.6666666666667</v>
          </cell>
          <cell r="M39">
            <v>1666.6666666666667</v>
          </cell>
          <cell r="N39">
            <v>1666.6666666666667</v>
          </cell>
          <cell r="O39">
            <v>1666.6666666666667</v>
          </cell>
          <cell r="P39">
            <v>1666.6666666666667</v>
          </cell>
        </row>
        <row r="40">
          <cell r="E40">
            <v>6666.666666666667</v>
          </cell>
          <cell r="F40">
            <v>6666.666666666667</v>
          </cell>
          <cell r="G40">
            <v>6666.666666666667</v>
          </cell>
          <cell r="H40">
            <v>6666.666666666667</v>
          </cell>
          <cell r="I40">
            <v>6666.666666666667</v>
          </cell>
          <cell r="J40">
            <v>6666.666666666667</v>
          </cell>
          <cell r="K40">
            <v>6666.666666666667</v>
          </cell>
          <cell r="L40">
            <v>6666.666666666667</v>
          </cell>
          <cell r="M40">
            <v>6666.666666666667</v>
          </cell>
          <cell r="N40">
            <v>6666.666666666667</v>
          </cell>
          <cell r="O40">
            <v>6666.666666666667</v>
          </cell>
          <cell r="P40">
            <v>6666.666666666667</v>
          </cell>
        </row>
        <row r="41">
          <cell r="E41">
            <v>72083.333333333328</v>
          </cell>
          <cell r="F41">
            <v>72083.333333333328</v>
          </cell>
          <cell r="G41">
            <v>72083.333333333328</v>
          </cell>
          <cell r="H41">
            <v>72083.333333333328</v>
          </cell>
          <cell r="I41">
            <v>72083.333333333328</v>
          </cell>
          <cell r="J41">
            <v>72083.333333333328</v>
          </cell>
          <cell r="K41">
            <v>72083.333333333328</v>
          </cell>
          <cell r="L41">
            <v>72083.333333333328</v>
          </cell>
          <cell r="M41">
            <v>72083.333333333328</v>
          </cell>
          <cell r="N41">
            <v>72083.333333333328</v>
          </cell>
          <cell r="O41">
            <v>72083.333333333328</v>
          </cell>
          <cell r="P41">
            <v>72083.333333333328</v>
          </cell>
        </row>
        <row r="42">
          <cell r="E42">
            <v>115362.29999999999</v>
          </cell>
          <cell r="F42">
            <v>115362.29999999999</v>
          </cell>
          <cell r="G42">
            <v>115362.29999999999</v>
          </cell>
          <cell r="H42">
            <v>115362.29999999999</v>
          </cell>
          <cell r="I42">
            <v>115362.29999999999</v>
          </cell>
          <cell r="J42">
            <v>115362.29999999999</v>
          </cell>
          <cell r="K42">
            <v>115362.29999999999</v>
          </cell>
          <cell r="L42">
            <v>115362.29999999999</v>
          </cell>
          <cell r="M42">
            <v>115362.29999999999</v>
          </cell>
          <cell r="N42">
            <v>115362.29999999999</v>
          </cell>
          <cell r="O42">
            <v>115362.29999999999</v>
          </cell>
          <cell r="P42">
            <v>115362.29999999999</v>
          </cell>
        </row>
        <row r="43">
          <cell r="E43">
            <v>9052</v>
          </cell>
          <cell r="F43">
            <v>9052</v>
          </cell>
          <cell r="G43">
            <v>9052</v>
          </cell>
          <cell r="H43">
            <v>9052</v>
          </cell>
          <cell r="I43">
            <v>9052</v>
          </cell>
          <cell r="J43">
            <v>9052</v>
          </cell>
          <cell r="K43">
            <v>9052</v>
          </cell>
          <cell r="L43">
            <v>9052</v>
          </cell>
          <cell r="M43">
            <v>9052</v>
          </cell>
          <cell r="N43">
            <v>9052</v>
          </cell>
          <cell r="O43">
            <v>9052</v>
          </cell>
          <cell r="P43">
            <v>9052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5000</v>
          </cell>
          <cell r="F48">
            <v>5000</v>
          </cell>
          <cell r="G48">
            <v>5000</v>
          </cell>
          <cell r="H48">
            <v>5000</v>
          </cell>
          <cell r="I48">
            <v>5000</v>
          </cell>
          <cell r="J48">
            <v>5000</v>
          </cell>
          <cell r="K48">
            <v>5000</v>
          </cell>
          <cell r="L48">
            <v>5000</v>
          </cell>
          <cell r="M48">
            <v>5000</v>
          </cell>
          <cell r="N48">
            <v>5000</v>
          </cell>
          <cell r="O48">
            <v>5000</v>
          </cell>
          <cell r="P48">
            <v>5000</v>
          </cell>
        </row>
        <row r="49">
          <cell r="E49">
            <v>26200</v>
          </cell>
          <cell r="F49">
            <v>26200</v>
          </cell>
          <cell r="G49">
            <v>26200</v>
          </cell>
          <cell r="H49">
            <v>26200</v>
          </cell>
          <cell r="I49">
            <v>26200</v>
          </cell>
          <cell r="J49">
            <v>26200</v>
          </cell>
          <cell r="K49">
            <v>26200</v>
          </cell>
          <cell r="L49">
            <v>26200</v>
          </cell>
          <cell r="M49">
            <v>26200</v>
          </cell>
          <cell r="N49">
            <v>26200</v>
          </cell>
          <cell r="O49">
            <v>26200</v>
          </cell>
          <cell r="P49">
            <v>26200</v>
          </cell>
        </row>
        <row r="50">
          <cell r="E50">
            <v>1076.7833333333333</v>
          </cell>
          <cell r="F50">
            <v>1076.7833333333333</v>
          </cell>
          <cell r="G50">
            <v>1076.7833333333333</v>
          </cell>
          <cell r="H50">
            <v>1076.7833333333333</v>
          </cell>
          <cell r="I50">
            <v>1076.7833333333333</v>
          </cell>
          <cell r="J50">
            <v>1076.7833333333333</v>
          </cell>
          <cell r="K50">
            <v>1076.7833333333333</v>
          </cell>
          <cell r="L50">
            <v>1076.7833333333333</v>
          </cell>
          <cell r="M50">
            <v>1076.7833333333333</v>
          </cell>
          <cell r="N50">
            <v>1076.7833333333333</v>
          </cell>
          <cell r="O50">
            <v>1076.7833333333333</v>
          </cell>
          <cell r="P50">
            <v>1076.7833333333333</v>
          </cell>
        </row>
        <row r="51">
          <cell r="E51">
            <v>809.32457499999998</v>
          </cell>
          <cell r="F51">
            <v>809.32457499999998</v>
          </cell>
          <cell r="G51">
            <v>809.32457499999998</v>
          </cell>
          <cell r="H51">
            <v>809.32457499999998</v>
          </cell>
          <cell r="I51">
            <v>809.32457499999998</v>
          </cell>
          <cell r="J51">
            <v>809.32457499999998</v>
          </cell>
          <cell r="K51">
            <v>809.32457499999998</v>
          </cell>
          <cell r="L51">
            <v>809.32457499999998</v>
          </cell>
          <cell r="M51">
            <v>809.32457499999998</v>
          </cell>
          <cell r="N51">
            <v>809.32457499999998</v>
          </cell>
          <cell r="O51">
            <v>809.32457499999998</v>
          </cell>
          <cell r="P51">
            <v>809.32457499999998</v>
          </cell>
        </row>
        <row r="52">
          <cell r="E52">
            <v>4166.666666666667</v>
          </cell>
          <cell r="F52">
            <v>4166.666666666667</v>
          </cell>
          <cell r="G52">
            <v>4166.666666666667</v>
          </cell>
          <cell r="H52">
            <v>4166.666666666667</v>
          </cell>
          <cell r="I52">
            <v>4166.666666666667</v>
          </cell>
          <cell r="J52">
            <v>4166.666666666667</v>
          </cell>
          <cell r="K52">
            <v>4166.666666666667</v>
          </cell>
          <cell r="L52">
            <v>4166.666666666667</v>
          </cell>
          <cell r="M52">
            <v>4166.666666666667</v>
          </cell>
          <cell r="N52">
            <v>4166.666666666667</v>
          </cell>
          <cell r="O52">
            <v>4166.666666666667</v>
          </cell>
          <cell r="P52">
            <v>4166.666666666667</v>
          </cell>
        </row>
        <row r="53">
          <cell r="E53">
            <v>2916.6666666666665</v>
          </cell>
          <cell r="F53">
            <v>2916.6666666666665</v>
          </cell>
          <cell r="G53">
            <v>2916.6666666666665</v>
          </cell>
          <cell r="H53">
            <v>2916.6666666666665</v>
          </cell>
          <cell r="I53">
            <v>2916.6666666666665</v>
          </cell>
          <cell r="J53">
            <v>2916.6666666666665</v>
          </cell>
          <cell r="K53">
            <v>2916.6666666666665</v>
          </cell>
          <cell r="L53">
            <v>2916.6666666666665</v>
          </cell>
          <cell r="M53">
            <v>2916.6666666666665</v>
          </cell>
          <cell r="N53">
            <v>2916.6666666666665</v>
          </cell>
          <cell r="O53">
            <v>2916.6666666666665</v>
          </cell>
          <cell r="P53">
            <v>2916.6666666666665</v>
          </cell>
        </row>
        <row r="54">
          <cell r="E54">
            <v>83664.28571428571</v>
          </cell>
          <cell r="F54">
            <v>83664.28571428571</v>
          </cell>
          <cell r="G54">
            <v>83664.28571428571</v>
          </cell>
          <cell r="H54">
            <v>83664.28571428571</v>
          </cell>
          <cell r="I54">
            <v>83664.28571428571</v>
          </cell>
          <cell r="J54">
            <v>83664.28571428571</v>
          </cell>
          <cell r="K54">
            <v>83664.28571428571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-45847.750865051901</v>
          </cell>
          <cell r="F56">
            <v>-45847.750865051901</v>
          </cell>
          <cell r="G56">
            <v>-45847.750865051901</v>
          </cell>
          <cell r="H56">
            <v>-45847.750865051901</v>
          </cell>
          <cell r="I56">
            <v>-45847.750865051901</v>
          </cell>
          <cell r="J56">
            <v>-45847.750865051901</v>
          </cell>
          <cell r="K56">
            <v>-45847.750865051901</v>
          </cell>
          <cell r="L56">
            <v>-45847.750865051901</v>
          </cell>
          <cell r="M56">
            <v>-45847.750865051901</v>
          </cell>
          <cell r="N56">
            <v>-45847.750865051901</v>
          </cell>
          <cell r="O56">
            <v>-45847.750865051901</v>
          </cell>
          <cell r="P56">
            <v>-45847.750865051901</v>
          </cell>
        </row>
        <row r="57">
          <cell r="E57">
            <v>-15282.583621683967</v>
          </cell>
          <cell r="F57">
            <v>-15282.583621683967</v>
          </cell>
          <cell r="G57">
            <v>-15282.583621683967</v>
          </cell>
          <cell r="H57">
            <v>-15282.583621683967</v>
          </cell>
          <cell r="I57">
            <v>-15282.583621683967</v>
          </cell>
          <cell r="J57">
            <v>-15282.583621683967</v>
          </cell>
          <cell r="K57">
            <v>-15282.583621683967</v>
          </cell>
          <cell r="L57">
            <v>-15282.583621683967</v>
          </cell>
          <cell r="M57">
            <v>-15282.583621683967</v>
          </cell>
          <cell r="N57">
            <v>-15282.583621683967</v>
          </cell>
          <cell r="O57">
            <v>-15282.583621683967</v>
          </cell>
          <cell r="P57">
            <v>-15282.583621683967</v>
          </cell>
        </row>
      </sheetData>
      <sheetData sheetId="11" refreshError="1">
        <row r="1">
          <cell r="G1">
            <v>264.89999999999998</v>
          </cell>
        </row>
        <row r="4">
          <cell r="E4">
            <v>58044.097568000005</v>
          </cell>
          <cell r="F4">
            <v>83100.097567999997</v>
          </cell>
          <cell r="G4">
            <v>58044.097568000005</v>
          </cell>
          <cell r="H4">
            <v>58044.097568000005</v>
          </cell>
          <cell r="I4">
            <v>58044.097568000005</v>
          </cell>
          <cell r="J4">
            <v>58044.097568000005</v>
          </cell>
          <cell r="K4">
            <v>58044.097568000005</v>
          </cell>
          <cell r="L4">
            <v>62687.625373440009</v>
          </cell>
          <cell r="M4">
            <v>62687.625373440009</v>
          </cell>
          <cell r="N4">
            <v>62687.625373440009</v>
          </cell>
          <cell r="O4">
            <v>62687.625373440009</v>
          </cell>
          <cell r="P4">
            <v>62687.625373440009</v>
          </cell>
        </row>
        <row r="5">
          <cell r="E5">
            <v>3750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</row>
        <row r="6">
          <cell r="E6">
            <v>7753.6036064</v>
          </cell>
          <cell r="F6">
            <v>7753.6036064</v>
          </cell>
          <cell r="G6">
            <v>7753.6036064</v>
          </cell>
          <cell r="H6">
            <v>7753.6036064</v>
          </cell>
          <cell r="I6">
            <v>7753.6036064</v>
          </cell>
          <cell r="J6">
            <v>7753.6036064</v>
          </cell>
          <cell r="K6">
            <v>7753.6036064</v>
          </cell>
          <cell r="L6">
            <v>8339.0918949120005</v>
          </cell>
          <cell r="M6">
            <v>8339.0918949120005</v>
          </cell>
          <cell r="N6">
            <v>8339.0918949120005</v>
          </cell>
          <cell r="O6">
            <v>8339.0918949120005</v>
          </cell>
          <cell r="P6">
            <v>8339.0918949120005</v>
          </cell>
        </row>
        <row r="7">
          <cell r="E7">
            <v>6015.7269359999991</v>
          </cell>
          <cell r="F7">
            <v>6015.7269359999991</v>
          </cell>
          <cell r="G7">
            <v>6015.7269359999991</v>
          </cell>
          <cell r="H7">
            <v>6015.7269359999991</v>
          </cell>
          <cell r="I7">
            <v>6015.7269359999991</v>
          </cell>
          <cell r="J7">
            <v>6015.7269359999991</v>
          </cell>
          <cell r="K7">
            <v>6015.7269359999991</v>
          </cell>
          <cell r="L7">
            <v>6469.9850908799999</v>
          </cell>
          <cell r="M7">
            <v>6469.9850908799999</v>
          </cell>
          <cell r="N7">
            <v>6469.9850908799999</v>
          </cell>
          <cell r="O7">
            <v>6469.9850908799999</v>
          </cell>
          <cell r="P7">
            <v>6469.9850908799999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61962.011050528003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4478.3744968000001</v>
          </cell>
          <cell r="F9">
            <v>4478.3744968000001</v>
          </cell>
          <cell r="G9">
            <v>4478.3744968000001</v>
          </cell>
          <cell r="H9">
            <v>4478.3744968000001</v>
          </cell>
          <cell r="I9">
            <v>4478.3744968000001</v>
          </cell>
          <cell r="J9">
            <v>4478.3744968000001</v>
          </cell>
          <cell r="K9">
            <v>4478.3744968000001</v>
          </cell>
          <cell r="L9">
            <v>4816.5444565440002</v>
          </cell>
          <cell r="M9">
            <v>4816.5444565440002</v>
          </cell>
          <cell r="N9">
            <v>4816.5444565440002</v>
          </cell>
          <cell r="O9">
            <v>4816.5444565440002</v>
          </cell>
          <cell r="P9">
            <v>4816.5444565440002</v>
          </cell>
        </row>
        <row r="10">
          <cell r="E10">
            <v>5300</v>
          </cell>
          <cell r="F10">
            <v>5300</v>
          </cell>
          <cell r="G10">
            <v>5300</v>
          </cell>
          <cell r="H10">
            <v>5300</v>
          </cell>
          <cell r="I10">
            <v>5300</v>
          </cell>
          <cell r="J10">
            <v>5300</v>
          </cell>
          <cell r="K10">
            <v>5300</v>
          </cell>
          <cell r="L10">
            <v>5300</v>
          </cell>
          <cell r="M10">
            <v>5300</v>
          </cell>
          <cell r="N10">
            <v>5300</v>
          </cell>
          <cell r="O10">
            <v>5300</v>
          </cell>
          <cell r="P10">
            <v>5300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400</v>
          </cell>
          <cell r="F13">
            <v>400</v>
          </cell>
          <cell r="G13">
            <v>400</v>
          </cell>
          <cell r="H13">
            <v>400</v>
          </cell>
          <cell r="I13">
            <v>400</v>
          </cell>
          <cell r="J13">
            <v>400</v>
          </cell>
          <cell r="K13">
            <v>400</v>
          </cell>
          <cell r="L13">
            <v>400</v>
          </cell>
          <cell r="M13">
            <v>400</v>
          </cell>
          <cell r="N13">
            <v>400</v>
          </cell>
          <cell r="O13">
            <v>400</v>
          </cell>
          <cell r="P13">
            <v>400</v>
          </cell>
        </row>
        <row r="14">
          <cell r="E14">
            <v>2580.91</v>
          </cell>
          <cell r="F14">
            <v>2580.91</v>
          </cell>
          <cell r="G14">
            <v>2580.91</v>
          </cell>
          <cell r="H14">
            <v>2580.91</v>
          </cell>
          <cell r="I14">
            <v>2580.91</v>
          </cell>
          <cell r="J14">
            <v>2580.91</v>
          </cell>
          <cell r="K14">
            <v>2580.91</v>
          </cell>
          <cell r="L14">
            <v>2580.91</v>
          </cell>
          <cell r="M14">
            <v>2580.91</v>
          </cell>
          <cell r="N14">
            <v>2580.91</v>
          </cell>
          <cell r="O14">
            <v>2580.91</v>
          </cell>
          <cell r="P14">
            <v>2580.91</v>
          </cell>
        </row>
        <row r="15">
          <cell r="E15">
            <v>5569.5</v>
          </cell>
          <cell r="F15">
            <v>5569.5</v>
          </cell>
          <cell r="G15">
            <v>5569.5</v>
          </cell>
          <cell r="H15">
            <v>5569.5</v>
          </cell>
          <cell r="I15">
            <v>5569.5</v>
          </cell>
          <cell r="J15">
            <v>5569.5</v>
          </cell>
          <cell r="K15">
            <v>6004</v>
          </cell>
          <cell r="L15">
            <v>5569.5</v>
          </cell>
          <cell r="M15">
            <v>5569.5</v>
          </cell>
          <cell r="N15">
            <v>5569.5</v>
          </cell>
          <cell r="O15">
            <v>5569.5</v>
          </cell>
          <cell r="P15">
            <v>5569.5</v>
          </cell>
        </row>
        <row r="16">
          <cell r="E16">
            <v>4166.666666666667</v>
          </cell>
          <cell r="F16">
            <v>4166.666666666667</v>
          </cell>
          <cell r="G16">
            <v>4166.666666666667</v>
          </cell>
          <cell r="H16">
            <v>4166.666666666667</v>
          </cell>
          <cell r="I16">
            <v>4166.666666666667</v>
          </cell>
          <cell r="J16">
            <v>4166.666666666667</v>
          </cell>
          <cell r="K16">
            <v>4166.666666666667</v>
          </cell>
          <cell r="L16">
            <v>4166.666666666667</v>
          </cell>
          <cell r="M16">
            <v>4166.666666666667</v>
          </cell>
          <cell r="N16">
            <v>4166.666666666667</v>
          </cell>
          <cell r="O16">
            <v>4166.666666666667</v>
          </cell>
          <cell r="P16">
            <v>4166.666666666667</v>
          </cell>
        </row>
        <row r="17">
          <cell r="E17">
            <v>29192.399999999998</v>
          </cell>
          <cell r="F17">
            <v>29192.399999999998</v>
          </cell>
          <cell r="G17">
            <v>29192.399999999998</v>
          </cell>
          <cell r="H17">
            <v>29192.399999999998</v>
          </cell>
          <cell r="I17">
            <v>29192.399999999998</v>
          </cell>
          <cell r="J17">
            <v>29192.399999999998</v>
          </cell>
          <cell r="K17">
            <v>29192.399999999998</v>
          </cell>
          <cell r="L17">
            <v>29192.399999999998</v>
          </cell>
          <cell r="M17">
            <v>29192.399999999998</v>
          </cell>
          <cell r="N17">
            <v>29192.399999999998</v>
          </cell>
          <cell r="O17">
            <v>29192.399999999998</v>
          </cell>
          <cell r="P17">
            <v>29192.399999999998</v>
          </cell>
        </row>
        <row r="18">
          <cell r="E18">
            <v>7314.45</v>
          </cell>
          <cell r="F18">
            <v>7314.45</v>
          </cell>
          <cell r="G18">
            <v>7314.45</v>
          </cell>
          <cell r="H18">
            <v>7314.45</v>
          </cell>
          <cell r="I18">
            <v>7314.45</v>
          </cell>
          <cell r="J18">
            <v>7314.45</v>
          </cell>
          <cell r="K18">
            <v>7314.45</v>
          </cell>
          <cell r="L18">
            <v>7314.45</v>
          </cell>
          <cell r="M18">
            <v>7314.45</v>
          </cell>
          <cell r="N18">
            <v>7314.45</v>
          </cell>
          <cell r="O18">
            <v>7314.45</v>
          </cell>
          <cell r="P18">
            <v>7314.45</v>
          </cell>
        </row>
        <row r="19">
          <cell r="E19">
            <v>3333.3333333333335</v>
          </cell>
          <cell r="F19">
            <v>3333.3333333333335</v>
          </cell>
          <cell r="G19">
            <v>3333.3333333333335</v>
          </cell>
          <cell r="H19">
            <v>3333.3333333333335</v>
          </cell>
          <cell r="I19">
            <v>3333.3333333333335</v>
          </cell>
          <cell r="J19">
            <v>3333.3333333333335</v>
          </cell>
          <cell r="K19">
            <v>3333.3333333333335</v>
          </cell>
          <cell r="L19">
            <v>3333.3333333333335</v>
          </cell>
          <cell r="M19">
            <v>3333.3333333333335</v>
          </cell>
          <cell r="N19">
            <v>3333.3333333333335</v>
          </cell>
          <cell r="O19">
            <v>3333.3333333333335</v>
          </cell>
          <cell r="P19">
            <v>3333.3333333333335</v>
          </cell>
        </row>
        <row r="20">
          <cell r="E20">
            <v>0</v>
          </cell>
          <cell r="F20">
            <v>0</v>
          </cell>
          <cell r="G20">
            <v>236515.84628571401</v>
          </cell>
          <cell r="H20">
            <v>0</v>
          </cell>
          <cell r="I20">
            <v>5487.6683999999896</v>
          </cell>
          <cell r="J20">
            <v>5487.6683999999896</v>
          </cell>
          <cell r="K20">
            <v>109470.6684</v>
          </cell>
          <cell r="L20">
            <v>15128.514685714201</v>
          </cell>
          <cell r="M20">
            <v>109470.6684</v>
          </cell>
          <cell r="N20">
            <v>5487.6683999999896</v>
          </cell>
          <cell r="O20">
            <v>5487.6683999999896</v>
          </cell>
          <cell r="P20">
            <v>5487.6683999999896</v>
          </cell>
        </row>
        <row r="21">
          <cell r="E21">
            <v>139380.42720000001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11581.203333333235</v>
          </cell>
          <cell r="F22">
            <v>11581.203333333235</v>
          </cell>
          <cell r="G22">
            <v>11581.203333333235</v>
          </cell>
          <cell r="H22">
            <v>11581.203333333235</v>
          </cell>
          <cell r="I22">
            <v>11581.203333333235</v>
          </cell>
          <cell r="J22">
            <v>11581.203333333235</v>
          </cell>
          <cell r="K22">
            <v>11581.203333333235</v>
          </cell>
          <cell r="L22">
            <v>11581.203333333235</v>
          </cell>
          <cell r="M22">
            <v>11581.203333333235</v>
          </cell>
          <cell r="N22">
            <v>11581.203333333235</v>
          </cell>
          <cell r="O22">
            <v>11581.203333333235</v>
          </cell>
          <cell r="P22">
            <v>11581.203333333235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10916.037250890535</v>
          </cell>
          <cell r="F24">
            <v>10916.037250890535</v>
          </cell>
          <cell r="G24">
            <v>10916.037250890535</v>
          </cell>
          <cell r="H24">
            <v>10916.037250890535</v>
          </cell>
          <cell r="I24">
            <v>10916.037250890535</v>
          </cell>
          <cell r="J24">
            <v>10916.037250890535</v>
          </cell>
          <cell r="K24">
            <v>9019.4380188905343</v>
          </cell>
          <cell r="L24">
            <v>10916.037250890535</v>
          </cell>
          <cell r="M24">
            <v>10916.037250890535</v>
          </cell>
          <cell r="N24">
            <v>10916.037250890535</v>
          </cell>
          <cell r="O24">
            <v>10916.037250890535</v>
          </cell>
          <cell r="P24">
            <v>10916.037250890535</v>
          </cell>
        </row>
        <row r="25">
          <cell r="E25">
            <v>0</v>
          </cell>
          <cell r="F25">
            <v>0</v>
          </cell>
          <cell r="G25">
            <v>42775.264559999901</v>
          </cell>
          <cell r="H25">
            <v>60967.8356099999</v>
          </cell>
          <cell r="I25">
            <v>60967.8356099999</v>
          </cell>
          <cell r="J25">
            <v>62987.486189999901</v>
          </cell>
          <cell r="K25">
            <v>29665.715189999901</v>
          </cell>
          <cell r="L25">
            <v>29665.715189999901</v>
          </cell>
          <cell r="M25">
            <v>29665.715189999901</v>
          </cell>
          <cell r="N25">
            <v>24576.335804999901</v>
          </cell>
          <cell r="O25">
            <v>11932.3696739999</v>
          </cell>
          <cell r="P25">
            <v>11932.3696739999</v>
          </cell>
        </row>
        <row r="26">
          <cell r="E26">
            <v>42762.113243834574</v>
          </cell>
          <cell r="F26">
            <v>87204.704123833799</v>
          </cell>
          <cell r="G26">
            <v>134497.57704367381</v>
          </cell>
          <cell r="H26">
            <v>134497.57704367381</v>
          </cell>
          <cell r="I26">
            <v>150775.93592383378</v>
          </cell>
          <cell r="J26">
            <v>116571.63510367372</v>
          </cell>
          <cell r="K26">
            <v>100293.27622351371</v>
          </cell>
          <cell r="L26">
            <v>134497.57704367381</v>
          </cell>
          <cell r="M26">
            <v>168747.94696190575</v>
          </cell>
          <cell r="N26">
            <v>159963.02897206572</v>
          </cell>
          <cell r="O26">
            <v>112202.65304190648</v>
          </cell>
          <cell r="P26">
            <v>109352.3710020665</v>
          </cell>
        </row>
        <row r="27">
          <cell r="E27">
            <v>2903.3251919999898</v>
          </cell>
          <cell r="F27">
            <v>10481.2029359999</v>
          </cell>
          <cell r="G27">
            <v>10481.2029359999</v>
          </cell>
          <cell r="H27">
            <v>7412.0344499999901</v>
          </cell>
          <cell r="I27">
            <v>2903.4364499999901</v>
          </cell>
          <cell r="J27">
            <v>10315.359641999899</v>
          </cell>
          <cell r="K27">
            <v>5806.7616419999904</v>
          </cell>
          <cell r="L27">
            <v>10315.359641999899</v>
          </cell>
          <cell r="M27">
            <v>10315.359641999899</v>
          </cell>
          <cell r="N27">
            <v>7711.7741169999899</v>
          </cell>
          <cell r="O27">
            <v>4808.4489249999897</v>
          </cell>
          <cell r="P27">
            <v>4808.4489249999897</v>
          </cell>
        </row>
        <row r="28">
          <cell r="E28">
            <v>6116.8058999999903</v>
          </cell>
          <cell r="F28">
            <v>6116.8058999999903</v>
          </cell>
          <cell r="G28">
            <v>8155.7411999999904</v>
          </cell>
          <cell r="H28">
            <v>8341.5685499999909</v>
          </cell>
          <cell r="I28">
            <v>7136.2735499999899</v>
          </cell>
          <cell r="J28">
            <v>6302.6332499999899</v>
          </cell>
          <cell r="K28">
            <v>5097.3382499999898</v>
          </cell>
          <cell r="L28">
            <v>8341.5685499999909</v>
          </cell>
          <cell r="M28">
            <v>8341.5685499999909</v>
          </cell>
          <cell r="N28">
            <v>7560.0881249999902</v>
          </cell>
          <cell r="O28">
            <v>5521.1528249999901</v>
          </cell>
          <cell r="P28">
            <v>5521.1528249999901</v>
          </cell>
        </row>
        <row r="29">
          <cell r="E29">
            <v>10704.021666666566</v>
          </cell>
          <cell r="F29">
            <v>18953.942166666569</v>
          </cell>
          <cell r="G29">
            <v>10704.021666666566</v>
          </cell>
          <cell r="H29">
            <v>18953.942166666569</v>
          </cell>
          <cell r="I29">
            <v>10704.021666666566</v>
          </cell>
          <cell r="J29">
            <v>18953.942166666569</v>
          </cell>
          <cell r="K29">
            <v>10704.021666666566</v>
          </cell>
          <cell r="L29">
            <v>18953.942166666569</v>
          </cell>
          <cell r="M29">
            <v>10704.021666666566</v>
          </cell>
          <cell r="N29">
            <v>18953.942166666569</v>
          </cell>
          <cell r="O29">
            <v>10704.021666666566</v>
          </cell>
          <cell r="P29">
            <v>18953.942166666569</v>
          </cell>
        </row>
        <row r="30">
          <cell r="E30">
            <v>4833.333333333333</v>
          </cell>
          <cell r="F30">
            <v>4833.333333333333</v>
          </cell>
          <cell r="G30">
            <v>4833.333333333333</v>
          </cell>
          <cell r="H30">
            <v>4833.333333333333</v>
          </cell>
          <cell r="I30">
            <v>4833.333333333333</v>
          </cell>
          <cell r="J30">
            <v>4833.333333333333</v>
          </cell>
          <cell r="K30">
            <v>4833.333333333333</v>
          </cell>
          <cell r="L30">
            <v>4833.333333333333</v>
          </cell>
          <cell r="M30">
            <v>4833.333333333333</v>
          </cell>
          <cell r="N30">
            <v>4833.333333333333</v>
          </cell>
          <cell r="O30">
            <v>4833.333333333333</v>
          </cell>
          <cell r="P30">
            <v>4833.333333333333</v>
          </cell>
        </row>
        <row r="31">
          <cell r="E31">
            <v>416.66666666666669</v>
          </cell>
          <cell r="F31">
            <v>416.66666666666669</v>
          </cell>
          <cell r="G31">
            <v>416.66666666666669</v>
          </cell>
          <cell r="H31">
            <v>416.66666666666669</v>
          </cell>
          <cell r="I31">
            <v>416.66666666666669</v>
          </cell>
          <cell r="J31">
            <v>416.66666666666669</v>
          </cell>
          <cell r="K31">
            <v>416.66666666666669</v>
          </cell>
          <cell r="L31">
            <v>416.66666666666669</v>
          </cell>
          <cell r="M31">
            <v>416.66666666666669</v>
          </cell>
          <cell r="N31">
            <v>416.66666666666669</v>
          </cell>
          <cell r="O31">
            <v>416.66666666666669</v>
          </cell>
          <cell r="P31">
            <v>416.66666666666669</v>
          </cell>
        </row>
        <row r="32">
          <cell r="E32">
            <v>377431.56</v>
          </cell>
          <cell r="F32">
            <v>335390.484</v>
          </cell>
          <cell r="G32">
            <v>306549.408</v>
          </cell>
          <cell r="H32">
            <v>335390.484</v>
          </cell>
          <cell r="I32">
            <v>364231.56</v>
          </cell>
          <cell r="J32">
            <v>430231.56</v>
          </cell>
          <cell r="K32">
            <v>188760</v>
          </cell>
          <cell r="L32">
            <v>90640</v>
          </cell>
          <cell r="M32">
            <v>2640</v>
          </cell>
          <cell r="N32">
            <v>2640</v>
          </cell>
          <cell r="O32">
            <v>0</v>
          </cell>
          <cell r="P32">
            <v>0</v>
          </cell>
        </row>
        <row r="33">
          <cell r="E33">
            <v>173469.38775510204</v>
          </cell>
          <cell r="F33">
            <v>156122.44897959183</v>
          </cell>
          <cell r="G33">
            <v>138775.51020408163</v>
          </cell>
          <cell r="H33">
            <v>156122.44897959183</v>
          </cell>
          <cell r="I33">
            <v>173469.38775510204</v>
          </cell>
          <cell r="J33">
            <v>173469.38775510204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464502.35000000003</v>
          </cell>
          <cell r="F34">
            <v>341954.9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30000</v>
          </cell>
          <cell r="L34">
            <v>45000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168979.5918367347</v>
          </cell>
          <cell r="F35">
            <v>112653.06122448981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14166.666666666666</v>
          </cell>
          <cell r="F36">
            <v>14166.666666666666</v>
          </cell>
          <cell r="G36">
            <v>14166.666666666666</v>
          </cell>
          <cell r="H36">
            <v>14166.666666666666</v>
          </cell>
          <cell r="I36">
            <v>14166.666666666666</v>
          </cell>
          <cell r="J36">
            <v>14166.666666666666</v>
          </cell>
          <cell r="K36">
            <v>14166.666666666666</v>
          </cell>
          <cell r="L36">
            <v>14166.666666666666</v>
          </cell>
          <cell r="M36">
            <v>14166.666666666666</v>
          </cell>
          <cell r="N36">
            <v>14166.666666666666</v>
          </cell>
          <cell r="O36">
            <v>14166.666666666666</v>
          </cell>
          <cell r="P36">
            <v>14166.666666666666</v>
          </cell>
        </row>
        <row r="37">
          <cell r="E37">
            <v>11666.666666666666</v>
          </cell>
          <cell r="F37">
            <v>11666.666666666666</v>
          </cell>
          <cell r="G37">
            <v>11666.666666666666</v>
          </cell>
          <cell r="H37">
            <v>11666.666666666666</v>
          </cell>
          <cell r="I37">
            <v>11666.666666666666</v>
          </cell>
          <cell r="J37">
            <v>11666.666666666666</v>
          </cell>
          <cell r="K37">
            <v>11666.666666666666</v>
          </cell>
          <cell r="L37">
            <v>11666.666666666666</v>
          </cell>
          <cell r="M37">
            <v>11666.666666666666</v>
          </cell>
          <cell r="N37">
            <v>11666.666666666666</v>
          </cell>
          <cell r="O37">
            <v>11666.666666666666</v>
          </cell>
          <cell r="P37">
            <v>11666.666666666666</v>
          </cell>
        </row>
        <row r="38">
          <cell r="E38">
            <v>1666.6666666666667</v>
          </cell>
          <cell r="F38">
            <v>1666.6666666666667</v>
          </cell>
          <cell r="G38">
            <v>1666.6666666666667</v>
          </cell>
          <cell r="H38">
            <v>1666.6666666666667</v>
          </cell>
          <cell r="I38">
            <v>1666.6666666666667</v>
          </cell>
          <cell r="J38">
            <v>1666.6666666666667</v>
          </cell>
          <cell r="K38">
            <v>1666.6666666666667</v>
          </cell>
          <cell r="L38">
            <v>1666.6666666666667</v>
          </cell>
          <cell r="M38">
            <v>1666.6666666666667</v>
          </cell>
          <cell r="N38">
            <v>1666.6666666666667</v>
          </cell>
          <cell r="O38">
            <v>1666.6666666666667</v>
          </cell>
          <cell r="P38">
            <v>1666.6666666666667</v>
          </cell>
        </row>
        <row r="39">
          <cell r="E39">
            <v>83.333333333333329</v>
          </cell>
          <cell r="F39">
            <v>83.333333333333329</v>
          </cell>
          <cell r="G39">
            <v>83.333333333333329</v>
          </cell>
          <cell r="H39">
            <v>83.333333333333329</v>
          </cell>
          <cell r="I39">
            <v>83.333333333333329</v>
          </cell>
          <cell r="J39">
            <v>83.333333333333329</v>
          </cell>
          <cell r="K39">
            <v>83.333333333333329</v>
          </cell>
          <cell r="L39">
            <v>83.333333333333329</v>
          </cell>
          <cell r="M39">
            <v>83.333333333333329</v>
          </cell>
          <cell r="N39">
            <v>83.333333333333329</v>
          </cell>
          <cell r="O39">
            <v>83.333333333333329</v>
          </cell>
          <cell r="P39">
            <v>83.333333333333329</v>
          </cell>
        </row>
        <row r="40">
          <cell r="E40">
            <v>5833.333333333333</v>
          </cell>
          <cell r="F40">
            <v>5833.333333333333</v>
          </cell>
          <cell r="G40">
            <v>5833.333333333333</v>
          </cell>
          <cell r="H40">
            <v>5833.333333333333</v>
          </cell>
          <cell r="I40">
            <v>5833.333333333333</v>
          </cell>
          <cell r="J40">
            <v>5833.333333333333</v>
          </cell>
          <cell r="K40">
            <v>5833.333333333333</v>
          </cell>
          <cell r="L40">
            <v>5833.333333333333</v>
          </cell>
          <cell r="M40">
            <v>5833.333333333333</v>
          </cell>
          <cell r="N40">
            <v>5833.333333333333</v>
          </cell>
          <cell r="O40">
            <v>5833.333333333333</v>
          </cell>
          <cell r="P40">
            <v>5833.333333333333</v>
          </cell>
        </row>
        <row r="41">
          <cell r="E41">
            <v>11833.333333333334</v>
          </cell>
          <cell r="F41">
            <v>11833.333333333334</v>
          </cell>
          <cell r="G41">
            <v>11833.333333333334</v>
          </cell>
          <cell r="H41">
            <v>11833.333333333334</v>
          </cell>
          <cell r="I41">
            <v>11833.333333333334</v>
          </cell>
          <cell r="J41">
            <v>11833.333333333334</v>
          </cell>
          <cell r="K41">
            <v>11833.333333333334</v>
          </cell>
          <cell r="L41">
            <v>11833.333333333334</v>
          </cell>
          <cell r="M41">
            <v>11833.333333333334</v>
          </cell>
          <cell r="N41">
            <v>11833.333333333334</v>
          </cell>
          <cell r="O41">
            <v>11833.333333333334</v>
          </cell>
          <cell r="P41">
            <v>11833.333333333334</v>
          </cell>
        </row>
        <row r="42">
          <cell r="E42">
            <v>79506.45</v>
          </cell>
          <cell r="F42">
            <v>79506.45</v>
          </cell>
          <cell r="G42">
            <v>79506.45</v>
          </cell>
          <cell r="H42">
            <v>79506.45</v>
          </cell>
          <cell r="I42">
            <v>79506.45</v>
          </cell>
          <cell r="J42">
            <v>79506.45</v>
          </cell>
          <cell r="K42">
            <v>79506.45</v>
          </cell>
          <cell r="L42">
            <v>79506.45</v>
          </cell>
          <cell r="M42">
            <v>79506.45</v>
          </cell>
          <cell r="N42">
            <v>79506.45</v>
          </cell>
          <cell r="O42">
            <v>79506.45</v>
          </cell>
          <cell r="P42">
            <v>79506.45</v>
          </cell>
        </row>
        <row r="43">
          <cell r="E43">
            <v>3495.25</v>
          </cell>
          <cell r="F43">
            <v>3495.25</v>
          </cell>
          <cell r="G43">
            <v>3495.25</v>
          </cell>
          <cell r="H43">
            <v>3495.25</v>
          </cell>
          <cell r="I43">
            <v>3495.25</v>
          </cell>
          <cell r="J43">
            <v>3495.25</v>
          </cell>
          <cell r="K43">
            <v>3495.25</v>
          </cell>
          <cell r="L43">
            <v>3495.25</v>
          </cell>
          <cell r="M43">
            <v>3495.25</v>
          </cell>
          <cell r="N43">
            <v>3495.25</v>
          </cell>
          <cell r="O43">
            <v>3495.25</v>
          </cell>
          <cell r="P43">
            <v>3495.25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2083.3333333333335</v>
          </cell>
          <cell r="F48">
            <v>2083.3333333333335</v>
          </cell>
          <cell r="G48">
            <v>2083.3333333333335</v>
          </cell>
          <cell r="H48">
            <v>2083.3333333333335</v>
          </cell>
          <cell r="I48">
            <v>2083.3333333333335</v>
          </cell>
          <cell r="J48">
            <v>2083.3333333333335</v>
          </cell>
          <cell r="K48">
            <v>2083.3333333333335</v>
          </cell>
          <cell r="L48">
            <v>2083.3333333333335</v>
          </cell>
          <cell r="M48">
            <v>2083.3333333333335</v>
          </cell>
          <cell r="N48">
            <v>2083.3333333333335</v>
          </cell>
          <cell r="O48">
            <v>2083.3333333333335</v>
          </cell>
          <cell r="P48">
            <v>2083.3333333333335</v>
          </cell>
        </row>
        <row r="49">
          <cell r="E49">
            <v>4200</v>
          </cell>
          <cell r="F49">
            <v>4200</v>
          </cell>
          <cell r="G49">
            <v>4200</v>
          </cell>
          <cell r="H49">
            <v>4200</v>
          </cell>
          <cell r="I49">
            <v>4200</v>
          </cell>
          <cell r="J49">
            <v>4200</v>
          </cell>
          <cell r="K49">
            <v>4200</v>
          </cell>
          <cell r="L49">
            <v>4200</v>
          </cell>
          <cell r="M49">
            <v>4200</v>
          </cell>
          <cell r="N49">
            <v>4200</v>
          </cell>
          <cell r="O49">
            <v>4200</v>
          </cell>
          <cell r="P49">
            <v>4200</v>
          </cell>
        </row>
        <row r="50">
          <cell r="E50">
            <v>415.16666666666669</v>
          </cell>
          <cell r="F50">
            <v>415.16666666666669</v>
          </cell>
          <cell r="G50">
            <v>415.16666666666669</v>
          </cell>
          <cell r="H50">
            <v>415.16666666666669</v>
          </cell>
          <cell r="I50">
            <v>415.16666666666669</v>
          </cell>
          <cell r="J50">
            <v>415.16666666666669</v>
          </cell>
          <cell r="K50">
            <v>415.16666666666669</v>
          </cell>
          <cell r="L50">
            <v>415.16666666666669</v>
          </cell>
          <cell r="M50">
            <v>415.16666666666669</v>
          </cell>
          <cell r="N50">
            <v>415.16666666666669</v>
          </cell>
          <cell r="O50">
            <v>415.16666666666669</v>
          </cell>
          <cell r="P50">
            <v>415.16666666666669</v>
          </cell>
        </row>
        <row r="51">
          <cell r="E51">
            <v>312.04475000000002</v>
          </cell>
          <cell r="F51">
            <v>312.04475000000002</v>
          </cell>
          <cell r="G51">
            <v>312.04475000000002</v>
          </cell>
          <cell r="H51">
            <v>312.04475000000002</v>
          </cell>
          <cell r="I51">
            <v>312.04475000000002</v>
          </cell>
          <cell r="J51">
            <v>312.04475000000002</v>
          </cell>
          <cell r="K51">
            <v>312.04475000000002</v>
          </cell>
          <cell r="L51">
            <v>312.04475000000002</v>
          </cell>
          <cell r="M51">
            <v>312.04475000000002</v>
          </cell>
          <cell r="N51">
            <v>312.04475000000002</v>
          </cell>
          <cell r="O51">
            <v>312.04475000000002</v>
          </cell>
          <cell r="P51">
            <v>312.04475000000002</v>
          </cell>
        </row>
        <row r="52">
          <cell r="E52">
            <v>1250</v>
          </cell>
          <cell r="F52">
            <v>1250</v>
          </cell>
          <cell r="G52">
            <v>1250</v>
          </cell>
          <cell r="H52">
            <v>1250</v>
          </cell>
          <cell r="I52">
            <v>1250</v>
          </cell>
          <cell r="J52">
            <v>1250</v>
          </cell>
          <cell r="K52">
            <v>1250</v>
          </cell>
          <cell r="L52">
            <v>1250</v>
          </cell>
          <cell r="M52">
            <v>1250</v>
          </cell>
          <cell r="N52">
            <v>1250</v>
          </cell>
          <cell r="O52">
            <v>1250</v>
          </cell>
          <cell r="P52">
            <v>1250</v>
          </cell>
        </row>
        <row r="53">
          <cell r="E53">
            <v>416.66666666666669</v>
          </cell>
          <cell r="F53">
            <v>416.66666666666669</v>
          </cell>
          <cell r="G53">
            <v>416.66666666666669</v>
          </cell>
          <cell r="H53">
            <v>416.66666666666669</v>
          </cell>
          <cell r="I53">
            <v>416.66666666666669</v>
          </cell>
          <cell r="J53">
            <v>416.66666666666669</v>
          </cell>
          <cell r="K53">
            <v>416.66666666666669</v>
          </cell>
          <cell r="L53">
            <v>416.66666666666669</v>
          </cell>
          <cell r="M53">
            <v>416.66666666666669</v>
          </cell>
          <cell r="N53">
            <v>416.66666666666669</v>
          </cell>
          <cell r="O53">
            <v>416.66666666666669</v>
          </cell>
          <cell r="P53">
            <v>416.66666666666669</v>
          </cell>
        </row>
        <row r="54">
          <cell r="E54">
            <v>24475.45357142857</v>
          </cell>
          <cell r="F54">
            <v>24475.45357142857</v>
          </cell>
          <cell r="G54">
            <v>24475.45357142857</v>
          </cell>
          <cell r="H54">
            <v>24475.45357142857</v>
          </cell>
          <cell r="I54">
            <v>24475.45357142857</v>
          </cell>
          <cell r="J54">
            <v>24475.45357142857</v>
          </cell>
          <cell r="K54">
            <v>24475.45357142857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-15307.223183391005</v>
          </cell>
          <cell r="F56">
            <v>-15307.223183391005</v>
          </cell>
          <cell r="G56">
            <v>-15307.223183391005</v>
          </cell>
          <cell r="H56">
            <v>-15307.223183391005</v>
          </cell>
          <cell r="I56">
            <v>-15307.223183391005</v>
          </cell>
          <cell r="J56">
            <v>-15307.223183391005</v>
          </cell>
          <cell r="K56">
            <v>-15307.223183391005</v>
          </cell>
          <cell r="L56">
            <v>-15307.223183391005</v>
          </cell>
          <cell r="M56">
            <v>-15307.223183391005</v>
          </cell>
          <cell r="N56">
            <v>-15307.223183391005</v>
          </cell>
          <cell r="O56">
            <v>-15307.223183391005</v>
          </cell>
          <cell r="P56">
            <v>-15307.223183391005</v>
          </cell>
        </row>
        <row r="57">
          <cell r="E57">
            <v>-5102.4077277970009</v>
          </cell>
          <cell r="F57">
            <v>-5102.4077277970009</v>
          </cell>
          <cell r="G57">
            <v>-5102.4077277970009</v>
          </cell>
          <cell r="H57">
            <v>-5102.4077277970009</v>
          </cell>
          <cell r="I57">
            <v>-5102.4077277970009</v>
          </cell>
          <cell r="J57">
            <v>-5102.4077277970009</v>
          </cell>
          <cell r="K57">
            <v>-5102.4077277970009</v>
          </cell>
          <cell r="L57">
            <v>-5102.4077277970009</v>
          </cell>
          <cell r="M57">
            <v>-5102.4077277970009</v>
          </cell>
          <cell r="N57">
            <v>-5102.4077277970009</v>
          </cell>
          <cell r="O57">
            <v>-5102.4077277970009</v>
          </cell>
          <cell r="P57">
            <v>-5102.4077277970009</v>
          </cell>
        </row>
      </sheetData>
      <sheetData sheetId="12" refreshError="1">
        <row r="1">
          <cell r="G1">
            <v>390.01</v>
          </cell>
        </row>
        <row r="4">
          <cell r="E4">
            <v>57892.989960000006</v>
          </cell>
          <cell r="F4">
            <v>92869.989960000006</v>
          </cell>
          <cell r="G4">
            <v>57892.989960000006</v>
          </cell>
          <cell r="H4">
            <v>57892.989960000006</v>
          </cell>
          <cell r="I4">
            <v>57892.989960000006</v>
          </cell>
          <cell r="J4">
            <v>57892.989960000006</v>
          </cell>
          <cell r="K4">
            <v>57892.989960000006</v>
          </cell>
          <cell r="L4">
            <v>62524.429156800012</v>
          </cell>
          <cell r="M4">
            <v>62524.429156800012</v>
          </cell>
          <cell r="N4">
            <v>62524.429156800012</v>
          </cell>
          <cell r="O4">
            <v>62524.429156800012</v>
          </cell>
          <cell r="P4">
            <v>62524.429156800012</v>
          </cell>
        </row>
        <row r="5">
          <cell r="E5">
            <v>2916.6666666666665</v>
          </cell>
          <cell r="F5">
            <v>2916.6666666666665</v>
          </cell>
          <cell r="G5">
            <v>2916.6666666666665</v>
          </cell>
          <cell r="H5">
            <v>2916.6666666666665</v>
          </cell>
          <cell r="I5">
            <v>2916.6666666666665</v>
          </cell>
          <cell r="J5">
            <v>2916.6666666666665</v>
          </cell>
          <cell r="K5">
            <v>2916.6666666666665</v>
          </cell>
          <cell r="L5">
            <v>2916.6666666666665</v>
          </cell>
          <cell r="M5">
            <v>2916.6666666666665</v>
          </cell>
          <cell r="N5">
            <v>2916.6666666666665</v>
          </cell>
          <cell r="O5">
            <v>2916.6666666666665</v>
          </cell>
          <cell r="P5">
            <v>2916.6666666666665</v>
          </cell>
        </row>
        <row r="6">
          <cell r="E6">
            <v>7637.8842413333341</v>
          </cell>
          <cell r="F6">
            <v>7637.8842413333341</v>
          </cell>
          <cell r="G6">
            <v>7637.8842413333341</v>
          </cell>
          <cell r="H6">
            <v>7637.8842413333341</v>
          </cell>
          <cell r="I6">
            <v>7637.8842413333341</v>
          </cell>
          <cell r="J6">
            <v>7637.8842413333341</v>
          </cell>
          <cell r="K6">
            <v>7637.8842413333341</v>
          </cell>
          <cell r="L6">
            <v>8221.8483139733362</v>
          </cell>
          <cell r="M6">
            <v>8221.8483139733362</v>
          </cell>
          <cell r="N6">
            <v>8221.8483139733362</v>
          </cell>
          <cell r="O6">
            <v>8221.8483139733362</v>
          </cell>
          <cell r="P6">
            <v>8221.8483139733362</v>
          </cell>
        </row>
        <row r="7">
          <cell r="E7">
            <v>5925.9446699999999</v>
          </cell>
          <cell r="F7">
            <v>5925.9446699999999</v>
          </cell>
          <cell r="G7">
            <v>5925.9446699999999</v>
          </cell>
          <cell r="H7">
            <v>5925.9446699999999</v>
          </cell>
          <cell r="I7">
            <v>5925.9446699999999</v>
          </cell>
          <cell r="J7">
            <v>5925.9446699999999</v>
          </cell>
          <cell r="K7">
            <v>5925.9446699999999</v>
          </cell>
          <cell r="L7">
            <v>6379.0202436000009</v>
          </cell>
          <cell r="M7">
            <v>6379.0202436000009</v>
          </cell>
          <cell r="N7">
            <v>6379.0202436000009</v>
          </cell>
          <cell r="O7">
            <v>6379.0202436000009</v>
          </cell>
          <cell r="P7">
            <v>6379.0202436000009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66936.136984200013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6176.1512227333342</v>
          </cell>
          <cell r="F9">
            <v>6176.1512227333342</v>
          </cell>
          <cell r="G9">
            <v>6176.1512227333342</v>
          </cell>
          <cell r="H9">
            <v>6176.1512227333342</v>
          </cell>
          <cell r="I9">
            <v>6176.1512227333342</v>
          </cell>
          <cell r="J9">
            <v>6176.1512227333342</v>
          </cell>
          <cell r="K9">
            <v>6176.1512227333342</v>
          </cell>
          <cell r="L9">
            <v>6648.3566538853347</v>
          </cell>
          <cell r="M9">
            <v>6648.3566538853347</v>
          </cell>
          <cell r="N9">
            <v>6648.3566538853347</v>
          </cell>
          <cell r="O9">
            <v>6648.3566538853347</v>
          </cell>
          <cell r="P9">
            <v>6648.3566538853347</v>
          </cell>
        </row>
        <row r="10">
          <cell r="E10">
            <v>4000</v>
          </cell>
          <cell r="F10">
            <v>4000</v>
          </cell>
          <cell r="G10">
            <v>4000</v>
          </cell>
          <cell r="H10">
            <v>4000</v>
          </cell>
          <cell r="I10">
            <v>4000</v>
          </cell>
          <cell r="J10">
            <v>4000</v>
          </cell>
          <cell r="K10">
            <v>4000</v>
          </cell>
          <cell r="L10">
            <v>4000</v>
          </cell>
          <cell r="M10">
            <v>4000</v>
          </cell>
          <cell r="N10">
            <v>4000</v>
          </cell>
          <cell r="O10">
            <v>4000</v>
          </cell>
          <cell r="P10">
            <v>4000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E14">
            <v>2250</v>
          </cell>
          <cell r="F14">
            <v>2250</v>
          </cell>
          <cell r="G14">
            <v>2250</v>
          </cell>
          <cell r="H14">
            <v>2250</v>
          </cell>
          <cell r="I14">
            <v>2250</v>
          </cell>
          <cell r="J14">
            <v>2250</v>
          </cell>
          <cell r="K14">
            <v>2250</v>
          </cell>
          <cell r="L14">
            <v>2250</v>
          </cell>
          <cell r="M14">
            <v>2250</v>
          </cell>
          <cell r="N14">
            <v>2250</v>
          </cell>
          <cell r="O14">
            <v>2250</v>
          </cell>
          <cell r="P14">
            <v>2250</v>
          </cell>
        </row>
        <row r="15">
          <cell r="E15">
            <v>8206.2000000000007</v>
          </cell>
          <cell r="F15">
            <v>8206.2000000000007</v>
          </cell>
          <cell r="G15">
            <v>8206.2000000000007</v>
          </cell>
          <cell r="H15">
            <v>8206.2000000000007</v>
          </cell>
          <cell r="I15">
            <v>8206.2000000000007</v>
          </cell>
          <cell r="J15">
            <v>8206.2000000000007</v>
          </cell>
          <cell r="K15">
            <v>8846.4</v>
          </cell>
          <cell r="L15">
            <v>8206.2000000000007</v>
          </cell>
          <cell r="M15">
            <v>8206.2000000000007</v>
          </cell>
          <cell r="N15">
            <v>8206.2000000000007</v>
          </cell>
          <cell r="O15">
            <v>8206.2000000000007</v>
          </cell>
          <cell r="P15">
            <v>8206.2000000000007</v>
          </cell>
        </row>
        <row r="16">
          <cell r="E16">
            <v>1666.6666666666667</v>
          </cell>
          <cell r="F16">
            <v>1666.6666666666667</v>
          </cell>
          <cell r="G16">
            <v>1666.6666666666667</v>
          </cell>
          <cell r="H16">
            <v>1666.6666666666667</v>
          </cell>
          <cell r="I16">
            <v>1666.6666666666667</v>
          </cell>
          <cell r="J16">
            <v>1666.6666666666667</v>
          </cell>
          <cell r="K16">
            <v>1666.6666666666667</v>
          </cell>
          <cell r="L16">
            <v>1666.6666666666667</v>
          </cell>
          <cell r="M16">
            <v>1666.6666666666667</v>
          </cell>
          <cell r="N16">
            <v>1666.6666666666667</v>
          </cell>
          <cell r="O16">
            <v>1666.6666666666667</v>
          </cell>
          <cell r="P16">
            <v>1666.6666666666667</v>
          </cell>
        </row>
        <row r="17">
          <cell r="E17">
            <v>37778.400000000001</v>
          </cell>
          <cell r="F17">
            <v>37778.400000000001</v>
          </cell>
          <cell r="G17">
            <v>37778.400000000001</v>
          </cell>
          <cell r="H17">
            <v>37778.400000000001</v>
          </cell>
          <cell r="I17">
            <v>37778.400000000001</v>
          </cell>
          <cell r="J17">
            <v>37778.400000000001</v>
          </cell>
          <cell r="K17">
            <v>37778.400000000001</v>
          </cell>
          <cell r="L17">
            <v>37778.400000000001</v>
          </cell>
          <cell r="M17">
            <v>37778.400000000001</v>
          </cell>
          <cell r="N17">
            <v>37778.400000000001</v>
          </cell>
          <cell r="O17">
            <v>37778.400000000001</v>
          </cell>
          <cell r="P17">
            <v>37778.400000000001</v>
          </cell>
        </row>
        <row r="18">
          <cell r="E18">
            <v>6501.7333333333336</v>
          </cell>
          <cell r="F18">
            <v>6501.7333333333336</v>
          </cell>
          <cell r="G18">
            <v>6501.7333333333336</v>
          </cell>
          <cell r="H18">
            <v>6501.7333333333336</v>
          </cell>
          <cell r="I18">
            <v>6501.7333333333336</v>
          </cell>
          <cell r="J18">
            <v>6501.7333333333336</v>
          </cell>
          <cell r="K18">
            <v>6501.7333333333336</v>
          </cell>
          <cell r="L18">
            <v>6501.7333333333336</v>
          </cell>
          <cell r="M18">
            <v>6501.7333333333336</v>
          </cell>
          <cell r="N18">
            <v>6501.7333333333336</v>
          </cell>
          <cell r="O18">
            <v>6501.7333333333336</v>
          </cell>
          <cell r="P18">
            <v>6501.7333333333336</v>
          </cell>
        </row>
        <row r="19">
          <cell r="E19">
            <v>2500</v>
          </cell>
          <cell r="F19">
            <v>2500</v>
          </cell>
          <cell r="G19">
            <v>2500</v>
          </cell>
          <cell r="H19">
            <v>2500</v>
          </cell>
          <cell r="I19">
            <v>2500</v>
          </cell>
          <cell r="J19">
            <v>2500</v>
          </cell>
          <cell r="K19">
            <v>2500</v>
          </cell>
          <cell r="L19">
            <v>2500</v>
          </cell>
          <cell r="M19">
            <v>2500</v>
          </cell>
          <cell r="N19">
            <v>2500</v>
          </cell>
          <cell r="O19">
            <v>2500</v>
          </cell>
          <cell r="P19">
            <v>2500</v>
          </cell>
        </row>
        <row r="20">
          <cell r="E20">
            <v>0</v>
          </cell>
          <cell r="F20">
            <v>0</v>
          </cell>
          <cell r="G20">
            <v>335465.90490285697</v>
          </cell>
          <cell r="H20">
            <v>0</v>
          </cell>
          <cell r="I20">
            <v>8079.24</v>
          </cell>
          <cell r="J20">
            <v>8079.24</v>
          </cell>
          <cell r="K20">
            <v>156084.24</v>
          </cell>
          <cell r="L20">
            <v>22345.144902857101</v>
          </cell>
          <cell r="M20">
            <v>32873.24</v>
          </cell>
          <cell r="N20">
            <v>8079.24</v>
          </cell>
          <cell r="O20">
            <v>8079.24</v>
          </cell>
          <cell r="P20">
            <v>8079.24</v>
          </cell>
        </row>
        <row r="21">
          <cell r="E21">
            <v>133913.64300000001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17050.499999999902</v>
          </cell>
          <cell r="F22">
            <v>17050.499999999902</v>
          </cell>
          <cell r="G22">
            <v>17050.499999999902</v>
          </cell>
          <cell r="H22">
            <v>17050.499999999902</v>
          </cell>
          <cell r="I22">
            <v>17050.499999999902</v>
          </cell>
          <cell r="J22">
            <v>17050.499999999902</v>
          </cell>
          <cell r="K22">
            <v>17050.499999999902</v>
          </cell>
          <cell r="L22">
            <v>17050.499999999902</v>
          </cell>
          <cell r="M22">
            <v>17050.499999999902</v>
          </cell>
          <cell r="N22">
            <v>17050.499999999902</v>
          </cell>
          <cell r="O22">
            <v>17050.499999999902</v>
          </cell>
          <cell r="P22">
            <v>17050.499999999902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16152.870966447266</v>
          </cell>
          <cell r="F24">
            <v>16152.870966447266</v>
          </cell>
          <cell r="G24">
            <v>16152.870966447266</v>
          </cell>
          <cell r="H24">
            <v>16152.870966447266</v>
          </cell>
          <cell r="I24">
            <v>16152.870966447266</v>
          </cell>
          <cell r="J24">
            <v>16152.870966447266</v>
          </cell>
          <cell r="K24">
            <v>13346.405280687268</v>
          </cell>
          <cell r="L24">
            <v>16152.870966447266</v>
          </cell>
          <cell r="M24">
            <v>16152.870966447266</v>
          </cell>
          <cell r="N24">
            <v>16152.870966447266</v>
          </cell>
          <cell r="O24">
            <v>16152.870966447266</v>
          </cell>
          <cell r="P24">
            <v>16152.870966447266</v>
          </cell>
        </row>
        <row r="25">
          <cell r="E25">
            <v>0</v>
          </cell>
          <cell r="F25">
            <v>0</v>
          </cell>
          <cell r="G25">
            <v>71359.47</v>
          </cell>
          <cell r="H25">
            <v>106526.97900000001</v>
          </cell>
          <cell r="I25">
            <v>106526.978999999</v>
          </cell>
          <cell r="J25">
            <v>109500.417</v>
          </cell>
          <cell r="K25">
            <v>60442.317000000003</v>
          </cell>
          <cell r="L25">
            <v>60442.317000000003</v>
          </cell>
          <cell r="M25">
            <v>60442.317000000003</v>
          </cell>
          <cell r="N25">
            <v>55016.724866999997</v>
          </cell>
          <cell r="O25">
            <v>31092.241946999999</v>
          </cell>
          <cell r="P25">
            <v>31092.241946999999</v>
          </cell>
        </row>
        <row r="26">
          <cell r="E26">
            <v>62894.778898133336</v>
          </cell>
          <cell r="F26">
            <v>128325.54689813334</v>
          </cell>
          <cell r="G26">
            <v>197952.65312213334</v>
          </cell>
          <cell r="H26">
            <v>197952.65312213334</v>
          </cell>
          <cell r="I26">
            <v>221918.52689813331</v>
          </cell>
          <cell r="J26">
            <v>171561.11912213333</v>
          </cell>
          <cell r="K26">
            <v>147595.24534613334</v>
          </cell>
          <cell r="L26">
            <v>197952.65312213334</v>
          </cell>
          <cell r="M26">
            <v>248377.88629733335</v>
          </cell>
          <cell r="N26">
            <v>239440.85500333246</v>
          </cell>
          <cell r="O26">
            <v>175068.49842733331</v>
          </cell>
          <cell r="P26">
            <v>170872.16020333336</v>
          </cell>
        </row>
        <row r="27">
          <cell r="E27">
            <v>2849.6208000000001</v>
          </cell>
          <cell r="F27">
            <v>10287.3264</v>
          </cell>
          <cell r="G27">
            <v>10287.3264</v>
          </cell>
          <cell r="H27">
            <v>10912.395</v>
          </cell>
          <cell r="I27">
            <v>4274.5950000000003</v>
          </cell>
          <cell r="J27">
            <v>13762.015799999999</v>
          </cell>
          <cell r="K27">
            <v>7124.2157999999999</v>
          </cell>
          <cell r="L27">
            <v>13762.015799999999</v>
          </cell>
          <cell r="M27">
            <v>13762.015799999999</v>
          </cell>
          <cell r="N27">
            <v>11682.225235</v>
          </cell>
          <cell r="O27">
            <v>8832.6044349999993</v>
          </cell>
          <cell r="P27">
            <v>8832.6044349999993</v>
          </cell>
        </row>
        <row r="28">
          <cell r="E28">
            <v>9005.49</v>
          </cell>
          <cell r="F28">
            <v>9005.49</v>
          </cell>
          <cell r="G28">
            <v>12007.32</v>
          </cell>
          <cell r="H28">
            <v>12280.905000000001</v>
          </cell>
          <cell r="I28">
            <v>10506.405000000001</v>
          </cell>
          <cell r="J28">
            <v>9279.0750000000007</v>
          </cell>
          <cell r="K28">
            <v>7504.5749999999998</v>
          </cell>
          <cell r="L28">
            <v>12280.905000000001</v>
          </cell>
          <cell r="M28">
            <v>12280.905000000001</v>
          </cell>
          <cell r="N28">
            <v>11656.644495</v>
          </cell>
          <cell r="O28">
            <v>8654.8144950000005</v>
          </cell>
          <cell r="P28">
            <v>8654.8144950000005</v>
          </cell>
        </row>
        <row r="29">
          <cell r="E29">
            <v>15846.698333333336</v>
          </cell>
          <cell r="F29">
            <v>19119.313333333332</v>
          </cell>
          <cell r="G29">
            <v>15846.698333333336</v>
          </cell>
          <cell r="H29">
            <v>19119.313333333332</v>
          </cell>
          <cell r="I29">
            <v>15846.698333333336</v>
          </cell>
          <cell r="J29">
            <v>19119.313333333332</v>
          </cell>
          <cell r="K29">
            <v>15846.698333333336</v>
          </cell>
          <cell r="L29">
            <v>19119.313333333332</v>
          </cell>
          <cell r="M29">
            <v>15846.698333333336</v>
          </cell>
          <cell r="N29">
            <v>19119.313333333332</v>
          </cell>
          <cell r="O29">
            <v>15846.698333333336</v>
          </cell>
          <cell r="P29">
            <v>19119.313333333332</v>
          </cell>
        </row>
        <row r="30">
          <cell r="E30">
            <v>2500</v>
          </cell>
          <cell r="F30">
            <v>2500</v>
          </cell>
          <cell r="G30">
            <v>2500</v>
          </cell>
          <cell r="H30">
            <v>2500</v>
          </cell>
          <cell r="I30">
            <v>2500</v>
          </cell>
          <cell r="J30">
            <v>2500</v>
          </cell>
          <cell r="K30">
            <v>2500</v>
          </cell>
          <cell r="L30">
            <v>2500</v>
          </cell>
          <cell r="M30">
            <v>2500</v>
          </cell>
          <cell r="N30">
            <v>2500</v>
          </cell>
          <cell r="O30">
            <v>2500</v>
          </cell>
          <cell r="P30">
            <v>2500</v>
          </cell>
        </row>
        <row r="31">
          <cell r="E31">
            <v>416.66666666666669</v>
          </cell>
          <cell r="F31">
            <v>416.66666666666669</v>
          </cell>
          <cell r="G31">
            <v>416.66666666666669</v>
          </cell>
          <cell r="H31">
            <v>416.66666666666669</v>
          </cell>
          <cell r="I31">
            <v>416.66666666666669</v>
          </cell>
          <cell r="J31">
            <v>416.66666666666669</v>
          </cell>
          <cell r="K31">
            <v>416.66666666666669</v>
          </cell>
          <cell r="L31">
            <v>416.66666666666669</v>
          </cell>
          <cell r="M31">
            <v>416.66666666666669</v>
          </cell>
          <cell r="N31">
            <v>416.66666666666669</v>
          </cell>
          <cell r="O31">
            <v>416.66666666666669</v>
          </cell>
          <cell r="P31">
            <v>416.66666666666669</v>
          </cell>
        </row>
        <row r="32">
          <cell r="E32">
            <v>531514.67599999998</v>
          </cell>
          <cell r="F32">
            <v>35376</v>
          </cell>
          <cell r="G32">
            <v>324784.41600000003</v>
          </cell>
          <cell r="H32">
            <v>422422.57200000004</v>
          </cell>
          <cell r="I32">
            <v>432982.57200000004</v>
          </cell>
          <cell r="J32">
            <v>492822.57200000004</v>
          </cell>
          <cell r="K32">
            <v>565876.52</v>
          </cell>
          <cell r="L32">
            <v>67760</v>
          </cell>
          <cell r="M32">
            <v>4400</v>
          </cell>
          <cell r="N32">
            <v>4400</v>
          </cell>
          <cell r="O32">
            <v>0</v>
          </cell>
          <cell r="P32">
            <v>0</v>
          </cell>
        </row>
        <row r="33">
          <cell r="E33">
            <v>225510.20408163263</v>
          </cell>
          <cell r="F33">
            <v>0</v>
          </cell>
          <cell r="G33">
            <v>138775.51020408163</v>
          </cell>
          <cell r="H33">
            <v>190816.32653061225</v>
          </cell>
          <cell r="I33">
            <v>190816.32653061225</v>
          </cell>
          <cell r="J33">
            <v>190816.32653061225</v>
          </cell>
          <cell r="K33">
            <v>173469.38775510204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16666.666666666668</v>
          </cell>
          <cell r="F36">
            <v>16666.666666666668</v>
          </cell>
          <cell r="G36">
            <v>16666.666666666668</v>
          </cell>
          <cell r="H36">
            <v>16666.666666666668</v>
          </cell>
          <cell r="I36">
            <v>16666.666666666668</v>
          </cell>
          <cell r="J36">
            <v>16666.666666666668</v>
          </cell>
          <cell r="K36">
            <v>16666.666666666668</v>
          </cell>
          <cell r="L36">
            <v>16666.666666666668</v>
          </cell>
          <cell r="M36">
            <v>16666.666666666668</v>
          </cell>
          <cell r="N36">
            <v>16666.666666666668</v>
          </cell>
          <cell r="O36">
            <v>16666.666666666668</v>
          </cell>
          <cell r="P36">
            <v>16666.666666666668</v>
          </cell>
        </row>
        <row r="37">
          <cell r="E37">
            <v>13333.333333333334</v>
          </cell>
          <cell r="F37">
            <v>13333.333333333334</v>
          </cell>
          <cell r="G37">
            <v>13333.333333333334</v>
          </cell>
          <cell r="H37">
            <v>13333.333333333334</v>
          </cell>
          <cell r="I37">
            <v>13333.333333333334</v>
          </cell>
          <cell r="J37">
            <v>13333.333333333334</v>
          </cell>
          <cell r="K37">
            <v>13333.333333333334</v>
          </cell>
          <cell r="L37">
            <v>13333.333333333334</v>
          </cell>
          <cell r="M37">
            <v>13333.333333333334</v>
          </cell>
          <cell r="N37">
            <v>13333.333333333334</v>
          </cell>
          <cell r="O37">
            <v>13333.333333333334</v>
          </cell>
          <cell r="P37">
            <v>13333.333333333334</v>
          </cell>
        </row>
        <row r="38">
          <cell r="E38">
            <v>833.33333333333337</v>
          </cell>
          <cell r="F38">
            <v>833.33333333333337</v>
          </cell>
          <cell r="G38">
            <v>833.33333333333337</v>
          </cell>
          <cell r="H38">
            <v>833.33333333333337</v>
          </cell>
          <cell r="I38">
            <v>833.33333333333337</v>
          </cell>
          <cell r="J38">
            <v>833.33333333333337</v>
          </cell>
          <cell r="K38">
            <v>833.33333333333337</v>
          </cell>
          <cell r="L38">
            <v>833.33333333333337</v>
          </cell>
          <cell r="M38">
            <v>833.33333333333337</v>
          </cell>
          <cell r="N38">
            <v>833.33333333333337</v>
          </cell>
          <cell r="O38">
            <v>833.33333333333337</v>
          </cell>
          <cell r="P38">
            <v>833.33333333333337</v>
          </cell>
        </row>
        <row r="39">
          <cell r="E39">
            <v>666.66666666666663</v>
          </cell>
          <cell r="F39">
            <v>666.66666666666663</v>
          </cell>
          <cell r="G39">
            <v>666.66666666666663</v>
          </cell>
          <cell r="H39">
            <v>666.66666666666663</v>
          </cell>
          <cell r="I39">
            <v>666.66666666666663</v>
          </cell>
          <cell r="J39">
            <v>666.66666666666663</v>
          </cell>
          <cell r="K39">
            <v>666.66666666666663</v>
          </cell>
          <cell r="L39">
            <v>666.66666666666663</v>
          </cell>
          <cell r="M39">
            <v>666.66666666666663</v>
          </cell>
          <cell r="N39">
            <v>666.66666666666663</v>
          </cell>
          <cell r="O39">
            <v>666.66666666666663</v>
          </cell>
          <cell r="P39">
            <v>666.66666666666663</v>
          </cell>
        </row>
        <row r="40">
          <cell r="E40">
            <v>2083.3333333333335</v>
          </cell>
          <cell r="F40">
            <v>2083.3333333333335</v>
          </cell>
          <cell r="G40">
            <v>2083.3333333333335</v>
          </cell>
          <cell r="H40">
            <v>2083.3333333333335</v>
          </cell>
          <cell r="I40">
            <v>2083.3333333333335</v>
          </cell>
          <cell r="J40">
            <v>2083.3333333333335</v>
          </cell>
          <cell r="K40">
            <v>2083.3333333333335</v>
          </cell>
          <cell r="L40">
            <v>2083.3333333333335</v>
          </cell>
          <cell r="M40">
            <v>2083.3333333333335</v>
          </cell>
          <cell r="N40">
            <v>2083.3333333333335</v>
          </cell>
          <cell r="O40">
            <v>2083.3333333333335</v>
          </cell>
          <cell r="P40">
            <v>2083.3333333333335</v>
          </cell>
        </row>
        <row r="41">
          <cell r="E41">
            <v>13083.333333333334</v>
          </cell>
          <cell r="F41">
            <v>13083.333333333334</v>
          </cell>
          <cell r="G41">
            <v>13083.333333333334</v>
          </cell>
          <cell r="H41">
            <v>13083.333333333334</v>
          </cell>
          <cell r="I41">
            <v>13083.333333333334</v>
          </cell>
          <cell r="J41">
            <v>13083.333333333334</v>
          </cell>
          <cell r="K41">
            <v>13083.333333333334</v>
          </cell>
          <cell r="L41">
            <v>13083.333333333334</v>
          </cell>
          <cell r="M41">
            <v>13083.333333333334</v>
          </cell>
          <cell r="N41">
            <v>13083.333333333334</v>
          </cell>
          <cell r="O41">
            <v>13083.333333333334</v>
          </cell>
          <cell r="P41">
            <v>13083.333333333334</v>
          </cell>
        </row>
        <row r="42">
          <cell r="E42">
            <v>81065.399999999994</v>
          </cell>
          <cell r="F42">
            <v>81065.399999999994</v>
          </cell>
          <cell r="G42">
            <v>81065.399999999994</v>
          </cell>
          <cell r="H42">
            <v>81065.399999999994</v>
          </cell>
          <cell r="I42">
            <v>81065.399999999994</v>
          </cell>
          <cell r="J42">
            <v>81065.399999999994</v>
          </cell>
          <cell r="K42">
            <v>81065.399999999994</v>
          </cell>
          <cell r="L42">
            <v>81065.399999999994</v>
          </cell>
          <cell r="M42">
            <v>81065.399999999994</v>
          </cell>
          <cell r="N42">
            <v>81065.399999999994</v>
          </cell>
          <cell r="O42">
            <v>81065.399999999994</v>
          </cell>
          <cell r="P42">
            <v>81065.399999999994</v>
          </cell>
        </row>
        <row r="43">
          <cell r="E43">
            <v>5138.25</v>
          </cell>
          <cell r="F43">
            <v>5138.25</v>
          </cell>
          <cell r="G43">
            <v>5138.25</v>
          </cell>
          <cell r="H43">
            <v>5138.25</v>
          </cell>
          <cell r="I43">
            <v>5138.25</v>
          </cell>
          <cell r="J43">
            <v>5138.25</v>
          </cell>
          <cell r="K43">
            <v>5138.25</v>
          </cell>
          <cell r="L43">
            <v>5138.25</v>
          </cell>
          <cell r="M43">
            <v>5138.25</v>
          </cell>
          <cell r="N43">
            <v>5138.25</v>
          </cell>
          <cell r="O43">
            <v>5138.25</v>
          </cell>
          <cell r="P43">
            <v>5138.25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2083.3333333333335</v>
          </cell>
          <cell r="F48">
            <v>2083.3333333333335</v>
          </cell>
          <cell r="G48">
            <v>2083.3333333333335</v>
          </cell>
          <cell r="H48">
            <v>2083.3333333333335</v>
          </cell>
          <cell r="I48">
            <v>2083.3333333333335</v>
          </cell>
          <cell r="J48">
            <v>2083.3333333333335</v>
          </cell>
          <cell r="K48">
            <v>2083.3333333333335</v>
          </cell>
          <cell r="L48">
            <v>2083.3333333333335</v>
          </cell>
          <cell r="M48">
            <v>2083.3333333333335</v>
          </cell>
          <cell r="N48">
            <v>2083.3333333333335</v>
          </cell>
          <cell r="O48">
            <v>2083.3333333333335</v>
          </cell>
          <cell r="P48">
            <v>2083.3333333333335</v>
          </cell>
        </row>
        <row r="49">
          <cell r="E49">
            <v>5208.333333333333</v>
          </cell>
          <cell r="F49">
            <v>5208.333333333333</v>
          </cell>
          <cell r="G49">
            <v>5208.333333333333</v>
          </cell>
          <cell r="H49">
            <v>5208.333333333333</v>
          </cell>
          <cell r="I49">
            <v>5208.333333333333</v>
          </cell>
          <cell r="J49">
            <v>5208.333333333333</v>
          </cell>
          <cell r="K49">
            <v>5208.333333333333</v>
          </cell>
          <cell r="L49">
            <v>5208.333333333333</v>
          </cell>
          <cell r="M49">
            <v>5208.333333333333</v>
          </cell>
          <cell r="N49">
            <v>5208.333333333333</v>
          </cell>
          <cell r="O49">
            <v>5208.333333333333</v>
          </cell>
          <cell r="P49">
            <v>5208.333333333333</v>
          </cell>
        </row>
        <row r="50">
          <cell r="E50">
            <v>611.26666666666665</v>
          </cell>
          <cell r="F50">
            <v>611.26666666666665</v>
          </cell>
          <cell r="G50">
            <v>611.26666666666665</v>
          </cell>
          <cell r="H50">
            <v>611.26666666666665</v>
          </cell>
          <cell r="I50">
            <v>611.26666666666665</v>
          </cell>
          <cell r="J50">
            <v>611.26666666666665</v>
          </cell>
          <cell r="K50">
            <v>611.26666666666665</v>
          </cell>
          <cell r="L50">
            <v>611.26666666666665</v>
          </cell>
          <cell r="M50">
            <v>611.26666666666665</v>
          </cell>
          <cell r="N50">
            <v>611.26666666666665</v>
          </cell>
          <cell r="O50">
            <v>611.26666666666665</v>
          </cell>
          <cell r="P50">
            <v>611.26666666666665</v>
          </cell>
        </row>
        <row r="51">
          <cell r="E51">
            <v>459.43610000000001</v>
          </cell>
          <cell r="F51">
            <v>459.43610000000001</v>
          </cell>
          <cell r="G51">
            <v>459.43610000000001</v>
          </cell>
          <cell r="H51">
            <v>459.43610000000001</v>
          </cell>
          <cell r="I51">
            <v>459.43610000000001</v>
          </cell>
          <cell r="J51">
            <v>459.43610000000001</v>
          </cell>
          <cell r="K51">
            <v>459.43610000000001</v>
          </cell>
          <cell r="L51">
            <v>459.43610000000001</v>
          </cell>
          <cell r="M51">
            <v>459.43610000000001</v>
          </cell>
          <cell r="N51">
            <v>459.43610000000001</v>
          </cell>
          <cell r="O51">
            <v>459.43610000000001</v>
          </cell>
          <cell r="P51">
            <v>459.43610000000001</v>
          </cell>
        </row>
        <row r="52">
          <cell r="E52">
            <v>1666.6666666666667</v>
          </cell>
          <cell r="F52">
            <v>1666.6666666666667</v>
          </cell>
          <cell r="G52">
            <v>1666.6666666666667</v>
          </cell>
          <cell r="H52">
            <v>1666.6666666666667</v>
          </cell>
          <cell r="I52">
            <v>1666.6666666666667</v>
          </cell>
          <cell r="J52">
            <v>1666.6666666666667</v>
          </cell>
          <cell r="K52">
            <v>1666.6666666666667</v>
          </cell>
          <cell r="L52">
            <v>1666.6666666666667</v>
          </cell>
          <cell r="M52">
            <v>1666.6666666666667</v>
          </cell>
          <cell r="N52">
            <v>1666.6666666666667</v>
          </cell>
          <cell r="O52">
            <v>1666.6666666666667</v>
          </cell>
          <cell r="P52">
            <v>1666.6666666666667</v>
          </cell>
        </row>
        <row r="53">
          <cell r="E53">
            <v>1000</v>
          </cell>
          <cell r="F53">
            <v>1000</v>
          </cell>
          <cell r="G53">
            <v>1000</v>
          </cell>
          <cell r="H53">
            <v>1000</v>
          </cell>
          <cell r="I53">
            <v>1000</v>
          </cell>
          <cell r="J53">
            <v>1000</v>
          </cell>
          <cell r="K53">
            <v>1000</v>
          </cell>
          <cell r="L53">
            <v>1000</v>
          </cell>
          <cell r="M53">
            <v>1000</v>
          </cell>
          <cell r="N53">
            <v>1000</v>
          </cell>
          <cell r="O53">
            <v>1000</v>
          </cell>
          <cell r="P53">
            <v>1000</v>
          </cell>
        </row>
        <row r="54">
          <cell r="E54">
            <v>25257.142857142859</v>
          </cell>
          <cell r="F54">
            <v>25257.142857142859</v>
          </cell>
          <cell r="G54">
            <v>25257.142857142859</v>
          </cell>
          <cell r="H54">
            <v>25257.142857142859</v>
          </cell>
          <cell r="I54">
            <v>25257.142857142859</v>
          </cell>
          <cell r="J54">
            <v>25257.142857142859</v>
          </cell>
          <cell r="K54">
            <v>25257.142857142859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-13840.830449826988</v>
          </cell>
          <cell r="F56">
            <v>-13840.830449826988</v>
          </cell>
          <cell r="G56">
            <v>-13840.830449826988</v>
          </cell>
          <cell r="H56">
            <v>-13840.830449826988</v>
          </cell>
          <cell r="I56">
            <v>-13840.830449826988</v>
          </cell>
          <cell r="J56">
            <v>-13840.830449826988</v>
          </cell>
          <cell r="K56">
            <v>-13840.830449826988</v>
          </cell>
          <cell r="L56">
            <v>-13840.830449826988</v>
          </cell>
          <cell r="M56">
            <v>-13840.830449826988</v>
          </cell>
          <cell r="N56">
            <v>-13840.830449826988</v>
          </cell>
          <cell r="O56">
            <v>-13840.830449826988</v>
          </cell>
          <cell r="P56">
            <v>-13840.830449826988</v>
          </cell>
        </row>
        <row r="57">
          <cell r="E57">
            <v>-4613.6101499423303</v>
          </cell>
          <cell r="F57">
            <v>-4613.6101499423303</v>
          </cell>
          <cell r="G57">
            <v>-4613.6101499423303</v>
          </cell>
          <cell r="H57">
            <v>-4613.6101499423303</v>
          </cell>
          <cell r="I57">
            <v>-4613.6101499423303</v>
          </cell>
          <cell r="J57">
            <v>-4613.6101499423303</v>
          </cell>
          <cell r="K57">
            <v>-4613.6101499423303</v>
          </cell>
          <cell r="L57">
            <v>-4613.6101499423303</v>
          </cell>
          <cell r="M57">
            <v>-4613.6101499423303</v>
          </cell>
          <cell r="N57">
            <v>-4613.6101499423303</v>
          </cell>
          <cell r="O57">
            <v>-4613.6101499423303</v>
          </cell>
          <cell r="P57">
            <v>-4613.6101499423303</v>
          </cell>
        </row>
      </sheetData>
      <sheetData sheetId="13" refreshError="1">
        <row r="1">
          <cell r="G1">
            <v>502.43</v>
          </cell>
        </row>
        <row r="4">
          <cell r="E4">
            <v>90865.336032000007</v>
          </cell>
          <cell r="F4">
            <v>139449.33603200002</v>
          </cell>
          <cell r="G4">
            <v>90865.336032000007</v>
          </cell>
          <cell r="H4">
            <v>90865.336032000007</v>
          </cell>
          <cell r="I4">
            <v>90865.336032000007</v>
          </cell>
          <cell r="J4">
            <v>90865.336032000007</v>
          </cell>
          <cell r="K4">
            <v>90865.336032000007</v>
          </cell>
          <cell r="L4">
            <v>98134.562914560011</v>
          </cell>
          <cell r="M4">
            <v>98134.562914560011</v>
          </cell>
          <cell r="N4">
            <v>98134.562914560011</v>
          </cell>
          <cell r="O4">
            <v>98134.562914560011</v>
          </cell>
          <cell r="P4">
            <v>98134.562914560011</v>
          </cell>
        </row>
        <row r="5">
          <cell r="E5">
            <v>2916.6666666666665</v>
          </cell>
          <cell r="F5">
            <v>2916.6666666666665</v>
          </cell>
          <cell r="G5">
            <v>2916.6666666666665</v>
          </cell>
          <cell r="H5">
            <v>2916.6666666666665</v>
          </cell>
          <cell r="I5">
            <v>2916.6666666666665</v>
          </cell>
          <cell r="J5">
            <v>2916.6666666666665</v>
          </cell>
          <cell r="K5">
            <v>2916.6666666666665</v>
          </cell>
          <cell r="L5">
            <v>2916.6666666666665</v>
          </cell>
          <cell r="M5">
            <v>2916.6666666666665</v>
          </cell>
          <cell r="N5">
            <v>2916.6666666666665</v>
          </cell>
          <cell r="O5">
            <v>2916.6666666666665</v>
          </cell>
          <cell r="P5">
            <v>2916.6666666666665</v>
          </cell>
        </row>
        <row r="6">
          <cell r="E6">
            <v>11205.503656586669</v>
          </cell>
          <cell r="F6">
            <v>11205.503656586669</v>
          </cell>
          <cell r="G6">
            <v>11205.503656586669</v>
          </cell>
          <cell r="H6">
            <v>11205.503656586669</v>
          </cell>
          <cell r="I6">
            <v>11205.503656586669</v>
          </cell>
          <cell r="J6">
            <v>11205.503656586669</v>
          </cell>
          <cell r="K6">
            <v>11205.503656586669</v>
          </cell>
          <cell r="L6">
            <v>12076.230615780269</v>
          </cell>
          <cell r="M6">
            <v>12076.230615780269</v>
          </cell>
          <cell r="N6">
            <v>12076.230615780269</v>
          </cell>
          <cell r="O6">
            <v>12076.230615780269</v>
          </cell>
          <cell r="P6">
            <v>12076.230615780269</v>
          </cell>
        </row>
        <row r="7">
          <cell r="E7">
            <v>8693.925250799999</v>
          </cell>
          <cell r="F7">
            <v>8693.925250799999</v>
          </cell>
          <cell r="G7">
            <v>8693.925250799999</v>
          </cell>
          <cell r="H7">
            <v>8693.925250799999</v>
          </cell>
          <cell r="I7">
            <v>8693.925250799999</v>
          </cell>
          <cell r="J7">
            <v>8693.925250799999</v>
          </cell>
          <cell r="K7">
            <v>8693.925250799999</v>
          </cell>
          <cell r="L7">
            <v>9369.4892708640018</v>
          </cell>
          <cell r="M7">
            <v>9369.4892708640018</v>
          </cell>
          <cell r="N7">
            <v>9369.4892708640018</v>
          </cell>
          <cell r="O7">
            <v>9369.4892708640018</v>
          </cell>
          <cell r="P7">
            <v>9369.4892708640018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113681.43160605335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5450.2268238933348</v>
          </cell>
          <cell r="F9">
            <v>5450.2268238933348</v>
          </cell>
          <cell r="G9">
            <v>5450.2268238933348</v>
          </cell>
          <cell r="H9">
            <v>5450.2268238933348</v>
          </cell>
          <cell r="I9">
            <v>5450.2268238933348</v>
          </cell>
          <cell r="J9">
            <v>5450.2268238933348</v>
          </cell>
          <cell r="K9">
            <v>5450.2268238933348</v>
          </cell>
          <cell r="L9">
            <v>5873.7383031381351</v>
          </cell>
          <cell r="M9">
            <v>5873.7383031381351</v>
          </cell>
          <cell r="N9">
            <v>5873.7383031381351</v>
          </cell>
          <cell r="O9">
            <v>5873.7383031381351</v>
          </cell>
          <cell r="P9">
            <v>5873.7383031381351</v>
          </cell>
        </row>
        <row r="10">
          <cell r="E10">
            <v>5000</v>
          </cell>
          <cell r="F10">
            <v>5000</v>
          </cell>
          <cell r="G10">
            <v>5000</v>
          </cell>
          <cell r="H10">
            <v>5000</v>
          </cell>
          <cell r="I10">
            <v>5000</v>
          </cell>
          <cell r="J10">
            <v>5000</v>
          </cell>
          <cell r="K10">
            <v>5000</v>
          </cell>
          <cell r="L10">
            <v>5000</v>
          </cell>
          <cell r="M10">
            <v>5000</v>
          </cell>
          <cell r="N10">
            <v>5000</v>
          </cell>
          <cell r="O10">
            <v>5000</v>
          </cell>
          <cell r="P10">
            <v>5000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500</v>
          </cell>
          <cell r="F13">
            <v>500</v>
          </cell>
          <cell r="G13">
            <v>500</v>
          </cell>
          <cell r="H13">
            <v>500</v>
          </cell>
          <cell r="I13">
            <v>500</v>
          </cell>
          <cell r="J13">
            <v>500</v>
          </cell>
          <cell r="K13">
            <v>500</v>
          </cell>
          <cell r="L13">
            <v>500</v>
          </cell>
          <cell r="M13">
            <v>500</v>
          </cell>
          <cell r="N13">
            <v>500</v>
          </cell>
          <cell r="O13">
            <v>500</v>
          </cell>
          <cell r="P13">
            <v>500</v>
          </cell>
        </row>
        <row r="14">
          <cell r="E14">
            <v>6661.82</v>
          </cell>
          <cell r="F14">
            <v>6661.82</v>
          </cell>
          <cell r="G14">
            <v>6661.82</v>
          </cell>
          <cell r="H14">
            <v>6661.82</v>
          </cell>
          <cell r="I14">
            <v>6661.82</v>
          </cell>
          <cell r="J14">
            <v>6661.82</v>
          </cell>
          <cell r="K14">
            <v>6661.82</v>
          </cell>
          <cell r="L14">
            <v>6661.82</v>
          </cell>
          <cell r="M14">
            <v>6661.82</v>
          </cell>
          <cell r="N14">
            <v>6661.82</v>
          </cell>
          <cell r="O14">
            <v>6661.82</v>
          </cell>
          <cell r="P14">
            <v>6661.82</v>
          </cell>
        </row>
        <row r="15">
          <cell r="E15">
            <v>10575</v>
          </cell>
          <cell r="F15">
            <v>10575</v>
          </cell>
          <cell r="G15">
            <v>10575</v>
          </cell>
          <cell r="H15">
            <v>10575</v>
          </cell>
          <cell r="I15">
            <v>10575</v>
          </cell>
          <cell r="J15">
            <v>10575</v>
          </cell>
          <cell r="K15">
            <v>11400</v>
          </cell>
          <cell r="L15">
            <v>10575</v>
          </cell>
          <cell r="M15">
            <v>10575</v>
          </cell>
          <cell r="N15">
            <v>10575</v>
          </cell>
          <cell r="O15">
            <v>10575</v>
          </cell>
          <cell r="P15">
            <v>10575</v>
          </cell>
        </row>
        <row r="16">
          <cell r="E16">
            <v>2708.3333333333335</v>
          </cell>
          <cell r="F16">
            <v>2708.3333333333335</v>
          </cell>
          <cell r="G16">
            <v>2708.3333333333335</v>
          </cell>
          <cell r="H16">
            <v>2708.3333333333335</v>
          </cell>
          <cell r="I16">
            <v>2708.3333333333335</v>
          </cell>
          <cell r="J16">
            <v>2708.3333333333335</v>
          </cell>
          <cell r="K16">
            <v>2708.3333333333335</v>
          </cell>
          <cell r="L16">
            <v>2708.3333333333335</v>
          </cell>
          <cell r="M16">
            <v>2708.3333333333335</v>
          </cell>
          <cell r="N16">
            <v>2708.3333333333335</v>
          </cell>
          <cell r="O16">
            <v>2708.3333333333335</v>
          </cell>
          <cell r="P16">
            <v>2708.3333333333335</v>
          </cell>
        </row>
        <row r="17">
          <cell r="E17">
            <v>57240</v>
          </cell>
          <cell r="F17">
            <v>57240</v>
          </cell>
          <cell r="G17">
            <v>57240</v>
          </cell>
          <cell r="H17">
            <v>57240</v>
          </cell>
          <cell r="I17">
            <v>57240</v>
          </cell>
          <cell r="J17">
            <v>57240</v>
          </cell>
          <cell r="K17">
            <v>57240</v>
          </cell>
          <cell r="L17">
            <v>57240</v>
          </cell>
          <cell r="M17">
            <v>57240</v>
          </cell>
          <cell r="N17">
            <v>57240</v>
          </cell>
          <cell r="O17">
            <v>57240</v>
          </cell>
          <cell r="P17">
            <v>57240</v>
          </cell>
        </row>
        <row r="18">
          <cell r="E18">
            <v>9974.25</v>
          </cell>
          <cell r="F18">
            <v>9974.25</v>
          </cell>
          <cell r="G18">
            <v>9974.25</v>
          </cell>
          <cell r="H18">
            <v>9974.25</v>
          </cell>
          <cell r="I18">
            <v>9974.25</v>
          </cell>
          <cell r="J18">
            <v>9974.25</v>
          </cell>
          <cell r="K18">
            <v>9974.25</v>
          </cell>
          <cell r="L18">
            <v>9974.25</v>
          </cell>
          <cell r="M18">
            <v>9974.25</v>
          </cell>
          <cell r="N18">
            <v>9974.25</v>
          </cell>
          <cell r="O18">
            <v>9974.25</v>
          </cell>
          <cell r="P18">
            <v>9974.25</v>
          </cell>
        </row>
        <row r="19">
          <cell r="E19">
            <v>2500</v>
          </cell>
          <cell r="F19">
            <v>2500</v>
          </cell>
          <cell r="G19">
            <v>2500</v>
          </cell>
          <cell r="H19">
            <v>2500</v>
          </cell>
          <cell r="I19">
            <v>2500</v>
          </cell>
          <cell r="J19">
            <v>2500</v>
          </cell>
          <cell r="K19">
            <v>2500</v>
          </cell>
          <cell r="L19">
            <v>2500</v>
          </cell>
          <cell r="M19">
            <v>2500</v>
          </cell>
          <cell r="N19">
            <v>2500</v>
          </cell>
          <cell r="O19">
            <v>2500</v>
          </cell>
          <cell r="P19">
            <v>2500</v>
          </cell>
        </row>
        <row r="20">
          <cell r="E20">
            <v>0</v>
          </cell>
          <cell r="F20">
            <v>0</v>
          </cell>
          <cell r="G20">
            <v>415717.67551999999</v>
          </cell>
          <cell r="H20">
            <v>0</v>
          </cell>
          <cell r="I20">
            <v>10408.13272</v>
          </cell>
          <cell r="J20">
            <v>10408.13272</v>
          </cell>
          <cell r="K20">
            <v>193074.13271999999</v>
          </cell>
          <cell r="L20">
            <v>29025.808239999998</v>
          </cell>
          <cell r="M20">
            <v>193074.13271999999</v>
          </cell>
          <cell r="N20">
            <v>10408.13272</v>
          </cell>
          <cell r="O20">
            <v>10408.13272</v>
          </cell>
          <cell r="P20">
            <v>10408.13272</v>
          </cell>
        </row>
        <row r="21">
          <cell r="E21">
            <v>107523.719999999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21965.462666666666</v>
          </cell>
          <cell r="F22">
            <v>21965.462666666666</v>
          </cell>
          <cell r="G22">
            <v>21965.462666666666</v>
          </cell>
          <cell r="H22">
            <v>21965.462666666666</v>
          </cell>
          <cell r="I22">
            <v>21965.462666666666</v>
          </cell>
          <cell r="J22">
            <v>21965.462666666666</v>
          </cell>
          <cell r="K22">
            <v>21965.462666666666</v>
          </cell>
          <cell r="L22">
            <v>21965.462666666666</v>
          </cell>
          <cell r="M22">
            <v>21965.462666666666</v>
          </cell>
          <cell r="N22">
            <v>21965.462666666666</v>
          </cell>
          <cell r="O22">
            <v>21965.462666666666</v>
          </cell>
          <cell r="P22">
            <v>21965.462666666666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21080.163965579301</v>
          </cell>
          <cell r="F24">
            <v>21080.163965579301</v>
          </cell>
          <cell r="G24">
            <v>21080.163965579301</v>
          </cell>
          <cell r="H24">
            <v>21080.163965579301</v>
          </cell>
          <cell r="I24">
            <v>21080.163965579301</v>
          </cell>
          <cell r="J24">
            <v>21080.163965579301</v>
          </cell>
          <cell r="K24">
            <v>17417.594514059299</v>
          </cell>
          <cell r="L24">
            <v>21080.163965579301</v>
          </cell>
          <cell r="M24">
            <v>21080.163965579301</v>
          </cell>
          <cell r="N24">
            <v>21080.163965579301</v>
          </cell>
          <cell r="O24">
            <v>21080.163965579301</v>
          </cell>
          <cell r="P24">
            <v>21080.163965579301</v>
          </cell>
        </row>
        <row r="25">
          <cell r="E25">
            <v>0</v>
          </cell>
          <cell r="F25">
            <v>0</v>
          </cell>
          <cell r="G25">
            <v>64725.626069999897</v>
          </cell>
          <cell r="H25">
            <v>82826.726381999993</v>
          </cell>
          <cell r="I25">
            <v>82826.726381999993</v>
          </cell>
          <cell r="J25">
            <v>86657.276945999998</v>
          </cell>
          <cell r="K25">
            <v>23457.865145999898</v>
          </cell>
          <cell r="L25">
            <v>23457.865145999898</v>
          </cell>
          <cell r="M25">
            <v>23457.865145999898</v>
          </cell>
          <cell r="N25">
            <v>16275.5204219999</v>
          </cell>
          <cell r="O25">
            <v>11960.323097999901</v>
          </cell>
          <cell r="P25">
            <v>11960.323097999901</v>
          </cell>
        </row>
        <row r="26">
          <cell r="E26">
            <v>81034.486392694394</v>
          </cell>
          <cell r="F26">
            <v>165326.09269669437</v>
          </cell>
          <cell r="G26">
            <v>255023.65861736552</v>
          </cell>
          <cell r="H26">
            <v>255023.65861736552</v>
          </cell>
          <cell r="I26">
            <v>285897.84913669439</v>
          </cell>
          <cell r="J26">
            <v>221024.59576536631</v>
          </cell>
          <cell r="K26">
            <v>190150.40524603747</v>
          </cell>
          <cell r="L26">
            <v>255023.65861736552</v>
          </cell>
          <cell r="M26">
            <v>319984.288493992</v>
          </cell>
          <cell r="N26">
            <v>308098.3824773191</v>
          </cell>
          <cell r="O26">
            <v>223820.85912999112</v>
          </cell>
          <cell r="P26">
            <v>218414.89951331913</v>
          </cell>
        </row>
        <row r="27">
          <cell r="E27">
            <v>4221.6986017600002</v>
          </cell>
          <cell r="F27">
            <v>15240.6213060799</v>
          </cell>
          <cell r="G27">
            <v>15240.6213060799</v>
          </cell>
          <cell r="H27">
            <v>14057.962809999901</v>
          </cell>
          <cell r="I27">
            <v>5506.77441</v>
          </cell>
          <cell r="J27">
            <v>18279.66141176</v>
          </cell>
          <cell r="K27">
            <v>9728.4730117599993</v>
          </cell>
          <cell r="L27">
            <v>18279.66141176</v>
          </cell>
          <cell r="M27">
            <v>18279.66141176</v>
          </cell>
          <cell r="N27">
            <v>15436.842611759999</v>
          </cell>
          <cell r="O27">
            <v>11215.1440099999</v>
          </cell>
          <cell r="P27">
            <v>11215.1440099999</v>
          </cell>
        </row>
        <row r="28">
          <cell r="E28">
            <v>11601.380219999999</v>
          </cell>
          <cell r="F28">
            <v>11601.380219999999</v>
          </cell>
          <cell r="G28">
            <v>15468.506959999901</v>
          </cell>
          <cell r="H28">
            <v>15820.954589999899</v>
          </cell>
          <cell r="I28">
            <v>13534.943589999901</v>
          </cell>
          <cell r="J28">
            <v>11953.8278499999</v>
          </cell>
          <cell r="K28">
            <v>9667.8168499999992</v>
          </cell>
          <cell r="L28">
            <v>15820.954589999899</v>
          </cell>
          <cell r="M28">
            <v>15820.954589999899</v>
          </cell>
          <cell r="N28">
            <v>14967.6669899999</v>
          </cell>
          <cell r="O28">
            <v>11100.5402499999</v>
          </cell>
          <cell r="P28">
            <v>11100.5402499999</v>
          </cell>
        </row>
        <row r="29">
          <cell r="E29">
            <v>20636.314999999999</v>
          </cell>
          <cell r="F29">
            <v>31597.133000000002</v>
          </cell>
          <cell r="G29">
            <v>20636.314999999999</v>
          </cell>
          <cell r="H29">
            <v>31597.133000000002</v>
          </cell>
          <cell r="I29">
            <v>20636.314999999999</v>
          </cell>
          <cell r="J29">
            <v>31597.133000000002</v>
          </cell>
          <cell r="K29">
            <v>20636.314999999999</v>
          </cell>
          <cell r="L29">
            <v>31597.133000000002</v>
          </cell>
          <cell r="M29">
            <v>20636.314999999999</v>
          </cell>
          <cell r="N29">
            <v>31597.133000000002</v>
          </cell>
          <cell r="O29">
            <v>20636.314999999999</v>
          </cell>
          <cell r="P29">
            <v>31597.133000000002</v>
          </cell>
        </row>
        <row r="30">
          <cell r="E30">
            <v>6666.666666666667</v>
          </cell>
          <cell r="F30">
            <v>6666.666666666667</v>
          </cell>
          <cell r="G30">
            <v>6666.666666666667</v>
          </cell>
          <cell r="H30">
            <v>6666.666666666667</v>
          </cell>
          <cell r="I30">
            <v>6666.666666666667</v>
          </cell>
          <cell r="J30">
            <v>6666.666666666667</v>
          </cell>
          <cell r="K30">
            <v>6666.666666666667</v>
          </cell>
          <cell r="L30">
            <v>6666.666666666667</v>
          </cell>
          <cell r="M30">
            <v>6666.666666666667</v>
          </cell>
          <cell r="N30">
            <v>6666.666666666667</v>
          </cell>
          <cell r="O30">
            <v>6666.666666666667</v>
          </cell>
          <cell r="P30">
            <v>6666.666666666667</v>
          </cell>
        </row>
        <row r="31">
          <cell r="E31">
            <v>416.66666666666669</v>
          </cell>
          <cell r="F31">
            <v>416.66666666666669</v>
          </cell>
          <cell r="G31">
            <v>416.66666666666669</v>
          </cell>
          <cell r="H31">
            <v>416.66666666666669</v>
          </cell>
          <cell r="I31">
            <v>416.66666666666669</v>
          </cell>
          <cell r="J31">
            <v>416.66666666666669</v>
          </cell>
          <cell r="K31">
            <v>416.66666666666669</v>
          </cell>
          <cell r="L31">
            <v>416.66666666666669</v>
          </cell>
          <cell r="M31">
            <v>416.66666666666669</v>
          </cell>
          <cell r="N31">
            <v>416.66666666666669</v>
          </cell>
          <cell r="O31">
            <v>416.66666666666669</v>
          </cell>
          <cell r="P31">
            <v>416.66666666666669</v>
          </cell>
        </row>
        <row r="32">
          <cell r="E32">
            <v>421069.88000000006</v>
          </cell>
          <cell r="F32">
            <v>421069.88000000006</v>
          </cell>
          <cell r="G32">
            <v>415207.05600000004</v>
          </cell>
          <cell r="H32">
            <v>469184.23200000013</v>
          </cell>
          <cell r="I32">
            <v>545161.40800000005</v>
          </cell>
          <cell r="J32">
            <v>523161.40800000011</v>
          </cell>
          <cell r="K32">
            <v>565984.23200000008</v>
          </cell>
          <cell r="L32">
            <v>331760</v>
          </cell>
          <cell r="M32">
            <v>27280</v>
          </cell>
          <cell r="N32">
            <v>5280</v>
          </cell>
          <cell r="O32">
            <v>0</v>
          </cell>
          <cell r="P32">
            <v>0</v>
          </cell>
        </row>
        <row r="33">
          <cell r="E33">
            <v>173469.38775510204</v>
          </cell>
          <cell r="F33">
            <v>173469.38775510204</v>
          </cell>
          <cell r="G33">
            <v>208163.26530612243</v>
          </cell>
          <cell r="H33">
            <v>242857.14285714284</v>
          </cell>
          <cell r="I33">
            <v>277551.02040816325</v>
          </cell>
          <cell r="J33">
            <v>277551.02040816325</v>
          </cell>
          <cell r="K33">
            <v>242857.14285714284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16666.666666666668</v>
          </cell>
          <cell r="F36">
            <v>16666.666666666668</v>
          </cell>
          <cell r="G36">
            <v>16666.666666666668</v>
          </cell>
          <cell r="H36">
            <v>16666.666666666668</v>
          </cell>
          <cell r="I36">
            <v>16666.666666666668</v>
          </cell>
          <cell r="J36">
            <v>16666.666666666668</v>
          </cell>
          <cell r="K36">
            <v>16666.666666666668</v>
          </cell>
          <cell r="L36">
            <v>16666.666666666668</v>
          </cell>
          <cell r="M36">
            <v>16666.666666666668</v>
          </cell>
          <cell r="N36">
            <v>16666.666666666668</v>
          </cell>
          <cell r="O36">
            <v>16666.666666666668</v>
          </cell>
          <cell r="P36">
            <v>16666.666666666668</v>
          </cell>
        </row>
        <row r="37">
          <cell r="E37">
            <v>16666.666666666668</v>
          </cell>
          <cell r="F37">
            <v>16666.666666666668</v>
          </cell>
          <cell r="G37">
            <v>16666.666666666668</v>
          </cell>
          <cell r="H37">
            <v>16666.666666666668</v>
          </cell>
          <cell r="I37">
            <v>16666.666666666668</v>
          </cell>
          <cell r="J37">
            <v>16666.666666666668</v>
          </cell>
          <cell r="K37">
            <v>16666.666666666668</v>
          </cell>
          <cell r="L37">
            <v>16666.666666666668</v>
          </cell>
          <cell r="M37">
            <v>16666.666666666668</v>
          </cell>
          <cell r="N37">
            <v>16666.666666666668</v>
          </cell>
          <cell r="O37">
            <v>16666.666666666668</v>
          </cell>
          <cell r="P37">
            <v>16666.666666666668</v>
          </cell>
        </row>
        <row r="38">
          <cell r="E38">
            <v>5833.333333333333</v>
          </cell>
          <cell r="F38">
            <v>5833.333333333333</v>
          </cell>
          <cell r="G38">
            <v>5833.333333333333</v>
          </cell>
          <cell r="H38">
            <v>5833.333333333333</v>
          </cell>
          <cell r="I38">
            <v>5833.333333333333</v>
          </cell>
          <cell r="J38">
            <v>5833.333333333333</v>
          </cell>
          <cell r="K38">
            <v>5833.333333333333</v>
          </cell>
          <cell r="L38">
            <v>5833.333333333333</v>
          </cell>
          <cell r="M38">
            <v>5833.333333333333</v>
          </cell>
          <cell r="N38">
            <v>5833.333333333333</v>
          </cell>
          <cell r="O38">
            <v>5833.333333333333</v>
          </cell>
          <cell r="P38">
            <v>5833.333333333333</v>
          </cell>
        </row>
        <row r="39">
          <cell r="E39">
            <v>833.33333333333337</v>
          </cell>
          <cell r="F39">
            <v>833.33333333333337</v>
          </cell>
          <cell r="G39">
            <v>833.33333333333337</v>
          </cell>
          <cell r="H39">
            <v>833.33333333333337</v>
          </cell>
          <cell r="I39">
            <v>833.33333333333337</v>
          </cell>
          <cell r="J39">
            <v>833.33333333333337</v>
          </cell>
          <cell r="K39">
            <v>833.33333333333337</v>
          </cell>
          <cell r="L39">
            <v>833.33333333333337</v>
          </cell>
          <cell r="M39">
            <v>833.33333333333337</v>
          </cell>
          <cell r="N39">
            <v>833.33333333333337</v>
          </cell>
          <cell r="O39">
            <v>833.33333333333337</v>
          </cell>
          <cell r="P39">
            <v>833.33333333333337</v>
          </cell>
        </row>
        <row r="40">
          <cell r="E40">
            <v>4166.666666666667</v>
          </cell>
          <cell r="F40">
            <v>4166.666666666667</v>
          </cell>
          <cell r="G40">
            <v>4166.666666666667</v>
          </cell>
          <cell r="H40">
            <v>4166.666666666667</v>
          </cell>
          <cell r="I40">
            <v>4166.666666666667</v>
          </cell>
          <cell r="J40">
            <v>4166.666666666667</v>
          </cell>
          <cell r="K40">
            <v>4166.666666666667</v>
          </cell>
          <cell r="L40">
            <v>4166.666666666667</v>
          </cell>
          <cell r="M40">
            <v>4166.666666666667</v>
          </cell>
          <cell r="N40">
            <v>4166.666666666667</v>
          </cell>
          <cell r="O40">
            <v>4166.666666666667</v>
          </cell>
          <cell r="P40">
            <v>4166.666666666667</v>
          </cell>
        </row>
        <row r="41">
          <cell r="E41">
            <v>21000</v>
          </cell>
          <cell r="F41">
            <v>21000</v>
          </cell>
          <cell r="G41">
            <v>21000</v>
          </cell>
          <cell r="H41">
            <v>21000</v>
          </cell>
          <cell r="I41">
            <v>21000</v>
          </cell>
          <cell r="J41">
            <v>21000</v>
          </cell>
          <cell r="K41">
            <v>21000</v>
          </cell>
          <cell r="L41">
            <v>21000</v>
          </cell>
          <cell r="M41">
            <v>21000</v>
          </cell>
          <cell r="N41">
            <v>21000</v>
          </cell>
          <cell r="O41">
            <v>21000</v>
          </cell>
          <cell r="P41">
            <v>21000</v>
          </cell>
        </row>
        <row r="42">
          <cell r="E42">
            <v>152962.86448199998</v>
          </cell>
          <cell r="F42">
            <v>152962.86448199998</v>
          </cell>
          <cell r="G42">
            <v>152962.86448199998</v>
          </cell>
          <cell r="H42">
            <v>152962.86448199998</v>
          </cell>
          <cell r="I42">
            <v>152962.86448199998</v>
          </cell>
          <cell r="J42">
            <v>152962.86448199998</v>
          </cell>
          <cell r="K42">
            <v>152962.86448199998</v>
          </cell>
          <cell r="L42">
            <v>152962.86448199998</v>
          </cell>
          <cell r="M42">
            <v>152962.86448199998</v>
          </cell>
          <cell r="N42">
            <v>152962.86448199998</v>
          </cell>
          <cell r="O42">
            <v>152962.86448199998</v>
          </cell>
          <cell r="P42">
            <v>152962.86448199998</v>
          </cell>
        </row>
        <row r="43">
          <cell r="E43">
            <v>6618.4999999999991</v>
          </cell>
          <cell r="F43">
            <v>6618.4999999999991</v>
          </cell>
          <cell r="G43">
            <v>6618.4999999999991</v>
          </cell>
          <cell r="H43">
            <v>6618.4999999999991</v>
          </cell>
          <cell r="I43">
            <v>6618.4999999999991</v>
          </cell>
          <cell r="J43">
            <v>6618.4999999999991</v>
          </cell>
          <cell r="K43">
            <v>6618.4999999999991</v>
          </cell>
          <cell r="L43">
            <v>6618.4999999999991</v>
          </cell>
          <cell r="M43">
            <v>6618.4999999999991</v>
          </cell>
          <cell r="N43">
            <v>6618.4999999999991</v>
          </cell>
          <cell r="O43">
            <v>6618.4999999999991</v>
          </cell>
          <cell r="P43">
            <v>6618.4999999999991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4166.666666666667</v>
          </cell>
          <cell r="F48">
            <v>4166.666666666667</v>
          </cell>
          <cell r="G48">
            <v>4166.666666666667</v>
          </cell>
          <cell r="H48">
            <v>4166.666666666667</v>
          </cell>
          <cell r="I48">
            <v>4166.666666666667</v>
          </cell>
          <cell r="J48">
            <v>4166.666666666667</v>
          </cell>
          <cell r="K48">
            <v>4166.666666666667</v>
          </cell>
          <cell r="L48">
            <v>4166.666666666667</v>
          </cell>
          <cell r="M48">
            <v>4166.666666666667</v>
          </cell>
          <cell r="N48">
            <v>4166.666666666667</v>
          </cell>
          <cell r="O48">
            <v>4166.666666666667</v>
          </cell>
          <cell r="P48">
            <v>4166.666666666667</v>
          </cell>
        </row>
        <row r="49">
          <cell r="E49">
            <v>11625</v>
          </cell>
          <cell r="F49">
            <v>11625</v>
          </cell>
          <cell r="G49">
            <v>11625</v>
          </cell>
          <cell r="H49">
            <v>11625</v>
          </cell>
          <cell r="I49">
            <v>11625</v>
          </cell>
          <cell r="J49">
            <v>11625</v>
          </cell>
          <cell r="K49">
            <v>11625</v>
          </cell>
          <cell r="L49">
            <v>11625</v>
          </cell>
          <cell r="M49">
            <v>11625</v>
          </cell>
          <cell r="N49">
            <v>11625</v>
          </cell>
          <cell r="O49">
            <v>11625</v>
          </cell>
          <cell r="P49">
            <v>11625</v>
          </cell>
        </row>
        <row r="50">
          <cell r="E50">
            <v>787.93333333333339</v>
          </cell>
          <cell r="F50">
            <v>787.93333333333339</v>
          </cell>
          <cell r="G50">
            <v>787.93333333333339</v>
          </cell>
          <cell r="H50">
            <v>787.93333333333339</v>
          </cell>
          <cell r="I50">
            <v>787.93333333333339</v>
          </cell>
          <cell r="J50">
            <v>787.93333333333339</v>
          </cell>
          <cell r="K50">
            <v>787.93333333333339</v>
          </cell>
          <cell r="L50">
            <v>787.93333333333339</v>
          </cell>
          <cell r="M50">
            <v>787.93333333333339</v>
          </cell>
          <cell r="N50">
            <v>787.93333333333339</v>
          </cell>
          <cell r="O50">
            <v>787.93333333333339</v>
          </cell>
          <cell r="P50">
            <v>787.93333333333339</v>
          </cell>
        </row>
        <row r="51">
          <cell r="E51">
            <v>592.22109999999998</v>
          </cell>
          <cell r="F51">
            <v>592.22109999999998</v>
          </cell>
          <cell r="G51">
            <v>592.22109999999998</v>
          </cell>
          <cell r="H51">
            <v>592.22109999999998</v>
          </cell>
          <cell r="I51">
            <v>592.22109999999998</v>
          </cell>
          <cell r="J51">
            <v>592.22109999999998</v>
          </cell>
          <cell r="K51">
            <v>592.22109999999998</v>
          </cell>
          <cell r="L51">
            <v>592.22109999999998</v>
          </cell>
          <cell r="M51">
            <v>592.22109999999998</v>
          </cell>
          <cell r="N51">
            <v>592.22109999999998</v>
          </cell>
          <cell r="O51">
            <v>592.22109999999998</v>
          </cell>
          <cell r="P51">
            <v>592.22109999999998</v>
          </cell>
        </row>
        <row r="52">
          <cell r="E52">
            <v>2500</v>
          </cell>
          <cell r="F52">
            <v>2500</v>
          </cell>
          <cell r="G52">
            <v>2500</v>
          </cell>
          <cell r="H52">
            <v>2500</v>
          </cell>
          <cell r="I52">
            <v>2500</v>
          </cell>
          <cell r="J52">
            <v>2500</v>
          </cell>
          <cell r="K52">
            <v>2500</v>
          </cell>
          <cell r="L52">
            <v>2500</v>
          </cell>
          <cell r="M52">
            <v>2500</v>
          </cell>
          <cell r="N52">
            <v>2500</v>
          </cell>
          <cell r="O52">
            <v>2500</v>
          </cell>
          <cell r="P52">
            <v>2500</v>
          </cell>
        </row>
        <row r="53">
          <cell r="E53">
            <v>416.66666666666669</v>
          </cell>
          <cell r="F53">
            <v>416.66666666666669</v>
          </cell>
          <cell r="G53">
            <v>416.66666666666669</v>
          </cell>
          <cell r="H53">
            <v>416.66666666666669</v>
          </cell>
          <cell r="I53">
            <v>416.66666666666669</v>
          </cell>
          <cell r="J53">
            <v>416.66666666666669</v>
          </cell>
          <cell r="K53">
            <v>416.66666666666669</v>
          </cell>
          <cell r="L53">
            <v>416.66666666666669</v>
          </cell>
          <cell r="M53">
            <v>416.66666666666669</v>
          </cell>
          <cell r="N53">
            <v>416.66666666666669</v>
          </cell>
          <cell r="O53">
            <v>416.66666666666669</v>
          </cell>
          <cell r="P53">
            <v>416.66666666666669</v>
          </cell>
        </row>
        <row r="54">
          <cell r="E54">
            <v>36307.142857142855</v>
          </cell>
          <cell r="F54">
            <v>36307.142857142855</v>
          </cell>
          <cell r="G54">
            <v>36307.142857142855</v>
          </cell>
          <cell r="H54">
            <v>36307.142857142855</v>
          </cell>
          <cell r="I54">
            <v>36307.142857142855</v>
          </cell>
          <cell r="J54">
            <v>36307.142857142855</v>
          </cell>
          <cell r="K54">
            <v>36307.142857142855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-19896.193771626298</v>
          </cell>
          <cell r="F56">
            <v>-19896.193771626298</v>
          </cell>
          <cell r="G56">
            <v>-19896.193771626298</v>
          </cell>
          <cell r="H56">
            <v>-19896.193771626298</v>
          </cell>
          <cell r="I56">
            <v>-19896.193771626298</v>
          </cell>
          <cell r="J56">
            <v>-19896.193771626298</v>
          </cell>
          <cell r="K56">
            <v>-19896.193771626298</v>
          </cell>
          <cell r="L56">
            <v>-19896.193771626298</v>
          </cell>
          <cell r="M56">
            <v>-19896.193771626298</v>
          </cell>
          <cell r="N56">
            <v>-19896.193771626298</v>
          </cell>
          <cell r="O56">
            <v>-19896.193771626298</v>
          </cell>
          <cell r="P56">
            <v>-19896.193771626298</v>
          </cell>
        </row>
        <row r="57">
          <cell r="E57">
            <v>-6632.0645905420997</v>
          </cell>
          <cell r="F57">
            <v>-6632.0645905420997</v>
          </cell>
          <cell r="G57">
            <v>-6632.0645905420997</v>
          </cell>
          <cell r="H57">
            <v>-6632.0645905420997</v>
          </cell>
          <cell r="I57">
            <v>-6632.0645905420997</v>
          </cell>
          <cell r="J57">
            <v>-6632.0645905420997</v>
          </cell>
          <cell r="K57">
            <v>-6632.0645905420997</v>
          </cell>
          <cell r="L57">
            <v>-6632.0645905420997</v>
          </cell>
          <cell r="M57">
            <v>-6632.0645905420997</v>
          </cell>
          <cell r="N57">
            <v>-6632.0645905420997</v>
          </cell>
          <cell r="O57">
            <v>-6632.0645905420997</v>
          </cell>
          <cell r="P57">
            <v>-6632.0645905420997</v>
          </cell>
        </row>
      </sheetData>
      <sheetData sheetId="14" refreshError="1"/>
      <sheetData sheetId="15" refreshError="1">
        <row r="4">
          <cell r="E4">
            <v>38375.127664150357</v>
          </cell>
          <cell r="F4">
            <v>52490.135024722302</v>
          </cell>
          <cell r="G4">
            <v>38375.127664150357</v>
          </cell>
          <cell r="H4">
            <v>38375.127664150357</v>
          </cell>
          <cell r="I4">
            <v>38375.127664150357</v>
          </cell>
          <cell r="J4">
            <v>38375.127664150357</v>
          </cell>
          <cell r="K4">
            <v>38375.127664150357</v>
          </cell>
          <cell r="L4">
            <v>41445.137877282395</v>
          </cell>
          <cell r="M4">
            <v>41445.137877282395</v>
          </cell>
          <cell r="N4">
            <v>41445.137877282395</v>
          </cell>
          <cell r="O4">
            <v>41445.137877282395</v>
          </cell>
          <cell r="P4">
            <v>41445.137877282395</v>
          </cell>
        </row>
        <row r="5">
          <cell r="E5">
            <v>1667.4353948059604</v>
          </cell>
          <cell r="F5">
            <v>1667.4353948059604</v>
          </cell>
          <cell r="G5">
            <v>1667.4353948059604</v>
          </cell>
          <cell r="H5">
            <v>1667.4353948059604</v>
          </cell>
          <cell r="I5">
            <v>1667.4353948059604</v>
          </cell>
          <cell r="J5">
            <v>1667.4353948059604</v>
          </cell>
          <cell r="K5">
            <v>1667.4353948059604</v>
          </cell>
          <cell r="L5">
            <v>1667.4353948059604</v>
          </cell>
          <cell r="M5">
            <v>1667.4353948059604</v>
          </cell>
          <cell r="N5">
            <v>1667.4353948059604</v>
          </cell>
          <cell r="O5">
            <v>1667.4353948059604</v>
          </cell>
          <cell r="P5">
            <v>1667.4353948059604</v>
          </cell>
        </row>
        <row r="6">
          <cell r="E6">
            <v>5032.0255591034065</v>
          </cell>
          <cell r="F6">
            <v>5032.0255591034065</v>
          </cell>
          <cell r="G6">
            <v>5032.0255591034065</v>
          </cell>
          <cell r="H6">
            <v>5032.0255591034065</v>
          </cell>
          <cell r="I6">
            <v>5032.0255591034065</v>
          </cell>
          <cell r="J6">
            <v>5032.0255591034065</v>
          </cell>
          <cell r="K6">
            <v>5032.0255591034065</v>
          </cell>
          <cell r="L6">
            <v>5419.1138033678808</v>
          </cell>
          <cell r="M6">
            <v>5419.1138033678808</v>
          </cell>
          <cell r="N6">
            <v>5419.1138033678808</v>
          </cell>
          <cell r="O6">
            <v>5419.1138033678808</v>
          </cell>
          <cell r="P6">
            <v>5419.1138033678808</v>
          </cell>
        </row>
        <row r="7">
          <cell r="E7">
            <v>3470.3624545540733</v>
          </cell>
          <cell r="F7">
            <v>3470.3624545540733</v>
          </cell>
          <cell r="G7">
            <v>3470.3624545540733</v>
          </cell>
          <cell r="H7">
            <v>3470.3624545540733</v>
          </cell>
          <cell r="I7">
            <v>3470.3624545540733</v>
          </cell>
          <cell r="J7">
            <v>3470.3624545540733</v>
          </cell>
          <cell r="K7">
            <v>3470.3624545540733</v>
          </cell>
          <cell r="L7">
            <v>3737.3198643916417</v>
          </cell>
          <cell r="M7">
            <v>3737.3198643916417</v>
          </cell>
          <cell r="N7">
            <v>3737.3198643916417</v>
          </cell>
          <cell r="O7">
            <v>3737.3198643916417</v>
          </cell>
          <cell r="P7">
            <v>3737.3198643916417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48544.951072613796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5812.8571113780727</v>
          </cell>
          <cell r="F9">
            <v>5812.8571113780727</v>
          </cell>
          <cell r="G9">
            <v>5812.8571113780727</v>
          </cell>
          <cell r="H9">
            <v>5812.8571113780727</v>
          </cell>
          <cell r="I9">
            <v>5812.8571113780727</v>
          </cell>
          <cell r="J9">
            <v>5812.8571113780727</v>
          </cell>
          <cell r="K9">
            <v>5812.8571113780727</v>
          </cell>
          <cell r="L9">
            <v>6260.0107728560006</v>
          </cell>
          <cell r="M9">
            <v>6260.0107728560006</v>
          </cell>
          <cell r="N9">
            <v>6260.0107728560006</v>
          </cell>
          <cell r="O9">
            <v>6260.0107728560006</v>
          </cell>
          <cell r="P9">
            <v>6260.0107728560006</v>
          </cell>
        </row>
        <row r="10">
          <cell r="E10">
            <v>1750.8071645462583</v>
          </cell>
          <cell r="F10">
            <v>1750.8071645462583</v>
          </cell>
          <cell r="G10">
            <v>1750.8071645462583</v>
          </cell>
          <cell r="H10">
            <v>1750.8071645462583</v>
          </cell>
          <cell r="I10">
            <v>1750.8071645462583</v>
          </cell>
          <cell r="J10">
            <v>1750.8071645462583</v>
          </cell>
          <cell r="K10">
            <v>1750.8071645462583</v>
          </cell>
          <cell r="L10">
            <v>1750.8071645462583</v>
          </cell>
          <cell r="M10">
            <v>1750.8071645462583</v>
          </cell>
          <cell r="N10">
            <v>1750.8071645462583</v>
          </cell>
          <cell r="O10">
            <v>1750.8071645462583</v>
          </cell>
          <cell r="P10">
            <v>1750.8071645462583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1553.2160702617518</v>
          </cell>
          <cell r="F12">
            <v>1553.2160702617518</v>
          </cell>
          <cell r="G12">
            <v>1553.2160702617518</v>
          </cell>
          <cell r="H12">
            <v>1553.2160702617518</v>
          </cell>
          <cell r="I12">
            <v>1553.2160702617518</v>
          </cell>
          <cell r="J12">
            <v>1553.2160702617518</v>
          </cell>
          <cell r="K12">
            <v>1553.2160702617518</v>
          </cell>
          <cell r="L12">
            <v>1553.2160702617518</v>
          </cell>
          <cell r="M12">
            <v>1553.2160702617518</v>
          </cell>
          <cell r="N12">
            <v>1553.2160702617518</v>
          </cell>
          <cell r="O12">
            <v>1553.2160702617518</v>
          </cell>
          <cell r="P12">
            <v>1553.2160702617518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E14">
            <v>3332.4463385478725</v>
          </cell>
          <cell r="F14">
            <v>3332.4463385478725</v>
          </cell>
          <cell r="G14">
            <v>3332.4463385478725</v>
          </cell>
          <cell r="H14">
            <v>3332.4463385478725</v>
          </cell>
          <cell r="I14">
            <v>3332.4463385478725</v>
          </cell>
          <cell r="J14">
            <v>3332.4463385478725</v>
          </cell>
          <cell r="K14">
            <v>3332.4463385478725</v>
          </cell>
          <cell r="L14">
            <v>3332.4463385478725</v>
          </cell>
          <cell r="M14">
            <v>3332.4463385478725</v>
          </cell>
          <cell r="N14">
            <v>3332.4463385478725</v>
          </cell>
          <cell r="O14">
            <v>3332.4463385478725</v>
          </cell>
          <cell r="P14">
            <v>3332.4463385478725</v>
          </cell>
        </row>
        <row r="15">
          <cell r="E15">
            <v>5473.3233347426685</v>
          </cell>
          <cell r="F15">
            <v>5473.3233347426685</v>
          </cell>
          <cell r="G15">
            <v>5473.3233347426685</v>
          </cell>
          <cell r="H15">
            <v>5473.3233347426685</v>
          </cell>
          <cell r="I15">
            <v>5473.3233347426685</v>
          </cell>
          <cell r="J15">
            <v>5473.3233347426685</v>
          </cell>
          <cell r="K15">
            <v>5900.3201906445793</v>
          </cell>
          <cell r="L15">
            <v>5473.3233347426685</v>
          </cell>
          <cell r="M15">
            <v>5473.3233347426685</v>
          </cell>
          <cell r="N15">
            <v>5473.3233347426685</v>
          </cell>
          <cell r="O15">
            <v>5473.3233347426685</v>
          </cell>
          <cell r="P15">
            <v>5473.3233347426685</v>
          </cell>
        </row>
        <row r="16">
          <cell r="E16">
            <v>1354.7912582798429</v>
          </cell>
          <cell r="F16">
            <v>1354.7912582798429</v>
          </cell>
          <cell r="G16">
            <v>1354.7912582798429</v>
          </cell>
          <cell r="H16">
            <v>1354.7912582798429</v>
          </cell>
          <cell r="I16">
            <v>1354.7912582798429</v>
          </cell>
          <cell r="J16">
            <v>1354.7912582798429</v>
          </cell>
          <cell r="K16">
            <v>1354.7912582798429</v>
          </cell>
          <cell r="L16">
            <v>1354.7912582798429</v>
          </cell>
          <cell r="M16">
            <v>1354.7912582798429</v>
          </cell>
          <cell r="N16">
            <v>1354.7912582798429</v>
          </cell>
          <cell r="O16">
            <v>1354.7912582798429</v>
          </cell>
          <cell r="P16">
            <v>1354.7912582798429</v>
          </cell>
        </row>
        <row r="17">
          <cell r="E17">
            <v>36304.737364031207</v>
          </cell>
          <cell r="F17">
            <v>36304.737364031207</v>
          </cell>
          <cell r="G17">
            <v>36304.737364031207</v>
          </cell>
          <cell r="H17">
            <v>36304.737364031207</v>
          </cell>
          <cell r="I17">
            <v>36304.737364031207</v>
          </cell>
          <cell r="J17">
            <v>36304.737364031207</v>
          </cell>
          <cell r="K17">
            <v>36304.737364031207</v>
          </cell>
          <cell r="L17">
            <v>36304.737364031207</v>
          </cell>
          <cell r="M17">
            <v>36304.737364031207</v>
          </cell>
          <cell r="N17">
            <v>36304.737364031207</v>
          </cell>
          <cell r="O17">
            <v>36304.737364031207</v>
          </cell>
          <cell r="P17">
            <v>36304.737364031207</v>
          </cell>
        </row>
        <row r="18">
          <cell r="E18">
            <v>4805.8155974939455</v>
          </cell>
          <cell r="F18">
            <v>4805.8155974939455</v>
          </cell>
          <cell r="G18">
            <v>4805.8155974939455</v>
          </cell>
          <cell r="H18">
            <v>4805.8155974939455</v>
          </cell>
          <cell r="I18">
            <v>4805.8155974939455</v>
          </cell>
          <cell r="J18">
            <v>4805.8155974939455</v>
          </cell>
          <cell r="K18">
            <v>4805.8155974939455</v>
          </cell>
          <cell r="L18">
            <v>4805.8155974939455</v>
          </cell>
          <cell r="M18">
            <v>4805.8155974939455</v>
          </cell>
          <cell r="N18">
            <v>4805.8155974939455</v>
          </cell>
          <cell r="O18">
            <v>4805.8155974939455</v>
          </cell>
          <cell r="P18">
            <v>4805.8155974939455</v>
          </cell>
        </row>
        <row r="19">
          <cell r="E19">
            <v>2084.2942435074501</v>
          </cell>
          <cell r="F19">
            <v>2084.2942435074501</v>
          </cell>
          <cell r="G19">
            <v>2084.2942435074501</v>
          </cell>
          <cell r="H19">
            <v>2084.2942435074501</v>
          </cell>
          <cell r="I19">
            <v>2084.2942435074501</v>
          </cell>
          <cell r="J19">
            <v>2084.2942435074501</v>
          </cell>
          <cell r="K19">
            <v>2084.2942435074501</v>
          </cell>
          <cell r="L19">
            <v>2084.2942435074501</v>
          </cell>
          <cell r="M19">
            <v>2084.2942435074501</v>
          </cell>
          <cell r="N19">
            <v>2084.2942435074501</v>
          </cell>
          <cell r="O19">
            <v>2084.2942435074501</v>
          </cell>
          <cell r="P19">
            <v>2084.2942435074501</v>
          </cell>
        </row>
        <row r="20">
          <cell r="E20">
            <v>0</v>
          </cell>
          <cell r="F20">
            <v>0</v>
          </cell>
          <cell r="G20">
            <v>147644.26047999901</v>
          </cell>
          <cell r="H20">
            <v>0</v>
          </cell>
          <cell r="I20">
            <v>4984.0624399999997</v>
          </cell>
          <cell r="J20">
            <v>4984.0624399999997</v>
          </cell>
          <cell r="K20">
            <v>81896.062439999994</v>
          </cell>
          <cell r="L20">
            <v>12103.322920000001</v>
          </cell>
          <cell r="M20">
            <v>96317.062439999994</v>
          </cell>
          <cell r="N20">
            <v>4984.0624399999997</v>
          </cell>
          <cell r="O20">
            <v>4984.0624399999997</v>
          </cell>
          <cell r="P20">
            <v>4984.0624399999997</v>
          </cell>
        </row>
        <row r="21"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14146.691999999999</v>
          </cell>
          <cell r="F22">
            <v>14146.691999999999</v>
          </cell>
          <cell r="G22">
            <v>14146.691999999999</v>
          </cell>
          <cell r="H22">
            <v>14146.691999999999</v>
          </cell>
          <cell r="I22">
            <v>14146.691999999999</v>
          </cell>
          <cell r="J22">
            <v>14146.691999999999</v>
          </cell>
          <cell r="K22">
            <v>14146.691999999999</v>
          </cell>
          <cell r="L22">
            <v>14146.691999999999</v>
          </cell>
          <cell r="M22">
            <v>14146.691999999999</v>
          </cell>
          <cell r="N22">
            <v>14146.691999999999</v>
          </cell>
          <cell r="O22">
            <v>14146.691999999999</v>
          </cell>
          <cell r="P22">
            <v>14146.691999999999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11254.8315264262</v>
          </cell>
          <cell r="F24">
            <v>11254.8315264262</v>
          </cell>
          <cell r="G24">
            <v>11254.8315264262</v>
          </cell>
          <cell r="H24">
            <v>11254.8315264262</v>
          </cell>
          <cell r="I24">
            <v>11254.8315264262</v>
          </cell>
          <cell r="J24">
            <v>11254.8315264262</v>
          </cell>
          <cell r="K24">
            <v>9854.2922419461993</v>
          </cell>
          <cell r="L24">
            <v>11254.8315264262</v>
          </cell>
          <cell r="M24">
            <v>11254.8315264262</v>
          </cell>
          <cell r="N24">
            <v>11254.8315264262</v>
          </cell>
          <cell r="O24">
            <v>11254.8315264262</v>
          </cell>
          <cell r="P24">
            <v>11254.8315264262</v>
          </cell>
        </row>
        <row r="25">
          <cell r="E25">
            <v>0</v>
          </cell>
          <cell r="F25">
            <v>0</v>
          </cell>
          <cell r="G25">
            <v>33933.535369999998</v>
          </cell>
          <cell r="H25">
            <v>29947.271836999898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</row>
        <row r="26">
          <cell r="E26">
            <v>50081.897095985994</v>
          </cell>
          <cell r="F26">
            <v>68142.461602319905</v>
          </cell>
          <cell r="G26">
            <v>83737.055448703904</v>
          </cell>
          <cell r="H26">
            <v>78960.979851619515</v>
          </cell>
          <cell r="I26">
            <v>86448.636890355512</v>
          </cell>
          <cell r="J26">
            <v>78896.938296609995</v>
          </cell>
          <cell r="K26">
            <v>80807.539222143911</v>
          </cell>
          <cell r="L26">
            <v>78960.979851619515</v>
          </cell>
          <cell r="M26">
            <v>103074.44585726313</v>
          </cell>
          <cell r="N26">
            <v>86431.122682289919</v>
          </cell>
          <cell r="O26">
            <v>24485.962751266001</v>
          </cell>
          <cell r="P26">
            <v>66760.636684799931</v>
          </cell>
        </row>
        <row r="27">
          <cell r="E27">
            <v>2021.61232952</v>
          </cell>
          <cell r="F27">
            <v>7298.1590701599998</v>
          </cell>
          <cell r="G27">
            <v>7298.1590701599998</v>
          </cell>
          <cell r="H27">
            <v>6731.8284949999897</v>
          </cell>
          <cell r="I27">
            <v>2636.98669499999</v>
          </cell>
          <cell r="J27">
            <v>8753.4408245199993</v>
          </cell>
          <cell r="K27">
            <v>4658.5990245199901</v>
          </cell>
          <cell r="L27">
            <v>8753.4408245199993</v>
          </cell>
          <cell r="M27">
            <v>8753.4408245199993</v>
          </cell>
          <cell r="N27">
            <v>2403.52495</v>
          </cell>
          <cell r="O27">
            <v>2403.52495</v>
          </cell>
          <cell r="P27">
            <v>2403.52495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2020.5951149999901</v>
          </cell>
          <cell r="I28">
            <v>462.95530749999898</v>
          </cell>
          <cell r="J28">
            <v>2020.5951149999901</v>
          </cell>
          <cell r="K28">
            <v>2483.5504225</v>
          </cell>
          <cell r="L28">
            <v>2020.5951149999901</v>
          </cell>
          <cell r="M28">
            <v>2020.5951149999901</v>
          </cell>
          <cell r="N28">
            <v>0</v>
          </cell>
          <cell r="O28">
            <v>0</v>
          </cell>
          <cell r="P28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</row>
        <row r="30">
          <cell r="E30">
            <v>2501.1530922089405</v>
          </cell>
          <cell r="F30">
            <v>2501.1530922089405</v>
          </cell>
          <cell r="G30">
            <v>2501.1530922089405</v>
          </cell>
          <cell r="H30">
            <v>2501.1530922089405</v>
          </cell>
          <cell r="I30">
            <v>2501.1530922089405</v>
          </cell>
          <cell r="J30">
            <v>2501.1530922089405</v>
          </cell>
          <cell r="K30">
            <v>2501.1530922089405</v>
          </cell>
          <cell r="L30">
            <v>2501.1530922089405</v>
          </cell>
          <cell r="M30">
            <v>2501.1530922089405</v>
          </cell>
          <cell r="N30">
            <v>2501.1530922089405</v>
          </cell>
          <cell r="O30">
            <v>2501.1530922089405</v>
          </cell>
          <cell r="P30">
            <v>2501.1530922089405</v>
          </cell>
        </row>
        <row r="31">
          <cell r="E31">
            <v>416.8588487014901</v>
          </cell>
          <cell r="F31">
            <v>416.8588487014901</v>
          </cell>
          <cell r="G31">
            <v>416.8588487014901</v>
          </cell>
          <cell r="H31">
            <v>416.8588487014901</v>
          </cell>
          <cell r="I31">
            <v>416.8588487014901</v>
          </cell>
          <cell r="J31">
            <v>416.8588487014901</v>
          </cell>
          <cell r="K31">
            <v>416.8588487014901</v>
          </cell>
          <cell r="L31">
            <v>416.8588487014901</v>
          </cell>
          <cell r="M31">
            <v>416.8588487014901</v>
          </cell>
          <cell r="N31">
            <v>416.8588487014901</v>
          </cell>
          <cell r="O31">
            <v>416.8588487014901</v>
          </cell>
          <cell r="P31">
            <v>416.8588487014901</v>
          </cell>
        </row>
        <row r="32">
          <cell r="E32">
            <v>214147.78032713759</v>
          </cell>
          <cell r="F32">
            <v>285530.37376951671</v>
          </cell>
          <cell r="G32">
            <v>285530.37376951671</v>
          </cell>
          <cell r="H32">
            <v>142765.18688475835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E33">
            <v>122448.97959183673</v>
          </cell>
          <cell r="F33">
            <v>163265.30612244899</v>
          </cell>
          <cell r="G33">
            <v>163265.30612244899</v>
          </cell>
          <cell r="H33">
            <v>81632.653061224497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8337.1769740298005</v>
          </cell>
          <cell r="F36">
            <v>8337.1769740298005</v>
          </cell>
          <cell r="G36">
            <v>8337.1769740298005</v>
          </cell>
          <cell r="H36">
            <v>8337.1769740298005</v>
          </cell>
          <cell r="I36">
            <v>8337.1769740298005</v>
          </cell>
          <cell r="J36">
            <v>8337.1769740298005</v>
          </cell>
          <cell r="K36">
            <v>8337.1769740298005</v>
          </cell>
          <cell r="L36">
            <v>8337.1769740298005</v>
          </cell>
          <cell r="M36">
            <v>8337.1769740298005</v>
          </cell>
          <cell r="N36">
            <v>8337.1769740298005</v>
          </cell>
          <cell r="O36">
            <v>8337.1769740298005</v>
          </cell>
          <cell r="P36">
            <v>8337.1769740298005</v>
          </cell>
        </row>
        <row r="37">
          <cell r="E37">
            <v>8337.1769740298005</v>
          </cell>
          <cell r="F37">
            <v>8337.1769740298005</v>
          </cell>
          <cell r="G37">
            <v>8337.1769740298005</v>
          </cell>
          <cell r="H37">
            <v>8337.1769740298005</v>
          </cell>
          <cell r="I37">
            <v>8337.1769740298005</v>
          </cell>
          <cell r="J37">
            <v>8337.1769740298005</v>
          </cell>
          <cell r="K37">
            <v>8337.1769740298005</v>
          </cell>
          <cell r="L37">
            <v>8337.1769740298005</v>
          </cell>
          <cell r="M37">
            <v>8337.1769740298005</v>
          </cell>
          <cell r="N37">
            <v>8337.1769740298005</v>
          </cell>
          <cell r="O37">
            <v>8337.1769740298005</v>
          </cell>
          <cell r="P37">
            <v>8337.1769740298005</v>
          </cell>
        </row>
        <row r="38">
          <cell r="E38">
            <v>1667.4353948059604</v>
          </cell>
          <cell r="F38">
            <v>1667.4353948059604</v>
          </cell>
          <cell r="G38">
            <v>1667.4353948059604</v>
          </cell>
          <cell r="H38">
            <v>1667.4353948059604</v>
          </cell>
          <cell r="I38">
            <v>1667.4353948059604</v>
          </cell>
          <cell r="J38">
            <v>1667.4353948059604</v>
          </cell>
          <cell r="K38">
            <v>1667.4353948059604</v>
          </cell>
          <cell r="L38">
            <v>1667.4353948059604</v>
          </cell>
          <cell r="M38">
            <v>1667.4353948059604</v>
          </cell>
          <cell r="N38">
            <v>1667.4353948059604</v>
          </cell>
          <cell r="O38">
            <v>1667.4353948059604</v>
          </cell>
          <cell r="P38">
            <v>1667.4353948059604</v>
          </cell>
        </row>
        <row r="39">
          <cell r="E39">
            <v>208.42942435074505</v>
          </cell>
          <cell r="F39">
            <v>208.42942435074505</v>
          </cell>
          <cell r="G39">
            <v>208.42942435074505</v>
          </cell>
          <cell r="H39">
            <v>208.42942435074505</v>
          </cell>
          <cell r="I39">
            <v>208.42942435074505</v>
          </cell>
          <cell r="J39">
            <v>208.42942435074505</v>
          </cell>
          <cell r="K39">
            <v>208.42942435074505</v>
          </cell>
          <cell r="L39">
            <v>208.42942435074505</v>
          </cell>
          <cell r="M39">
            <v>208.42942435074505</v>
          </cell>
          <cell r="N39">
            <v>208.42942435074505</v>
          </cell>
          <cell r="O39">
            <v>208.42942435074505</v>
          </cell>
          <cell r="P39">
            <v>208.42942435074505</v>
          </cell>
        </row>
        <row r="40">
          <cell r="E40">
            <v>833.71769740298021</v>
          </cell>
          <cell r="F40">
            <v>833.71769740298021</v>
          </cell>
          <cell r="G40">
            <v>833.71769740298021</v>
          </cell>
          <cell r="H40">
            <v>833.71769740298021</v>
          </cell>
          <cell r="I40">
            <v>833.71769740298021</v>
          </cell>
          <cell r="J40">
            <v>833.71769740298021</v>
          </cell>
          <cell r="K40">
            <v>833.71769740298021</v>
          </cell>
          <cell r="L40">
            <v>833.71769740298021</v>
          </cell>
          <cell r="M40">
            <v>833.71769740298021</v>
          </cell>
          <cell r="N40">
            <v>833.71769740298021</v>
          </cell>
          <cell r="O40">
            <v>833.71769740298021</v>
          </cell>
          <cell r="P40">
            <v>833.71769740298021</v>
          </cell>
        </row>
        <row r="41">
          <cell r="E41">
            <v>5169.0497238984772</v>
          </cell>
          <cell r="F41">
            <v>5169.0497238984772</v>
          </cell>
          <cell r="G41">
            <v>5169.0497238984772</v>
          </cell>
          <cell r="H41">
            <v>5169.0497238984772</v>
          </cell>
          <cell r="I41">
            <v>5169.0497238984772</v>
          </cell>
          <cell r="J41">
            <v>5169.0497238984772</v>
          </cell>
          <cell r="K41">
            <v>5169.0497238984772</v>
          </cell>
          <cell r="L41">
            <v>5169.0497238984772</v>
          </cell>
          <cell r="M41">
            <v>5169.0497238984772</v>
          </cell>
          <cell r="N41">
            <v>5169.0497238984772</v>
          </cell>
          <cell r="O41">
            <v>5169.0497238984772</v>
          </cell>
          <cell r="P41">
            <v>5169.0497238984772</v>
          </cell>
        </row>
        <row r="42">
          <cell r="E42">
            <v>5874.123599999999</v>
          </cell>
          <cell r="F42">
            <v>5874.123599999999</v>
          </cell>
          <cell r="G42">
            <v>5874.123599999999</v>
          </cell>
          <cell r="H42">
            <v>5874.123599999999</v>
          </cell>
          <cell r="I42">
            <v>5874.123599999999</v>
          </cell>
          <cell r="J42">
            <v>5874.123599999999</v>
          </cell>
          <cell r="K42">
            <v>5874.123599999999</v>
          </cell>
          <cell r="L42">
            <v>5874.123599999999</v>
          </cell>
          <cell r="M42">
            <v>5874.123599999999</v>
          </cell>
          <cell r="N42">
            <v>5874.123599999999</v>
          </cell>
          <cell r="O42">
            <v>5874.123599999999</v>
          </cell>
          <cell r="P42">
            <v>5874.123599999999</v>
          </cell>
        </row>
        <row r="43">
          <cell r="E43">
            <v>3430.9567542376139</v>
          </cell>
          <cell r="F43">
            <v>3430.9567542376139</v>
          </cell>
          <cell r="G43">
            <v>3430.9567542376139</v>
          </cell>
          <cell r="H43">
            <v>3430.9567542376139</v>
          </cell>
          <cell r="I43">
            <v>3430.9567542376139</v>
          </cell>
          <cell r="J43">
            <v>3430.9567542376139</v>
          </cell>
          <cell r="K43">
            <v>3430.9567542376139</v>
          </cell>
          <cell r="L43">
            <v>3430.9567542376139</v>
          </cell>
          <cell r="M43">
            <v>3430.9567542376139</v>
          </cell>
          <cell r="N43">
            <v>3430.9567542376139</v>
          </cell>
          <cell r="O43">
            <v>3430.9567542376139</v>
          </cell>
          <cell r="P43">
            <v>3430.9567542376139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2709.5825165596857</v>
          </cell>
          <cell r="F48">
            <v>2709.5825165596857</v>
          </cell>
          <cell r="G48">
            <v>2709.5825165596857</v>
          </cell>
          <cell r="H48">
            <v>2709.5825165596857</v>
          </cell>
          <cell r="I48">
            <v>2709.5825165596857</v>
          </cell>
          <cell r="J48">
            <v>2709.5825165596857</v>
          </cell>
          <cell r="K48">
            <v>2709.5825165596857</v>
          </cell>
          <cell r="L48">
            <v>2709.5825165596857</v>
          </cell>
          <cell r="M48">
            <v>2709.5825165596857</v>
          </cell>
          <cell r="N48">
            <v>2709.5825165596857</v>
          </cell>
          <cell r="O48">
            <v>2709.5825165596857</v>
          </cell>
          <cell r="P48">
            <v>2709.5825165596857</v>
          </cell>
        </row>
        <row r="49">
          <cell r="E49">
            <v>2605.3678043843129</v>
          </cell>
          <cell r="F49">
            <v>2605.3678043843129</v>
          </cell>
          <cell r="G49">
            <v>2605.3678043843129</v>
          </cell>
          <cell r="H49">
            <v>2605.3678043843129</v>
          </cell>
          <cell r="I49">
            <v>2605.3678043843129</v>
          </cell>
          <cell r="J49">
            <v>2605.3678043843129</v>
          </cell>
          <cell r="K49">
            <v>2605.3678043843129</v>
          </cell>
          <cell r="L49">
            <v>2605.3678043843129</v>
          </cell>
          <cell r="M49">
            <v>2605.3678043843129</v>
          </cell>
          <cell r="N49">
            <v>2605.3678043843129</v>
          </cell>
          <cell r="O49">
            <v>2605.3678043843129</v>
          </cell>
          <cell r="P49">
            <v>2605.3678043843129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E52">
            <v>1667.4353948059604</v>
          </cell>
          <cell r="F52">
            <v>1667.4353948059604</v>
          </cell>
          <cell r="G52">
            <v>1667.4353948059604</v>
          </cell>
          <cell r="H52">
            <v>1667.4353948059604</v>
          </cell>
          <cell r="I52">
            <v>1667.4353948059604</v>
          </cell>
          <cell r="J52">
            <v>1667.4353948059604</v>
          </cell>
          <cell r="K52">
            <v>1667.4353948059604</v>
          </cell>
          <cell r="L52">
            <v>1667.4353948059604</v>
          </cell>
          <cell r="M52">
            <v>1667.4353948059604</v>
          </cell>
          <cell r="N52">
            <v>1667.4353948059604</v>
          </cell>
          <cell r="O52">
            <v>1667.4353948059604</v>
          </cell>
          <cell r="P52">
            <v>1667.4353948059604</v>
          </cell>
        </row>
        <row r="53">
          <cell r="E53">
            <v>416.8588487014901</v>
          </cell>
          <cell r="F53">
            <v>416.8588487014901</v>
          </cell>
          <cell r="G53">
            <v>416.8588487014901</v>
          </cell>
          <cell r="H53">
            <v>416.8588487014901</v>
          </cell>
          <cell r="I53">
            <v>416.8588487014901</v>
          </cell>
          <cell r="J53">
            <v>416.8588487014901</v>
          </cell>
          <cell r="K53">
            <v>416.8588487014901</v>
          </cell>
          <cell r="L53">
            <v>416.8588487014901</v>
          </cell>
          <cell r="M53">
            <v>416.8588487014901</v>
          </cell>
          <cell r="N53">
            <v>416.8588487014901</v>
          </cell>
          <cell r="O53">
            <v>416.8588487014901</v>
          </cell>
          <cell r="P53">
            <v>416.8588487014901</v>
          </cell>
        </row>
        <row r="54">
          <cell r="E54">
            <v>10260.714285714286</v>
          </cell>
          <cell r="F54">
            <v>10260.714285714286</v>
          </cell>
          <cell r="G54">
            <v>10260.714285714286</v>
          </cell>
          <cell r="H54">
            <v>10260.714285714286</v>
          </cell>
          <cell r="I54">
            <v>10260.714285714286</v>
          </cell>
          <cell r="J54">
            <v>10260.714285714286</v>
          </cell>
          <cell r="K54">
            <v>10260.714285714286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-2812.7154151138598</v>
          </cell>
          <cell r="F56">
            <v>-2812.7154151138598</v>
          </cell>
          <cell r="G56">
            <v>-2812.7154151138598</v>
          </cell>
          <cell r="H56">
            <v>-2812.7154151138598</v>
          </cell>
          <cell r="I56">
            <v>-2812.7154151138598</v>
          </cell>
          <cell r="J56">
            <v>-2812.7154151138598</v>
          </cell>
          <cell r="K56">
            <v>-2812.7154151138598</v>
          </cell>
          <cell r="L56">
            <v>-2812.7154151138598</v>
          </cell>
          <cell r="M56">
            <v>-2812.7154151138598</v>
          </cell>
          <cell r="N56">
            <v>-2812.7154151138598</v>
          </cell>
          <cell r="O56">
            <v>-2812.7154151138598</v>
          </cell>
          <cell r="P56">
            <v>-2812.7154151138598</v>
          </cell>
        </row>
        <row r="57">
          <cell r="E57">
            <v>-937.57180503795337</v>
          </cell>
          <cell r="F57">
            <v>-937.57180503795337</v>
          </cell>
          <cell r="G57">
            <v>-937.57180503795337</v>
          </cell>
          <cell r="H57">
            <v>-937.57180503795337</v>
          </cell>
          <cell r="I57">
            <v>-937.57180503795337</v>
          </cell>
          <cell r="J57">
            <v>-937.57180503795337</v>
          </cell>
          <cell r="K57">
            <v>-937.57180503795337</v>
          </cell>
          <cell r="L57">
            <v>-937.57180503795337</v>
          </cell>
          <cell r="M57">
            <v>-937.57180503795337</v>
          </cell>
          <cell r="N57">
            <v>-937.57180503795337</v>
          </cell>
          <cell r="O57">
            <v>-937.57180503795337</v>
          </cell>
          <cell r="P57">
            <v>-937.57180503795337</v>
          </cell>
        </row>
      </sheetData>
      <sheetData sheetId="16" refreshError="1"/>
      <sheetData sheetId="17" refreshError="1">
        <row r="1">
          <cell r="G1">
            <v>414.66</v>
          </cell>
        </row>
        <row r="4">
          <cell r="E4">
            <v>61746.225899997604</v>
          </cell>
          <cell r="F4">
            <v>97911.379899997599</v>
          </cell>
          <cell r="G4">
            <v>61746.225899997604</v>
          </cell>
          <cell r="H4">
            <v>61746.225899997604</v>
          </cell>
          <cell r="I4">
            <v>61746.225899997604</v>
          </cell>
          <cell r="J4">
            <v>61746.225899997604</v>
          </cell>
          <cell r="K4">
            <v>61746.225899997604</v>
          </cell>
          <cell r="L4">
            <v>66685.923971997414</v>
          </cell>
          <cell r="M4">
            <v>66685.923971997414</v>
          </cell>
          <cell r="N4">
            <v>66685.923971997414</v>
          </cell>
          <cell r="O4">
            <v>66685.923971997414</v>
          </cell>
          <cell r="P4">
            <v>66685.923971997414</v>
          </cell>
        </row>
        <row r="5">
          <cell r="E5">
            <v>4145.75</v>
          </cell>
          <cell r="F5">
            <v>4145.75</v>
          </cell>
          <cell r="G5">
            <v>4145.75</v>
          </cell>
          <cell r="H5">
            <v>4145.75</v>
          </cell>
          <cell r="I5">
            <v>4145.75</v>
          </cell>
          <cell r="J5">
            <v>4145.75</v>
          </cell>
          <cell r="K5">
            <v>4145.75</v>
          </cell>
          <cell r="L5">
            <v>4145.75</v>
          </cell>
          <cell r="M5">
            <v>4145.75</v>
          </cell>
          <cell r="N5">
            <v>4145.75</v>
          </cell>
          <cell r="O5">
            <v>4145.75</v>
          </cell>
          <cell r="P5">
            <v>4145.75</v>
          </cell>
        </row>
        <row r="6">
          <cell r="E6">
            <v>7852.985665412757</v>
          </cell>
          <cell r="F6">
            <v>7852.985665412757</v>
          </cell>
          <cell r="G6">
            <v>7852.985665412757</v>
          </cell>
          <cell r="H6">
            <v>7852.985665412757</v>
          </cell>
          <cell r="I6">
            <v>7852.985665412757</v>
          </cell>
          <cell r="J6">
            <v>7852.985665412757</v>
          </cell>
          <cell r="K6">
            <v>7852.985665412757</v>
          </cell>
          <cell r="L6">
            <v>8444.675586645777</v>
          </cell>
          <cell r="M6">
            <v>8444.675586645777</v>
          </cell>
          <cell r="N6">
            <v>8444.675586645777</v>
          </cell>
          <cell r="O6">
            <v>8444.675586645777</v>
          </cell>
          <cell r="P6">
            <v>8444.675586645777</v>
          </cell>
        </row>
        <row r="7">
          <cell r="E7">
            <v>6092.8337059236901</v>
          </cell>
          <cell r="F7">
            <v>6092.8337059236901</v>
          </cell>
          <cell r="G7">
            <v>6092.8337059236901</v>
          </cell>
          <cell r="H7">
            <v>6092.8337059236901</v>
          </cell>
          <cell r="I7">
            <v>6092.8337059236901</v>
          </cell>
          <cell r="J7">
            <v>6092.8337059236901</v>
          </cell>
          <cell r="K7">
            <v>6092.8337059236901</v>
          </cell>
          <cell r="L7">
            <v>6551.9034723975847</v>
          </cell>
          <cell r="M7">
            <v>6551.9034723975847</v>
          </cell>
          <cell r="N7">
            <v>6551.9034723975847</v>
          </cell>
          <cell r="O7">
            <v>6551.9034723975847</v>
          </cell>
          <cell r="P7">
            <v>6551.9034723975847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67862.125980633951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4774.50126663026</v>
          </cell>
          <cell r="F9">
            <v>4774.50126663026</v>
          </cell>
          <cell r="G9">
            <v>4774.50126663026</v>
          </cell>
          <cell r="H9">
            <v>4774.50126663026</v>
          </cell>
          <cell r="I9">
            <v>4774.50126663026</v>
          </cell>
          <cell r="J9">
            <v>4774.50126663026</v>
          </cell>
          <cell r="K9">
            <v>4774.50126663026</v>
          </cell>
          <cell r="L9">
            <v>5134.2401479606815</v>
          </cell>
          <cell r="M9">
            <v>5134.2401479606815</v>
          </cell>
          <cell r="N9">
            <v>5134.2401479606815</v>
          </cell>
          <cell r="O9">
            <v>5134.2401479606815</v>
          </cell>
          <cell r="P9">
            <v>5134.2401479606815</v>
          </cell>
        </row>
        <row r="10">
          <cell r="E10">
            <v>4738</v>
          </cell>
          <cell r="F10">
            <v>4738</v>
          </cell>
          <cell r="G10">
            <v>4738</v>
          </cell>
          <cell r="H10">
            <v>4738</v>
          </cell>
          <cell r="I10">
            <v>4738</v>
          </cell>
          <cell r="J10">
            <v>4738</v>
          </cell>
          <cell r="K10">
            <v>4738</v>
          </cell>
          <cell r="L10">
            <v>4738</v>
          </cell>
          <cell r="M10">
            <v>4738</v>
          </cell>
          <cell r="N10">
            <v>4738</v>
          </cell>
          <cell r="O10">
            <v>4738</v>
          </cell>
          <cell r="P10">
            <v>4738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1471.1489999999999</v>
          </cell>
          <cell r="F12">
            <v>1471.1489999999999</v>
          </cell>
          <cell r="G12">
            <v>1471.1489999999999</v>
          </cell>
          <cell r="H12">
            <v>1471.1489999999999</v>
          </cell>
          <cell r="I12">
            <v>1471.1489999999999</v>
          </cell>
          <cell r="J12">
            <v>1471.1489999999999</v>
          </cell>
          <cell r="K12">
            <v>1471.1489999999999</v>
          </cell>
          <cell r="L12">
            <v>1471.1489999999999</v>
          </cell>
          <cell r="M12">
            <v>1471.1489999999999</v>
          </cell>
          <cell r="N12">
            <v>1471.1489999999999</v>
          </cell>
          <cell r="O12">
            <v>1471.1489999999999</v>
          </cell>
          <cell r="P12">
            <v>1471.1489999999999</v>
          </cell>
        </row>
        <row r="13">
          <cell r="E13">
            <v>5211.8</v>
          </cell>
          <cell r="F13">
            <v>5211.8</v>
          </cell>
          <cell r="G13">
            <v>5211.8</v>
          </cell>
          <cell r="H13">
            <v>5211.8</v>
          </cell>
          <cell r="I13">
            <v>5211.8</v>
          </cell>
          <cell r="J13">
            <v>5211.8</v>
          </cell>
          <cell r="K13">
            <v>5211.8</v>
          </cell>
          <cell r="L13">
            <v>5211.8</v>
          </cell>
          <cell r="M13">
            <v>5211.8</v>
          </cell>
          <cell r="N13">
            <v>5211.8</v>
          </cell>
          <cell r="O13">
            <v>5211.8</v>
          </cell>
          <cell r="P13">
            <v>5211.8</v>
          </cell>
        </row>
        <row r="14">
          <cell r="E14">
            <v>3217.9643160000001</v>
          </cell>
          <cell r="F14">
            <v>3217.9643160000001</v>
          </cell>
          <cell r="G14">
            <v>3217.9643160000001</v>
          </cell>
          <cell r="H14">
            <v>3217.9643160000001</v>
          </cell>
          <cell r="I14">
            <v>3217.9643160000001</v>
          </cell>
          <cell r="J14">
            <v>3217.9643160000001</v>
          </cell>
          <cell r="K14">
            <v>3217.9643160000001</v>
          </cell>
          <cell r="L14">
            <v>3217.9643160000001</v>
          </cell>
          <cell r="M14">
            <v>3217.9643160000001</v>
          </cell>
          <cell r="N14">
            <v>3217.9643160000001</v>
          </cell>
          <cell r="O14">
            <v>3217.9643160000001</v>
          </cell>
          <cell r="P14">
            <v>3217.9643160000001</v>
          </cell>
        </row>
        <row r="15">
          <cell r="E15">
            <v>8724.8374800000001</v>
          </cell>
          <cell r="F15">
            <v>8724.8374800000001</v>
          </cell>
          <cell r="G15">
            <v>8724.8374800000001</v>
          </cell>
          <cell r="H15">
            <v>8724.8374800000001</v>
          </cell>
          <cell r="I15">
            <v>8724.8374800000001</v>
          </cell>
          <cell r="J15">
            <v>8724.8374800000001</v>
          </cell>
          <cell r="K15">
            <v>9405.49856</v>
          </cell>
          <cell r="L15">
            <v>8724.8374800000001</v>
          </cell>
          <cell r="M15">
            <v>8724.8374800000001</v>
          </cell>
          <cell r="N15">
            <v>8724.8374800000001</v>
          </cell>
          <cell r="O15">
            <v>8724.8374800000001</v>
          </cell>
          <cell r="P15">
            <v>8724.8374800000001</v>
          </cell>
        </row>
        <row r="16">
          <cell r="E16">
            <v>2961.25</v>
          </cell>
          <cell r="F16">
            <v>2961.25</v>
          </cell>
          <cell r="G16">
            <v>2961.25</v>
          </cell>
          <cell r="H16">
            <v>2961.25</v>
          </cell>
          <cell r="I16">
            <v>2961.25</v>
          </cell>
          <cell r="J16">
            <v>2961.25</v>
          </cell>
          <cell r="K16">
            <v>2961.25</v>
          </cell>
          <cell r="L16">
            <v>2961.25</v>
          </cell>
          <cell r="M16">
            <v>2961.25</v>
          </cell>
          <cell r="N16">
            <v>2961.25</v>
          </cell>
          <cell r="O16">
            <v>2961.25</v>
          </cell>
          <cell r="P16">
            <v>2961.25</v>
          </cell>
        </row>
        <row r="17">
          <cell r="E17">
            <v>37290.428999999996</v>
          </cell>
          <cell r="F17">
            <v>37290.428999999996</v>
          </cell>
          <cell r="G17">
            <v>37290.428999999996</v>
          </cell>
          <cell r="H17">
            <v>37290.428999999996</v>
          </cell>
          <cell r="I17">
            <v>37290.428999999996</v>
          </cell>
          <cell r="J17">
            <v>37290.428999999996</v>
          </cell>
          <cell r="K17">
            <v>37290.428999999996</v>
          </cell>
          <cell r="L17">
            <v>37290.428999999996</v>
          </cell>
          <cell r="M17">
            <v>37290.428999999996</v>
          </cell>
          <cell r="N17">
            <v>37290.428999999996</v>
          </cell>
          <cell r="O17">
            <v>37290.428999999996</v>
          </cell>
          <cell r="P17">
            <v>37290.428999999996</v>
          </cell>
        </row>
        <row r="18">
          <cell r="E18">
            <v>5215.70885</v>
          </cell>
          <cell r="F18">
            <v>5215.70885</v>
          </cell>
          <cell r="G18">
            <v>5215.70885</v>
          </cell>
          <cell r="H18">
            <v>5215.70885</v>
          </cell>
          <cell r="I18">
            <v>5215.70885</v>
          </cell>
          <cell r="J18">
            <v>5215.70885</v>
          </cell>
          <cell r="K18">
            <v>5215.70885</v>
          </cell>
          <cell r="L18">
            <v>5215.70885</v>
          </cell>
          <cell r="M18">
            <v>5215.70885</v>
          </cell>
          <cell r="N18">
            <v>5215.70885</v>
          </cell>
          <cell r="O18">
            <v>5215.70885</v>
          </cell>
          <cell r="P18">
            <v>5215.70885</v>
          </cell>
        </row>
        <row r="19">
          <cell r="E19">
            <v>1381.9166666666665</v>
          </cell>
          <cell r="F19">
            <v>1381.9166666666665</v>
          </cell>
          <cell r="G19">
            <v>1381.9166666666665</v>
          </cell>
          <cell r="H19">
            <v>1381.9166666666665</v>
          </cell>
          <cell r="I19">
            <v>1381.9166666666665</v>
          </cell>
          <cell r="J19">
            <v>1381.9166666666665</v>
          </cell>
          <cell r="K19">
            <v>1381.9166666666665</v>
          </cell>
          <cell r="L19">
            <v>1381.9166666666665</v>
          </cell>
          <cell r="M19">
            <v>1381.9166666666665</v>
          </cell>
          <cell r="N19">
            <v>1381.9166666666665</v>
          </cell>
          <cell r="O19">
            <v>1381.9166666666665</v>
          </cell>
          <cell r="P19">
            <v>1381.9166666666665</v>
          </cell>
        </row>
        <row r="20">
          <cell r="E20">
            <v>0</v>
          </cell>
          <cell r="F20">
            <v>0</v>
          </cell>
          <cell r="G20">
            <v>327243.43809142802</v>
          </cell>
          <cell r="H20">
            <v>0</v>
          </cell>
          <cell r="I20">
            <v>8590.3037199999999</v>
          </cell>
          <cell r="J20">
            <v>8590.3037199999999</v>
          </cell>
          <cell r="K20">
            <v>162920.30371999901</v>
          </cell>
          <cell r="L20">
            <v>21783.741811428499</v>
          </cell>
          <cell r="M20">
            <v>163426.30372</v>
          </cell>
          <cell r="N20">
            <v>8590.3037199999999</v>
          </cell>
          <cell r="O20">
            <v>8590.3037199999999</v>
          </cell>
          <cell r="P20">
            <v>8590.3037199999999</v>
          </cell>
        </row>
        <row r="21">
          <cell r="E21">
            <v>266503.46399999998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18129.096000000001</v>
          </cell>
          <cell r="F22">
            <v>18129.096000000001</v>
          </cell>
          <cell r="G22">
            <v>18129.096000000001</v>
          </cell>
          <cell r="H22">
            <v>18129.096000000001</v>
          </cell>
          <cell r="I22">
            <v>18129.096000000001</v>
          </cell>
          <cell r="J22">
            <v>18129.096000000001</v>
          </cell>
          <cell r="K22">
            <v>18129.096000000001</v>
          </cell>
          <cell r="L22">
            <v>18129.096000000001</v>
          </cell>
          <cell r="M22">
            <v>18129.096000000001</v>
          </cell>
          <cell r="N22">
            <v>18129.096000000001</v>
          </cell>
          <cell r="O22">
            <v>18129.096000000001</v>
          </cell>
          <cell r="P22">
            <v>18129.096000000001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14938.4926272907</v>
          </cell>
          <cell r="F24">
            <v>14938.4926272907</v>
          </cell>
          <cell r="G24">
            <v>14938.4926272907</v>
          </cell>
          <cell r="H24">
            <v>14938.4926272907</v>
          </cell>
          <cell r="I24">
            <v>14938.4926272907</v>
          </cell>
          <cell r="J24">
            <v>14938.4926272907</v>
          </cell>
          <cell r="K24">
            <v>12343.008391770702</v>
          </cell>
          <cell r="L24">
            <v>14938.4926272907</v>
          </cell>
          <cell r="M24">
            <v>14938.4926272907</v>
          </cell>
          <cell r="N24">
            <v>14938.4926272907</v>
          </cell>
          <cell r="O24">
            <v>14938.4926272907</v>
          </cell>
          <cell r="P24">
            <v>14938.4926272907</v>
          </cell>
        </row>
        <row r="25">
          <cell r="E25">
            <v>0</v>
          </cell>
          <cell r="F25">
            <v>0</v>
          </cell>
          <cell r="G25">
            <v>52478.133119999802</v>
          </cell>
          <cell r="H25">
            <v>66474.931706999894</v>
          </cell>
          <cell r="I25">
            <v>66474.931706999894</v>
          </cell>
          <cell r="J25">
            <v>69636.458721000003</v>
          </cell>
          <cell r="K25">
            <v>17475.119420999901</v>
          </cell>
          <cell r="L25">
            <v>17475.119420999901</v>
          </cell>
          <cell r="M25">
            <v>17475.119420999901</v>
          </cell>
          <cell r="N25">
            <v>10414.822388999901</v>
          </cell>
          <cell r="O25">
            <v>6308.1258809999899</v>
          </cell>
          <cell r="P25">
            <v>6308.1258809999899</v>
          </cell>
        </row>
        <row r="26">
          <cell r="E26">
            <v>68936.262714014403</v>
          </cell>
          <cell r="F26">
            <v>138505.9462180144</v>
          </cell>
          <cell r="G26">
            <v>212537.41323828639</v>
          </cell>
          <cell r="H26">
            <v>210466.21031988639</v>
          </cell>
          <cell r="I26">
            <v>238019.28215801439</v>
          </cell>
          <cell r="J26">
            <v>184476.44553628544</v>
          </cell>
          <cell r="K26">
            <v>156923.37369815831</v>
          </cell>
          <cell r="L26">
            <v>212537.41323828639</v>
          </cell>
          <cell r="M26">
            <v>266152.36565049202</v>
          </cell>
          <cell r="N26">
            <v>252081.97699582003</v>
          </cell>
          <cell r="O26">
            <v>181718.34840649198</v>
          </cell>
          <cell r="P26">
            <v>177256.56489022</v>
          </cell>
        </row>
        <row r="27">
          <cell r="E27">
            <v>3029.8775823999999</v>
          </cell>
          <cell r="F27">
            <v>10938.065739199999</v>
          </cell>
          <cell r="G27">
            <v>10938.065739199999</v>
          </cell>
          <cell r="H27">
            <v>11602.673934999901</v>
          </cell>
          <cell r="I27">
            <v>4544.9905349999999</v>
          </cell>
          <cell r="J27">
            <v>14632.551517399999</v>
          </cell>
          <cell r="K27">
            <v>7574.8681173999903</v>
          </cell>
          <cell r="L27">
            <v>14632.551517399999</v>
          </cell>
          <cell r="M27">
            <v>14632.551517399999</v>
          </cell>
          <cell r="N27">
            <v>11325.8160274</v>
          </cell>
          <cell r="O27">
            <v>8295.9384449999998</v>
          </cell>
          <cell r="P27">
            <v>8295.9384449999998</v>
          </cell>
        </row>
        <row r="28">
          <cell r="E28">
            <v>9575.1449699999903</v>
          </cell>
          <cell r="F28">
            <v>9575.1449699999903</v>
          </cell>
          <cell r="G28">
            <v>12766.8599599999</v>
          </cell>
          <cell r="H28">
            <v>13057.750964999899</v>
          </cell>
          <cell r="I28">
            <v>11171.0024649999</v>
          </cell>
          <cell r="J28">
            <v>9866.0359749999898</v>
          </cell>
          <cell r="K28">
            <v>7979.2874749999901</v>
          </cell>
          <cell r="L28">
            <v>13057.750964999899</v>
          </cell>
          <cell r="M28">
            <v>13057.750964999899</v>
          </cell>
          <cell r="N28">
            <v>12065.2162349999</v>
          </cell>
          <cell r="O28">
            <v>8873.5012449999995</v>
          </cell>
          <cell r="P28">
            <v>8873.5012449999995</v>
          </cell>
        </row>
        <row r="29">
          <cell r="E29">
            <v>20798.441666666567</v>
          </cell>
          <cell r="F29">
            <v>31847.180666666569</v>
          </cell>
          <cell r="G29">
            <v>20798.441666666567</v>
          </cell>
          <cell r="H29">
            <v>31847.180666666569</v>
          </cell>
          <cell r="I29">
            <v>20798.441666666567</v>
          </cell>
          <cell r="J29">
            <v>31847.180666666569</v>
          </cell>
          <cell r="K29">
            <v>20798.441666666567</v>
          </cell>
          <cell r="L29">
            <v>31847.180666666569</v>
          </cell>
          <cell r="M29">
            <v>20798.441666666567</v>
          </cell>
          <cell r="N29">
            <v>31847.180666666569</v>
          </cell>
          <cell r="O29">
            <v>20798.441666666567</v>
          </cell>
          <cell r="P29">
            <v>31847.180666666569</v>
          </cell>
        </row>
        <row r="30">
          <cell r="E30">
            <v>3158.666666666667</v>
          </cell>
          <cell r="F30">
            <v>3158.666666666667</v>
          </cell>
          <cell r="G30">
            <v>3158.666666666667</v>
          </cell>
          <cell r="H30">
            <v>3158.666666666667</v>
          </cell>
          <cell r="I30">
            <v>3158.666666666667</v>
          </cell>
          <cell r="J30">
            <v>3158.666666666667</v>
          </cell>
          <cell r="K30">
            <v>3158.666666666667</v>
          </cell>
          <cell r="L30">
            <v>3158.666666666667</v>
          </cell>
          <cell r="M30">
            <v>3158.666666666667</v>
          </cell>
          <cell r="N30">
            <v>3158.666666666667</v>
          </cell>
          <cell r="O30">
            <v>3158.666666666667</v>
          </cell>
          <cell r="P30">
            <v>3158.666666666667</v>
          </cell>
        </row>
        <row r="31">
          <cell r="E31">
            <v>1697.7833333333333</v>
          </cell>
          <cell r="F31">
            <v>1697.7833333333333</v>
          </cell>
          <cell r="G31">
            <v>1697.7833333333333</v>
          </cell>
          <cell r="H31">
            <v>1697.7833333333333</v>
          </cell>
          <cell r="I31">
            <v>1697.7833333333333</v>
          </cell>
          <cell r="J31">
            <v>1697.7833333333333</v>
          </cell>
          <cell r="K31">
            <v>1697.7833333333333</v>
          </cell>
          <cell r="L31">
            <v>1697.7833333333333</v>
          </cell>
          <cell r="M31">
            <v>1697.7833333333333</v>
          </cell>
          <cell r="N31">
            <v>1697.7833333333333</v>
          </cell>
          <cell r="O31">
            <v>1697.7833333333333</v>
          </cell>
          <cell r="P31">
            <v>1697.7833333333333</v>
          </cell>
        </row>
        <row r="32">
          <cell r="E32">
            <v>253847.93617920001</v>
          </cell>
          <cell r="F32">
            <v>254237.38718400002</v>
          </cell>
          <cell r="G32">
            <v>254237.38718400002</v>
          </cell>
          <cell r="H32">
            <v>274116.89780639997</v>
          </cell>
          <cell r="I32">
            <v>293996.4084288</v>
          </cell>
          <cell r="J32">
            <v>278726.02718400001</v>
          </cell>
          <cell r="K32">
            <v>277740.68593919999</v>
          </cell>
          <cell r="L32">
            <v>201214.992</v>
          </cell>
          <cell r="M32">
            <v>3265.152</v>
          </cell>
          <cell r="N32">
            <v>3265.152</v>
          </cell>
          <cell r="O32">
            <v>0</v>
          </cell>
          <cell r="P32">
            <v>0</v>
          </cell>
        </row>
        <row r="33">
          <cell r="E33">
            <v>151444.8979591837</v>
          </cell>
          <cell r="F33">
            <v>189306.12244897962</v>
          </cell>
          <cell r="G33">
            <v>189306.12244897962</v>
          </cell>
          <cell r="H33">
            <v>208236.73469387754</v>
          </cell>
          <cell r="I33">
            <v>227167.3469387755</v>
          </cell>
          <cell r="J33">
            <v>189306.12244897962</v>
          </cell>
          <cell r="K33">
            <v>151444.8979591837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316714.10000000003</v>
          </cell>
          <cell r="F34">
            <v>248722.22000000003</v>
          </cell>
          <cell r="G34">
            <v>0</v>
          </cell>
          <cell r="H34">
            <v>0</v>
          </cell>
          <cell r="I34">
            <v>0</v>
          </cell>
          <cell r="J34">
            <v>10000</v>
          </cell>
          <cell r="K34">
            <v>25000</v>
          </cell>
          <cell r="L34">
            <v>0</v>
          </cell>
          <cell r="M34">
            <v>15000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122448.97959183673</v>
          </cell>
          <cell r="F35">
            <v>85714.28571428571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7896.666666666667</v>
          </cell>
          <cell r="F36">
            <v>7896.666666666667</v>
          </cell>
          <cell r="G36">
            <v>7896.666666666667</v>
          </cell>
          <cell r="H36">
            <v>7896.666666666667</v>
          </cell>
          <cell r="I36">
            <v>7896.666666666667</v>
          </cell>
          <cell r="J36">
            <v>7896.666666666667</v>
          </cell>
          <cell r="K36">
            <v>7896.666666666667</v>
          </cell>
          <cell r="L36">
            <v>7896.666666666667</v>
          </cell>
          <cell r="M36">
            <v>7896.666666666667</v>
          </cell>
          <cell r="N36">
            <v>7896.666666666667</v>
          </cell>
          <cell r="O36">
            <v>7896.666666666667</v>
          </cell>
          <cell r="P36">
            <v>7896.666666666667</v>
          </cell>
        </row>
        <row r="37">
          <cell r="E37">
            <v>11845</v>
          </cell>
          <cell r="F37">
            <v>11845</v>
          </cell>
          <cell r="G37">
            <v>11845</v>
          </cell>
          <cell r="H37">
            <v>11845</v>
          </cell>
          <cell r="I37">
            <v>11845</v>
          </cell>
          <cell r="J37">
            <v>11845</v>
          </cell>
          <cell r="K37">
            <v>11845</v>
          </cell>
          <cell r="L37">
            <v>11845</v>
          </cell>
          <cell r="M37">
            <v>11845</v>
          </cell>
          <cell r="N37">
            <v>11845</v>
          </cell>
          <cell r="O37">
            <v>11845</v>
          </cell>
          <cell r="P37">
            <v>11845</v>
          </cell>
        </row>
        <row r="38">
          <cell r="E38">
            <v>789.66666666666674</v>
          </cell>
          <cell r="F38">
            <v>789.66666666666674</v>
          </cell>
          <cell r="G38">
            <v>789.66666666666674</v>
          </cell>
          <cell r="H38">
            <v>789.66666666666674</v>
          </cell>
          <cell r="I38">
            <v>789.66666666666674</v>
          </cell>
          <cell r="J38">
            <v>789.66666666666674</v>
          </cell>
          <cell r="K38">
            <v>789.66666666666674</v>
          </cell>
          <cell r="L38">
            <v>789.66666666666674</v>
          </cell>
          <cell r="M38">
            <v>789.66666666666674</v>
          </cell>
          <cell r="N38">
            <v>789.66666666666674</v>
          </cell>
          <cell r="O38">
            <v>789.66666666666674</v>
          </cell>
          <cell r="P38">
            <v>789.66666666666674</v>
          </cell>
        </row>
        <row r="39">
          <cell r="E39">
            <v>2369</v>
          </cell>
          <cell r="F39">
            <v>2369</v>
          </cell>
          <cell r="G39">
            <v>2369</v>
          </cell>
          <cell r="H39">
            <v>2369</v>
          </cell>
          <cell r="I39">
            <v>2369</v>
          </cell>
          <cell r="J39">
            <v>2369</v>
          </cell>
          <cell r="K39">
            <v>2369</v>
          </cell>
          <cell r="L39">
            <v>2369</v>
          </cell>
          <cell r="M39">
            <v>2369</v>
          </cell>
          <cell r="N39">
            <v>2369</v>
          </cell>
          <cell r="O39">
            <v>2369</v>
          </cell>
          <cell r="P39">
            <v>2369</v>
          </cell>
        </row>
        <row r="40">
          <cell r="E40">
            <v>5132.8333333333339</v>
          </cell>
          <cell r="F40">
            <v>5132.8333333333339</v>
          </cell>
          <cell r="G40">
            <v>5132.8333333333339</v>
          </cell>
          <cell r="H40">
            <v>5132.8333333333339</v>
          </cell>
          <cell r="I40">
            <v>5132.8333333333339</v>
          </cell>
          <cell r="J40">
            <v>5132.8333333333339</v>
          </cell>
          <cell r="K40">
            <v>5132.8333333333339</v>
          </cell>
          <cell r="L40">
            <v>5132.8333333333339</v>
          </cell>
          <cell r="M40">
            <v>5132.8333333333339</v>
          </cell>
          <cell r="N40">
            <v>5132.8333333333339</v>
          </cell>
          <cell r="O40">
            <v>5132.8333333333339</v>
          </cell>
          <cell r="P40">
            <v>5132.8333333333339</v>
          </cell>
        </row>
        <row r="41">
          <cell r="E41">
            <v>33837.216666666667</v>
          </cell>
          <cell r="F41">
            <v>33837.216666666667</v>
          </cell>
          <cell r="G41">
            <v>33837.216666666667</v>
          </cell>
          <cell r="H41">
            <v>33837.216666666667</v>
          </cell>
          <cell r="I41">
            <v>33837.216666666667</v>
          </cell>
          <cell r="J41">
            <v>33837.216666666667</v>
          </cell>
          <cell r="K41">
            <v>33837.216666666667</v>
          </cell>
          <cell r="L41">
            <v>33837.216666666667</v>
          </cell>
          <cell r="M41">
            <v>33837.216666666667</v>
          </cell>
          <cell r="N41">
            <v>33837.216666666667</v>
          </cell>
          <cell r="O41">
            <v>33837.216666666667</v>
          </cell>
          <cell r="P41">
            <v>33837.216666666667</v>
          </cell>
        </row>
        <row r="42">
          <cell r="E42">
            <v>55082.899999999994</v>
          </cell>
          <cell r="F42">
            <v>55082.899999999994</v>
          </cell>
          <cell r="G42">
            <v>55082.899999999994</v>
          </cell>
          <cell r="H42">
            <v>55082.899999999994</v>
          </cell>
          <cell r="I42">
            <v>55082.899999999994</v>
          </cell>
          <cell r="J42">
            <v>55082.899999999994</v>
          </cell>
          <cell r="K42">
            <v>55082.899999999994</v>
          </cell>
          <cell r="L42">
            <v>55082.899999999994</v>
          </cell>
          <cell r="M42">
            <v>55082.899999999994</v>
          </cell>
          <cell r="N42">
            <v>55082.899999999994</v>
          </cell>
          <cell r="O42">
            <v>55082.899999999994</v>
          </cell>
          <cell r="P42">
            <v>55082.899999999994</v>
          </cell>
        </row>
        <row r="43">
          <cell r="E43">
            <v>5463.8616000000011</v>
          </cell>
          <cell r="F43">
            <v>5463.8616000000011</v>
          </cell>
          <cell r="G43">
            <v>5463.8616000000011</v>
          </cell>
          <cell r="H43">
            <v>5463.8616000000011</v>
          </cell>
          <cell r="I43">
            <v>5463.8616000000011</v>
          </cell>
          <cell r="J43">
            <v>5463.8616000000011</v>
          </cell>
          <cell r="K43">
            <v>5463.8616000000011</v>
          </cell>
          <cell r="L43">
            <v>5463.8616000000011</v>
          </cell>
          <cell r="M43">
            <v>5463.8616000000011</v>
          </cell>
          <cell r="N43">
            <v>5463.8616000000011</v>
          </cell>
          <cell r="O43">
            <v>5463.8616000000011</v>
          </cell>
          <cell r="P43">
            <v>5463.8616000000011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3948.3333333333335</v>
          </cell>
          <cell r="F48">
            <v>3948.3333333333335</v>
          </cell>
          <cell r="G48">
            <v>3948.3333333333335</v>
          </cell>
          <cell r="H48">
            <v>3948.3333333333335</v>
          </cell>
          <cell r="I48">
            <v>3948.3333333333335</v>
          </cell>
          <cell r="J48">
            <v>3948.3333333333335</v>
          </cell>
          <cell r="K48">
            <v>3948.3333333333335</v>
          </cell>
          <cell r="L48">
            <v>3948.3333333333335</v>
          </cell>
          <cell r="M48">
            <v>3948.3333333333335</v>
          </cell>
          <cell r="N48">
            <v>3948.3333333333335</v>
          </cell>
          <cell r="O48">
            <v>3948.3333333333335</v>
          </cell>
          <cell r="P48">
            <v>3948.3333333333335</v>
          </cell>
        </row>
        <row r="49">
          <cell r="E49">
            <v>6435.7833333333338</v>
          </cell>
          <cell r="F49">
            <v>6435.7833333333338</v>
          </cell>
          <cell r="G49">
            <v>6435.7833333333338</v>
          </cell>
          <cell r="H49">
            <v>6435.7833333333338</v>
          </cell>
          <cell r="I49">
            <v>6435.7833333333338</v>
          </cell>
          <cell r="J49">
            <v>6435.7833333333338</v>
          </cell>
          <cell r="K49">
            <v>6435.7833333333338</v>
          </cell>
          <cell r="L49">
            <v>6435.7833333333338</v>
          </cell>
          <cell r="M49">
            <v>6435.7833333333338</v>
          </cell>
          <cell r="N49">
            <v>6435.7833333333338</v>
          </cell>
          <cell r="O49">
            <v>6435.7833333333338</v>
          </cell>
          <cell r="P49">
            <v>6435.7833333333338</v>
          </cell>
        </row>
        <row r="50">
          <cell r="E50">
            <v>650.38526000000002</v>
          </cell>
          <cell r="F50">
            <v>650.38526000000002</v>
          </cell>
          <cell r="G50">
            <v>650.38526000000002</v>
          </cell>
          <cell r="H50">
            <v>650.38526000000002</v>
          </cell>
          <cell r="I50">
            <v>650.38526000000002</v>
          </cell>
          <cell r="J50">
            <v>650.38526000000002</v>
          </cell>
          <cell r="K50">
            <v>650.38526000000002</v>
          </cell>
          <cell r="L50">
            <v>650.38526000000002</v>
          </cell>
          <cell r="M50">
            <v>650.38526000000002</v>
          </cell>
          <cell r="N50">
            <v>650.38526000000002</v>
          </cell>
          <cell r="O50">
            <v>650.38526000000002</v>
          </cell>
          <cell r="P50">
            <v>650.38526000000002</v>
          </cell>
        </row>
        <row r="51">
          <cell r="E51">
            <v>488.83815140999991</v>
          </cell>
          <cell r="F51">
            <v>488.83815140999991</v>
          </cell>
          <cell r="G51">
            <v>488.83815140999991</v>
          </cell>
          <cell r="H51">
            <v>488.83815140999991</v>
          </cell>
          <cell r="I51">
            <v>488.83815140999991</v>
          </cell>
          <cell r="J51">
            <v>488.83815140999991</v>
          </cell>
          <cell r="K51">
            <v>488.83815140999991</v>
          </cell>
          <cell r="L51">
            <v>488.83815140999991</v>
          </cell>
          <cell r="M51">
            <v>488.83815140999991</v>
          </cell>
          <cell r="N51">
            <v>488.83815140999991</v>
          </cell>
          <cell r="O51">
            <v>488.83815140999991</v>
          </cell>
          <cell r="P51">
            <v>488.83815140999991</v>
          </cell>
        </row>
        <row r="52">
          <cell r="E52">
            <v>1579.3333333333335</v>
          </cell>
          <cell r="F52">
            <v>1579.3333333333335</v>
          </cell>
          <cell r="G52">
            <v>1579.3333333333335</v>
          </cell>
          <cell r="H52">
            <v>1579.3333333333335</v>
          </cell>
          <cell r="I52">
            <v>1579.3333333333335</v>
          </cell>
          <cell r="J52">
            <v>1579.3333333333335</v>
          </cell>
          <cell r="K52">
            <v>1579.3333333333335</v>
          </cell>
          <cell r="L52">
            <v>1579.3333333333335</v>
          </cell>
          <cell r="M52">
            <v>1579.3333333333335</v>
          </cell>
          <cell r="N52">
            <v>1579.3333333333335</v>
          </cell>
          <cell r="O52">
            <v>1579.3333333333335</v>
          </cell>
          <cell r="P52">
            <v>1579.3333333333335</v>
          </cell>
        </row>
        <row r="53">
          <cell r="E53">
            <v>1381.9166666666665</v>
          </cell>
          <cell r="F53">
            <v>1381.9166666666665</v>
          </cell>
          <cell r="G53">
            <v>1381.9166666666665</v>
          </cell>
          <cell r="H53">
            <v>1381.9166666666665</v>
          </cell>
          <cell r="I53">
            <v>1381.9166666666665</v>
          </cell>
          <cell r="J53">
            <v>1381.9166666666665</v>
          </cell>
          <cell r="K53">
            <v>1381.9166666666665</v>
          </cell>
          <cell r="L53">
            <v>1381.9166666666665</v>
          </cell>
          <cell r="M53">
            <v>1381.9166666666665</v>
          </cell>
          <cell r="N53">
            <v>1381.9166666666665</v>
          </cell>
          <cell r="O53">
            <v>1381.9166666666665</v>
          </cell>
          <cell r="P53">
            <v>1381.9166666666665</v>
          </cell>
        </row>
        <row r="54">
          <cell r="E54">
            <v>26579.686706625762</v>
          </cell>
          <cell r="F54">
            <v>26579.686706625762</v>
          </cell>
          <cell r="G54">
            <v>26579.686706625762</v>
          </cell>
          <cell r="H54">
            <v>26579.686706625762</v>
          </cell>
          <cell r="I54">
            <v>26579.686706625762</v>
          </cell>
          <cell r="J54">
            <v>26579.686706625762</v>
          </cell>
          <cell r="K54">
            <v>26579.686706625762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-15187.605717993079</v>
          </cell>
          <cell r="F56">
            <v>-15187.605717993079</v>
          </cell>
          <cell r="G56">
            <v>-15187.605717993079</v>
          </cell>
          <cell r="H56">
            <v>-15187.605717993079</v>
          </cell>
          <cell r="I56">
            <v>-15187.605717993079</v>
          </cell>
          <cell r="J56">
            <v>-15187.605717993079</v>
          </cell>
          <cell r="K56">
            <v>-15187.605717993079</v>
          </cell>
          <cell r="L56">
            <v>-15187.605717993079</v>
          </cell>
          <cell r="M56">
            <v>-15187.605717993079</v>
          </cell>
          <cell r="N56">
            <v>-15187.605717993079</v>
          </cell>
          <cell r="O56">
            <v>-15187.605717993079</v>
          </cell>
          <cell r="P56">
            <v>-15187.605717993079</v>
          </cell>
        </row>
        <row r="57">
          <cell r="E57">
            <v>-5062.5352393310268</v>
          </cell>
          <cell r="F57">
            <v>-5062.5352393310268</v>
          </cell>
          <cell r="G57">
            <v>-5062.5352393310268</v>
          </cell>
          <cell r="H57">
            <v>-5062.5352393310268</v>
          </cell>
          <cell r="I57">
            <v>-5062.5352393310268</v>
          </cell>
          <cell r="J57">
            <v>-5062.5352393310268</v>
          </cell>
          <cell r="K57">
            <v>-5062.5352393310268</v>
          </cell>
          <cell r="L57">
            <v>-5062.5352393310268</v>
          </cell>
          <cell r="M57">
            <v>-5062.5352393310268</v>
          </cell>
          <cell r="N57">
            <v>-5062.5352393310268</v>
          </cell>
          <cell r="O57">
            <v>-5062.5352393310268</v>
          </cell>
          <cell r="P57">
            <v>-5062.5352393310268</v>
          </cell>
        </row>
      </sheetData>
      <sheetData sheetId="18" refreshError="1">
        <row r="1">
          <cell r="G1">
            <v>288.41000000000003</v>
          </cell>
        </row>
        <row r="4">
          <cell r="E4">
            <v>46521.303556000006</v>
          </cell>
          <cell r="F4">
            <v>70001.303556000013</v>
          </cell>
          <cell r="G4">
            <v>46521.303556000006</v>
          </cell>
          <cell r="H4">
            <v>46521.303556000006</v>
          </cell>
          <cell r="I4">
            <v>46521.303556000006</v>
          </cell>
          <cell r="J4">
            <v>46521.303556000006</v>
          </cell>
          <cell r="K4">
            <v>46521.303556000006</v>
          </cell>
          <cell r="L4">
            <v>51173.433911600012</v>
          </cell>
          <cell r="M4">
            <v>51173.433911600012</v>
          </cell>
          <cell r="N4">
            <v>51173.433911600012</v>
          </cell>
          <cell r="O4">
            <v>51173.433911600012</v>
          </cell>
          <cell r="P4">
            <v>51173.433911600012</v>
          </cell>
        </row>
        <row r="5">
          <cell r="E5">
            <v>1666.6666666666667</v>
          </cell>
          <cell r="F5">
            <v>1666.6666666666667</v>
          </cell>
          <cell r="G5">
            <v>1666.6666666666667</v>
          </cell>
          <cell r="H5">
            <v>1666.6666666666667</v>
          </cell>
          <cell r="I5">
            <v>1666.6666666666667</v>
          </cell>
          <cell r="J5">
            <v>1666.6666666666667</v>
          </cell>
          <cell r="K5">
            <v>1666.6666666666667</v>
          </cell>
          <cell r="L5">
            <v>1666.6666666666667</v>
          </cell>
          <cell r="M5">
            <v>1666.6666666666667</v>
          </cell>
          <cell r="N5">
            <v>1666.6666666666667</v>
          </cell>
          <cell r="O5">
            <v>1666.6666666666667</v>
          </cell>
          <cell r="P5">
            <v>1666.6666666666667</v>
          </cell>
        </row>
        <row r="6">
          <cell r="E6">
            <v>6059.0629121333341</v>
          </cell>
          <cell r="F6">
            <v>6059.0629121333341</v>
          </cell>
          <cell r="G6">
            <v>6059.0629121333341</v>
          </cell>
          <cell r="H6">
            <v>6059.0629121333341</v>
          </cell>
          <cell r="I6">
            <v>6059.0629121333341</v>
          </cell>
          <cell r="J6">
            <v>6059.0629121333341</v>
          </cell>
          <cell r="K6">
            <v>6059.0629121333341</v>
          </cell>
          <cell r="L6">
            <v>6645.6358700133351</v>
          </cell>
          <cell r="M6">
            <v>6645.6358700133351</v>
          </cell>
          <cell r="N6">
            <v>6645.6358700133351</v>
          </cell>
          <cell r="O6">
            <v>6645.6358700133351</v>
          </cell>
          <cell r="P6">
            <v>6645.6358700133351</v>
          </cell>
        </row>
        <row r="7">
          <cell r="E7">
            <v>4700.9970869999997</v>
          </cell>
          <cell r="F7">
            <v>4700.9970869999997</v>
          </cell>
          <cell r="G7">
            <v>4700.9970869999997</v>
          </cell>
          <cell r="H7">
            <v>4700.9970869999997</v>
          </cell>
          <cell r="I7">
            <v>4700.9970869999997</v>
          </cell>
          <cell r="J7">
            <v>4700.9970869999997</v>
          </cell>
          <cell r="K7">
            <v>4700.9970869999997</v>
          </cell>
          <cell r="L7">
            <v>5156.0967957000012</v>
          </cell>
          <cell r="M7">
            <v>5156.0967957000012</v>
          </cell>
          <cell r="N7">
            <v>5156.0967957000012</v>
          </cell>
          <cell r="O7">
            <v>5156.0967957000012</v>
          </cell>
          <cell r="P7">
            <v>5156.0967957000012</v>
          </cell>
        </row>
        <row r="8"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56000.62871071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</row>
        <row r="9">
          <cell r="E9">
            <v>2799.7049318133336</v>
          </cell>
          <cell r="F9">
            <v>2799.7049318133336</v>
          </cell>
          <cell r="G9">
            <v>2799.7049318133336</v>
          </cell>
          <cell r="H9">
            <v>2799.7049318133336</v>
          </cell>
          <cell r="I9">
            <v>2799.7049318133336</v>
          </cell>
          <cell r="J9">
            <v>2799.7049318133336</v>
          </cell>
          <cell r="K9">
            <v>2799.7049318133336</v>
          </cell>
          <cell r="L9">
            <v>3070.7420916613337</v>
          </cell>
          <cell r="M9">
            <v>3070.7420916613337</v>
          </cell>
          <cell r="N9">
            <v>3070.7420916613337</v>
          </cell>
          <cell r="O9">
            <v>3070.7420916613337</v>
          </cell>
          <cell r="P9">
            <v>3070.7420916613337</v>
          </cell>
        </row>
        <row r="10">
          <cell r="E10">
            <v>500</v>
          </cell>
          <cell r="F10">
            <v>500</v>
          </cell>
          <cell r="G10">
            <v>500</v>
          </cell>
          <cell r="H10">
            <v>500</v>
          </cell>
          <cell r="I10">
            <v>500</v>
          </cell>
          <cell r="J10">
            <v>500</v>
          </cell>
          <cell r="K10">
            <v>500</v>
          </cell>
          <cell r="L10">
            <v>500</v>
          </cell>
          <cell r="M10">
            <v>500</v>
          </cell>
          <cell r="N10">
            <v>500</v>
          </cell>
          <cell r="O10">
            <v>500</v>
          </cell>
          <cell r="P10">
            <v>500</v>
          </cell>
        </row>
        <row r="11"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E12">
            <v>3105</v>
          </cell>
          <cell r="F12">
            <v>3105</v>
          </cell>
          <cell r="G12">
            <v>3105</v>
          </cell>
          <cell r="H12">
            <v>3105</v>
          </cell>
          <cell r="I12">
            <v>3105</v>
          </cell>
          <cell r="J12">
            <v>3105</v>
          </cell>
          <cell r="K12">
            <v>3105</v>
          </cell>
          <cell r="L12">
            <v>3105</v>
          </cell>
          <cell r="M12">
            <v>3105</v>
          </cell>
          <cell r="N12">
            <v>3105</v>
          </cell>
          <cell r="O12">
            <v>3105</v>
          </cell>
          <cell r="P12">
            <v>3105</v>
          </cell>
        </row>
        <row r="13"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</row>
        <row r="14">
          <cell r="E14">
            <v>3193.94</v>
          </cell>
          <cell r="F14">
            <v>3193.94</v>
          </cell>
          <cell r="G14">
            <v>3193.94</v>
          </cell>
          <cell r="H14">
            <v>3193.94</v>
          </cell>
          <cell r="I14">
            <v>3193.94</v>
          </cell>
          <cell r="J14">
            <v>3193.94</v>
          </cell>
          <cell r="K14">
            <v>3193.94</v>
          </cell>
          <cell r="L14">
            <v>3193.94</v>
          </cell>
          <cell r="M14">
            <v>3193.94</v>
          </cell>
          <cell r="N14">
            <v>3193.94</v>
          </cell>
          <cell r="O14">
            <v>3193.94</v>
          </cell>
          <cell r="P14">
            <v>3193.94</v>
          </cell>
        </row>
        <row r="15">
          <cell r="E15">
            <v>6063</v>
          </cell>
          <cell r="F15">
            <v>6063</v>
          </cell>
          <cell r="G15">
            <v>6063</v>
          </cell>
          <cell r="H15">
            <v>6063</v>
          </cell>
          <cell r="I15">
            <v>6063</v>
          </cell>
          <cell r="J15">
            <v>6063</v>
          </cell>
          <cell r="K15">
            <v>6536</v>
          </cell>
          <cell r="L15">
            <v>6063</v>
          </cell>
          <cell r="M15">
            <v>6063</v>
          </cell>
          <cell r="N15">
            <v>6063</v>
          </cell>
          <cell r="O15">
            <v>6063</v>
          </cell>
          <cell r="P15">
            <v>6063</v>
          </cell>
        </row>
        <row r="16">
          <cell r="E16">
            <v>1666.6666666666667</v>
          </cell>
          <cell r="F16">
            <v>1666.6666666666667</v>
          </cell>
          <cell r="G16">
            <v>1666.6666666666667</v>
          </cell>
          <cell r="H16">
            <v>1666.6666666666667</v>
          </cell>
          <cell r="I16">
            <v>1666.6666666666667</v>
          </cell>
          <cell r="J16">
            <v>1666.6666666666667</v>
          </cell>
          <cell r="K16">
            <v>1666.6666666666667</v>
          </cell>
          <cell r="L16">
            <v>1666.6666666666667</v>
          </cell>
          <cell r="M16">
            <v>1666.6666666666667</v>
          </cell>
          <cell r="N16">
            <v>1666.6666666666667</v>
          </cell>
          <cell r="O16">
            <v>1666.6666666666667</v>
          </cell>
          <cell r="P16">
            <v>1666.6666666666667</v>
          </cell>
        </row>
        <row r="17">
          <cell r="E17">
            <v>31800</v>
          </cell>
          <cell r="F17">
            <v>31800</v>
          </cell>
          <cell r="G17">
            <v>31800</v>
          </cell>
          <cell r="H17">
            <v>31800</v>
          </cell>
          <cell r="I17">
            <v>31800</v>
          </cell>
          <cell r="J17">
            <v>31800</v>
          </cell>
          <cell r="K17">
            <v>31800</v>
          </cell>
          <cell r="L17">
            <v>31800</v>
          </cell>
          <cell r="M17">
            <v>31800</v>
          </cell>
          <cell r="N17">
            <v>31800</v>
          </cell>
          <cell r="O17">
            <v>31800</v>
          </cell>
          <cell r="P17">
            <v>31800</v>
          </cell>
        </row>
        <row r="18">
          <cell r="E18">
            <v>4063.5833333333335</v>
          </cell>
          <cell r="F18">
            <v>4063.5833333333335</v>
          </cell>
          <cell r="G18">
            <v>4063.5833333333335</v>
          </cell>
          <cell r="H18">
            <v>4063.5833333333335</v>
          </cell>
          <cell r="I18">
            <v>4063.5833333333335</v>
          </cell>
          <cell r="J18">
            <v>4063.5833333333335</v>
          </cell>
          <cell r="K18">
            <v>4063.5833333333335</v>
          </cell>
          <cell r="L18">
            <v>4063.5833333333335</v>
          </cell>
          <cell r="M18">
            <v>4063.5833333333335</v>
          </cell>
          <cell r="N18">
            <v>4063.5833333333335</v>
          </cell>
          <cell r="O18">
            <v>4063.5833333333335</v>
          </cell>
          <cell r="P18">
            <v>4063.5833333333335</v>
          </cell>
        </row>
        <row r="19">
          <cell r="E19">
            <v>2083.3333333333335</v>
          </cell>
          <cell r="F19">
            <v>2083.3333333333335</v>
          </cell>
          <cell r="G19">
            <v>2083.3333333333335</v>
          </cell>
          <cell r="H19">
            <v>2083.3333333333335</v>
          </cell>
          <cell r="I19">
            <v>2083.3333333333335</v>
          </cell>
          <cell r="J19">
            <v>2083.3333333333335</v>
          </cell>
          <cell r="K19">
            <v>2083.3333333333335</v>
          </cell>
          <cell r="L19">
            <v>2083.3333333333335</v>
          </cell>
          <cell r="M19">
            <v>2083.3333333333335</v>
          </cell>
          <cell r="N19">
            <v>2083.3333333333335</v>
          </cell>
          <cell r="O19">
            <v>2083.3333333333335</v>
          </cell>
          <cell r="P19">
            <v>2083.3333333333335</v>
          </cell>
        </row>
        <row r="20">
          <cell r="E20">
            <v>0</v>
          </cell>
          <cell r="F20">
            <v>0</v>
          </cell>
          <cell r="G20">
            <v>192534.05039999899</v>
          </cell>
          <cell r="H20">
            <v>0</v>
          </cell>
          <cell r="I20">
            <v>5974.9087200000004</v>
          </cell>
          <cell r="J20">
            <v>5974.9087200000004</v>
          </cell>
          <cell r="K20">
            <v>126655.908719999</v>
          </cell>
          <cell r="L20">
            <v>13708.95912</v>
          </cell>
          <cell r="M20">
            <v>144618.90872000001</v>
          </cell>
          <cell r="N20">
            <v>5974.9087200000004</v>
          </cell>
          <cell r="O20">
            <v>5974.9087200000004</v>
          </cell>
          <cell r="P20">
            <v>5974.9087200000004</v>
          </cell>
        </row>
        <row r="21">
          <cell r="E21">
            <v>59809.651875000003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</row>
        <row r="22">
          <cell r="E22">
            <v>12609.512666666567</v>
          </cell>
          <cell r="F22">
            <v>12609.512666666567</v>
          </cell>
          <cell r="G22">
            <v>12609.512666666567</v>
          </cell>
          <cell r="H22">
            <v>12609.512666666567</v>
          </cell>
          <cell r="I22">
            <v>12609.512666666567</v>
          </cell>
          <cell r="J22">
            <v>12609.512666666567</v>
          </cell>
          <cell r="K22">
            <v>12609.512666666567</v>
          </cell>
          <cell r="L22">
            <v>12609.512666666567</v>
          </cell>
          <cell r="M22">
            <v>12609.512666666567</v>
          </cell>
          <cell r="N22">
            <v>12609.512666666567</v>
          </cell>
          <cell r="O22">
            <v>12609.512666666567</v>
          </cell>
          <cell r="P22">
            <v>12609.512666666567</v>
          </cell>
        </row>
        <row r="23"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E24">
            <v>8757.0022748217998</v>
          </cell>
          <cell r="F24">
            <v>8757.0022748217998</v>
          </cell>
          <cell r="G24">
            <v>8757.0022748217998</v>
          </cell>
          <cell r="H24">
            <v>8757.0022748217998</v>
          </cell>
          <cell r="I24">
            <v>8757.0022748217998</v>
          </cell>
          <cell r="J24">
            <v>8757.0022748217998</v>
          </cell>
          <cell r="K24">
            <v>7235.5182044218</v>
          </cell>
          <cell r="L24">
            <v>8757.0022748217998</v>
          </cell>
          <cell r="M24">
            <v>8757.0022748217998</v>
          </cell>
          <cell r="N24">
            <v>8757.0022748217998</v>
          </cell>
          <cell r="O24">
            <v>8757.0022748217998</v>
          </cell>
          <cell r="P24">
            <v>8757.0022748217998</v>
          </cell>
        </row>
        <row r="25">
          <cell r="E25">
            <v>0</v>
          </cell>
          <cell r="F25">
            <v>0</v>
          </cell>
          <cell r="G25">
            <v>52773.072659999998</v>
          </cell>
          <cell r="H25">
            <v>45795.356441999997</v>
          </cell>
          <cell r="I25">
            <v>45795.356441999997</v>
          </cell>
          <cell r="J25">
            <v>47994.328205999998</v>
          </cell>
          <cell r="K25">
            <v>11713.976406</v>
          </cell>
          <cell r="L25">
            <v>11713.976406</v>
          </cell>
          <cell r="M25">
            <v>11713.976406</v>
          </cell>
          <cell r="N25">
            <v>7226.4814050000004</v>
          </cell>
          <cell r="O25">
            <v>4643.0266739999997</v>
          </cell>
          <cell r="P25">
            <v>4643.0266739999997</v>
          </cell>
        </row>
        <row r="26">
          <cell r="E26">
            <v>57236.906202017053</v>
          </cell>
          <cell r="F26">
            <v>105625.47570601707</v>
          </cell>
          <cell r="G26">
            <v>157117.39872428909</v>
          </cell>
          <cell r="H26">
            <v>146158.9918491531</v>
          </cell>
          <cell r="I26">
            <v>174841.08414601709</v>
          </cell>
          <cell r="J26">
            <v>137599.84427228908</v>
          </cell>
          <cell r="K26">
            <v>108917.75197542505</v>
          </cell>
          <cell r="L26">
            <v>157117.39872428909</v>
          </cell>
          <cell r="M26">
            <v>194408.79808939464</v>
          </cell>
          <cell r="N26">
            <v>175922.68846998666</v>
          </cell>
          <cell r="O26">
            <v>136601.34586539469</v>
          </cell>
          <cell r="P26">
            <v>133497.99235112267</v>
          </cell>
        </row>
        <row r="27">
          <cell r="E27">
            <v>3161.1062735999999</v>
          </cell>
          <cell r="F27">
            <v>11411.810308799901</v>
          </cell>
          <cell r="G27">
            <v>11411.810308799901</v>
          </cell>
          <cell r="H27">
            <v>8070.1358099999998</v>
          </cell>
          <cell r="I27">
            <v>3161.22741</v>
          </cell>
          <cell r="J27">
            <v>11231.2420836</v>
          </cell>
          <cell r="K27">
            <v>6322.3336835999999</v>
          </cell>
          <cell r="L27">
            <v>11231.2420836</v>
          </cell>
          <cell r="M27">
            <v>11231.2420836</v>
          </cell>
          <cell r="N27">
            <v>9290.2347986000004</v>
          </cell>
          <cell r="O27">
            <v>6129.1285250000001</v>
          </cell>
          <cell r="P27">
            <v>6129.1285250000001</v>
          </cell>
        </row>
        <row r="28">
          <cell r="E28">
            <v>6659.9062199999998</v>
          </cell>
          <cell r="F28">
            <v>6659.9062199999998</v>
          </cell>
          <cell r="G28">
            <v>8879.8749599999992</v>
          </cell>
          <cell r="H28">
            <v>9082.2015900000006</v>
          </cell>
          <cell r="I28">
            <v>7769.89059</v>
          </cell>
          <cell r="J28">
            <v>6862.2328500000003</v>
          </cell>
          <cell r="K28">
            <v>5549.9218499999997</v>
          </cell>
          <cell r="L28">
            <v>9082.2015900000006</v>
          </cell>
          <cell r="M28">
            <v>9082.2015900000006</v>
          </cell>
          <cell r="N28">
            <v>8499.5976449999998</v>
          </cell>
          <cell r="O28">
            <v>6279.6289049999996</v>
          </cell>
          <cell r="P28">
            <v>6279.6289049999996</v>
          </cell>
        </row>
        <row r="29">
          <cell r="E29">
            <v>11623.25</v>
          </cell>
          <cell r="F29">
            <v>28132.859999999899</v>
          </cell>
          <cell r="G29">
            <v>11623.25</v>
          </cell>
          <cell r="H29">
            <v>28132.859999999899</v>
          </cell>
          <cell r="I29">
            <v>11623.25</v>
          </cell>
          <cell r="J29">
            <v>28132.859999999899</v>
          </cell>
          <cell r="K29">
            <v>11623.25</v>
          </cell>
          <cell r="L29">
            <v>28132.859999999899</v>
          </cell>
          <cell r="M29">
            <v>11623.25</v>
          </cell>
          <cell r="N29">
            <v>28132.859999999899</v>
          </cell>
          <cell r="O29">
            <v>11623.25</v>
          </cell>
          <cell r="P29">
            <v>28132.859999999899</v>
          </cell>
        </row>
        <row r="30">
          <cell r="E30">
            <v>416.66666666666669</v>
          </cell>
          <cell r="F30">
            <v>416.66666666666669</v>
          </cell>
          <cell r="G30">
            <v>416.66666666666669</v>
          </cell>
          <cell r="H30">
            <v>416.66666666666669</v>
          </cell>
          <cell r="I30">
            <v>416.66666666666669</v>
          </cell>
          <cell r="J30">
            <v>416.66666666666669</v>
          </cell>
          <cell r="K30">
            <v>416.66666666666669</v>
          </cell>
          <cell r="L30">
            <v>416.66666666666669</v>
          </cell>
          <cell r="M30">
            <v>416.66666666666669</v>
          </cell>
          <cell r="N30">
            <v>416.66666666666669</v>
          </cell>
          <cell r="O30">
            <v>416.66666666666669</v>
          </cell>
          <cell r="P30">
            <v>416.66666666666669</v>
          </cell>
        </row>
        <row r="31">
          <cell r="E31">
            <v>416.66666666666669</v>
          </cell>
          <cell r="F31">
            <v>416.66666666666669</v>
          </cell>
          <cell r="G31">
            <v>416.66666666666669</v>
          </cell>
          <cell r="H31">
            <v>416.66666666666669</v>
          </cell>
          <cell r="I31">
            <v>416.66666666666669</v>
          </cell>
          <cell r="J31">
            <v>416.66666666666669</v>
          </cell>
          <cell r="K31">
            <v>416.66666666666669</v>
          </cell>
          <cell r="L31">
            <v>416.66666666666669</v>
          </cell>
          <cell r="M31">
            <v>416.66666666666669</v>
          </cell>
          <cell r="N31">
            <v>416.66666666666669</v>
          </cell>
          <cell r="O31">
            <v>416.66666666666669</v>
          </cell>
          <cell r="P31">
            <v>416.66666666666669</v>
          </cell>
        </row>
        <row r="32">
          <cell r="E32">
            <v>1760</v>
          </cell>
          <cell r="F32">
            <v>100456.94559999999</v>
          </cell>
          <cell r="G32">
            <v>113315.61999999998</v>
          </cell>
          <cell r="H32">
            <v>1760</v>
          </cell>
          <cell r="I32">
            <v>126515.62</v>
          </cell>
          <cell r="J32">
            <v>165774.29440000001</v>
          </cell>
          <cell r="K32">
            <v>1760</v>
          </cell>
          <cell r="L32">
            <v>1760</v>
          </cell>
          <cell r="M32">
            <v>1760</v>
          </cell>
          <cell r="N32">
            <v>1760</v>
          </cell>
          <cell r="O32">
            <v>0</v>
          </cell>
          <cell r="P32">
            <v>0</v>
          </cell>
        </row>
        <row r="33">
          <cell r="E33">
            <v>0</v>
          </cell>
          <cell r="F33">
            <v>89795.918367346938</v>
          </cell>
          <cell r="G33">
            <v>102040.81632653062</v>
          </cell>
          <cell r="H33">
            <v>0</v>
          </cell>
          <cell r="I33">
            <v>102040.81632653062</v>
          </cell>
          <cell r="J33">
            <v>114285.71428571429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E36">
            <v>7500</v>
          </cell>
          <cell r="F36">
            <v>7500</v>
          </cell>
          <cell r="G36">
            <v>7500</v>
          </cell>
          <cell r="H36">
            <v>7500</v>
          </cell>
          <cell r="I36">
            <v>7500</v>
          </cell>
          <cell r="J36">
            <v>7500</v>
          </cell>
          <cell r="K36">
            <v>7500</v>
          </cell>
          <cell r="L36">
            <v>7500</v>
          </cell>
          <cell r="M36">
            <v>7500</v>
          </cell>
          <cell r="N36">
            <v>7500</v>
          </cell>
          <cell r="O36">
            <v>7500</v>
          </cell>
          <cell r="P36">
            <v>7500</v>
          </cell>
        </row>
        <row r="37">
          <cell r="E37">
            <v>10833.333333333334</v>
          </cell>
          <cell r="F37">
            <v>10833.333333333334</v>
          </cell>
          <cell r="G37">
            <v>10833.333333333334</v>
          </cell>
          <cell r="H37">
            <v>10833.333333333334</v>
          </cell>
          <cell r="I37">
            <v>10833.333333333334</v>
          </cell>
          <cell r="J37">
            <v>10833.333333333334</v>
          </cell>
          <cell r="K37">
            <v>10833.333333333334</v>
          </cell>
          <cell r="L37">
            <v>10833.333333333334</v>
          </cell>
          <cell r="M37">
            <v>10833.333333333334</v>
          </cell>
          <cell r="N37">
            <v>10833.333333333334</v>
          </cell>
          <cell r="O37">
            <v>10833.333333333334</v>
          </cell>
          <cell r="P37">
            <v>10833.333333333334</v>
          </cell>
        </row>
        <row r="38">
          <cell r="E38">
            <v>1250</v>
          </cell>
          <cell r="F38">
            <v>1250</v>
          </cell>
          <cell r="G38">
            <v>1250</v>
          </cell>
          <cell r="H38">
            <v>1250</v>
          </cell>
          <cell r="I38">
            <v>1250</v>
          </cell>
          <cell r="J38">
            <v>1250</v>
          </cell>
          <cell r="K38">
            <v>1250</v>
          </cell>
          <cell r="L38">
            <v>1250</v>
          </cell>
          <cell r="M38">
            <v>1250</v>
          </cell>
          <cell r="N38">
            <v>1250</v>
          </cell>
          <cell r="O38">
            <v>1250</v>
          </cell>
          <cell r="P38">
            <v>1250</v>
          </cell>
        </row>
        <row r="39">
          <cell r="E39">
            <v>833.33333333333337</v>
          </cell>
          <cell r="F39">
            <v>833.33333333333337</v>
          </cell>
          <cell r="G39">
            <v>833.33333333333337</v>
          </cell>
          <cell r="H39">
            <v>833.33333333333337</v>
          </cell>
          <cell r="I39">
            <v>833.33333333333337</v>
          </cell>
          <cell r="J39">
            <v>833.33333333333337</v>
          </cell>
          <cell r="K39">
            <v>833.33333333333337</v>
          </cell>
          <cell r="L39">
            <v>833.33333333333337</v>
          </cell>
          <cell r="M39">
            <v>833.33333333333337</v>
          </cell>
          <cell r="N39">
            <v>833.33333333333337</v>
          </cell>
          <cell r="O39">
            <v>833.33333333333337</v>
          </cell>
          <cell r="P39">
            <v>833.33333333333337</v>
          </cell>
        </row>
        <row r="40">
          <cell r="E40">
            <v>1666.6666666666667</v>
          </cell>
          <cell r="F40">
            <v>1666.6666666666667</v>
          </cell>
          <cell r="G40">
            <v>1666.6666666666667</v>
          </cell>
          <cell r="H40">
            <v>1666.6666666666667</v>
          </cell>
          <cell r="I40">
            <v>1666.6666666666667</v>
          </cell>
          <cell r="J40">
            <v>1666.6666666666667</v>
          </cell>
          <cell r="K40">
            <v>1666.6666666666667</v>
          </cell>
          <cell r="L40">
            <v>1666.6666666666667</v>
          </cell>
          <cell r="M40">
            <v>1666.6666666666667</v>
          </cell>
          <cell r="N40">
            <v>1666.6666666666667</v>
          </cell>
          <cell r="O40">
            <v>1666.6666666666667</v>
          </cell>
          <cell r="P40">
            <v>1666.6666666666667</v>
          </cell>
        </row>
        <row r="41">
          <cell r="E41">
            <v>27250</v>
          </cell>
          <cell r="F41">
            <v>27250</v>
          </cell>
          <cell r="G41">
            <v>27250</v>
          </cell>
          <cell r="H41">
            <v>27250</v>
          </cell>
          <cell r="I41">
            <v>27250</v>
          </cell>
          <cell r="J41">
            <v>27250</v>
          </cell>
          <cell r="K41">
            <v>27250</v>
          </cell>
          <cell r="L41">
            <v>27250</v>
          </cell>
          <cell r="M41">
            <v>27250</v>
          </cell>
          <cell r="N41">
            <v>27250</v>
          </cell>
          <cell r="O41">
            <v>27250</v>
          </cell>
          <cell r="P41">
            <v>27250</v>
          </cell>
        </row>
        <row r="42">
          <cell r="E42">
            <v>0</v>
          </cell>
          <cell r="F42">
            <v>0</v>
          </cell>
          <cell r="G42">
            <v>41571.999999999993</v>
          </cell>
          <cell r="H42">
            <v>0</v>
          </cell>
          <cell r="I42">
            <v>436505.99999999994</v>
          </cell>
          <cell r="J42">
            <v>0</v>
          </cell>
          <cell r="K42">
            <v>0</v>
          </cell>
          <cell r="L42">
            <v>0</v>
          </cell>
          <cell r="M42">
            <v>41571.999999999993</v>
          </cell>
          <cell r="N42">
            <v>0</v>
          </cell>
          <cell r="O42">
            <v>0</v>
          </cell>
          <cell r="P42">
            <v>0</v>
          </cell>
        </row>
        <row r="43">
          <cell r="E43">
            <v>3797.5</v>
          </cell>
          <cell r="F43">
            <v>3797.5</v>
          </cell>
          <cell r="G43">
            <v>3797.5</v>
          </cell>
          <cell r="H43">
            <v>3797.5</v>
          </cell>
          <cell r="I43">
            <v>3797.5</v>
          </cell>
          <cell r="J43">
            <v>3797.5</v>
          </cell>
          <cell r="K43">
            <v>3797.5</v>
          </cell>
          <cell r="L43">
            <v>3797.5</v>
          </cell>
          <cell r="M43">
            <v>3797.5</v>
          </cell>
          <cell r="N43">
            <v>3797.5</v>
          </cell>
          <cell r="O43">
            <v>3797.5</v>
          </cell>
          <cell r="P43">
            <v>3797.5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1666.6666666666667</v>
          </cell>
          <cell r="F48">
            <v>1666.6666666666667</v>
          </cell>
          <cell r="G48">
            <v>1666.6666666666667</v>
          </cell>
          <cell r="H48">
            <v>1666.6666666666667</v>
          </cell>
          <cell r="I48">
            <v>1666.6666666666667</v>
          </cell>
          <cell r="J48">
            <v>1666.6666666666667</v>
          </cell>
          <cell r="K48">
            <v>1666.6666666666667</v>
          </cell>
          <cell r="L48">
            <v>1666.6666666666667</v>
          </cell>
          <cell r="M48">
            <v>1666.6666666666667</v>
          </cell>
          <cell r="N48">
            <v>1666.6666666666667</v>
          </cell>
          <cell r="O48">
            <v>1666.6666666666667</v>
          </cell>
          <cell r="P48">
            <v>1666.6666666666667</v>
          </cell>
        </row>
        <row r="49">
          <cell r="E49">
            <v>5216.666666666667</v>
          </cell>
          <cell r="F49">
            <v>5216.666666666667</v>
          </cell>
          <cell r="G49">
            <v>5216.666666666667</v>
          </cell>
          <cell r="H49">
            <v>5216.666666666667</v>
          </cell>
          <cell r="I49">
            <v>5216.666666666667</v>
          </cell>
          <cell r="J49">
            <v>5216.666666666667</v>
          </cell>
          <cell r="K49">
            <v>5216.666666666667</v>
          </cell>
          <cell r="L49">
            <v>5216.666666666667</v>
          </cell>
          <cell r="M49">
            <v>5216.666666666667</v>
          </cell>
          <cell r="N49">
            <v>5216.666666666667</v>
          </cell>
          <cell r="O49">
            <v>5216.666666666667</v>
          </cell>
          <cell r="P49">
            <v>5216.666666666667</v>
          </cell>
        </row>
        <row r="50">
          <cell r="E50">
            <v>452.26666666666671</v>
          </cell>
          <cell r="F50">
            <v>452.26666666666671</v>
          </cell>
          <cell r="G50">
            <v>452.26666666666671</v>
          </cell>
          <cell r="H50">
            <v>452.26666666666671</v>
          </cell>
          <cell r="I50">
            <v>452.26666666666671</v>
          </cell>
          <cell r="J50">
            <v>452.26666666666671</v>
          </cell>
          <cell r="K50">
            <v>452.26666666666671</v>
          </cell>
          <cell r="L50">
            <v>452.26666666666671</v>
          </cell>
          <cell r="M50">
            <v>452.26666666666671</v>
          </cell>
          <cell r="N50">
            <v>452.26666666666671</v>
          </cell>
          <cell r="O50">
            <v>452.26666666666671</v>
          </cell>
          <cell r="P50">
            <v>452.26666666666671</v>
          </cell>
        </row>
        <row r="51">
          <cell r="E51">
            <v>339.92959999999999</v>
          </cell>
          <cell r="F51">
            <v>339.92959999999999</v>
          </cell>
          <cell r="G51">
            <v>339.92959999999999</v>
          </cell>
          <cell r="H51">
            <v>339.92959999999999</v>
          </cell>
          <cell r="I51">
            <v>339.92959999999999</v>
          </cell>
          <cell r="J51">
            <v>339.92959999999999</v>
          </cell>
          <cell r="K51">
            <v>339.92959999999999</v>
          </cell>
          <cell r="L51">
            <v>339.92959999999999</v>
          </cell>
          <cell r="M51">
            <v>339.92959999999999</v>
          </cell>
          <cell r="N51">
            <v>339.92959999999999</v>
          </cell>
          <cell r="O51">
            <v>339.92959999999999</v>
          </cell>
          <cell r="P51">
            <v>339.92959999999999</v>
          </cell>
        </row>
        <row r="52">
          <cell r="E52">
            <v>1250</v>
          </cell>
          <cell r="F52">
            <v>1250</v>
          </cell>
          <cell r="G52">
            <v>1250</v>
          </cell>
          <cell r="H52">
            <v>1250</v>
          </cell>
          <cell r="I52">
            <v>1250</v>
          </cell>
          <cell r="J52">
            <v>1250</v>
          </cell>
          <cell r="K52">
            <v>1250</v>
          </cell>
          <cell r="L52">
            <v>1250</v>
          </cell>
          <cell r="M52">
            <v>1250</v>
          </cell>
          <cell r="N52">
            <v>1250</v>
          </cell>
          <cell r="O52">
            <v>1250</v>
          </cell>
          <cell r="P52">
            <v>1250</v>
          </cell>
        </row>
        <row r="53">
          <cell r="E53">
            <v>1250</v>
          </cell>
          <cell r="F53">
            <v>1250</v>
          </cell>
          <cell r="G53">
            <v>1250</v>
          </cell>
          <cell r="H53">
            <v>1250</v>
          </cell>
          <cell r="I53">
            <v>1250</v>
          </cell>
          <cell r="J53">
            <v>1250</v>
          </cell>
          <cell r="K53">
            <v>1250</v>
          </cell>
          <cell r="L53">
            <v>1250</v>
          </cell>
          <cell r="M53">
            <v>1250</v>
          </cell>
          <cell r="N53">
            <v>1250</v>
          </cell>
          <cell r="O53">
            <v>1250</v>
          </cell>
          <cell r="P53">
            <v>1250</v>
          </cell>
        </row>
        <row r="54">
          <cell r="E54">
            <v>7892.8571428571431</v>
          </cell>
          <cell r="F54">
            <v>7892.8571428571431</v>
          </cell>
          <cell r="G54">
            <v>7892.8571428571431</v>
          </cell>
          <cell r="H54">
            <v>7892.8571428571431</v>
          </cell>
          <cell r="I54">
            <v>7892.8571428571431</v>
          </cell>
          <cell r="J54">
            <v>7892.8571428571431</v>
          </cell>
          <cell r="K54">
            <v>7892.8571428571431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-4325.2595155709341</v>
          </cell>
          <cell r="F56">
            <v>-4325.2595155709341</v>
          </cell>
          <cell r="G56">
            <v>-4325.2595155709341</v>
          </cell>
          <cell r="H56">
            <v>-4325.2595155709341</v>
          </cell>
          <cell r="I56">
            <v>-4325.2595155709341</v>
          </cell>
          <cell r="J56">
            <v>-4325.2595155709341</v>
          </cell>
          <cell r="K56">
            <v>-4325.2595155709341</v>
          </cell>
          <cell r="L56">
            <v>-4325.2595155709341</v>
          </cell>
          <cell r="M56">
            <v>-4325.2595155709341</v>
          </cell>
          <cell r="N56">
            <v>-4325.2595155709341</v>
          </cell>
          <cell r="O56">
            <v>-4325.2595155709341</v>
          </cell>
          <cell r="P56">
            <v>-4325.2595155709341</v>
          </cell>
        </row>
        <row r="57">
          <cell r="E57">
            <v>-1441.753171856978</v>
          </cell>
          <cell r="F57">
            <v>-1441.753171856978</v>
          </cell>
          <cell r="G57">
            <v>-1441.753171856978</v>
          </cell>
          <cell r="H57">
            <v>-1441.753171856978</v>
          </cell>
          <cell r="I57">
            <v>-1441.753171856978</v>
          </cell>
          <cell r="J57">
            <v>-1441.753171856978</v>
          </cell>
          <cell r="K57">
            <v>-1441.753171856978</v>
          </cell>
          <cell r="L57">
            <v>-1441.753171856978</v>
          </cell>
          <cell r="M57">
            <v>-1441.753171856978</v>
          </cell>
          <cell r="N57">
            <v>-1441.753171856978</v>
          </cell>
          <cell r="O57">
            <v>-1441.753171856978</v>
          </cell>
          <cell r="P57">
            <v>-1441.753171856978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"/>
      <sheetName val="RESUMO INVESTIMENTOS"/>
      <sheetName val="RESUMO - ATUAL"/>
      <sheetName val="resumo cereais"/>
      <sheetName val="SLP - CEREAIS"/>
      <sheetName val="SLP-CITROS"/>
      <sheetName val="ROSA "/>
      <sheetName val="FUNIL"/>
      <sheetName val="STA CLARA"/>
      <sheetName val="STA MARIA"/>
      <sheetName val="STA ANA"/>
      <sheetName val="BOA ESP."/>
      <sheetName val="CAMBARÁ - CITROS"/>
      <sheetName val="CAMBARA II"/>
      <sheetName val="CAMBARA III"/>
      <sheetName val="IGARATÁ - CITROS"/>
      <sheetName val="PAINEIRAS"/>
      <sheetName val="MONJOLINHO"/>
      <sheetName val="RUBIÃO I"/>
      <sheetName val="MIRANTE"/>
      <sheetName val="SF I"/>
      <sheetName val="RUBIÃO II"/>
      <sheetName val="RUBIÃO III"/>
      <sheetName val="SF II"/>
      <sheetName val="SF III"/>
      <sheetName val="SF IV"/>
      <sheetName val="SF V - CN LAR."/>
      <sheetName val="HARAS_SEDE"/>
      <sheetName val="GADO STA CLARA"/>
      <sheetName val="SÃO PAULO DA CANASTRA"/>
    </sheetNames>
    <sheetDataSet>
      <sheetData sheetId="0">
        <row r="65">
          <cell r="C65">
            <v>19462990.977584928</v>
          </cell>
        </row>
      </sheetData>
      <sheetData sheetId="1"/>
      <sheetData sheetId="2">
        <row r="14">
          <cell r="P14">
            <v>64897152.817567013</v>
          </cell>
        </row>
        <row r="182">
          <cell r="P182">
            <v>17568538.049129162</v>
          </cell>
        </row>
        <row r="238">
          <cell r="P238">
            <v>16608140.294564327</v>
          </cell>
        </row>
      </sheetData>
      <sheetData sheetId="3"/>
      <sheetData sheetId="4">
        <row r="63">
          <cell r="Q63">
            <v>1568571.6099999999</v>
          </cell>
        </row>
      </sheetData>
      <sheetData sheetId="5">
        <row r="5">
          <cell r="V5">
            <v>0.43872366728323609</v>
          </cell>
        </row>
        <row r="7">
          <cell r="V7">
            <v>0.47376732763541496</v>
          </cell>
        </row>
      </sheetData>
      <sheetData sheetId="6">
        <row r="19">
          <cell r="O19">
            <v>1212185.7110798787</v>
          </cell>
        </row>
      </sheetData>
      <sheetData sheetId="7">
        <row r="40">
          <cell r="O40">
            <v>5135728.6733298004</v>
          </cell>
        </row>
        <row r="90">
          <cell r="O90">
            <v>1045358.3814516143</v>
          </cell>
        </row>
        <row r="136">
          <cell r="O136">
            <v>1591828.0119434828</v>
          </cell>
        </row>
        <row r="182">
          <cell r="O182">
            <v>1468878.2347595198</v>
          </cell>
        </row>
        <row r="231">
          <cell r="O231">
            <v>1029664.0451751833</v>
          </cell>
        </row>
      </sheetData>
      <sheetData sheetId="8">
        <row r="33">
          <cell r="O33">
            <v>2643701.2399999988</v>
          </cell>
        </row>
        <row r="72">
          <cell r="O72">
            <v>474853.83999999991</v>
          </cell>
        </row>
        <row r="109">
          <cell r="O109">
            <v>540501.61999999988</v>
          </cell>
        </row>
        <row r="146">
          <cell r="O146">
            <v>999045.57000000007</v>
          </cell>
        </row>
        <row r="186">
          <cell r="O186">
            <v>629300.21000000008</v>
          </cell>
        </row>
      </sheetData>
      <sheetData sheetId="9">
        <row r="42">
          <cell r="O42">
            <v>8590605.129999999</v>
          </cell>
        </row>
        <row r="90">
          <cell r="O90">
            <v>2007324.1900000002</v>
          </cell>
        </row>
        <row r="136">
          <cell r="O136">
            <v>1989098.35</v>
          </cell>
        </row>
        <row r="182">
          <cell r="O182">
            <v>2440017.6999999997</v>
          </cell>
        </row>
        <row r="231">
          <cell r="O231">
            <v>2154164.8899999997</v>
          </cell>
        </row>
      </sheetData>
      <sheetData sheetId="10">
        <row r="80">
          <cell r="N80">
            <v>10057311.530000005</v>
          </cell>
        </row>
      </sheetData>
      <sheetData sheetId="11">
        <row r="51">
          <cell r="N51">
            <v>9647107.9886666685</v>
          </cell>
        </row>
        <row r="109">
          <cell r="N109">
            <v>2858154.566666666</v>
          </cell>
        </row>
        <row r="164">
          <cell r="N164">
            <v>1988012.7666666668</v>
          </cell>
        </row>
        <row r="219">
          <cell r="N219">
            <v>2573381.158666668</v>
          </cell>
        </row>
        <row r="277">
          <cell r="N277">
            <v>2227559.4966666671</v>
          </cell>
        </row>
      </sheetData>
      <sheetData sheetId="12">
        <row r="5">
          <cell r="U5">
            <v>0.61536584879672618</v>
          </cell>
        </row>
        <row r="46">
          <cell r="N46">
            <v>3370012.1487811152</v>
          </cell>
        </row>
        <row r="99">
          <cell r="N99">
            <v>853678.88575554523</v>
          </cell>
        </row>
        <row r="151">
          <cell r="N151">
            <v>673023.25206420582</v>
          </cell>
        </row>
        <row r="203">
          <cell r="N203">
            <v>1004032.0436495087</v>
          </cell>
        </row>
        <row r="256">
          <cell r="N256">
            <v>839277.96731185541</v>
          </cell>
        </row>
      </sheetData>
      <sheetData sheetId="13">
        <row r="21">
          <cell r="N21">
            <v>1103291.7068705328</v>
          </cell>
        </row>
      </sheetData>
      <sheetData sheetId="14">
        <row r="8">
          <cell r="N8">
            <v>128511.47101501997</v>
          </cell>
        </row>
      </sheetData>
      <sheetData sheetId="15">
        <row r="106">
          <cell r="N106">
            <v>12217763.322293324</v>
          </cell>
        </row>
        <row r="222">
          <cell r="N222">
            <v>3226562.833333334</v>
          </cell>
        </row>
        <row r="332">
          <cell r="N332">
            <v>2748591.2633333323</v>
          </cell>
        </row>
        <row r="442">
          <cell r="N442">
            <v>3248328.3522933302</v>
          </cell>
        </row>
        <row r="554">
          <cell r="N554">
            <v>2994280.8733333317</v>
          </cell>
        </row>
      </sheetData>
      <sheetData sheetId="16">
        <row r="46">
          <cell r="N46">
            <v>3650083.5955510926</v>
          </cell>
        </row>
        <row r="102">
          <cell r="N102">
            <v>1077666.0833333333</v>
          </cell>
        </row>
        <row r="154">
          <cell r="N154">
            <v>780658.82333333313</v>
          </cell>
        </row>
        <row r="206">
          <cell r="N206">
            <v>963199.59555109299</v>
          </cell>
        </row>
        <row r="259">
          <cell r="N259">
            <v>828559.09333333327</v>
          </cell>
        </row>
      </sheetData>
      <sheetData sheetId="17">
        <row r="57">
          <cell r="N57">
            <v>4021706.6933333334</v>
          </cell>
        </row>
        <row r="120">
          <cell r="N120">
            <v>993390.56333333324</v>
          </cell>
        </row>
        <row r="180">
          <cell r="N180">
            <v>985178.10333333293</v>
          </cell>
        </row>
        <row r="240">
          <cell r="N240">
            <v>1129090.023333333</v>
          </cell>
        </row>
        <row r="302">
          <cell r="N302">
            <v>914048.00333333365</v>
          </cell>
        </row>
      </sheetData>
      <sheetData sheetId="18">
        <row r="48">
          <cell r="N48">
            <v>4930756.5</v>
          </cell>
        </row>
        <row r="109">
          <cell r="N109">
            <v>1268431.0000000002</v>
          </cell>
        </row>
        <row r="163">
          <cell r="N163">
            <v>1059228.0100000002</v>
          </cell>
        </row>
        <row r="218">
          <cell r="N218">
            <v>1462013.1900000011</v>
          </cell>
        </row>
        <row r="274">
          <cell r="N274">
            <v>1141084.2999999998</v>
          </cell>
        </row>
      </sheetData>
      <sheetData sheetId="19">
        <row r="98">
          <cell r="N98">
            <v>1142817.6718048458</v>
          </cell>
        </row>
      </sheetData>
      <sheetData sheetId="20">
        <row r="4">
          <cell r="X4">
            <v>0.45506322432429475</v>
          </cell>
        </row>
        <row r="58">
          <cell r="N58">
            <v>2719138.9183036205</v>
          </cell>
        </row>
        <row r="125">
          <cell r="N125">
            <v>402738.96337871515</v>
          </cell>
        </row>
        <row r="189">
          <cell r="N189">
            <v>733483.86388990667</v>
          </cell>
        </row>
        <row r="253">
          <cell r="N253">
            <v>877674.19129548385</v>
          </cell>
        </row>
        <row r="318">
          <cell r="N318">
            <v>705241.89973951317</v>
          </cell>
        </row>
      </sheetData>
      <sheetData sheetId="21"/>
      <sheetData sheetId="22"/>
      <sheetData sheetId="23">
        <row r="30">
          <cell r="N30">
            <v>492564.13236180518</v>
          </cell>
        </row>
      </sheetData>
      <sheetData sheetId="24">
        <row r="9">
          <cell r="N9">
            <v>93628.369100565571</v>
          </cell>
        </row>
      </sheetData>
      <sheetData sheetId="25">
        <row r="7">
          <cell r="N7">
            <v>579460.3939000275</v>
          </cell>
        </row>
      </sheetData>
      <sheetData sheetId="26">
        <row r="19">
          <cell r="N19">
            <v>208738.216013311</v>
          </cell>
        </row>
      </sheetData>
      <sheetData sheetId="27"/>
      <sheetData sheetId="28"/>
      <sheetData sheetId="2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"/>
      <sheetName val="RESUMO CITRUS-CEREAIS"/>
      <sheetName val="RESUMO CAFÉ"/>
      <sheetName val="RESUMO INVESTIMENTOS"/>
      <sheetName val="RESUMO ATUAL - CITRUS-CEREAIS"/>
      <sheetName val="RESUMO ATUAL - CAFÉ"/>
      <sheetName val="RESUMO - ATUAL"/>
      <sheetName val="resumo cereais"/>
      <sheetName val="SLP - CEREAIS"/>
      <sheetName val="SLP-CITROS"/>
      <sheetName val="ROSA "/>
      <sheetName val="FUNIL"/>
      <sheetName val="STA CLARA"/>
      <sheetName val="STA MARIA"/>
      <sheetName val="STA ANA"/>
      <sheetName val="BOA ESP."/>
      <sheetName val="CAMBARÁ - CITROS"/>
      <sheetName val="CAMBARA II"/>
      <sheetName val="CAMBARA III"/>
      <sheetName val="IGARATÁ - CITROS"/>
      <sheetName val="PAINEIRAS"/>
      <sheetName val="MONJOLINHO"/>
      <sheetName val="RUBIÃO I"/>
      <sheetName val="MIRANTE"/>
      <sheetName val="SF I"/>
      <sheetName val="RUBIÃO II"/>
      <sheetName val="RUBIÃO III"/>
      <sheetName val="SF II"/>
      <sheetName val="SF III"/>
      <sheetName val="SF IV"/>
      <sheetName val="SF V - CN LAR."/>
      <sheetName val="HARAS_SEDE"/>
      <sheetName val="GADO STA CLARA"/>
      <sheetName val="CANASTRA I"/>
      <sheetName val="CANASTRA II"/>
      <sheetName val="SÃO PAULO DA CANASTRA"/>
    </sheetNames>
    <sheetDataSet>
      <sheetData sheetId="0"/>
      <sheetData sheetId="1"/>
      <sheetData sheetId="2"/>
      <sheetData sheetId="3"/>
      <sheetData sheetId="4"/>
      <sheetData sheetId="5"/>
      <sheetData sheetId="6">
        <row r="78">
          <cell r="P78">
            <v>17072920.391927104</v>
          </cell>
        </row>
        <row r="142">
          <cell r="P142">
            <v>13647554.081946423</v>
          </cell>
        </row>
        <row r="334">
          <cell r="P334">
            <v>0</v>
          </cell>
        </row>
        <row r="398">
          <cell r="P398">
            <v>0</v>
          </cell>
        </row>
        <row r="462">
          <cell r="P462">
            <v>0</v>
          </cell>
        </row>
        <row r="526">
          <cell r="P526">
            <v>0</v>
          </cell>
        </row>
        <row r="590">
          <cell r="P590">
            <v>0</v>
          </cell>
        </row>
        <row r="654">
          <cell r="P654">
            <v>0</v>
          </cell>
        </row>
        <row r="718">
          <cell r="P718">
            <v>0</v>
          </cell>
        </row>
        <row r="782">
          <cell r="P782">
            <v>0</v>
          </cell>
        </row>
      </sheetData>
      <sheetData sheetId="7"/>
      <sheetData sheetId="8">
        <row r="398">
          <cell r="Q398">
            <v>0</v>
          </cell>
        </row>
      </sheetData>
      <sheetData sheetId="9">
        <row r="5">
          <cell r="V5">
            <v>0.43872366728323609</v>
          </cell>
        </row>
        <row r="7">
          <cell r="V7">
            <v>0.47376732763541496</v>
          </cell>
        </row>
      </sheetData>
      <sheetData sheetId="10">
        <row r="139">
          <cell r="O139">
            <v>0</v>
          </cell>
        </row>
      </sheetData>
      <sheetData sheetId="11">
        <row r="271">
          <cell r="O271">
            <v>0</v>
          </cell>
        </row>
        <row r="317">
          <cell r="O317">
            <v>0</v>
          </cell>
        </row>
        <row r="363">
          <cell r="O363">
            <v>0</v>
          </cell>
        </row>
        <row r="409">
          <cell r="O409">
            <v>0</v>
          </cell>
        </row>
        <row r="455">
          <cell r="O455">
            <v>0</v>
          </cell>
        </row>
        <row r="501">
          <cell r="O501">
            <v>0</v>
          </cell>
        </row>
        <row r="547">
          <cell r="O547">
            <v>0</v>
          </cell>
        </row>
        <row r="593">
          <cell r="O593">
            <v>0</v>
          </cell>
        </row>
      </sheetData>
      <sheetData sheetId="12">
        <row r="218">
          <cell r="O218">
            <v>0</v>
          </cell>
        </row>
        <row r="255">
          <cell r="O255">
            <v>0</v>
          </cell>
        </row>
        <row r="292">
          <cell r="O292">
            <v>0</v>
          </cell>
        </row>
        <row r="329">
          <cell r="O329">
            <v>0</v>
          </cell>
        </row>
        <row r="366">
          <cell r="O366">
            <v>0</v>
          </cell>
        </row>
        <row r="403">
          <cell r="O403">
            <v>0</v>
          </cell>
        </row>
        <row r="440">
          <cell r="O440">
            <v>0</v>
          </cell>
        </row>
        <row r="477">
          <cell r="O477">
            <v>0</v>
          </cell>
        </row>
      </sheetData>
      <sheetData sheetId="13">
        <row r="272">
          <cell r="O272">
            <v>0</v>
          </cell>
        </row>
        <row r="318">
          <cell r="O318">
            <v>0</v>
          </cell>
        </row>
        <row r="364">
          <cell r="O364">
            <v>0</v>
          </cell>
        </row>
        <row r="410">
          <cell r="O410">
            <v>0</v>
          </cell>
        </row>
        <row r="456">
          <cell r="O456">
            <v>0</v>
          </cell>
        </row>
        <row r="502">
          <cell r="O502">
            <v>0</v>
          </cell>
        </row>
        <row r="548">
          <cell r="O548">
            <v>0</v>
          </cell>
        </row>
        <row r="594">
          <cell r="O594">
            <v>0</v>
          </cell>
        </row>
      </sheetData>
      <sheetData sheetId="14">
        <row r="515">
          <cell r="N515">
            <v>0</v>
          </cell>
        </row>
      </sheetData>
      <sheetData sheetId="15">
        <row r="327">
          <cell r="N327">
            <v>0</v>
          </cell>
        </row>
        <row r="382">
          <cell r="N382">
            <v>0</v>
          </cell>
        </row>
        <row r="437">
          <cell r="N437">
            <v>0</v>
          </cell>
        </row>
        <row r="492">
          <cell r="N492">
            <v>0</v>
          </cell>
        </row>
        <row r="547">
          <cell r="N547">
            <v>0</v>
          </cell>
        </row>
        <row r="602">
          <cell r="N602">
            <v>0</v>
          </cell>
        </row>
        <row r="657">
          <cell r="N657">
            <v>0</v>
          </cell>
        </row>
        <row r="712">
          <cell r="N712">
            <v>0</v>
          </cell>
        </row>
      </sheetData>
      <sheetData sheetId="16">
        <row r="5">
          <cell r="U5">
            <v>0.62188919831037515</v>
          </cell>
        </row>
        <row r="336">
          <cell r="N336">
            <v>0</v>
          </cell>
        </row>
        <row r="393">
          <cell r="N393">
            <v>0</v>
          </cell>
        </row>
        <row r="450">
          <cell r="N450">
            <v>0</v>
          </cell>
        </row>
        <row r="507">
          <cell r="N507">
            <v>0</v>
          </cell>
        </row>
        <row r="564">
          <cell r="N564">
            <v>0</v>
          </cell>
        </row>
        <row r="621">
          <cell r="N621">
            <v>0</v>
          </cell>
        </row>
        <row r="678">
          <cell r="N678">
            <v>0</v>
          </cell>
        </row>
        <row r="735">
          <cell r="N735">
            <v>0</v>
          </cell>
        </row>
      </sheetData>
      <sheetData sheetId="17">
        <row r="156">
          <cell r="N156">
            <v>0</v>
          </cell>
        </row>
      </sheetData>
      <sheetData sheetId="18">
        <row r="78">
          <cell r="N78">
            <v>0</v>
          </cell>
        </row>
      </sheetData>
      <sheetData sheetId="19">
        <row r="659">
          <cell r="N659">
            <v>0</v>
          </cell>
        </row>
        <row r="769">
          <cell r="N769">
            <v>0</v>
          </cell>
        </row>
        <row r="879">
          <cell r="N879">
            <v>0</v>
          </cell>
        </row>
        <row r="989">
          <cell r="N989">
            <v>0</v>
          </cell>
        </row>
        <row r="1099">
          <cell r="N1099">
            <v>0</v>
          </cell>
        </row>
        <row r="1209">
          <cell r="N1209">
            <v>0</v>
          </cell>
        </row>
        <row r="1319">
          <cell r="N1319">
            <v>0</v>
          </cell>
        </row>
        <row r="1429">
          <cell r="N1429">
            <v>0</v>
          </cell>
        </row>
      </sheetData>
      <sheetData sheetId="20">
        <row r="307">
          <cell r="N307">
            <v>0</v>
          </cell>
        </row>
        <row r="359">
          <cell r="N359">
            <v>0</v>
          </cell>
        </row>
        <row r="411">
          <cell r="N411">
            <v>0</v>
          </cell>
        </row>
        <row r="463">
          <cell r="N463">
            <v>0</v>
          </cell>
        </row>
        <row r="515">
          <cell r="N515">
            <v>0</v>
          </cell>
        </row>
        <row r="567">
          <cell r="N567">
            <v>0</v>
          </cell>
        </row>
        <row r="619">
          <cell r="N619">
            <v>0</v>
          </cell>
        </row>
        <row r="671">
          <cell r="N671">
            <v>0</v>
          </cell>
        </row>
      </sheetData>
      <sheetData sheetId="21">
        <row r="357">
          <cell r="N357">
            <v>0</v>
          </cell>
        </row>
        <row r="417">
          <cell r="N417">
            <v>0</v>
          </cell>
        </row>
        <row r="477">
          <cell r="N477">
            <v>0</v>
          </cell>
        </row>
        <row r="537">
          <cell r="N537">
            <v>0</v>
          </cell>
        </row>
        <row r="597">
          <cell r="N597">
            <v>0</v>
          </cell>
        </row>
        <row r="657">
          <cell r="N657">
            <v>0</v>
          </cell>
        </row>
        <row r="717">
          <cell r="N717">
            <v>0</v>
          </cell>
        </row>
        <row r="777">
          <cell r="N777">
            <v>0</v>
          </cell>
        </row>
      </sheetData>
      <sheetData sheetId="22">
        <row r="326">
          <cell r="N326">
            <v>0</v>
          </cell>
        </row>
        <row r="381">
          <cell r="N381">
            <v>0</v>
          </cell>
        </row>
        <row r="436">
          <cell r="N436">
            <v>0</v>
          </cell>
        </row>
        <row r="491">
          <cell r="N491">
            <v>0</v>
          </cell>
        </row>
        <row r="546">
          <cell r="N546">
            <v>0</v>
          </cell>
        </row>
        <row r="601">
          <cell r="N601">
            <v>0</v>
          </cell>
        </row>
        <row r="656">
          <cell r="N656">
            <v>0</v>
          </cell>
        </row>
        <row r="711">
          <cell r="N711">
            <v>0</v>
          </cell>
        </row>
      </sheetData>
      <sheetData sheetId="23">
        <row r="603">
          <cell r="N603">
            <v>0</v>
          </cell>
        </row>
      </sheetData>
      <sheetData sheetId="24">
        <row r="4">
          <cell r="X4">
            <v>0.45506322432429475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4">
          <cell r="N24">
            <v>200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LP+ROSA+FUNIL"/>
      <sheetName val="SLP+ROSA"/>
      <sheetName val="SLP"/>
      <sheetName val="ROSA"/>
      <sheetName val="STA ANA"/>
      <sheetName val="BOA"/>
      <sheetName val="STA MARIA"/>
      <sheetName val="CB"/>
      <sheetName val="CB I"/>
      <sheetName val="CB II"/>
      <sheetName val="CB III"/>
      <sheetName val="IG"/>
      <sheetName val="PN"/>
      <sheetName val="MJ"/>
      <sheetName val="RB"/>
      <sheetName val="RB I"/>
      <sheetName val="SÃO FRANCISCO"/>
      <sheetName val="SF I"/>
      <sheetName val="TOTAL CITRUS PRODUÇÃO"/>
      <sheetName val="FUNIL"/>
      <sheetName val="MIRANTE"/>
      <sheetName val="STA CLARA"/>
      <sheetName val="RB II"/>
      <sheetName val="RB III"/>
      <sheetName val="SF II"/>
      <sheetName val="SF III"/>
      <sheetName val="SF IV"/>
      <sheetName val="SF V - CN LAR."/>
      <sheetName val="TOTAL CITRUS"/>
      <sheetName val="TOTAL CAPEX"/>
      <sheetName val="CEREAIS"/>
      <sheetName val="SÃO PAULO DA CANASTRA"/>
      <sheetName val="TOTAL CITRUS-CEREAIS-SPCN"/>
      <sheetName val="CUSTO COLHEITA"/>
      <sheetName val="ANALISE - CITRUS"/>
      <sheetName val="OUTRAS DESPESAS - CITRUS"/>
      <sheetName val="IMP. OUT. DESP. - CITRUS"/>
      <sheetName val="ANALISE MAURICIO"/>
    </sheetNames>
    <sheetDataSet>
      <sheetData sheetId="0">
        <row r="2">
          <cell r="S2">
            <v>510000</v>
          </cell>
          <cell r="U2">
            <v>32751</v>
          </cell>
        </row>
      </sheetData>
      <sheetData sheetId="1"/>
      <sheetData sheetId="2">
        <row r="4">
          <cell r="L4">
            <v>57171.948717452404</v>
          </cell>
          <cell r="M4">
            <v>50145.516220077501</v>
          </cell>
          <cell r="N4">
            <v>7026.4324973748999</v>
          </cell>
          <cell r="O4">
            <v>37693.385218802978</v>
          </cell>
          <cell r="P4">
            <v>5281.6292821695197</v>
          </cell>
          <cell r="Q4">
            <v>42975.014500972495</v>
          </cell>
          <cell r="S4">
            <v>90657.919717452402</v>
          </cell>
          <cell r="T4">
            <v>79516.061384177505</v>
          </cell>
          <cell r="U4">
            <v>11141.8583332749</v>
          </cell>
          <cell r="V4">
            <v>52958.426945527135</v>
          </cell>
          <cell r="W4">
            <v>7420.5799471044174</v>
          </cell>
          <cell r="X4">
            <v>60379.006892631551</v>
          </cell>
          <cell r="Z4">
            <v>57171.948717452404</v>
          </cell>
          <cell r="AA4">
            <v>50145.516220077501</v>
          </cell>
          <cell r="AB4">
            <v>7026.4324973748999</v>
          </cell>
          <cell r="AC4">
            <v>39070.204277905344</v>
          </cell>
          <cell r="AD4">
            <v>5474.550342896553</v>
          </cell>
          <cell r="AE4">
            <v>44544.754620801898</v>
          </cell>
          <cell r="AG4">
            <v>57171.948717452404</v>
          </cell>
          <cell r="AH4">
            <v>50145.516220077501</v>
          </cell>
          <cell r="AI4">
            <v>7026.4324973748999</v>
          </cell>
          <cell r="AJ4">
            <v>76506.09754641293</v>
          </cell>
          <cell r="AK4">
            <v>10720.09963339887</v>
          </cell>
          <cell r="AL4">
            <v>87226.197179811803</v>
          </cell>
          <cell r="AN4">
            <v>57171.948717452404</v>
          </cell>
          <cell r="AO4">
            <v>50145.516220077501</v>
          </cell>
          <cell r="AP4">
            <v>7026.4324973748999</v>
          </cell>
          <cell r="AQ4">
            <v>0</v>
          </cell>
          <cell r="AR4">
            <v>0</v>
          </cell>
          <cell r="AS4">
            <v>0</v>
          </cell>
          <cell r="AU4">
            <v>57171.948717452404</v>
          </cell>
          <cell r="AV4">
            <v>50145.516220077501</v>
          </cell>
          <cell r="AW4">
            <v>7026.4324973748999</v>
          </cell>
          <cell r="AX4">
            <v>0</v>
          </cell>
          <cell r="AY4">
            <v>0</v>
          </cell>
          <cell r="AZ4">
            <v>0</v>
          </cell>
          <cell r="BB4">
            <v>57171.948717452404</v>
          </cell>
          <cell r="BC4">
            <v>50145.516220077501</v>
          </cell>
          <cell r="BD4">
            <v>7026.4324973748999</v>
          </cell>
          <cell r="BE4">
            <v>0</v>
          </cell>
          <cell r="BF4">
            <v>0</v>
          </cell>
          <cell r="BG4">
            <v>0</v>
          </cell>
          <cell r="BI4">
            <v>61745.704614848597</v>
          </cell>
          <cell r="BJ4">
            <v>54157.157517683707</v>
          </cell>
          <cell r="BK4">
            <v>7588.547097164892</v>
          </cell>
          <cell r="BL4">
            <v>0</v>
          </cell>
          <cell r="BM4">
            <v>0</v>
          </cell>
          <cell r="BN4">
            <v>0</v>
          </cell>
          <cell r="BP4">
            <v>61745.704614848597</v>
          </cell>
          <cell r="BQ4">
            <v>54157.157517683707</v>
          </cell>
          <cell r="BR4">
            <v>7588.547097164892</v>
          </cell>
          <cell r="BS4">
            <v>0</v>
          </cell>
          <cell r="BT4">
            <v>0</v>
          </cell>
          <cell r="BU4">
            <v>0</v>
          </cell>
          <cell r="BW4">
            <v>61745.704614848597</v>
          </cell>
          <cell r="BX4">
            <v>54157.157517683707</v>
          </cell>
          <cell r="BY4">
            <v>7588.547097164892</v>
          </cell>
          <cell r="BZ4">
            <v>0</v>
          </cell>
          <cell r="CA4">
            <v>0</v>
          </cell>
          <cell r="CB4">
            <v>0</v>
          </cell>
          <cell r="CD4">
            <v>61745.704614848597</v>
          </cell>
          <cell r="CE4">
            <v>54157.157517683707</v>
          </cell>
          <cell r="CF4">
            <v>7588.547097164892</v>
          </cell>
          <cell r="CG4">
            <v>0</v>
          </cell>
          <cell r="CH4">
            <v>0</v>
          </cell>
          <cell r="CI4">
            <v>0</v>
          </cell>
          <cell r="CK4">
            <v>61745.704614848597</v>
          </cell>
          <cell r="CL4">
            <v>54157.157517683707</v>
          </cell>
          <cell r="CM4">
            <v>7588.547097164892</v>
          </cell>
          <cell r="CN4">
            <v>0</v>
          </cell>
          <cell r="CO4">
            <v>0</v>
          </cell>
          <cell r="CP4">
            <v>0</v>
          </cell>
          <cell r="CS4">
            <v>97954.62999999999</v>
          </cell>
          <cell r="CT4">
            <v>137624.22999999998</v>
          </cell>
          <cell r="CU4">
            <v>101532.6</v>
          </cell>
          <cell r="CV4">
            <v>198818.08</v>
          </cell>
          <cell r="CW4"/>
          <cell r="CX4"/>
          <cell r="CY4"/>
          <cell r="CZ4"/>
          <cell r="DA4"/>
          <cell r="DB4"/>
          <cell r="DC4"/>
          <cell r="DD4"/>
        </row>
        <row r="5">
          <cell r="L5">
            <v>3838.625</v>
          </cell>
          <cell r="M5">
            <v>3366.8579875</v>
          </cell>
          <cell r="N5">
            <v>471.76701249999996</v>
          </cell>
          <cell r="O5">
            <v>4328.9201129192061</v>
          </cell>
          <cell r="P5">
            <v>606.57197797032313</v>
          </cell>
          <cell r="Q5">
            <v>4935.4920908895292</v>
          </cell>
          <cell r="S5">
            <v>3838.625</v>
          </cell>
          <cell r="T5">
            <v>3366.8579875</v>
          </cell>
          <cell r="U5">
            <v>471.76701249999996</v>
          </cell>
          <cell r="V5">
            <v>4418.3756216768343</v>
          </cell>
          <cell r="W5">
            <v>619.10656014602989</v>
          </cell>
          <cell r="X5">
            <v>5037.4821818228638</v>
          </cell>
          <cell r="Z5">
            <v>3838.625</v>
          </cell>
          <cell r="AA5">
            <v>3366.8579875</v>
          </cell>
          <cell r="AB5">
            <v>471.76701249999996</v>
          </cell>
          <cell r="AC5">
            <v>2980.541956523753</v>
          </cell>
          <cell r="AD5">
            <v>417.63608078528017</v>
          </cell>
          <cell r="AE5">
            <v>3398.1780373090332</v>
          </cell>
          <cell r="AG5">
            <v>3838.625</v>
          </cell>
          <cell r="AH5">
            <v>3366.8579875</v>
          </cell>
          <cell r="AI5">
            <v>471.76701249999996</v>
          </cell>
          <cell r="AJ5">
            <v>4165.0318641994854</v>
          </cell>
          <cell r="AK5">
            <v>583.60781679411321</v>
          </cell>
          <cell r="AL5">
            <v>4748.6396809935986</v>
          </cell>
          <cell r="AN5">
            <v>3838.625</v>
          </cell>
          <cell r="AO5">
            <v>3366.8579875</v>
          </cell>
          <cell r="AP5">
            <v>471.76701249999996</v>
          </cell>
          <cell r="AQ5">
            <v>0</v>
          </cell>
          <cell r="AR5">
            <v>0</v>
          </cell>
          <cell r="AS5">
            <v>0</v>
          </cell>
          <cell r="AU5">
            <v>3838.625</v>
          </cell>
          <cell r="AV5">
            <v>3366.8579875</v>
          </cell>
          <cell r="AW5">
            <v>471.76701249999996</v>
          </cell>
          <cell r="AX5">
            <v>0</v>
          </cell>
          <cell r="AY5">
            <v>0</v>
          </cell>
          <cell r="AZ5">
            <v>0</v>
          </cell>
          <cell r="BB5">
            <v>3838.625</v>
          </cell>
          <cell r="BC5">
            <v>3366.8579875</v>
          </cell>
          <cell r="BD5">
            <v>471.76701249999996</v>
          </cell>
          <cell r="BE5">
            <v>0</v>
          </cell>
          <cell r="BF5">
            <v>0</v>
          </cell>
          <cell r="BG5">
            <v>0</v>
          </cell>
          <cell r="BI5">
            <v>3838.625</v>
          </cell>
          <cell r="BJ5">
            <v>3366.8579875</v>
          </cell>
          <cell r="BK5">
            <v>471.76701249999996</v>
          </cell>
          <cell r="BL5">
            <v>0</v>
          </cell>
          <cell r="BM5">
            <v>0</v>
          </cell>
          <cell r="BN5">
            <v>0</v>
          </cell>
          <cell r="BP5">
            <v>3838.625</v>
          </cell>
          <cell r="BQ5">
            <v>3366.8579875</v>
          </cell>
          <cell r="BR5">
            <v>471.76701249999996</v>
          </cell>
          <cell r="BS5">
            <v>0</v>
          </cell>
          <cell r="BT5">
            <v>0</v>
          </cell>
          <cell r="BU5">
            <v>0</v>
          </cell>
          <cell r="BW5">
            <v>3838.625</v>
          </cell>
          <cell r="BX5">
            <v>3366.8579875</v>
          </cell>
          <cell r="BY5">
            <v>471.76701249999996</v>
          </cell>
          <cell r="BZ5">
            <v>0</v>
          </cell>
          <cell r="CA5">
            <v>0</v>
          </cell>
          <cell r="CB5">
            <v>0</v>
          </cell>
          <cell r="CD5">
            <v>3838.625</v>
          </cell>
          <cell r="CE5">
            <v>3366.8579875</v>
          </cell>
          <cell r="CF5">
            <v>471.76701249999996</v>
          </cell>
          <cell r="CG5">
            <v>0</v>
          </cell>
          <cell r="CH5">
            <v>0</v>
          </cell>
          <cell r="CI5">
            <v>0</v>
          </cell>
          <cell r="CK5">
            <v>3838.625</v>
          </cell>
          <cell r="CL5">
            <v>3366.8579875</v>
          </cell>
          <cell r="CM5">
            <v>471.76701249999996</v>
          </cell>
          <cell r="CN5">
            <v>0</v>
          </cell>
          <cell r="CO5">
            <v>0</v>
          </cell>
          <cell r="CP5">
            <v>0</v>
          </cell>
          <cell r="CS5">
            <v>11249.66</v>
          </cell>
          <cell r="CT5">
            <v>11482.130000000001</v>
          </cell>
          <cell r="CU5">
            <v>7745.5999999999995</v>
          </cell>
          <cell r="CV5">
            <v>10823.759999999998</v>
          </cell>
          <cell r="CW5"/>
          <cell r="CX5"/>
          <cell r="CY5"/>
          <cell r="CZ5"/>
          <cell r="DA5"/>
          <cell r="DB5"/>
          <cell r="DC5"/>
          <cell r="DD5"/>
        </row>
        <row r="6">
          <cell r="L6">
            <v>7271.2216365904942</v>
          </cell>
          <cell r="M6">
            <v>6377.588497453522</v>
          </cell>
          <cell r="N6">
            <v>893.63313913697175</v>
          </cell>
          <cell r="O6">
            <v>5729.8009991933131</v>
          </cell>
          <cell r="P6">
            <v>802.86460244083707</v>
          </cell>
          <cell r="Q6">
            <v>6532.6656016341503</v>
          </cell>
          <cell r="S6">
            <v>7271.2216365904942</v>
          </cell>
          <cell r="T6">
            <v>6377.588497453522</v>
          </cell>
          <cell r="U6">
            <v>893.63313913697175</v>
          </cell>
          <cell r="V6">
            <v>5656.5803934962287</v>
          </cell>
          <cell r="W6">
            <v>792.60486872726767</v>
          </cell>
          <cell r="X6">
            <v>6449.1852622234965</v>
          </cell>
          <cell r="Z6">
            <v>7271.2216365904942</v>
          </cell>
          <cell r="AA6">
            <v>6377.588497453522</v>
          </cell>
          <cell r="AB6">
            <v>893.63313913697175</v>
          </cell>
          <cell r="AC6">
            <v>6097.2239072117463</v>
          </cell>
          <cell r="AD6">
            <v>854.34821365445623</v>
          </cell>
          <cell r="AE6">
            <v>6951.5721208662026</v>
          </cell>
          <cell r="AG6">
            <v>7271.2216365904942</v>
          </cell>
          <cell r="AH6">
            <v>6377.588497453522</v>
          </cell>
          <cell r="AI6">
            <v>893.63313913697175</v>
          </cell>
          <cell r="AJ6">
            <v>5922.130150619947</v>
          </cell>
          <cell r="AK6">
            <v>829.81392715903712</v>
          </cell>
          <cell r="AL6">
            <v>6751.9440777789841</v>
          </cell>
          <cell r="AN6">
            <v>7271.2216365904942</v>
          </cell>
          <cell r="AO6">
            <v>6377.588497453522</v>
          </cell>
          <cell r="AP6">
            <v>893.63313913697175</v>
          </cell>
          <cell r="AQ6">
            <v>0</v>
          </cell>
          <cell r="AR6">
            <v>0</v>
          </cell>
          <cell r="AS6">
            <v>0</v>
          </cell>
          <cell r="AU6">
            <v>7271.2216365904942</v>
          </cell>
          <cell r="AV6">
            <v>6377.588497453522</v>
          </cell>
          <cell r="AW6">
            <v>893.63313913697175</v>
          </cell>
          <cell r="AX6">
            <v>0</v>
          </cell>
          <cell r="AY6">
            <v>0</v>
          </cell>
          <cell r="AZ6">
            <v>0</v>
          </cell>
          <cell r="BB6">
            <v>7271.2216365904942</v>
          </cell>
          <cell r="BC6">
            <v>6377.588497453522</v>
          </cell>
          <cell r="BD6">
            <v>893.63313913697175</v>
          </cell>
          <cell r="BE6">
            <v>0</v>
          </cell>
          <cell r="BF6">
            <v>0</v>
          </cell>
          <cell r="BG6">
            <v>0</v>
          </cell>
          <cell r="BI6">
            <v>7819.0780495177332</v>
          </cell>
          <cell r="BJ6">
            <v>6858.1133572320041</v>
          </cell>
          <cell r="BK6">
            <v>960.96469228572937</v>
          </cell>
          <cell r="BL6">
            <v>0</v>
          </cell>
          <cell r="BM6">
            <v>0</v>
          </cell>
          <cell r="BN6">
            <v>0</v>
          </cell>
          <cell r="BP6">
            <v>7819.0780495177332</v>
          </cell>
          <cell r="BQ6">
            <v>6858.1133572320041</v>
          </cell>
          <cell r="BR6">
            <v>960.96469228572937</v>
          </cell>
          <cell r="BS6">
            <v>0</v>
          </cell>
          <cell r="BT6">
            <v>0</v>
          </cell>
          <cell r="BU6">
            <v>0</v>
          </cell>
          <cell r="BW6">
            <v>7819.0780495177332</v>
          </cell>
          <cell r="BX6">
            <v>6858.1133572320041</v>
          </cell>
          <cell r="BY6">
            <v>960.96469228572937</v>
          </cell>
          <cell r="BZ6">
            <v>0</v>
          </cell>
          <cell r="CA6">
            <v>0</v>
          </cell>
          <cell r="CB6">
            <v>0</v>
          </cell>
          <cell r="CD6">
            <v>7819.0780495177332</v>
          </cell>
          <cell r="CE6">
            <v>6858.1133572320041</v>
          </cell>
          <cell r="CF6">
            <v>960.96469228572937</v>
          </cell>
          <cell r="CG6">
            <v>0</v>
          </cell>
          <cell r="CH6">
            <v>0</v>
          </cell>
          <cell r="CI6">
            <v>0</v>
          </cell>
          <cell r="CK6">
            <v>7819.0780495177332</v>
          </cell>
          <cell r="CL6">
            <v>6858.1133572320041</v>
          </cell>
          <cell r="CM6">
            <v>960.96469228572937</v>
          </cell>
          <cell r="CN6">
            <v>0</v>
          </cell>
          <cell r="CO6">
            <v>0</v>
          </cell>
          <cell r="CP6">
            <v>0</v>
          </cell>
          <cell r="CS6">
            <v>14890.16</v>
          </cell>
          <cell r="CT6">
            <v>14699.88</v>
          </cell>
          <cell r="CU6">
            <v>15844.99</v>
          </cell>
          <cell r="CV6">
            <v>15389.97</v>
          </cell>
          <cell r="CW6"/>
          <cell r="CX6"/>
          <cell r="CY6"/>
          <cell r="CZ6"/>
          <cell r="DA6"/>
          <cell r="DB6"/>
          <cell r="DC6"/>
          <cell r="DD6"/>
        </row>
        <row r="7">
          <cell r="L7">
            <v>5641.4650628719346</v>
          </cell>
          <cell r="M7">
            <v>4948.1290066449737</v>
          </cell>
          <cell r="N7">
            <v>693.33605622696075</v>
          </cell>
          <cell r="O7">
            <v>3925.7950407396656</v>
          </cell>
          <cell r="P7">
            <v>550.08574906727267</v>
          </cell>
          <cell r="Q7">
            <v>4475.8807898069381</v>
          </cell>
          <cell r="S7">
            <v>5641.4650628719346</v>
          </cell>
          <cell r="T7">
            <v>4948.1290066449737</v>
          </cell>
          <cell r="U7">
            <v>693.33605622696075</v>
          </cell>
          <cell r="V7">
            <v>3878.9373932951949</v>
          </cell>
          <cell r="W7">
            <v>543.52001554666447</v>
          </cell>
          <cell r="X7">
            <v>4422.4574088418594</v>
          </cell>
          <cell r="Z7">
            <v>5641.4650628719346</v>
          </cell>
          <cell r="AA7">
            <v>4948.1290066449737</v>
          </cell>
          <cell r="AB7">
            <v>693.33605622696075</v>
          </cell>
          <cell r="AC7">
            <v>4098.3413913523045</v>
          </cell>
          <cell r="AD7">
            <v>574.26309086443757</v>
          </cell>
          <cell r="AE7">
            <v>4672.6044822167423</v>
          </cell>
          <cell r="AG7">
            <v>5641.4650628719346</v>
          </cell>
          <cell r="AH7">
            <v>4948.1290066449737</v>
          </cell>
          <cell r="AI7">
            <v>693.33605622696075</v>
          </cell>
          <cell r="AJ7">
            <v>4044.8381696993579</v>
          </cell>
          <cell r="AK7">
            <v>566.76617381832295</v>
          </cell>
          <cell r="AL7">
            <v>4611.6043435176807</v>
          </cell>
          <cell r="AN7">
            <v>5641.4650628719346</v>
          </cell>
          <cell r="AO7">
            <v>4948.1290066449737</v>
          </cell>
          <cell r="AP7">
            <v>693.33605622696075</v>
          </cell>
          <cell r="AQ7">
            <v>0</v>
          </cell>
          <cell r="AR7">
            <v>0</v>
          </cell>
          <cell r="AS7">
            <v>0</v>
          </cell>
          <cell r="AU7">
            <v>5641.4650628719346</v>
          </cell>
          <cell r="AV7">
            <v>4948.1290066449737</v>
          </cell>
          <cell r="AW7">
            <v>693.33605622696075</v>
          </cell>
          <cell r="AX7">
            <v>0</v>
          </cell>
          <cell r="AY7">
            <v>0</v>
          </cell>
          <cell r="AZ7">
            <v>0</v>
          </cell>
          <cell r="BB7">
            <v>5641.4650628719346</v>
          </cell>
          <cell r="BC7">
            <v>4948.1290066449737</v>
          </cell>
          <cell r="BD7">
            <v>693.33605622696075</v>
          </cell>
          <cell r="BE7">
            <v>0</v>
          </cell>
          <cell r="BF7">
            <v>0</v>
          </cell>
          <cell r="BG7">
            <v>0</v>
          </cell>
          <cell r="BI7">
            <v>6066.5260729016891</v>
          </cell>
          <cell r="BJ7">
            <v>5320.9500185420711</v>
          </cell>
          <cell r="BK7">
            <v>745.57605435961761</v>
          </cell>
          <cell r="BL7">
            <v>0</v>
          </cell>
          <cell r="BM7">
            <v>0</v>
          </cell>
          <cell r="BN7">
            <v>0</v>
          </cell>
          <cell r="BP7">
            <v>6066.5260729016891</v>
          </cell>
          <cell r="BQ7">
            <v>5320.9500185420711</v>
          </cell>
          <cell r="BR7">
            <v>745.57605435961761</v>
          </cell>
          <cell r="BS7">
            <v>0</v>
          </cell>
          <cell r="BT7">
            <v>0</v>
          </cell>
          <cell r="BU7">
            <v>0</v>
          </cell>
          <cell r="BW7">
            <v>6066.5260729016891</v>
          </cell>
          <cell r="BX7">
            <v>5320.9500185420711</v>
          </cell>
          <cell r="BY7">
            <v>745.57605435961761</v>
          </cell>
          <cell r="BZ7">
            <v>0</v>
          </cell>
          <cell r="CA7">
            <v>0</v>
          </cell>
          <cell r="CB7">
            <v>0</v>
          </cell>
          <cell r="CD7">
            <v>6066.5260729016891</v>
          </cell>
          <cell r="CE7">
            <v>5320.9500185420711</v>
          </cell>
          <cell r="CF7">
            <v>745.57605435961761</v>
          </cell>
          <cell r="CG7">
            <v>0</v>
          </cell>
          <cell r="CH7">
            <v>0</v>
          </cell>
          <cell r="CI7">
            <v>0</v>
          </cell>
          <cell r="CK7">
            <v>6066.5260729016891</v>
          </cell>
          <cell r="CL7">
            <v>5320.9500185420711</v>
          </cell>
          <cell r="CM7">
            <v>745.57605435961761</v>
          </cell>
          <cell r="CN7">
            <v>0</v>
          </cell>
          <cell r="CO7">
            <v>0</v>
          </cell>
          <cell r="CP7">
            <v>0</v>
          </cell>
          <cell r="CS7">
            <v>10202.049999999999</v>
          </cell>
          <cell r="CT7">
            <v>10080.280000000001</v>
          </cell>
          <cell r="CU7">
            <v>10650.45</v>
          </cell>
          <cell r="CV7">
            <v>10511.41</v>
          </cell>
          <cell r="CW7"/>
          <cell r="CX7"/>
          <cell r="CY7"/>
          <cell r="CZ7"/>
          <cell r="DA7"/>
          <cell r="DB7"/>
          <cell r="DC7"/>
          <cell r="DD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B8">
            <v>62834.771354377612</v>
          </cell>
          <cell r="BC8">
            <v>55112.377954924603</v>
          </cell>
          <cell r="BD8">
            <v>7722.393399453008</v>
          </cell>
          <cell r="BE8">
            <v>0</v>
          </cell>
          <cell r="BF8">
            <v>0</v>
          </cell>
          <cell r="BG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</row>
        <row r="9">
          <cell r="L9">
            <v>4420.7971837709902</v>
          </cell>
          <cell r="M9">
            <v>3877.4812098855355</v>
          </cell>
          <cell r="N9">
            <v>543.3159738854547</v>
          </cell>
          <cell r="O9">
            <v>8082.6767450239522</v>
          </cell>
          <cell r="P9">
            <v>1132.5515585035271</v>
          </cell>
          <cell r="Q9">
            <v>9215.2283035274795</v>
          </cell>
          <cell r="S9">
            <v>4420.7971837709902</v>
          </cell>
          <cell r="T9">
            <v>3877.4812098855355</v>
          </cell>
          <cell r="U9">
            <v>543.3159738854547</v>
          </cell>
          <cell r="V9">
            <v>4184.7030717001944</v>
          </cell>
          <cell r="W9">
            <v>586.36416316492296</v>
          </cell>
          <cell r="X9">
            <v>4771.0672348651178</v>
          </cell>
          <cell r="Z9">
            <v>4420.7971837709902</v>
          </cell>
          <cell r="AA9">
            <v>3877.4812098855355</v>
          </cell>
          <cell r="AB9">
            <v>543.3159738854547</v>
          </cell>
          <cell r="AC9">
            <v>7264.4591798262154</v>
          </cell>
          <cell r="AD9">
            <v>1017.9022154835729</v>
          </cell>
          <cell r="AE9">
            <v>8282.3613953097883</v>
          </cell>
          <cell r="AG9">
            <v>4420.7971837709902</v>
          </cell>
          <cell r="AH9">
            <v>3877.4812098855355</v>
          </cell>
          <cell r="AI9">
            <v>543.3159738854547</v>
          </cell>
          <cell r="AJ9">
            <v>2455.3645839710716</v>
          </cell>
          <cell r="AK9">
            <v>344.04777946647437</v>
          </cell>
          <cell r="AL9">
            <v>2799.412363437546</v>
          </cell>
          <cell r="AN9">
            <v>4420.7971837709902</v>
          </cell>
          <cell r="AO9">
            <v>3877.4812098855355</v>
          </cell>
          <cell r="AP9">
            <v>543.3159738854547</v>
          </cell>
          <cell r="AQ9">
            <v>0</v>
          </cell>
          <cell r="AR9">
            <v>0</v>
          </cell>
          <cell r="AS9">
            <v>0</v>
          </cell>
          <cell r="AU9">
            <v>4420.7971837709902</v>
          </cell>
          <cell r="AV9">
            <v>3877.4812098855355</v>
          </cell>
          <cell r="AW9">
            <v>543.3159738854547</v>
          </cell>
          <cell r="AX9">
            <v>0</v>
          </cell>
          <cell r="AY9">
            <v>0</v>
          </cell>
          <cell r="AZ9">
            <v>0</v>
          </cell>
          <cell r="BB9">
            <v>4420.7971837709902</v>
          </cell>
          <cell r="BC9">
            <v>3877.4812098855355</v>
          </cell>
          <cell r="BD9">
            <v>543.3159738854547</v>
          </cell>
          <cell r="BE9">
            <v>0</v>
          </cell>
          <cell r="BF9">
            <v>0</v>
          </cell>
          <cell r="BG9">
            <v>0</v>
          </cell>
          <cell r="BI9">
            <v>4753.8859284726695</v>
          </cell>
          <cell r="BJ9">
            <v>4169.6333478633787</v>
          </cell>
          <cell r="BK9">
            <v>584.25258060929104</v>
          </cell>
          <cell r="BL9">
            <v>0</v>
          </cell>
          <cell r="BM9">
            <v>0</v>
          </cell>
          <cell r="BN9">
            <v>0</v>
          </cell>
          <cell r="BP9">
            <v>4753.8859284726695</v>
          </cell>
          <cell r="BQ9">
            <v>4169.6333478633787</v>
          </cell>
          <cell r="BR9">
            <v>584.25258060929104</v>
          </cell>
          <cell r="BS9">
            <v>0</v>
          </cell>
          <cell r="BT9">
            <v>0</v>
          </cell>
          <cell r="BU9">
            <v>0</v>
          </cell>
          <cell r="BW9">
            <v>4753.8859284726695</v>
          </cell>
          <cell r="BX9">
            <v>4169.6333478633787</v>
          </cell>
          <cell r="BY9">
            <v>584.25258060929104</v>
          </cell>
          <cell r="BZ9">
            <v>0</v>
          </cell>
          <cell r="CA9">
            <v>0</v>
          </cell>
          <cell r="CB9">
            <v>0</v>
          </cell>
          <cell r="CD9">
            <v>4753.8859284726695</v>
          </cell>
          <cell r="CE9">
            <v>4169.6333478633787</v>
          </cell>
          <cell r="CF9">
            <v>584.25258060929104</v>
          </cell>
          <cell r="CG9">
            <v>0</v>
          </cell>
          <cell r="CH9">
            <v>0</v>
          </cell>
          <cell r="CI9">
            <v>0</v>
          </cell>
          <cell r="CK9">
            <v>4753.8859284726695</v>
          </cell>
          <cell r="CL9">
            <v>4169.6333478633787</v>
          </cell>
          <cell r="CM9">
            <v>584.25258060929104</v>
          </cell>
          <cell r="CN9">
            <v>0</v>
          </cell>
          <cell r="CO9">
            <v>0</v>
          </cell>
          <cell r="CP9">
            <v>0</v>
          </cell>
          <cell r="CS9">
            <v>21004.63</v>
          </cell>
          <cell r="CT9">
            <v>10874.88</v>
          </cell>
          <cell r="CU9">
            <v>18878.309999999998</v>
          </cell>
          <cell r="CV9">
            <v>6380.81</v>
          </cell>
          <cell r="CW9"/>
          <cell r="CX9"/>
          <cell r="CY9"/>
          <cell r="CZ9"/>
          <cell r="DA9"/>
          <cell r="DB9"/>
          <cell r="DC9"/>
          <cell r="DD9"/>
        </row>
        <row r="10">
          <cell r="L10">
            <v>4387</v>
          </cell>
          <cell r="M10">
            <v>3847.8377</v>
          </cell>
          <cell r="N10">
            <v>539.16229999999996</v>
          </cell>
          <cell r="O10">
            <v>4780.0764863553695</v>
          </cell>
          <cell r="P10">
            <v>669.78839376704468</v>
          </cell>
          <cell r="Q10">
            <v>5449.8648801224144</v>
          </cell>
          <cell r="S10">
            <v>4387</v>
          </cell>
          <cell r="T10">
            <v>3847.8377</v>
          </cell>
          <cell r="U10">
            <v>539.16229999999996</v>
          </cell>
          <cell r="V10">
            <v>4714.6327801807683</v>
          </cell>
          <cell r="W10">
            <v>660.61836584678645</v>
          </cell>
          <cell r="X10">
            <v>5375.2511460275546</v>
          </cell>
          <cell r="Z10">
            <v>4387</v>
          </cell>
          <cell r="AA10">
            <v>3847.8377</v>
          </cell>
          <cell r="AB10">
            <v>539.16229999999996</v>
          </cell>
          <cell r="AC10">
            <v>4860.3313188347893</v>
          </cell>
          <cell r="AD10">
            <v>681.03376933621655</v>
          </cell>
          <cell r="AE10">
            <v>5541.3650881710055</v>
          </cell>
          <cell r="AG10">
            <v>4387</v>
          </cell>
          <cell r="AH10">
            <v>3847.8377</v>
          </cell>
          <cell r="AI10">
            <v>539.16229999999996</v>
          </cell>
          <cell r="AJ10">
            <v>769.60905714825276</v>
          </cell>
          <cell r="AK10">
            <v>107.83827741821942</v>
          </cell>
          <cell r="AL10">
            <v>877.44733456647214</v>
          </cell>
          <cell r="AN10">
            <v>4387</v>
          </cell>
          <cell r="AO10">
            <v>3847.8377</v>
          </cell>
          <cell r="AP10">
            <v>539.16229999999996</v>
          </cell>
          <cell r="AQ10">
            <v>0</v>
          </cell>
          <cell r="AR10">
            <v>0</v>
          </cell>
          <cell r="AS10">
            <v>0</v>
          </cell>
          <cell r="AU10">
            <v>4387</v>
          </cell>
          <cell r="AV10">
            <v>3847.8377</v>
          </cell>
          <cell r="AW10">
            <v>539.16229999999996</v>
          </cell>
          <cell r="AX10">
            <v>0</v>
          </cell>
          <cell r="AY10">
            <v>0</v>
          </cell>
          <cell r="AZ10">
            <v>0</v>
          </cell>
          <cell r="BB10">
            <v>4387</v>
          </cell>
          <cell r="BC10">
            <v>3847.8377</v>
          </cell>
          <cell r="BD10">
            <v>539.16229999999996</v>
          </cell>
          <cell r="BE10">
            <v>0</v>
          </cell>
          <cell r="BF10">
            <v>0</v>
          </cell>
          <cell r="BG10">
            <v>0</v>
          </cell>
          <cell r="BI10">
            <v>4387</v>
          </cell>
          <cell r="BJ10">
            <v>3847.8377</v>
          </cell>
          <cell r="BK10">
            <v>539.16229999999996</v>
          </cell>
          <cell r="BL10">
            <v>0</v>
          </cell>
          <cell r="BM10">
            <v>0</v>
          </cell>
          <cell r="BN10">
            <v>0</v>
          </cell>
          <cell r="BP10">
            <v>4387</v>
          </cell>
          <cell r="BQ10">
            <v>3847.8377</v>
          </cell>
          <cell r="BR10">
            <v>539.16229999999996</v>
          </cell>
          <cell r="BS10">
            <v>0</v>
          </cell>
          <cell r="BT10">
            <v>0</v>
          </cell>
          <cell r="BU10">
            <v>0</v>
          </cell>
          <cell r="BW10">
            <v>4387</v>
          </cell>
          <cell r="BX10">
            <v>3847.8377</v>
          </cell>
          <cell r="BY10">
            <v>539.16229999999996</v>
          </cell>
          <cell r="BZ10">
            <v>0</v>
          </cell>
          <cell r="CA10">
            <v>0</v>
          </cell>
          <cell r="CB10">
            <v>0</v>
          </cell>
          <cell r="CD10">
            <v>4387</v>
          </cell>
          <cell r="CE10">
            <v>3847.8377</v>
          </cell>
          <cell r="CF10">
            <v>539.16229999999996</v>
          </cell>
          <cell r="CG10">
            <v>0</v>
          </cell>
          <cell r="CH10">
            <v>0</v>
          </cell>
          <cell r="CI10">
            <v>0</v>
          </cell>
          <cell r="CK10">
            <v>4387</v>
          </cell>
          <cell r="CL10">
            <v>3847.8377</v>
          </cell>
          <cell r="CM10">
            <v>539.16229999999996</v>
          </cell>
          <cell r="CN10">
            <v>0</v>
          </cell>
          <cell r="CO10">
            <v>0</v>
          </cell>
          <cell r="CP10">
            <v>0</v>
          </cell>
          <cell r="CS10">
            <v>12422.09</v>
          </cell>
          <cell r="CT10">
            <v>12252.02</v>
          </cell>
          <cell r="CU10">
            <v>12630.65</v>
          </cell>
          <cell r="CV10">
            <v>2000</v>
          </cell>
          <cell r="CW10"/>
          <cell r="CX10"/>
          <cell r="CY10"/>
          <cell r="CZ10"/>
          <cell r="DA10"/>
          <cell r="DB10"/>
          <cell r="DC10"/>
          <cell r="DD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</row>
        <row r="12">
          <cell r="L12">
            <v>1362.1634999999999</v>
          </cell>
          <cell r="M12">
            <v>1194.75360585</v>
          </cell>
          <cell r="N12">
            <v>167.40989414999999</v>
          </cell>
          <cell r="O12">
            <v>1113.9706297692385</v>
          </cell>
          <cell r="P12">
            <v>156.09051464900173</v>
          </cell>
          <cell r="Q12">
            <v>1270.0611444182402</v>
          </cell>
          <cell r="S12">
            <v>1362.1634999999999</v>
          </cell>
          <cell r="T12">
            <v>1194.75360585</v>
          </cell>
          <cell r="U12">
            <v>167.40989414999999</v>
          </cell>
          <cell r="V12">
            <v>1113.9706297692385</v>
          </cell>
          <cell r="W12">
            <v>156.09051464900173</v>
          </cell>
          <cell r="X12">
            <v>1270.0611444182402</v>
          </cell>
          <cell r="Z12">
            <v>1362.1634999999999</v>
          </cell>
          <cell r="AA12">
            <v>1194.75360585</v>
          </cell>
          <cell r="AB12">
            <v>167.40989414999999</v>
          </cell>
          <cell r="AC12">
            <v>2308.3076853311832</v>
          </cell>
          <cell r="AD12">
            <v>323.44204141740096</v>
          </cell>
          <cell r="AE12">
            <v>2631.7497267485842</v>
          </cell>
          <cell r="AG12">
            <v>1362.1634999999999</v>
          </cell>
          <cell r="AH12">
            <v>1194.75360585</v>
          </cell>
          <cell r="AI12">
            <v>167.40989414999999</v>
          </cell>
          <cell r="AJ12">
            <v>2307.9228808026091</v>
          </cell>
          <cell r="AK12">
            <v>323.38812227869187</v>
          </cell>
          <cell r="AL12">
            <v>2631.3110030813009</v>
          </cell>
          <cell r="AN12">
            <v>1362.1634999999999</v>
          </cell>
          <cell r="AO12">
            <v>1194.75360585</v>
          </cell>
          <cell r="AP12">
            <v>167.40989414999999</v>
          </cell>
          <cell r="AQ12">
            <v>0</v>
          </cell>
          <cell r="AR12">
            <v>0</v>
          </cell>
          <cell r="AS12">
            <v>0</v>
          </cell>
          <cell r="AU12">
            <v>1362.1634999999999</v>
          </cell>
          <cell r="AV12">
            <v>1194.75360585</v>
          </cell>
          <cell r="AW12">
            <v>167.40989414999999</v>
          </cell>
          <cell r="AX12">
            <v>0</v>
          </cell>
          <cell r="AY12">
            <v>0</v>
          </cell>
          <cell r="AZ12">
            <v>0</v>
          </cell>
          <cell r="BB12">
            <v>1362.1634999999999</v>
          </cell>
          <cell r="BC12">
            <v>1194.75360585</v>
          </cell>
          <cell r="BD12">
            <v>167.40989414999999</v>
          </cell>
          <cell r="BE12">
            <v>0</v>
          </cell>
          <cell r="BF12">
            <v>0</v>
          </cell>
          <cell r="BG12">
            <v>0</v>
          </cell>
          <cell r="BI12">
            <v>1362.1634999999999</v>
          </cell>
          <cell r="BJ12">
            <v>1194.75360585</v>
          </cell>
          <cell r="BK12">
            <v>167.40989414999999</v>
          </cell>
          <cell r="BL12">
            <v>0</v>
          </cell>
          <cell r="BM12">
            <v>0</v>
          </cell>
          <cell r="BN12">
            <v>0</v>
          </cell>
          <cell r="BP12">
            <v>1362.1634999999999</v>
          </cell>
          <cell r="BQ12">
            <v>1194.75360585</v>
          </cell>
          <cell r="BR12">
            <v>167.40989414999999</v>
          </cell>
          <cell r="BS12">
            <v>0</v>
          </cell>
          <cell r="BT12">
            <v>0</v>
          </cell>
          <cell r="BU12">
            <v>0</v>
          </cell>
          <cell r="BW12">
            <v>1362.1634999999999</v>
          </cell>
          <cell r="BX12">
            <v>1194.75360585</v>
          </cell>
          <cell r="BY12">
            <v>167.40989414999999</v>
          </cell>
          <cell r="BZ12">
            <v>0</v>
          </cell>
          <cell r="CA12">
            <v>0</v>
          </cell>
          <cell r="CB12">
            <v>0</v>
          </cell>
          <cell r="CD12">
            <v>1362.1634999999999</v>
          </cell>
          <cell r="CE12">
            <v>1194.75360585</v>
          </cell>
          <cell r="CF12">
            <v>167.40989414999999</v>
          </cell>
          <cell r="CG12">
            <v>0</v>
          </cell>
          <cell r="CH12">
            <v>0</v>
          </cell>
          <cell r="CI12">
            <v>0</v>
          </cell>
          <cell r="CK12">
            <v>1362.1634999999999</v>
          </cell>
          <cell r="CL12">
            <v>1194.75360585</v>
          </cell>
          <cell r="CM12">
            <v>167.40989414999999</v>
          </cell>
          <cell r="CN12">
            <v>0</v>
          </cell>
          <cell r="CO12">
            <v>0</v>
          </cell>
          <cell r="CP12">
            <v>0</v>
          </cell>
          <cell r="CS12">
            <v>2894.9</v>
          </cell>
          <cell r="CT12">
            <v>2894.9</v>
          </cell>
          <cell r="CU12">
            <v>5998.65</v>
          </cell>
          <cell r="CV12">
            <v>5997.65</v>
          </cell>
          <cell r="CW12"/>
          <cell r="CX12"/>
          <cell r="CY12"/>
          <cell r="CZ12"/>
          <cell r="DA12"/>
          <cell r="DB12"/>
          <cell r="DC12"/>
          <cell r="DD12"/>
        </row>
        <row r="13">
          <cell r="L13">
            <v>4825.7</v>
          </cell>
          <cell r="M13">
            <v>4232.62147</v>
          </cell>
          <cell r="N13">
            <v>593.07853</v>
          </cell>
          <cell r="O13">
            <v>3990.3190640909752</v>
          </cell>
          <cell r="P13">
            <v>559.12691024601622</v>
          </cell>
          <cell r="Q13">
            <v>4549.4459743369916</v>
          </cell>
          <cell r="S13">
            <v>4825.7</v>
          </cell>
          <cell r="T13">
            <v>4232.62147</v>
          </cell>
          <cell r="U13">
            <v>593.07853</v>
          </cell>
          <cell r="V13">
            <v>4158.7249179761566</v>
          </cell>
          <cell r="W13">
            <v>582.72408211067102</v>
          </cell>
          <cell r="X13">
            <v>4741.4490000868273</v>
          </cell>
          <cell r="Z13">
            <v>4825.7</v>
          </cell>
          <cell r="AA13">
            <v>4232.62147</v>
          </cell>
          <cell r="AB13">
            <v>593.07853</v>
          </cell>
          <cell r="AC13">
            <v>4158.7249179761566</v>
          </cell>
          <cell r="AD13">
            <v>582.72408211067102</v>
          </cell>
          <cell r="AE13">
            <v>4741.4490000868273</v>
          </cell>
          <cell r="AG13">
            <v>4825.7</v>
          </cell>
          <cell r="AH13">
            <v>4232.62147</v>
          </cell>
          <cell r="AI13">
            <v>593.07853</v>
          </cell>
          <cell r="AJ13">
            <v>4158.7249179761566</v>
          </cell>
          <cell r="AK13">
            <v>582.72408211067102</v>
          </cell>
          <cell r="AL13">
            <v>4741.4490000868273</v>
          </cell>
          <cell r="AN13">
            <v>4825.7</v>
          </cell>
          <cell r="AO13">
            <v>4232.62147</v>
          </cell>
          <cell r="AP13">
            <v>593.07853</v>
          </cell>
          <cell r="AQ13">
            <v>0</v>
          </cell>
          <cell r="AR13">
            <v>0</v>
          </cell>
          <cell r="AS13">
            <v>0</v>
          </cell>
          <cell r="AU13">
            <v>4825.7</v>
          </cell>
          <cell r="AV13">
            <v>4232.62147</v>
          </cell>
          <cell r="AW13">
            <v>593.07853</v>
          </cell>
          <cell r="AX13">
            <v>0</v>
          </cell>
          <cell r="AY13">
            <v>0</v>
          </cell>
          <cell r="AZ13">
            <v>0</v>
          </cell>
          <cell r="BB13">
            <v>4825.7</v>
          </cell>
          <cell r="BC13">
            <v>4232.62147</v>
          </cell>
          <cell r="BD13">
            <v>593.07853</v>
          </cell>
          <cell r="BE13">
            <v>0</v>
          </cell>
          <cell r="BF13">
            <v>0</v>
          </cell>
          <cell r="BG13">
            <v>0</v>
          </cell>
          <cell r="BI13">
            <v>4825.7</v>
          </cell>
          <cell r="BJ13">
            <v>4232.62147</v>
          </cell>
          <cell r="BK13">
            <v>593.07853</v>
          </cell>
          <cell r="BL13">
            <v>0</v>
          </cell>
          <cell r="BM13">
            <v>0</v>
          </cell>
          <cell r="BN13">
            <v>0</v>
          </cell>
          <cell r="BP13">
            <v>4825.7</v>
          </cell>
          <cell r="BQ13">
            <v>4232.62147</v>
          </cell>
          <cell r="BR13">
            <v>593.07853</v>
          </cell>
          <cell r="BS13">
            <v>0</v>
          </cell>
          <cell r="BT13">
            <v>0</v>
          </cell>
          <cell r="BU13">
            <v>0</v>
          </cell>
          <cell r="BW13">
            <v>4825.7</v>
          </cell>
          <cell r="BX13">
            <v>4232.62147</v>
          </cell>
          <cell r="BY13">
            <v>593.07853</v>
          </cell>
          <cell r="BZ13">
            <v>0</v>
          </cell>
          <cell r="CA13">
            <v>0</v>
          </cell>
          <cell r="CB13">
            <v>0</v>
          </cell>
          <cell r="CD13">
            <v>4825.7</v>
          </cell>
          <cell r="CE13">
            <v>4232.62147</v>
          </cell>
          <cell r="CF13">
            <v>593.07853</v>
          </cell>
          <cell r="CG13">
            <v>0</v>
          </cell>
          <cell r="CH13">
            <v>0</v>
          </cell>
          <cell r="CI13">
            <v>0</v>
          </cell>
          <cell r="CK13">
            <v>4825.7</v>
          </cell>
          <cell r="CL13">
            <v>4232.62147</v>
          </cell>
          <cell r="CM13">
            <v>593.07853</v>
          </cell>
          <cell r="CN13">
            <v>0</v>
          </cell>
          <cell r="CO13">
            <v>0</v>
          </cell>
          <cell r="CP13">
            <v>0</v>
          </cell>
          <cell r="CS13">
            <v>10369.73</v>
          </cell>
          <cell r="CT13">
            <v>10807.37</v>
          </cell>
          <cell r="CU13">
            <v>10807.37</v>
          </cell>
          <cell r="CV13">
            <v>10807.37</v>
          </cell>
          <cell r="CW13"/>
          <cell r="CX13"/>
          <cell r="CY13"/>
          <cell r="CZ13"/>
          <cell r="DA13"/>
          <cell r="DB13"/>
          <cell r="DC13"/>
          <cell r="DD13"/>
        </row>
        <row r="14">
          <cell r="L14">
            <v>2979.571434</v>
          </cell>
          <cell r="M14">
            <v>2613.3821047614001</v>
          </cell>
          <cell r="N14">
            <v>366.18932923859995</v>
          </cell>
          <cell r="O14">
            <v>1966.6705287725024</v>
          </cell>
          <cell r="P14">
            <v>275.57155168867922</v>
          </cell>
          <cell r="Q14">
            <v>2242.2420804611816</v>
          </cell>
          <cell r="S14">
            <v>2979.571434</v>
          </cell>
          <cell r="T14">
            <v>2613.3821047614001</v>
          </cell>
          <cell r="U14">
            <v>366.18932923859995</v>
          </cell>
          <cell r="V14">
            <v>7185.9128794536646</v>
          </cell>
          <cell r="W14">
            <v>1006.8962408902695</v>
          </cell>
          <cell r="X14">
            <v>8192.8091203439344</v>
          </cell>
          <cell r="Z14">
            <v>2979.571434</v>
          </cell>
          <cell r="AA14">
            <v>2613.3821047614001</v>
          </cell>
          <cell r="AB14">
            <v>366.18932923859995</v>
          </cell>
          <cell r="AC14">
            <v>2678.2433669212055</v>
          </cell>
          <cell r="AD14">
            <v>375.27774460679075</v>
          </cell>
          <cell r="AE14">
            <v>3053.5211115279963</v>
          </cell>
          <cell r="AG14">
            <v>2979.571434</v>
          </cell>
          <cell r="AH14">
            <v>2613.3821047614001</v>
          </cell>
          <cell r="AI14">
            <v>366.18932923859995</v>
          </cell>
          <cell r="AJ14">
            <v>2560.4931811775227</v>
          </cell>
          <cell r="AK14">
            <v>358.77848816180312</v>
          </cell>
          <cell r="AL14">
            <v>2919.2716693393259</v>
          </cell>
          <cell r="AN14">
            <v>2979.571434</v>
          </cell>
          <cell r="AO14">
            <v>2613.3821047614001</v>
          </cell>
          <cell r="AP14">
            <v>366.18932923859995</v>
          </cell>
          <cell r="AQ14">
            <v>0</v>
          </cell>
          <cell r="AR14">
            <v>0</v>
          </cell>
          <cell r="AS14">
            <v>0</v>
          </cell>
          <cell r="AU14">
            <v>2979.571434</v>
          </cell>
          <cell r="AV14">
            <v>2613.3821047614001</v>
          </cell>
          <cell r="AW14">
            <v>366.18932923859995</v>
          </cell>
          <cell r="AX14">
            <v>0</v>
          </cell>
          <cell r="AY14">
            <v>0</v>
          </cell>
          <cell r="AZ14">
            <v>0</v>
          </cell>
          <cell r="BB14">
            <v>2979.571434</v>
          </cell>
          <cell r="BC14">
            <v>2613.3821047614001</v>
          </cell>
          <cell r="BD14">
            <v>366.18932923859995</v>
          </cell>
          <cell r="BE14">
            <v>0</v>
          </cell>
          <cell r="BF14">
            <v>0</v>
          </cell>
          <cell r="BG14">
            <v>0</v>
          </cell>
          <cell r="BI14">
            <v>2979.571434</v>
          </cell>
          <cell r="BJ14">
            <v>2613.3821047614001</v>
          </cell>
          <cell r="BK14">
            <v>366.18932923859995</v>
          </cell>
          <cell r="BL14">
            <v>0</v>
          </cell>
          <cell r="BM14">
            <v>0</v>
          </cell>
          <cell r="BN14">
            <v>0</v>
          </cell>
          <cell r="BP14">
            <v>2979.571434</v>
          </cell>
          <cell r="BQ14">
            <v>2613.3821047614001</v>
          </cell>
          <cell r="BR14">
            <v>366.18932923859995</v>
          </cell>
          <cell r="BS14">
            <v>0</v>
          </cell>
          <cell r="BT14">
            <v>0</v>
          </cell>
          <cell r="BU14">
            <v>0</v>
          </cell>
          <cell r="BW14">
            <v>2979.571434</v>
          </cell>
          <cell r="BX14">
            <v>2613.3821047614001</v>
          </cell>
          <cell r="BY14">
            <v>366.18932923859995</v>
          </cell>
          <cell r="BZ14">
            <v>0</v>
          </cell>
          <cell r="CA14">
            <v>0</v>
          </cell>
          <cell r="CB14">
            <v>0</v>
          </cell>
          <cell r="CD14">
            <v>2979.571434</v>
          </cell>
          <cell r="CE14">
            <v>2613.3821047614001</v>
          </cell>
          <cell r="CF14">
            <v>366.18932923859995</v>
          </cell>
          <cell r="CG14">
            <v>0</v>
          </cell>
          <cell r="CH14">
            <v>0</v>
          </cell>
          <cell r="CI14">
            <v>0</v>
          </cell>
          <cell r="CK14">
            <v>2979.571434</v>
          </cell>
          <cell r="CL14">
            <v>2613.3821047614001</v>
          </cell>
          <cell r="CM14">
            <v>366.18932923859995</v>
          </cell>
          <cell r="CN14">
            <v>0</v>
          </cell>
          <cell r="CO14">
            <v>0</v>
          </cell>
          <cell r="CP14">
            <v>0</v>
          </cell>
          <cell r="CS14">
            <v>5110.83</v>
          </cell>
          <cell r="CT14">
            <v>18674.189999999999</v>
          </cell>
          <cell r="CU14">
            <v>6960.01</v>
          </cell>
          <cell r="CV14">
            <v>6654.01</v>
          </cell>
          <cell r="CW14"/>
          <cell r="CX14"/>
          <cell r="CY14"/>
          <cell r="CZ14"/>
          <cell r="DA14"/>
          <cell r="DB14"/>
          <cell r="DC14"/>
          <cell r="DD14"/>
        </row>
        <row r="15">
          <cell r="L15">
            <v>8078.4850199999992</v>
          </cell>
          <cell r="M15">
            <v>7085.6392110419993</v>
          </cell>
          <cell r="N15">
            <v>992.84580895799991</v>
          </cell>
          <cell r="O15">
            <v>6349.1246477069399</v>
          </cell>
          <cell r="P15">
            <v>889.64476023621364</v>
          </cell>
          <cell r="Q15">
            <v>7238.769407943154</v>
          </cell>
          <cell r="S15">
            <v>8078.4850199999992</v>
          </cell>
          <cell r="T15">
            <v>7085.6392110419993</v>
          </cell>
          <cell r="U15">
            <v>992.84580895799991</v>
          </cell>
          <cell r="V15">
            <v>6325.7323804149109</v>
          </cell>
          <cell r="W15">
            <v>886.36701579408566</v>
          </cell>
          <cell r="X15">
            <v>7212.099396208997</v>
          </cell>
          <cell r="Z15">
            <v>8078.4850199999992</v>
          </cell>
          <cell r="AA15">
            <v>7085.6392110419993</v>
          </cell>
          <cell r="AB15">
            <v>992.84580895799991</v>
          </cell>
          <cell r="AC15">
            <v>9476.0193105832914</v>
          </cell>
          <cell r="AD15">
            <v>1327.7879070467295</v>
          </cell>
          <cell r="AE15">
            <v>10803.807217630021</v>
          </cell>
          <cell r="AG15">
            <v>8078.4850199999992</v>
          </cell>
          <cell r="AH15">
            <v>7085.6392110419993</v>
          </cell>
          <cell r="AI15">
            <v>992.84580895799991</v>
          </cell>
          <cell r="AJ15">
            <v>11183.116096560832</v>
          </cell>
          <cell r="AK15">
            <v>1566.9877645277918</v>
          </cell>
          <cell r="AL15">
            <v>12750.103861088624</v>
          </cell>
          <cell r="AN15">
            <v>8078.4850199999992</v>
          </cell>
          <cell r="AO15">
            <v>7085.6392110419993</v>
          </cell>
          <cell r="AP15">
            <v>992.84580895799991</v>
          </cell>
          <cell r="AQ15">
            <v>0</v>
          </cell>
          <cell r="AR15">
            <v>0</v>
          </cell>
          <cell r="AS15">
            <v>0</v>
          </cell>
          <cell r="AU15">
            <v>8078.4850199999992</v>
          </cell>
          <cell r="AV15">
            <v>7085.6392110419993</v>
          </cell>
          <cell r="AW15">
            <v>992.84580895799991</v>
          </cell>
          <cell r="AX15">
            <v>0</v>
          </cell>
          <cell r="AY15">
            <v>0</v>
          </cell>
          <cell r="AZ15">
            <v>0</v>
          </cell>
          <cell r="BB15">
            <v>8708.7214399999993</v>
          </cell>
          <cell r="BC15">
            <v>7638.4195750239996</v>
          </cell>
          <cell r="BD15">
            <v>1070.3018649759999</v>
          </cell>
          <cell r="BE15">
            <v>0</v>
          </cell>
          <cell r="BF15">
            <v>0</v>
          </cell>
          <cell r="BG15">
            <v>0</v>
          </cell>
          <cell r="BI15">
            <v>8078.4850199999992</v>
          </cell>
          <cell r="BJ15">
            <v>7085.6392110419993</v>
          </cell>
          <cell r="BK15">
            <v>992.84580895799991</v>
          </cell>
          <cell r="BL15">
            <v>0</v>
          </cell>
          <cell r="BM15">
            <v>0</v>
          </cell>
          <cell r="BN15">
            <v>0</v>
          </cell>
          <cell r="BP15">
            <v>8078.4850199999992</v>
          </cell>
          <cell r="BQ15">
            <v>7085.6392110419993</v>
          </cell>
          <cell r="BR15">
            <v>992.84580895799991</v>
          </cell>
          <cell r="BS15">
            <v>0</v>
          </cell>
          <cell r="BT15">
            <v>0</v>
          </cell>
          <cell r="BU15">
            <v>0</v>
          </cell>
          <cell r="BW15">
            <v>8078.4850199999992</v>
          </cell>
          <cell r="BX15">
            <v>7085.6392110419993</v>
          </cell>
          <cell r="BY15">
            <v>992.84580895799991</v>
          </cell>
          <cell r="BZ15">
            <v>0</v>
          </cell>
          <cell r="CA15">
            <v>0</v>
          </cell>
          <cell r="CB15">
            <v>0</v>
          </cell>
          <cell r="CD15">
            <v>8078.4850199999992</v>
          </cell>
          <cell r="CE15">
            <v>7085.6392110419993</v>
          </cell>
          <cell r="CF15">
            <v>992.84580895799991</v>
          </cell>
          <cell r="CG15">
            <v>0</v>
          </cell>
          <cell r="CH15">
            <v>0</v>
          </cell>
          <cell r="CI15">
            <v>0</v>
          </cell>
          <cell r="CK15">
            <v>8078.4850199999992</v>
          </cell>
          <cell r="CL15">
            <v>7085.6392110419993</v>
          </cell>
          <cell r="CM15">
            <v>992.84580895799991</v>
          </cell>
          <cell r="CN15">
            <v>0</v>
          </cell>
          <cell r="CO15">
            <v>0</v>
          </cell>
          <cell r="CP15">
            <v>0</v>
          </cell>
          <cell r="CS15">
            <v>16499.609999999997</v>
          </cell>
          <cell r="CT15">
            <v>16438.819999999978</v>
          </cell>
          <cell r="CU15">
            <v>24625.539999999997</v>
          </cell>
          <cell r="CV15">
            <v>29061.81</v>
          </cell>
          <cell r="CW15"/>
          <cell r="CX15"/>
          <cell r="CY15"/>
          <cell r="CZ15"/>
          <cell r="DA15"/>
          <cell r="DB15"/>
          <cell r="DC15"/>
          <cell r="DD15"/>
        </row>
        <row r="16">
          <cell r="L16">
            <v>2741.875</v>
          </cell>
          <cell r="M16">
            <v>2404.8985625</v>
          </cell>
          <cell r="N16">
            <v>336.97643749999997</v>
          </cell>
          <cell r="O16">
            <v>2203.1829361700179</v>
          </cell>
          <cell r="P16">
            <v>308.71187191345933</v>
          </cell>
          <cell r="Q16">
            <v>2511.8948080834771</v>
          </cell>
          <cell r="S16">
            <v>2741.875</v>
          </cell>
          <cell r="T16">
            <v>2404.8985625</v>
          </cell>
          <cell r="U16">
            <v>336.97643749999997</v>
          </cell>
          <cell r="V16">
            <v>38683.025505389916</v>
          </cell>
          <cell r="W16">
            <v>5420.2985231016082</v>
          </cell>
          <cell r="X16">
            <v>44103.324028491523</v>
          </cell>
          <cell r="Z16">
            <v>2741.875</v>
          </cell>
          <cell r="AA16">
            <v>2404.8985625</v>
          </cell>
          <cell r="AB16">
            <v>336.97643749999997</v>
          </cell>
          <cell r="AC16">
            <v>2417.6999167142358</v>
          </cell>
          <cell r="AD16">
            <v>338.77017416962673</v>
          </cell>
          <cell r="AE16">
            <v>2756.4700908838627</v>
          </cell>
          <cell r="AG16">
            <v>2741.875</v>
          </cell>
          <cell r="AH16">
            <v>2404.8985625</v>
          </cell>
          <cell r="AI16">
            <v>336.97643749999997</v>
          </cell>
          <cell r="AJ16">
            <v>8795.1654179506622</v>
          </cell>
          <cell r="AK16">
            <v>1232.3860789717664</v>
          </cell>
          <cell r="AL16">
            <v>10027.551496922428</v>
          </cell>
          <cell r="AN16">
            <v>2741.875</v>
          </cell>
          <cell r="AO16">
            <v>2404.8985625</v>
          </cell>
          <cell r="AP16">
            <v>336.97643749999997</v>
          </cell>
          <cell r="AQ16">
            <v>0</v>
          </cell>
          <cell r="AR16">
            <v>0</v>
          </cell>
          <cell r="AS16">
            <v>0</v>
          </cell>
          <cell r="AU16">
            <v>2741.875</v>
          </cell>
          <cell r="AV16">
            <v>2404.8985625</v>
          </cell>
          <cell r="AW16">
            <v>336.97643749999997</v>
          </cell>
          <cell r="AX16">
            <v>0</v>
          </cell>
          <cell r="AY16">
            <v>0</v>
          </cell>
          <cell r="AZ16">
            <v>0</v>
          </cell>
          <cell r="BB16">
            <v>2741.875</v>
          </cell>
          <cell r="BC16">
            <v>2404.8985625</v>
          </cell>
          <cell r="BD16">
            <v>336.97643749999997</v>
          </cell>
          <cell r="BE16">
            <v>0</v>
          </cell>
          <cell r="BF16">
            <v>0</v>
          </cell>
          <cell r="BG16">
            <v>0</v>
          </cell>
          <cell r="BI16">
            <v>2741.875</v>
          </cell>
          <cell r="BJ16">
            <v>2404.8985625</v>
          </cell>
          <cell r="BK16">
            <v>336.97643749999997</v>
          </cell>
          <cell r="BL16">
            <v>0</v>
          </cell>
          <cell r="BM16">
            <v>0</v>
          </cell>
          <cell r="BN16">
            <v>0</v>
          </cell>
          <cell r="BP16">
            <v>2741.875</v>
          </cell>
          <cell r="BQ16">
            <v>2404.8985625</v>
          </cell>
          <cell r="BR16">
            <v>336.97643749999997</v>
          </cell>
          <cell r="BS16">
            <v>0</v>
          </cell>
          <cell r="BT16">
            <v>0</v>
          </cell>
          <cell r="BU16">
            <v>0</v>
          </cell>
          <cell r="BW16">
            <v>2741.875</v>
          </cell>
          <cell r="BX16">
            <v>2404.8985625</v>
          </cell>
          <cell r="BY16">
            <v>336.97643749999997</v>
          </cell>
          <cell r="BZ16">
            <v>0</v>
          </cell>
          <cell r="CA16">
            <v>0</v>
          </cell>
          <cell r="CB16">
            <v>0</v>
          </cell>
          <cell r="CD16">
            <v>2741.875</v>
          </cell>
          <cell r="CE16">
            <v>2404.8985625</v>
          </cell>
          <cell r="CF16">
            <v>336.97643749999997</v>
          </cell>
          <cell r="CG16">
            <v>0</v>
          </cell>
          <cell r="CH16">
            <v>0</v>
          </cell>
          <cell r="CI16">
            <v>0</v>
          </cell>
          <cell r="CK16">
            <v>2741.875</v>
          </cell>
          <cell r="CL16">
            <v>2404.8985625</v>
          </cell>
          <cell r="CM16">
            <v>336.97643749999997</v>
          </cell>
          <cell r="CN16">
            <v>0</v>
          </cell>
          <cell r="CO16">
            <v>0</v>
          </cell>
          <cell r="CP16">
            <v>0</v>
          </cell>
          <cell r="CS16">
            <v>5725.46</v>
          </cell>
          <cell r="CT16">
            <v>100526.43</v>
          </cell>
          <cell r="CU16">
            <v>6282.93</v>
          </cell>
          <cell r="CV16">
            <v>22856.19</v>
          </cell>
          <cell r="CW16"/>
          <cell r="CX16"/>
          <cell r="CY16"/>
          <cell r="CZ16"/>
          <cell r="DA16"/>
          <cell r="DB16"/>
          <cell r="DC16"/>
          <cell r="DD16"/>
        </row>
        <row r="17">
          <cell r="L17">
            <v>34527.883499999996</v>
          </cell>
          <cell r="M17">
            <v>30284.406617849996</v>
          </cell>
          <cell r="N17">
            <v>4243.4768821499993</v>
          </cell>
          <cell r="O17">
            <v>23525.92644657335</v>
          </cell>
          <cell r="P17">
            <v>3296.4728768485516</v>
          </cell>
          <cell r="Q17">
            <v>26822.399323421901</v>
          </cell>
          <cell r="S17">
            <v>34527.883499999996</v>
          </cell>
          <cell r="T17">
            <v>30284.406617849996</v>
          </cell>
          <cell r="U17">
            <v>4243.4768821499993</v>
          </cell>
          <cell r="V17">
            <v>23642.466378930621</v>
          </cell>
          <cell r="W17">
            <v>3312.8025515569184</v>
          </cell>
          <cell r="X17">
            <v>26955.268930487538</v>
          </cell>
          <cell r="Z17">
            <v>34527.883499999996</v>
          </cell>
          <cell r="AA17">
            <v>30284.406617849996</v>
          </cell>
          <cell r="AB17">
            <v>4243.4768821499993</v>
          </cell>
          <cell r="AC17">
            <v>28968.638096563922</v>
          </cell>
          <cell r="AD17">
            <v>4059.1102748463186</v>
          </cell>
          <cell r="AE17">
            <v>33027.748371410242</v>
          </cell>
          <cell r="AG17">
            <v>34527.883499999996</v>
          </cell>
          <cell r="AH17">
            <v>30284.406617849996</v>
          </cell>
          <cell r="AI17">
            <v>4243.4768821499993</v>
          </cell>
          <cell r="AJ17">
            <v>49545.467486650945</v>
          </cell>
          <cell r="AK17">
            <v>6942.3531571193716</v>
          </cell>
          <cell r="AL17">
            <v>56487.820643770319</v>
          </cell>
          <cell r="AN17">
            <v>34527.883499999996</v>
          </cell>
          <cell r="AO17">
            <v>30284.406617849996</v>
          </cell>
          <cell r="AP17">
            <v>4243.4768821499993</v>
          </cell>
          <cell r="AQ17">
            <v>0</v>
          </cell>
          <cell r="AR17">
            <v>0</v>
          </cell>
          <cell r="AS17"/>
          <cell r="AU17">
            <v>34527.883499999996</v>
          </cell>
          <cell r="AV17">
            <v>30284.406617849996</v>
          </cell>
          <cell r="AW17">
            <v>4243.4768821499993</v>
          </cell>
          <cell r="AX17">
            <v>0</v>
          </cell>
          <cell r="AY17">
            <v>0</v>
          </cell>
          <cell r="AZ17"/>
          <cell r="BB17">
            <v>34527.883499999996</v>
          </cell>
          <cell r="BC17">
            <v>30284.406617849996</v>
          </cell>
          <cell r="BD17">
            <v>4243.4768821499993</v>
          </cell>
          <cell r="BE17">
            <v>0</v>
          </cell>
          <cell r="BF17">
            <v>0</v>
          </cell>
          <cell r="BG17"/>
          <cell r="BI17">
            <v>34527.883499999996</v>
          </cell>
          <cell r="BJ17">
            <v>30284.406617849996</v>
          </cell>
          <cell r="BK17">
            <v>4243.4768821499993</v>
          </cell>
          <cell r="BL17">
            <v>0</v>
          </cell>
          <cell r="BM17">
            <v>0</v>
          </cell>
          <cell r="BN17"/>
          <cell r="BP17">
            <v>34527.883499999996</v>
          </cell>
          <cell r="BQ17">
            <v>30284.406617849996</v>
          </cell>
          <cell r="BR17">
            <v>4243.4768821499993</v>
          </cell>
          <cell r="BS17">
            <v>0</v>
          </cell>
          <cell r="BT17">
            <v>0</v>
          </cell>
          <cell r="BU17"/>
          <cell r="BW17">
            <v>34527.883499999996</v>
          </cell>
          <cell r="BX17">
            <v>30284.406617849996</v>
          </cell>
          <cell r="BY17">
            <v>4243.4768821499993</v>
          </cell>
          <cell r="BZ17">
            <v>0</v>
          </cell>
          <cell r="CA17">
            <v>0</v>
          </cell>
          <cell r="CB17"/>
          <cell r="CD17">
            <v>34527.883499999996</v>
          </cell>
          <cell r="CE17">
            <v>30284.406617849996</v>
          </cell>
          <cell r="CF17">
            <v>4243.4768821499993</v>
          </cell>
          <cell r="CG17">
            <v>0</v>
          </cell>
          <cell r="CH17">
            <v>0</v>
          </cell>
          <cell r="CI17"/>
          <cell r="CK17">
            <v>34527.883499999996</v>
          </cell>
          <cell r="CL17">
            <v>30284.406617849996</v>
          </cell>
          <cell r="CM17">
            <v>4243.4768821499993</v>
          </cell>
          <cell r="CN17">
            <v>0</v>
          </cell>
          <cell r="CO17">
            <v>0</v>
          </cell>
          <cell r="CP17"/>
        </row>
        <row r="18">
          <cell r="L18">
            <v>4829.3192749999998</v>
          </cell>
          <cell r="M18">
            <v>4235.7959361024996</v>
          </cell>
          <cell r="N18">
            <v>593.52333889749991</v>
          </cell>
          <cell r="O18">
            <v>5727.4664558040813</v>
          </cell>
          <cell r="P18">
            <v>802.537484230215</v>
          </cell>
          <cell r="Q18">
            <v>6530.0039400342966</v>
          </cell>
          <cell r="S18">
            <v>4829.3192749999998</v>
          </cell>
          <cell r="T18">
            <v>4235.7959361024996</v>
          </cell>
          <cell r="U18">
            <v>593.52333889749991</v>
          </cell>
          <cell r="V18">
            <v>10761.023858543078</v>
          </cell>
          <cell r="W18">
            <v>1507.8438401720946</v>
          </cell>
          <cell r="X18">
            <v>12268.867698715172</v>
          </cell>
          <cell r="Z18">
            <v>4829.3192749999998</v>
          </cell>
          <cell r="AA18">
            <v>4235.7959361024996</v>
          </cell>
          <cell r="AB18">
            <v>593.52333889749991</v>
          </cell>
          <cell r="AC18">
            <v>0</v>
          </cell>
          <cell r="AD18">
            <v>0</v>
          </cell>
          <cell r="AE18">
            <v>0</v>
          </cell>
          <cell r="AG18">
            <v>4829.3192749999998</v>
          </cell>
          <cell r="AH18">
            <v>4235.7959361024996</v>
          </cell>
          <cell r="AI18">
            <v>593.52333889749991</v>
          </cell>
          <cell r="AJ18">
            <v>0</v>
          </cell>
          <cell r="AK18">
            <v>0</v>
          </cell>
          <cell r="AL18">
            <v>0</v>
          </cell>
          <cell r="AN18">
            <v>4829.3192749999998</v>
          </cell>
          <cell r="AO18">
            <v>4235.7959361024996</v>
          </cell>
          <cell r="AP18">
            <v>593.52333889749991</v>
          </cell>
          <cell r="AQ18">
            <v>0</v>
          </cell>
          <cell r="AR18">
            <v>0</v>
          </cell>
          <cell r="AS18"/>
          <cell r="AU18">
            <v>4829.3192749999998</v>
          </cell>
          <cell r="AV18">
            <v>4235.7959361024996</v>
          </cell>
          <cell r="AW18">
            <v>593.52333889749991</v>
          </cell>
          <cell r="AX18">
            <v>0</v>
          </cell>
          <cell r="AY18">
            <v>0</v>
          </cell>
          <cell r="AZ18"/>
          <cell r="BB18">
            <v>4829.3192749999998</v>
          </cell>
          <cell r="BC18">
            <v>4235.7959361024996</v>
          </cell>
          <cell r="BD18">
            <v>593.52333889749991</v>
          </cell>
          <cell r="BE18">
            <v>0</v>
          </cell>
          <cell r="BF18">
            <v>0</v>
          </cell>
          <cell r="BG18"/>
          <cell r="BI18">
            <v>4829.3192749999998</v>
          </cell>
          <cell r="BJ18">
            <v>4235.7959361024996</v>
          </cell>
          <cell r="BK18">
            <v>593.52333889749991</v>
          </cell>
          <cell r="BL18">
            <v>0</v>
          </cell>
          <cell r="BM18">
            <v>0</v>
          </cell>
          <cell r="BN18"/>
          <cell r="BP18">
            <v>4829.3192749999998</v>
          </cell>
          <cell r="BQ18">
            <v>4235.7959361024996</v>
          </cell>
          <cell r="BR18">
            <v>593.52333889749991</v>
          </cell>
          <cell r="BS18">
            <v>0</v>
          </cell>
          <cell r="BT18">
            <v>0</v>
          </cell>
          <cell r="BU18"/>
          <cell r="BW18">
            <v>4829.3192749999998</v>
          </cell>
          <cell r="BX18">
            <v>4235.7959361024996</v>
          </cell>
          <cell r="BY18">
            <v>593.52333889749991</v>
          </cell>
          <cell r="BZ18">
            <v>0</v>
          </cell>
          <cell r="CA18">
            <v>0</v>
          </cell>
          <cell r="CB18"/>
          <cell r="CD18">
            <v>4829.3192749999998</v>
          </cell>
          <cell r="CE18">
            <v>4235.7959361024996</v>
          </cell>
          <cell r="CF18">
            <v>593.52333889749991</v>
          </cell>
          <cell r="CG18">
            <v>0</v>
          </cell>
          <cell r="CH18">
            <v>0</v>
          </cell>
          <cell r="CI18"/>
          <cell r="CK18">
            <v>4829.3192749999998</v>
          </cell>
          <cell r="CL18">
            <v>4235.7959361024996</v>
          </cell>
          <cell r="CM18">
            <v>593.52333889749991</v>
          </cell>
          <cell r="CN18">
            <v>0</v>
          </cell>
          <cell r="CO18">
            <v>0</v>
          </cell>
          <cell r="CP18"/>
        </row>
        <row r="19">
          <cell r="L19">
            <v>1279.5416666666665</v>
          </cell>
          <cell r="M19">
            <v>1122.2859958333331</v>
          </cell>
          <cell r="N19">
            <v>157.25567083333331</v>
          </cell>
          <cell r="O19">
            <v>1995.51531324149</v>
          </cell>
          <cell r="P19">
            <v>279.61330748760588</v>
          </cell>
          <cell r="Q19">
            <v>2275.1286207290959</v>
          </cell>
          <cell r="S19">
            <v>1279.5416666666665</v>
          </cell>
          <cell r="T19">
            <v>1122.2859958333331</v>
          </cell>
          <cell r="U19">
            <v>157.25567083333331</v>
          </cell>
          <cell r="V19">
            <v>974.87142146993574</v>
          </cell>
          <cell r="W19">
            <v>136.59981495685224</v>
          </cell>
          <cell r="X19">
            <v>1111.471236426788</v>
          </cell>
          <cell r="Z19">
            <v>1279.5416666666665</v>
          </cell>
          <cell r="AA19">
            <v>1122.2859958333331</v>
          </cell>
          <cell r="AB19">
            <v>157.25567083333331</v>
          </cell>
          <cell r="AC19">
            <v>215.79428431858904</v>
          </cell>
          <cell r="AD19">
            <v>30.237279150330171</v>
          </cell>
          <cell r="AE19">
            <v>246.03156346891922</v>
          </cell>
          <cell r="AG19">
            <v>1279.5416666666665</v>
          </cell>
          <cell r="AH19">
            <v>1122.2859958333331</v>
          </cell>
          <cell r="AI19">
            <v>157.25567083333331</v>
          </cell>
          <cell r="AJ19">
            <v>2641.5703739247283</v>
          </cell>
          <cell r="AK19">
            <v>370.13909355301462</v>
          </cell>
          <cell r="AL19">
            <v>3011.7094674777431</v>
          </cell>
          <cell r="AN19">
            <v>1279.5416666666665</v>
          </cell>
          <cell r="AO19">
            <v>1122.2859958333331</v>
          </cell>
          <cell r="AP19">
            <v>157.25567083333331</v>
          </cell>
          <cell r="AQ19">
            <v>0</v>
          </cell>
          <cell r="AR19">
            <v>0</v>
          </cell>
          <cell r="AS19"/>
          <cell r="AU19">
            <v>1279.5416666666665</v>
          </cell>
          <cell r="AV19">
            <v>1122.2859958333331</v>
          </cell>
          <cell r="AW19">
            <v>157.25567083333331</v>
          </cell>
          <cell r="AX19">
            <v>0</v>
          </cell>
          <cell r="AY19">
            <v>0</v>
          </cell>
          <cell r="AZ19"/>
          <cell r="BB19">
            <v>1279.5416666666665</v>
          </cell>
          <cell r="BC19">
            <v>1122.2859958333331</v>
          </cell>
          <cell r="BD19">
            <v>157.25567083333331</v>
          </cell>
          <cell r="BE19">
            <v>0</v>
          </cell>
          <cell r="BF19">
            <v>0</v>
          </cell>
          <cell r="BG19"/>
          <cell r="BI19">
            <v>1279.5416666666665</v>
          </cell>
          <cell r="BJ19">
            <v>1122.2859958333331</v>
          </cell>
          <cell r="BK19">
            <v>157.25567083333331</v>
          </cell>
          <cell r="BL19">
            <v>0</v>
          </cell>
          <cell r="BM19">
            <v>0</v>
          </cell>
          <cell r="BN19"/>
          <cell r="BP19">
            <v>1279.5416666666665</v>
          </cell>
          <cell r="BQ19">
            <v>1122.2859958333331</v>
          </cell>
          <cell r="BR19">
            <v>157.25567083333331</v>
          </cell>
          <cell r="BS19">
            <v>0</v>
          </cell>
          <cell r="BT19">
            <v>0</v>
          </cell>
          <cell r="BU19"/>
          <cell r="BW19">
            <v>1279.5416666666665</v>
          </cell>
          <cell r="BX19">
            <v>1122.2859958333331</v>
          </cell>
          <cell r="BY19">
            <v>157.25567083333331</v>
          </cell>
          <cell r="BZ19">
            <v>0</v>
          </cell>
          <cell r="CA19">
            <v>0</v>
          </cell>
          <cell r="CB19"/>
          <cell r="CD19">
            <v>1279.5416666666665</v>
          </cell>
          <cell r="CE19">
            <v>1122.2859958333331</v>
          </cell>
          <cell r="CF19">
            <v>157.25567083333331</v>
          </cell>
          <cell r="CG19">
            <v>0</v>
          </cell>
          <cell r="CH19">
            <v>0</v>
          </cell>
          <cell r="CI19"/>
          <cell r="CK19">
            <v>1279.5416666666665</v>
          </cell>
          <cell r="CL19">
            <v>1122.2859958333331</v>
          </cell>
          <cell r="CM19">
            <v>157.25567083333331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1132.4764360000001</v>
          </cell>
          <cell r="P20">
            <v>158.68356400000002</v>
          </cell>
          <cell r="Q20">
            <v>1291.1600000000001</v>
          </cell>
          <cell r="S20">
            <v>0</v>
          </cell>
          <cell r="T20">
            <v>0</v>
          </cell>
          <cell r="U20">
            <v>0</v>
          </cell>
          <cell r="V20">
            <v>72.448459999999997</v>
          </cell>
          <cell r="W20">
            <v>10.151539999999999</v>
          </cell>
          <cell r="X20">
            <v>82.6</v>
          </cell>
          <cell r="Z20">
            <v>298811.938114285</v>
          </cell>
          <cell r="AA20">
            <v>262087.95092003938</v>
          </cell>
          <cell r="AB20">
            <v>36723.987194245623</v>
          </cell>
          <cell r="AC20">
            <v>1337.1301790000002</v>
          </cell>
          <cell r="AD20">
            <v>187.35982100000001</v>
          </cell>
          <cell r="AE20">
            <v>1524.4900000000002</v>
          </cell>
          <cell r="AG20">
            <v>0</v>
          </cell>
          <cell r="AH20">
            <v>0</v>
          </cell>
          <cell r="AI20">
            <v>0</v>
          </cell>
          <cell r="AJ20">
            <v>105153.25608199999</v>
          </cell>
          <cell r="AK20">
            <v>14734.163917999997</v>
          </cell>
          <cell r="AL20">
            <v>119887.41999999998</v>
          </cell>
          <cell r="AN20">
            <v>7954.9439999999904</v>
          </cell>
          <cell r="AO20">
            <v>6977.2813823999913</v>
          </cell>
          <cell r="AP20">
            <v>977.66261759999884</v>
          </cell>
          <cell r="AQ20">
            <v>0</v>
          </cell>
          <cell r="AR20">
            <v>0</v>
          </cell>
          <cell r="AS20"/>
          <cell r="AU20">
            <v>7954.9439999999904</v>
          </cell>
          <cell r="AV20">
            <v>6977.2813823999913</v>
          </cell>
          <cell r="AW20">
            <v>977.66261759999884</v>
          </cell>
          <cell r="AX20">
            <v>0</v>
          </cell>
          <cell r="AY20">
            <v>0</v>
          </cell>
          <cell r="AZ20"/>
          <cell r="BB20">
            <v>145333.94399999999</v>
          </cell>
          <cell r="BC20">
            <v>127472.4022824</v>
          </cell>
          <cell r="BD20">
            <v>17861.541717599997</v>
          </cell>
          <cell r="BE20">
            <v>0</v>
          </cell>
          <cell r="BF20">
            <v>0</v>
          </cell>
          <cell r="BG20"/>
          <cell r="BI20">
            <v>20491.88211428569</v>
          </cell>
          <cell r="BJ20">
            <v>17973.42980243998</v>
          </cell>
          <cell r="BK20">
            <v>2518.4523118457114</v>
          </cell>
          <cell r="BL20">
            <v>0</v>
          </cell>
          <cell r="BM20">
            <v>0</v>
          </cell>
          <cell r="BN20"/>
          <cell r="BP20">
            <v>151658.94399999999</v>
          </cell>
          <cell r="BQ20">
            <v>133020.0597824</v>
          </cell>
          <cell r="BR20">
            <v>18638.884217599996</v>
          </cell>
          <cell r="BS20">
            <v>0</v>
          </cell>
          <cell r="BT20">
            <v>0</v>
          </cell>
          <cell r="BU20"/>
          <cell r="BW20">
            <v>7954.9439999999904</v>
          </cell>
          <cell r="BX20">
            <v>6977.2813823999913</v>
          </cell>
          <cell r="BY20">
            <v>977.66261759999884</v>
          </cell>
          <cell r="BZ20">
            <v>0</v>
          </cell>
          <cell r="CA20">
            <v>0</v>
          </cell>
          <cell r="CB20"/>
          <cell r="CD20">
            <v>7954.9439999999904</v>
          </cell>
          <cell r="CE20">
            <v>6977.2813823999913</v>
          </cell>
          <cell r="CF20">
            <v>977.66261759999884</v>
          </cell>
          <cell r="CG20">
            <v>0</v>
          </cell>
          <cell r="CH20">
            <v>0</v>
          </cell>
          <cell r="CI20"/>
          <cell r="CK20">
            <v>7954.9439999999904</v>
          </cell>
          <cell r="CL20">
            <v>6977.2813823999913</v>
          </cell>
          <cell r="CM20">
            <v>977.66261759999884</v>
          </cell>
          <cell r="CN20">
            <v>0</v>
          </cell>
          <cell r="CO20">
            <v>0</v>
          </cell>
          <cell r="CP20"/>
        </row>
        <row r="21">
          <cell r="L21">
            <v>68919.661500000002</v>
          </cell>
          <cell r="M21">
            <v>60449.43510165</v>
          </cell>
          <cell r="N21">
            <v>8470.2263983499997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Z21">
            <v>0</v>
          </cell>
          <cell r="AA21">
            <v>0</v>
          </cell>
          <cell r="AB21">
            <v>0</v>
          </cell>
          <cell r="AC21">
            <v>11972.415000000001</v>
          </cell>
          <cell r="AD21">
            <v>1677.585</v>
          </cell>
          <cell r="AE21">
            <v>13650</v>
          </cell>
          <cell r="AG21">
            <v>0</v>
          </cell>
          <cell r="AH21">
            <v>0</v>
          </cell>
          <cell r="AI21">
            <v>0</v>
          </cell>
          <cell r="AJ21">
            <v>30396.687630102791</v>
          </cell>
          <cell r="AK21">
            <v>4259.2097933412761</v>
          </cell>
          <cell r="AL21">
            <v>34655.897423444068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15633.033333333224</v>
          </cell>
          <cell r="M22">
            <v>13711.73353666657</v>
          </cell>
          <cell r="N22">
            <v>1921.299796666653</v>
          </cell>
          <cell r="O22">
            <v>15165.155606868931</v>
          </cell>
          <cell r="P22">
            <v>2124.954536636862</v>
          </cell>
          <cell r="Q22">
            <v>17290.110143505794</v>
          </cell>
          <cell r="S22">
            <v>15633.033333333224</v>
          </cell>
          <cell r="T22">
            <v>13711.73353666657</v>
          </cell>
          <cell r="U22">
            <v>1921.299796666653</v>
          </cell>
          <cell r="V22">
            <v>12230.174111564624</v>
          </cell>
          <cell r="W22">
            <v>1713.7024265320854</v>
          </cell>
          <cell r="X22">
            <v>13943.876538096709</v>
          </cell>
          <cell r="Z22">
            <v>15633.033333333224</v>
          </cell>
          <cell r="AA22">
            <v>13711.73353666657</v>
          </cell>
          <cell r="AB22">
            <v>1921.299796666653</v>
          </cell>
          <cell r="AC22">
            <v>5104.6114967175763</v>
          </cell>
          <cell r="AD22">
            <v>715.26251618582842</v>
          </cell>
          <cell r="AE22">
            <v>5819.8740129034049</v>
          </cell>
          <cell r="AG22">
            <v>15633.033333333224</v>
          </cell>
          <cell r="AH22">
            <v>13711.73353666657</v>
          </cell>
          <cell r="AI22">
            <v>1921.299796666653</v>
          </cell>
          <cell r="AJ22">
            <v>4732.7843224654607</v>
          </cell>
          <cell r="AK22">
            <v>663.16177543154163</v>
          </cell>
          <cell r="AL22">
            <v>5395.9460978970028</v>
          </cell>
          <cell r="AN22">
            <v>15633.033333333224</v>
          </cell>
          <cell r="AO22">
            <v>13711.73353666657</v>
          </cell>
          <cell r="AP22">
            <v>1921.299796666653</v>
          </cell>
          <cell r="AQ22">
            <v>0</v>
          </cell>
          <cell r="AR22">
            <v>0</v>
          </cell>
          <cell r="AS22"/>
          <cell r="AU22">
            <v>15633.033333333224</v>
          </cell>
          <cell r="AV22">
            <v>13711.73353666657</v>
          </cell>
          <cell r="AW22">
            <v>1921.299796666653</v>
          </cell>
          <cell r="AX22">
            <v>0</v>
          </cell>
          <cell r="AY22">
            <v>0</v>
          </cell>
          <cell r="AZ22"/>
          <cell r="BB22">
            <v>15633.033333333224</v>
          </cell>
          <cell r="BC22">
            <v>13711.73353666657</v>
          </cell>
          <cell r="BD22">
            <v>1921.299796666653</v>
          </cell>
          <cell r="BE22">
            <v>0</v>
          </cell>
          <cell r="BF22">
            <v>0</v>
          </cell>
          <cell r="BG22"/>
          <cell r="BI22">
            <v>15633.033333333224</v>
          </cell>
          <cell r="BJ22">
            <v>13711.73353666657</v>
          </cell>
          <cell r="BK22">
            <v>1921.299796666653</v>
          </cell>
          <cell r="BL22">
            <v>0</v>
          </cell>
          <cell r="BM22">
            <v>0</v>
          </cell>
          <cell r="BN22"/>
          <cell r="BP22">
            <v>15633.033333333224</v>
          </cell>
          <cell r="BQ22">
            <v>13711.73353666657</v>
          </cell>
          <cell r="BR22">
            <v>1921.299796666653</v>
          </cell>
          <cell r="BS22">
            <v>0</v>
          </cell>
          <cell r="BT22">
            <v>0</v>
          </cell>
          <cell r="BU22"/>
          <cell r="BW22">
            <v>15633.033333333224</v>
          </cell>
          <cell r="BX22">
            <v>13711.73353666657</v>
          </cell>
          <cell r="BY22">
            <v>1921.299796666653</v>
          </cell>
          <cell r="BZ22">
            <v>0</v>
          </cell>
          <cell r="CA22">
            <v>0</v>
          </cell>
          <cell r="CB22"/>
          <cell r="CD22">
            <v>15633.033333333224</v>
          </cell>
          <cell r="CE22">
            <v>13711.73353666657</v>
          </cell>
          <cell r="CF22">
            <v>1921.299796666653</v>
          </cell>
          <cell r="CG22">
            <v>0</v>
          </cell>
          <cell r="CH22">
            <v>0</v>
          </cell>
          <cell r="CI22"/>
          <cell r="CK22">
            <v>15633.033333333224</v>
          </cell>
          <cell r="CL22">
            <v>13711.73353666657</v>
          </cell>
          <cell r="CM22">
            <v>1921.299796666653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12953.299159382617</v>
          </cell>
          <cell r="M24">
            <v>11361.338692694493</v>
          </cell>
          <cell r="N24">
            <v>1591.9604666881237</v>
          </cell>
          <cell r="O24">
            <v>18269.186067999995</v>
          </cell>
          <cell r="P24">
            <v>2559.893931999999</v>
          </cell>
          <cell r="Q24">
            <v>20829.079999999994</v>
          </cell>
          <cell r="S24">
            <v>12953.299159382617</v>
          </cell>
          <cell r="T24">
            <v>11361.338692694493</v>
          </cell>
          <cell r="U24">
            <v>1591.9604666881237</v>
          </cell>
          <cell r="V24">
            <v>162.35121000000001</v>
          </cell>
          <cell r="W24">
            <v>22.748790000000003</v>
          </cell>
          <cell r="X24">
            <v>185.10000000000002</v>
          </cell>
          <cell r="Z24">
            <v>12953.299159382617</v>
          </cell>
          <cell r="AA24">
            <v>11361.338692694493</v>
          </cell>
          <cell r="AB24">
            <v>1591.9604666881237</v>
          </cell>
          <cell r="AC24">
            <v>3558.3333030000003</v>
          </cell>
          <cell r="AD24">
            <v>498.59669700000001</v>
          </cell>
          <cell r="AE24">
            <v>4056.9300000000003</v>
          </cell>
          <cell r="AG24">
            <v>12953.299159382617</v>
          </cell>
          <cell r="AH24">
            <v>11361.338692694493</v>
          </cell>
          <cell r="AI24">
            <v>1591.9604666881237</v>
          </cell>
          <cell r="AJ24">
            <v>9332.3264580000014</v>
          </cell>
          <cell r="AK24">
            <v>1307.653542</v>
          </cell>
          <cell r="AL24">
            <v>10639.980000000001</v>
          </cell>
          <cell r="AN24">
            <v>12953.299159382617</v>
          </cell>
          <cell r="AO24">
            <v>11361.338692694493</v>
          </cell>
          <cell r="AP24">
            <v>1591.9604666881237</v>
          </cell>
          <cell r="AQ24">
            <v>0</v>
          </cell>
          <cell r="AR24">
            <v>0</v>
          </cell>
          <cell r="AS24"/>
          <cell r="AU24">
            <v>12953.299159382617</v>
          </cell>
          <cell r="AV24">
            <v>11361.338692694493</v>
          </cell>
          <cell r="AW24">
            <v>1591.9604666881237</v>
          </cell>
          <cell r="AX24">
            <v>0</v>
          </cell>
          <cell r="AY24">
            <v>0</v>
          </cell>
          <cell r="AZ24"/>
          <cell r="BB24">
            <v>10486.965136982617</v>
          </cell>
          <cell r="BC24">
            <v>9198.117121647454</v>
          </cell>
          <cell r="BD24">
            <v>1288.8480153351636</v>
          </cell>
          <cell r="BE24">
            <v>0</v>
          </cell>
          <cell r="BF24">
            <v>0</v>
          </cell>
          <cell r="BG24"/>
          <cell r="BI24">
            <v>12953.299159382617</v>
          </cell>
          <cell r="BJ24">
            <v>11361.338692694493</v>
          </cell>
          <cell r="BK24">
            <v>1591.9604666881237</v>
          </cell>
          <cell r="BL24">
            <v>0</v>
          </cell>
          <cell r="BM24">
            <v>0</v>
          </cell>
          <cell r="BN24"/>
          <cell r="BP24">
            <v>12953.299159382617</v>
          </cell>
          <cell r="BQ24">
            <v>11361.338692694493</v>
          </cell>
          <cell r="BR24">
            <v>1591.9604666881237</v>
          </cell>
          <cell r="BS24">
            <v>0</v>
          </cell>
          <cell r="BT24">
            <v>0</v>
          </cell>
          <cell r="BU24"/>
          <cell r="BW24">
            <v>12953.299159382617</v>
          </cell>
          <cell r="BX24">
            <v>11361.338692694493</v>
          </cell>
          <cell r="BY24">
            <v>1591.9604666881237</v>
          </cell>
          <cell r="BZ24">
            <v>0</v>
          </cell>
          <cell r="CA24">
            <v>0</v>
          </cell>
          <cell r="CB24"/>
          <cell r="CD24">
            <v>12953.299159382617</v>
          </cell>
          <cell r="CE24">
            <v>11361.338692694493</v>
          </cell>
          <cell r="CF24">
            <v>1591.9604666881237</v>
          </cell>
          <cell r="CG24">
            <v>0</v>
          </cell>
          <cell r="CH24">
            <v>0</v>
          </cell>
          <cell r="CI24"/>
          <cell r="CK24">
            <v>12953.299159382617</v>
          </cell>
          <cell r="CL24">
            <v>11361.338692694493</v>
          </cell>
          <cell r="CM24">
            <v>1591.9604666881237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13023.584266</v>
          </cell>
          <cell r="P25">
            <v>1824.8757339999997</v>
          </cell>
          <cell r="Q25">
            <v>14848.46</v>
          </cell>
          <cell r="S25">
            <v>0</v>
          </cell>
          <cell r="T25">
            <v>0</v>
          </cell>
          <cell r="U25">
            <v>0</v>
          </cell>
          <cell r="V25">
            <v>17333.732605000001</v>
          </cell>
          <cell r="W25">
            <v>2428.8173950000005</v>
          </cell>
          <cell r="X25">
            <v>19762.550000000003</v>
          </cell>
          <cell r="Z25">
            <v>51409.540559999907</v>
          </cell>
          <cell r="AA25">
            <v>45091.308025175917</v>
          </cell>
          <cell r="AB25">
            <v>6318.2325348239883</v>
          </cell>
          <cell r="AC25">
            <v>31199.867902000009</v>
          </cell>
          <cell r="AD25">
            <v>4371.7520980000008</v>
          </cell>
          <cell r="AE25">
            <v>35571.62000000001</v>
          </cell>
          <cell r="AG25">
            <v>67183.919519999996</v>
          </cell>
          <cell r="AH25">
            <v>58927.015810991994</v>
          </cell>
          <cell r="AI25">
            <v>8256.9037090080001</v>
          </cell>
          <cell r="AJ25">
            <v>95179.760753000024</v>
          </cell>
          <cell r="AK25">
            <v>13336.669247000002</v>
          </cell>
          <cell r="AL25">
            <v>108516.43000000002</v>
          </cell>
          <cell r="AN25">
            <v>67183.919519999996</v>
          </cell>
          <cell r="AO25">
            <v>58927.015810991994</v>
          </cell>
          <cell r="AP25">
            <v>8256.9037090080001</v>
          </cell>
          <cell r="AQ25">
            <v>0</v>
          </cell>
          <cell r="AR25">
            <v>0</v>
          </cell>
          <cell r="AS25"/>
          <cell r="AU25">
            <v>70111.612319999796</v>
          </cell>
          <cell r="AV25">
            <v>61494.895165871822</v>
          </cell>
          <cell r="AW25">
            <v>8616.7171541279749</v>
          </cell>
          <cell r="AX25">
            <v>0</v>
          </cell>
          <cell r="AY25">
            <v>0</v>
          </cell>
          <cell r="AZ25"/>
          <cell r="BB25">
            <v>21808.25231999989</v>
          </cell>
          <cell r="BC25">
            <v>19128.018109871904</v>
          </cell>
          <cell r="BD25">
            <v>2680.2342101279864</v>
          </cell>
          <cell r="BE25">
            <v>0</v>
          </cell>
          <cell r="BF25">
            <v>0</v>
          </cell>
          <cell r="BG25"/>
          <cell r="BI25">
            <v>21808.25231999989</v>
          </cell>
          <cell r="BJ25">
            <v>19128.018109871904</v>
          </cell>
          <cell r="BK25">
            <v>2680.2342101279864</v>
          </cell>
          <cell r="BL25">
            <v>0</v>
          </cell>
          <cell r="BM25">
            <v>0</v>
          </cell>
          <cell r="BN25"/>
          <cell r="BP25">
            <v>21808.25231999989</v>
          </cell>
          <cell r="BQ25">
            <v>19128.018109871904</v>
          </cell>
          <cell r="BR25">
            <v>2680.2342101279864</v>
          </cell>
          <cell r="BS25">
            <v>0</v>
          </cell>
          <cell r="BT25">
            <v>0</v>
          </cell>
          <cell r="BU25"/>
          <cell r="BW25">
            <v>18350.078711999991</v>
          </cell>
          <cell r="BX25">
            <v>16094.854038295192</v>
          </cell>
          <cell r="BY25">
            <v>2255.224673704799</v>
          </cell>
          <cell r="BZ25">
            <v>0</v>
          </cell>
          <cell r="CA25">
            <v>0</v>
          </cell>
          <cell r="CB25"/>
          <cell r="CD25">
            <v>12495.163019999989</v>
          </cell>
          <cell r="CE25">
            <v>10959.50748484199</v>
          </cell>
          <cell r="CF25">
            <v>1535.6555351579987</v>
          </cell>
          <cell r="CG25">
            <v>0</v>
          </cell>
          <cell r="CH25">
            <v>0</v>
          </cell>
          <cell r="CI25"/>
          <cell r="CK25">
            <v>12495.163019999989</v>
          </cell>
          <cell r="CL25">
            <v>10959.50748484199</v>
          </cell>
          <cell r="CM25">
            <v>1535.6555351579987</v>
          </cell>
          <cell r="CN25">
            <v>0</v>
          </cell>
          <cell r="CO25">
            <v>0</v>
          </cell>
          <cell r="CP25"/>
        </row>
        <row r="26">
          <cell r="L26">
            <v>60934.545040213241</v>
          </cell>
          <cell r="M26">
            <v>53445.689454771033</v>
          </cell>
          <cell r="N26">
            <v>7488.8555854422075</v>
          </cell>
          <cell r="O26">
            <v>121341.14524699998</v>
          </cell>
          <cell r="P26">
            <v>17002.424752999996</v>
          </cell>
          <cell r="Q26">
            <v>138343.56999999998</v>
          </cell>
          <cell r="S26">
            <v>125358.68584021323</v>
          </cell>
          <cell r="T26">
            <v>109952.10335045103</v>
          </cell>
          <cell r="U26">
            <v>15406.582489762206</v>
          </cell>
          <cell r="V26">
            <v>110015.18395731329</v>
          </cell>
          <cell r="W26">
            <v>15415.421398191542</v>
          </cell>
          <cell r="X26">
            <v>125430.60535550483</v>
          </cell>
          <cell r="Z26">
            <v>193914.60581461323</v>
          </cell>
          <cell r="AA26">
            <v>170082.50075999726</v>
          </cell>
          <cell r="AB26">
            <v>23832.105054615964</v>
          </cell>
          <cell r="AC26">
            <v>164103.7802887533</v>
          </cell>
          <cell r="AD26">
            <v>22994.361643470278</v>
          </cell>
          <cell r="AE26">
            <v>187098.14193222357</v>
          </cell>
          <cell r="AG26">
            <v>193914.60581461323</v>
          </cell>
          <cell r="AH26">
            <v>170082.50075999726</v>
          </cell>
          <cell r="AI26">
            <v>23832.105054615964</v>
          </cell>
          <cell r="AJ26">
            <v>233325.59819799999</v>
          </cell>
          <cell r="AK26">
            <v>32693.781801999998</v>
          </cell>
          <cell r="AL26">
            <v>266019.38</v>
          </cell>
          <cell r="AN26">
            <v>217511.77384021322</v>
          </cell>
          <cell r="AO26">
            <v>190779.57683525101</v>
          </cell>
          <cell r="AP26">
            <v>26732.197004962203</v>
          </cell>
          <cell r="AQ26">
            <v>0</v>
          </cell>
          <cell r="AR26">
            <v>0</v>
          </cell>
          <cell r="AS26"/>
          <cell r="AU26">
            <v>167929.09541461326</v>
          </cell>
          <cell r="AV26">
            <v>147290.6095881573</v>
          </cell>
          <cell r="AW26">
            <v>20638.48582645597</v>
          </cell>
          <cell r="AX26">
            <v>0</v>
          </cell>
          <cell r="AY26">
            <v>0</v>
          </cell>
          <cell r="AZ26"/>
          <cell r="BB26">
            <v>144331.92738901323</v>
          </cell>
          <cell r="BC26">
            <v>126593.53351290351</v>
          </cell>
          <cell r="BD26">
            <v>17738.393876109727</v>
          </cell>
          <cell r="BE26">
            <v>0</v>
          </cell>
          <cell r="BF26">
            <v>0</v>
          </cell>
          <cell r="BG26"/>
          <cell r="BI26">
            <v>193914.60581461323</v>
          </cell>
          <cell r="BJ26">
            <v>170082.50075999726</v>
          </cell>
          <cell r="BK26">
            <v>23832.105054615964</v>
          </cell>
          <cell r="BL26">
            <v>0</v>
          </cell>
          <cell r="BM26">
            <v>0</v>
          </cell>
          <cell r="BN26"/>
          <cell r="BP26">
            <v>243564.06617173326</v>
          </cell>
          <cell r="BQ26">
            <v>213630.04243922723</v>
          </cell>
          <cell r="BR26">
            <v>29934.023732506015</v>
          </cell>
          <cell r="BS26">
            <v>0</v>
          </cell>
          <cell r="BT26">
            <v>0</v>
          </cell>
          <cell r="BU26"/>
          <cell r="BW26">
            <v>238406.72067733321</v>
          </cell>
          <cell r="BX26">
            <v>209106.53470608898</v>
          </cell>
          <cell r="BY26">
            <v>29300.185971244249</v>
          </cell>
          <cell r="BZ26">
            <v>0</v>
          </cell>
          <cell r="CA26">
            <v>0</v>
          </cell>
          <cell r="CB26"/>
          <cell r="CD26">
            <v>172800.29277173322</v>
          </cell>
          <cell r="CE26">
            <v>151563.13679008721</v>
          </cell>
          <cell r="CF26">
            <v>21237.15598164601</v>
          </cell>
          <cell r="CG26">
            <v>0</v>
          </cell>
          <cell r="CH26">
            <v>0</v>
          </cell>
          <cell r="CI26"/>
          <cell r="CK26">
            <v>168668.51359733325</v>
          </cell>
          <cell r="CL26">
            <v>147939.15327622098</v>
          </cell>
          <cell r="CM26">
            <v>20729.360321112257</v>
          </cell>
          <cell r="CN26">
            <v>0</v>
          </cell>
          <cell r="CO26">
            <v>0</v>
          </cell>
          <cell r="CP26"/>
        </row>
        <row r="27">
          <cell r="L27">
            <v>2805.7804799999999</v>
          </cell>
          <cell r="M27">
            <v>2460.9500590079997</v>
          </cell>
          <cell r="N27">
            <v>344.83042099199997</v>
          </cell>
          <cell r="O27">
            <v>30615.964889999996</v>
          </cell>
          <cell r="P27">
            <v>4289.9351099999994</v>
          </cell>
          <cell r="Q27">
            <v>34905.899999999994</v>
          </cell>
          <cell r="S27">
            <v>10129.059839999991</v>
          </cell>
          <cell r="T27">
            <v>8884.1983856639927</v>
          </cell>
          <cell r="U27">
            <v>1244.8614543359988</v>
          </cell>
          <cell r="V27">
            <v>9713.2509879999998</v>
          </cell>
          <cell r="W27">
            <v>1361.029012</v>
          </cell>
          <cell r="X27">
            <v>11074.28</v>
          </cell>
          <cell r="Z27">
            <v>10129.059839999991</v>
          </cell>
          <cell r="AA27">
            <v>8884.1983856639927</v>
          </cell>
          <cell r="AB27">
            <v>1244.8614543359988</v>
          </cell>
          <cell r="AC27">
            <v>12750.279905999998</v>
          </cell>
          <cell r="AD27">
            <v>1786.5800939999995</v>
          </cell>
          <cell r="AE27">
            <v>14536.859999999997</v>
          </cell>
          <cell r="AG27">
            <v>10744.51199999999</v>
          </cell>
          <cell r="AH27">
            <v>9424.0114751999918</v>
          </cell>
          <cell r="AI27">
            <v>1320.5005247999986</v>
          </cell>
          <cell r="AJ27">
            <v>12454.995420000001</v>
          </cell>
          <cell r="AK27">
            <v>1745.2045800000001</v>
          </cell>
          <cell r="AL27">
            <v>14200.2</v>
          </cell>
          <cell r="AN27">
            <v>4208.8319999999903</v>
          </cell>
          <cell r="AO27">
            <v>3691.5665471999914</v>
          </cell>
          <cell r="AP27">
            <v>517.2654527999988</v>
          </cell>
          <cell r="AQ27">
            <v>0</v>
          </cell>
          <cell r="AR27">
            <v>0</v>
          </cell>
          <cell r="AS27"/>
          <cell r="AU27">
            <v>13550.292479999989</v>
          </cell>
          <cell r="AV27">
            <v>11884.961534207991</v>
          </cell>
          <cell r="AW27">
            <v>1665.3309457919986</v>
          </cell>
          <cell r="AX27">
            <v>0</v>
          </cell>
          <cell r="AY27">
            <v>0</v>
          </cell>
          <cell r="AZ27"/>
          <cell r="BB27">
            <v>7014.6124799999998</v>
          </cell>
          <cell r="BC27">
            <v>6152.5166062079998</v>
          </cell>
          <cell r="BD27">
            <v>862.09587379199991</v>
          </cell>
          <cell r="BE27">
            <v>0</v>
          </cell>
          <cell r="BF27">
            <v>0</v>
          </cell>
          <cell r="BG27"/>
          <cell r="BI27">
            <v>13550.292479999989</v>
          </cell>
          <cell r="BJ27">
            <v>11884.961534207991</v>
          </cell>
          <cell r="BK27">
            <v>1665.3309457919986</v>
          </cell>
          <cell r="BL27">
            <v>0</v>
          </cell>
          <cell r="BM27">
            <v>0</v>
          </cell>
          <cell r="BN27"/>
          <cell r="BP27">
            <v>13550.292479999989</v>
          </cell>
          <cell r="BQ27">
            <v>11884.961534207991</v>
          </cell>
          <cell r="BR27">
            <v>1665.3309457919986</v>
          </cell>
          <cell r="BS27">
            <v>0</v>
          </cell>
          <cell r="BT27">
            <v>0</v>
          </cell>
          <cell r="BU27"/>
          <cell r="BW27">
            <v>13100.36603999999</v>
          </cell>
          <cell r="BX27">
            <v>11490.331053683991</v>
          </cell>
          <cell r="BY27">
            <v>1610.0349863159986</v>
          </cell>
          <cell r="BZ27">
            <v>0</v>
          </cell>
          <cell r="CA27">
            <v>0</v>
          </cell>
          <cell r="CB27"/>
          <cell r="CD27">
            <v>10294.58555999999</v>
          </cell>
          <cell r="CE27">
            <v>9029.380994675992</v>
          </cell>
          <cell r="CF27">
            <v>1265.2045653239988</v>
          </cell>
          <cell r="CG27">
            <v>0</v>
          </cell>
          <cell r="CH27">
            <v>0</v>
          </cell>
          <cell r="CI27"/>
          <cell r="CK27">
            <v>10294.58555999999</v>
          </cell>
          <cell r="CL27">
            <v>9029.380994675992</v>
          </cell>
          <cell r="CM27">
            <v>1265.2045653239988</v>
          </cell>
          <cell r="CN27">
            <v>0</v>
          </cell>
          <cell r="CO27">
            <v>0</v>
          </cell>
          <cell r="CP27"/>
        </row>
        <row r="28">
          <cell r="L28">
            <v>8866.9439999999904</v>
          </cell>
          <cell r="M28">
            <v>7777.1965823999917</v>
          </cell>
          <cell r="N28">
            <v>1089.7474175999987</v>
          </cell>
          <cell r="O28">
            <v>13241.973395000005</v>
          </cell>
          <cell r="P28">
            <v>1855.4766050000005</v>
          </cell>
          <cell r="Q28">
            <v>15097.450000000004</v>
          </cell>
          <cell r="S28">
            <v>8866.9439999999904</v>
          </cell>
          <cell r="T28">
            <v>7777.1965823999917</v>
          </cell>
          <cell r="U28">
            <v>1089.7474175999987</v>
          </cell>
          <cell r="V28">
            <v>8094.3348919999989</v>
          </cell>
          <cell r="W28">
            <v>1134.1851079999999</v>
          </cell>
          <cell r="X28">
            <v>9228.5199999999986</v>
          </cell>
          <cell r="Z28">
            <v>11822.591999999991</v>
          </cell>
          <cell r="AA28">
            <v>10369.595443199993</v>
          </cell>
          <cell r="AB28">
            <v>1452.9965567999989</v>
          </cell>
          <cell r="AC28">
            <v>4138.6665179999991</v>
          </cell>
          <cell r="AD28">
            <v>579.91348199999982</v>
          </cell>
          <cell r="AE28">
            <v>4718.579999999999</v>
          </cell>
          <cell r="AG28">
            <v>12091.96799999999</v>
          </cell>
          <cell r="AH28">
            <v>10605.865132799991</v>
          </cell>
          <cell r="AI28">
            <v>1486.1028671999986</v>
          </cell>
          <cell r="AJ28">
            <v>7365.4033949999994</v>
          </cell>
          <cell r="AK28">
            <v>1032.0466049999998</v>
          </cell>
          <cell r="AL28">
            <v>8397.4499999999989</v>
          </cell>
          <cell r="AN28">
            <v>10344.767999999991</v>
          </cell>
          <cell r="AO28">
            <v>9073.3960127999926</v>
          </cell>
          <cell r="AP28">
            <v>1271.3719871999988</v>
          </cell>
          <cell r="AQ28">
            <v>0</v>
          </cell>
          <cell r="AR28">
            <v>0</v>
          </cell>
          <cell r="AS28"/>
          <cell r="AU28">
            <v>9136.32</v>
          </cell>
          <cell r="AV28">
            <v>8013.4662719999997</v>
          </cell>
          <cell r="AW28">
            <v>1122.8537279999998</v>
          </cell>
          <cell r="AX28">
            <v>0</v>
          </cell>
          <cell r="AY28">
            <v>0</v>
          </cell>
          <cell r="AZ28"/>
          <cell r="BB28">
            <v>7389.1199999999899</v>
          </cell>
          <cell r="BC28">
            <v>6480.9971519999908</v>
          </cell>
          <cell r="BD28">
            <v>908.12284799999873</v>
          </cell>
          <cell r="BE28">
            <v>0</v>
          </cell>
          <cell r="BF28">
            <v>0</v>
          </cell>
          <cell r="BG28"/>
          <cell r="BI28">
            <v>12091.96799999999</v>
          </cell>
          <cell r="BJ28">
            <v>10605.865132799991</v>
          </cell>
          <cell r="BK28">
            <v>1486.1028671999986</v>
          </cell>
          <cell r="BL28">
            <v>0</v>
          </cell>
          <cell r="BM28">
            <v>0</v>
          </cell>
          <cell r="BN28"/>
          <cell r="BP28">
            <v>12091.96799999999</v>
          </cell>
          <cell r="BQ28">
            <v>10605.865132799991</v>
          </cell>
          <cell r="BR28">
            <v>1486.1028671999986</v>
          </cell>
          <cell r="BS28">
            <v>0</v>
          </cell>
          <cell r="BT28">
            <v>0</v>
          </cell>
          <cell r="BU28"/>
          <cell r="BW28">
            <v>11956.92011999999</v>
          </cell>
          <cell r="BX28">
            <v>10487.414637251992</v>
          </cell>
          <cell r="BY28">
            <v>1469.5054827479987</v>
          </cell>
          <cell r="BZ28">
            <v>0</v>
          </cell>
          <cell r="CA28">
            <v>0</v>
          </cell>
          <cell r="CB28"/>
          <cell r="CD28">
            <v>9001.2721199999996</v>
          </cell>
          <cell r="CE28">
            <v>7895.015776452</v>
          </cell>
          <cell r="CF28">
            <v>1106.2563435479999</v>
          </cell>
          <cell r="CG28">
            <v>0</v>
          </cell>
          <cell r="CH28">
            <v>0</v>
          </cell>
          <cell r="CI28"/>
          <cell r="CK28">
            <v>9001.2721199999996</v>
          </cell>
          <cell r="CL28">
            <v>7895.015776452</v>
          </cell>
          <cell r="CM28">
            <v>1106.2563435479999</v>
          </cell>
          <cell r="CN28">
            <v>0</v>
          </cell>
          <cell r="CO28">
            <v>0</v>
          </cell>
          <cell r="CP28"/>
        </row>
        <row r="29">
          <cell r="L29">
            <v>17607.50499999999</v>
          </cell>
          <cell r="M29">
            <v>15443.542635499991</v>
          </cell>
          <cell r="N29">
            <v>2163.9623644999988</v>
          </cell>
          <cell r="O29">
            <v>0</v>
          </cell>
          <cell r="P29">
            <v>0</v>
          </cell>
          <cell r="Q29">
            <v>0</v>
          </cell>
          <cell r="S29">
            <v>17607.50499999999</v>
          </cell>
          <cell r="T29">
            <v>15443.542635499991</v>
          </cell>
          <cell r="U29">
            <v>2163.9623644999988</v>
          </cell>
          <cell r="V29">
            <v>0</v>
          </cell>
          <cell r="W29">
            <v>0</v>
          </cell>
          <cell r="X29">
            <v>0</v>
          </cell>
          <cell r="Z29">
            <v>17607.50499999999</v>
          </cell>
          <cell r="AA29">
            <v>15443.542635499991</v>
          </cell>
          <cell r="AB29">
            <v>2163.9623644999988</v>
          </cell>
          <cell r="AC29">
            <v>0</v>
          </cell>
          <cell r="AD29">
            <v>0</v>
          </cell>
          <cell r="AE29">
            <v>0</v>
          </cell>
          <cell r="AG29">
            <v>17607.50499999999</v>
          </cell>
          <cell r="AH29">
            <v>15443.542635499991</v>
          </cell>
          <cell r="AI29">
            <v>2163.9623644999988</v>
          </cell>
          <cell r="AJ29">
            <v>0</v>
          </cell>
          <cell r="AK29">
            <v>0</v>
          </cell>
          <cell r="AL29">
            <v>0</v>
          </cell>
          <cell r="AN29">
            <v>17607.50499999999</v>
          </cell>
          <cell r="AO29">
            <v>15443.542635499991</v>
          </cell>
          <cell r="AP29">
            <v>2163.9623644999988</v>
          </cell>
          <cell r="AQ29">
            <v>0</v>
          </cell>
          <cell r="AR29">
            <v>0</v>
          </cell>
          <cell r="AS29"/>
          <cell r="AU29">
            <v>17607.50499999999</v>
          </cell>
          <cell r="AV29">
            <v>15443.542635499991</v>
          </cell>
          <cell r="AW29">
            <v>2163.9623644999988</v>
          </cell>
          <cell r="AX29">
            <v>0</v>
          </cell>
          <cell r="AY29">
            <v>0</v>
          </cell>
          <cell r="AZ29"/>
          <cell r="BB29">
            <v>17607.50499999999</v>
          </cell>
          <cell r="BC29">
            <v>15443.542635499991</v>
          </cell>
          <cell r="BD29">
            <v>2163.9623644999988</v>
          </cell>
          <cell r="BE29">
            <v>0</v>
          </cell>
          <cell r="BF29">
            <v>0</v>
          </cell>
          <cell r="BG29"/>
          <cell r="BI29">
            <v>17607.50499999999</v>
          </cell>
          <cell r="BJ29">
            <v>15443.542635499991</v>
          </cell>
          <cell r="BK29">
            <v>2163.9623644999988</v>
          </cell>
          <cell r="BL29">
            <v>0</v>
          </cell>
          <cell r="BM29">
            <v>0</v>
          </cell>
          <cell r="BN29"/>
          <cell r="BP29">
            <v>17607.50499999999</v>
          </cell>
          <cell r="BQ29">
            <v>15443.542635499991</v>
          </cell>
          <cell r="BR29">
            <v>2163.9623644999988</v>
          </cell>
          <cell r="BS29">
            <v>0</v>
          </cell>
          <cell r="BT29">
            <v>0</v>
          </cell>
          <cell r="BU29"/>
          <cell r="BW29">
            <v>17607.50499999999</v>
          </cell>
          <cell r="BX29">
            <v>15443.542635499991</v>
          </cell>
          <cell r="BY29">
            <v>2163.9623644999988</v>
          </cell>
          <cell r="BZ29">
            <v>0</v>
          </cell>
          <cell r="CA29">
            <v>0</v>
          </cell>
          <cell r="CB29"/>
          <cell r="CD29">
            <v>17607.50499999999</v>
          </cell>
          <cell r="CE29">
            <v>15443.542635499991</v>
          </cell>
          <cell r="CF29">
            <v>2163.9623644999988</v>
          </cell>
          <cell r="CG29">
            <v>0</v>
          </cell>
          <cell r="CH29">
            <v>0</v>
          </cell>
          <cell r="CI29"/>
          <cell r="CK29">
            <v>17607.50499999999</v>
          </cell>
          <cell r="CL29">
            <v>15443.542635499991</v>
          </cell>
          <cell r="CM29">
            <v>2163.9623644999988</v>
          </cell>
          <cell r="CN29">
            <v>0</v>
          </cell>
          <cell r="CO29">
            <v>0</v>
          </cell>
          <cell r="CP29"/>
        </row>
        <row r="30">
          <cell r="L30">
            <v>2924.6666666666665</v>
          </cell>
          <cell r="M30">
            <v>2565.2251333333334</v>
          </cell>
          <cell r="N30">
            <v>359.44153333333333</v>
          </cell>
          <cell r="O30">
            <v>0</v>
          </cell>
          <cell r="P30">
            <v>0</v>
          </cell>
          <cell r="Q30">
            <v>0</v>
          </cell>
          <cell r="S30">
            <v>2924.6666666666665</v>
          </cell>
          <cell r="T30">
            <v>2565.2251333333334</v>
          </cell>
          <cell r="U30">
            <v>359.44153333333333</v>
          </cell>
          <cell r="V30">
            <v>0</v>
          </cell>
          <cell r="W30">
            <v>0</v>
          </cell>
          <cell r="X30">
            <v>0</v>
          </cell>
          <cell r="Z30">
            <v>2924.6666666666665</v>
          </cell>
          <cell r="AA30">
            <v>2565.2251333333334</v>
          </cell>
          <cell r="AB30">
            <v>359.44153333333333</v>
          </cell>
          <cell r="AC30">
            <v>0</v>
          </cell>
          <cell r="AD30">
            <v>0</v>
          </cell>
          <cell r="AE30">
            <v>0</v>
          </cell>
          <cell r="AG30">
            <v>2924.6666666666665</v>
          </cell>
          <cell r="AH30">
            <v>2565.2251333333334</v>
          </cell>
          <cell r="AI30">
            <v>359.44153333333333</v>
          </cell>
          <cell r="AJ30">
            <v>0</v>
          </cell>
          <cell r="AK30">
            <v>0</v>
          </cell>
          <cell r="AL30">
            <v>0</v>
          </cell>
          <cell r="AN30">
            <v>2924.6666666666665</v>
          </cell>
          <cell r="AO30">
            <v>2565.2251333333334</v>
          </cell>
          <cell r="AP30">
            <v>359.44153333333333</v>
          </cell>
          <cell r="AQ30">
            <v>0</v>
          </cell>
          <cell r="AR30">
            <v>0</v>
          </cell>
          <cell r="AS30">
            <v>0</v>
          </cell>
          <cell r="AU30">
            <v>2924.6666666666665</v>
          </cell>
          <cell r="AV30">
            <v>2565.2251333333334</v>
          </cell>
          <cell r="AW30">
            <v>359.44153333333333</v>
          </cell>
          <cell r="AX30">
            <v>0</v>
          </cell>
          <cell r="AY30">
            <v>0</v>
          </cell>
          <cell r="AZ30">
            <v>0</v>
          </cell>
          <cell r="BB30">
            <v>2924.6666666666665</v>
          </cell>
          <cell r="BC30">
            <v>2565.2251333333334</v>
          </cell>
          <cell r="BD30">
            <v>359.44153333333333</v>
          </cell>
          <cell r="BE30">
            <v>0</v>
          </cell>
          <cell r="BF30">
            <v>0</v>
          </cell>
          <cell r="BG30">
            <v>0</v>
          </cell>
          <cell r="BI30">
            <v>2924.6666666666665</v>
          </cell>
          <cell r="BJ30">
            <v>2565.2251333333334</v>
          </cell>
          <cell r="BK30">
            <v>359.44153333333333</v>
          </cell>
          <cell r="BL30">
            <v>0</v>
          </cell>
          <cell r="BM30">
            <v>0</v>
          </cell>
          <cell r="BN30">
            <v>0</v>
          </cell>
          <cell r="BP30">
            <v>2924.6666666666665</v>
          </cell>
          <cell r="BQ30">
            <v>2565.2251333333334</v>
          </cell>
          <cell r="BR30">
            <v>359.44153333333333</v>
          </cell>
          <cell r="BS30">
            <v>0</v>
          </cell>
          <cell r="BT30">
            <v>0</v>
          </cell>
          <cell r="BU30">
            <v>0</v>
          </cell>
          <cell r="BW30">
            <v>2924.6666666666665</v>
          </cell>
          <cell r="BX30">
            <v>2565.2251333333334</v>
          </cell>
          <cell r="BY30">
            <v>359.44153333333333</v>
          </cell>
          <cell r="BZ30">
            <v>0</v>
          </cell>
          <cell r="CA30">
            <v>0</v>
          </cell>
          <cell r="CB30">
            <v>0</v>
          </cell>
          <cell r="CD30">
            <v>2924.6666666666665</v>
          </cell>
          <cell r="CE30">
            <v>2565.2251333333334</v>
          </cell>
          <cell r="CF30">
            <v>359.44153333333333</v>
          </cell>
          <cell r="CG30">
            <v>0</v>
          </cell>
          <cell r="CH30">
            <v>0</v>
          </cell>
          <cell r="CI30">
            <v>0</v>
          </cell>
          <cell r="CK30">
            <v>2924.6666666666665</v>
          </cell>
          <cell r="CL30">
            <v>2565.2251333333334</v>
          </cell>
          <cell r="CM30">
            <v>359.44153333333333</v>
          </cell>
          <cell r="CN30">
            <v>0</v>
          </cell>
          <cell r="CO30">
            <v>0</v>
          </cell>
          <cell r="CP30">
            <v>0</v>
          </cell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</row>
        <row r="31">
          <cell r="L31">
            <v>1572.0083333333332</v>
          </cell>
          <cell r="M31">
            <v>1378.8085091666667</v>
          </cell>
          <cell r="N31">
            <v>193.19982416666664</v>
          </cell>
          <cell r="O31">
            <v>212.41209977291774</v>
          </cell>
          <cell r="P31">
            <v>29.76336456742856</v>
          </cell>
          <cell r="Q31">
            <v>242.17546434034631</v>
          </cell>
          <cell r="S31">
            <v>1572.0083333333332</v>
          </cell>
          <cell r="T31">
            <v>1378.8085091666667</v>
          </cell>
          <cell r="U31">
            <v>193.19982416666664</v>
          </cell>
          <cell r="V31">
            <v>2166.0646913437572</v>
          </cell>
          <cell r="W31">
            <v>303.51083179357857</v>
          </cell>
          <cell r="X31">
            <v>2469.5755231373359</v>
          </cell>
          <cell r="Z31">
            <v>1572.0083333333332</v>
          </cell>
          <cell r="AA31">
            <v>1378.8085091666667</v>
          </cell>
          <cell r="AB31">
            <v>193.19982416666664</v>
          </cell>
          <cell r="AC31">
            <v>493.31940563203</v>
          </cell>
          <cell r="AD31">
            <v>69.12433582507866</v>
          </cell>
          <cell r="AE31">
            <v>562.44374145710867</v>
          </cell>
          <cell r="AG31">
            <v>1572.0083333333332</v>
          </cell>
          <cell r="AH31">
            <v>1378.8085091666667</v>
          </cell>
          <cell r="AI31">
            <v>193.19982416666664</v>
          </cell>
          <cell r="AJ31">
            <v>214.52852468007546</v>
          </cell>
          <cell r="AK31">
            <v>30.059919830328663</v>
          </cell>
          <cell r="AL31">
            <v>244.58844451040412</v>
          </cell>
          <cell r="AN31">
            <v>1572.0083333333332</v>
          </cell>
          <cell r="AO31">
            <v>1378.8085091666667</v>
          </cell>
          <cell r="AP31">
            <v>193.19982416666664</v>
          </cell>
          <cell r="AQ31">
            <v>0</v>
          </cell>
          <cell r="AR31">
            <v>0</v>
          </cell>
          <cell r="AS31">
            <v>0</v>
          </cell>
          <cell r="AU31">
            <v>1572.0083333333332</v>
          </cell>
          <cell r="AV31">
            <v>1378.8085091666667</v>
          </cell>
          <cell r="AW31">
            <v>193.19982416666664</v>
          </cell>
          <cell r="AX31">
            <v>0</v>
          </cell>
          <cell r="AY31">
            <v>0</v>
          </cell>
          <cell r="AZ31">
            <v>0</v>
          </cell>
          <cell r="BB31">
            <v>1572.0083333333332</v>
          </cell>
          <cell r="BC31">
            <v>1378.8085091666667</v>
          </cell>
          <cell r="BD31">
            <v>193.19982416666664</v>
          </cell>
          <cell r="BE31">
            <v>0</v>
          </cell>
          <cell r="BF31">
            <v>0</v>
          </cell>
          <cell r="BG31">
            <v>0</v>
          </cell>
          <cell r="BI31">
            <v>1572.0083333333332</v>
          </cell>
          <cell r="BJ31">
            <v>1378.8085091666667</v>
          </cell>
          <cell r="BK31">
            <v>193.19982416666664</v>
          </cell>
          <cell r="BL31">
            <v>0</v>
          </cell>
          <cell r="BM31">
            <v>0</v>
          </cell>
          <cell r="BN31">
            <v>0</v>
          </cell>
          <cell r="BP31">
            <v>1572.0083333333332</v>
          </cell>
          <cell r="BQ31">
            <v>1378.8085091666667</v>
          </cell>
          <cell r="BR31">
            <v>193.19982416666664</v>
          </cell>
          <cell r="BS31">
            <v>0</v>
          </cell>
          <cell r="BT31">
            <v>0</v>
          </cell>
          <cell r="BU31">
            <v>0</v>
          </cell>
          <cell r="BW31">
            <v>1572.0083333333332</v>
          </cell>
          <cell r="BX31">
            <v>1378.8085091666667</v>
          </cell>
          <cell r="BY31">
            <v>193.19982416666664</v>
          </cell>
          <cell r="BZ31">
            <v>0</v>
          </cell>
          <cell r="CA31">
            <v>0</v>
          </cell>
          <cell r="CB31">
            <v>0</v>
          </cell>
          <cell r="CD31">
            <v>1572.0083333333332</v>
          </cell>
          <cell r="CE31">
            <v>1378.8085091666667</v>
          </cell>
          <cell r="CF31">
            <v>193.19982416666664</v>
          </cell>
          <cell r="CG31">
            <v>0</v>
          </cell>
          <cell r="CH31">
            <v>0</v>
          </cell>
          <cell r="CI31">
            <v>0</v>
          </cell>
          <cell r="CK31">
            <v>1572.0083333333332</v>
          </cell>
          <cell r="CL31">
            <v>1378.8085091666667</v>
          </cell>
          <cell r="CM31">
            <v>193.19982416666664</v>
          </cell>
          <cell r="CN31">
            <v>0</v>
          </cell>
          <cell r="CO31">
            <v>0</v>
          </cell>
          <cell r="CP31">
            <v>0</v>
          </cell>
          <cell r="CS31">
            <v>552</v>
          </cell>
          <cell r="CT31">
            <v>5629</v>
          </cell>
          <cell r="CU31">
            <v>1282</v>
          </cell>
          <cell r="CV31">
            <v>557.5</v>
          </cell>
          <cell r="CW31"/>
          <cell r="CX31"/>
          <cell r="CY31"/>
          <cell r="CZ31"/>
          <cell r="DA31"/>
          <cell r="DB31"/>
          <cell r="DC31"/>
          <cell r="DD31"/>
        </row>
        <row r="32">
          <cell r="L32">
            <v>222103.26110720003</v>
          </cell>
          <cell r="M32">
            <v>194806.77031712513</v>
          </cell>
          <cell r="N32">
            <v>27296.490790074884</v>
          </cell>
          <cell r="O32">
            <v>43603.763476000022</v>
          </cell>
          <cell r="P32">
            <v>6109.796524000003</v>
          </cell>
          <cell r="Q32">
            <v>49713.560000000027</v>
          </cell>
          <cell r="S32">
            <v>222444.00974400001</v>
          </cell>
          <cell r="T32">
            <v>195105.6409464624</v>
          </cell>
          <cell r="U32">
            <v>27338.368797537601</v>
          </cell>
          <cell r="V32">
            <v>106519.175112567</v>
          </cell>
          <cell r="W32">
            <v>14925.557657432999</v>
          </cell>
          <cell r="X32">
            <v>121444.73277</v>
          </cell>
          <cell r="Z32">
            <v>222444.00974400001</v>
          </cell>
          <cell r="AA32">
            <v>195105.6409464624</v>
          </cell>
          <cell r="AB32">
            <v>27338.368797537601</v>
          </cell>
          <cell r="AC32">
            <v>181289.930353</v>
          </cell>
          <cell r="AD32">
            <v>25402.499646999997</v>
          </cell>
          <cell r="AE32">
            <v>206692.43</v>
          </cell>
          <cell r="AG32">
            <v>239837.50998239999</v>
          </cell>
          <cell r="AH32">
            <v>210361.48000556303</v>
          </cell>
          <cell r="AI32">
            <v>29476.029976836959</v>
          </cell>
          <cell r="AJ32">
            <v>130399.29024500001</v>
          </cell>
          <cell r="AK32">
            <v>18271.659755000001</v>
          </cell>
          <cell r="AL32">
            <v>148670.95000000001</v>
          </cell>
          <cell r="AN32">
            <v>257231.01022079997</v>
          </cell>
          <cell r="AO32">
            <v>225617.31906466366</v>
          </cell>
          <cell r="AP32">
            <v>31613.691156136316</v>
          </cell>
          <cell r="AQ32">
            <v>0</v>
          </cell>
          <cell r="AR32">
            <v>0</v>
          </cell>
          <cell r="AS32"/>
          <cell r="AU32">
            <v>243870.24974400003</v>
          </cell>
          <cell r="AV32">
            <v>213898.59605046242</v>
          </cell>
          <cell r="AW32">
            <v>29971.653693537603</v>
          </cell>
          <cell r="AX32">
            <v>0</v>
          </cell>
          <cell r="AY32">
            <v>0</v>
          </cell>
          <cell r="AZ32"/>
          <cell r="BB32">
            <v>243008.12926720001</v>
          </cell>
          <cell r="BC32">
            <v>213142.43018026114</v>
          </cell>
          <cell r="BD32">
            <v>29865.699086938879</v>
          </cell>
          <cell r="BE32">
            <v>0</v>
          </cell>
          <cell r="BF32">
            <v>0</v>
          </cell>
          <cell r="BG32"/>
          <cell r="BI32">
            <v>176052.272</v>
          </cell>
          <cell r="BJ32">
            <v>154415.44777120001</v>
          </cell>
          <cell r="BK32">
            <v>21636.8242288</v>
          </cell>
          <cell r="BL32">
            <v>0</v>
          </cell>
          <cell r="BM32">
            <v>0</v>
          </cell>
          <cell r="BN32"/>
          <cell r="BP32">
            <v>2856.8319999999999</v>
          </cell>
          <cell r="BQ32">
            <v>2505.7273471999997</v>
          </cell>
          <cell r="BR32">
            <v>351.1046528</v>
          </cell>
          <cell r="BS32">
            <v>0</v>
          </cell>
          <cell r="BT32">
            <v>0</v>
          </cell>
          <cell r="BU32"/>
          <cell r="BW32">
            <v>2856.8319999999999</v>
          </cell>
          <cell r="BX32">
            <v>2505.7273471999997</v>
          </cell>
          <cell r="BY32">
            <v>351.1046528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132506.12244897962</v>
          </cell>
          <cell r="M33">
            <v>116221.12000000002</v>
          </cell>
          <cell r="N33">
            <v>16285.002448979594</v>
          </cell>
          <cell r="O33">
            <v>71296.643509000001</v>
          </cell>
          <cell r="P33">
            <v>9990.1464910000013</v>
          </cell>
          <cell r="Q33">
            <v>81286.790000000008</v>
          </cell>
          <cell r="S33">
            <v>165632.6530612245</v>
          </cell>
          <cell r="T33">
            <v>145276.40000000002</v>
          </cell>
          <cell r="U33">
            <v>20356.253061224488</v>
          </cell>
          <cell r="V33">
            <v>120232.51716</v>
          </cell>
          <cell r="W33">
            <v>16847.082839999999</v>
          </cell>
          <cell r="X33">
            <v>137079.6</v>
          </cell>
          <cell r="Z33">
            <v>165632.6530612245</v>
          </cell>
          <cell r="AA33">
            <v>145276.40000000002</v>
          </cell>
          <cell r="AB33">
            <v>20356.253061224488</v>
          </cell>
          <cell r="AC33">
            <v>162732.73972899999</v>
          </cell>
          <cell r="AD33">
            <v>22802.250270999997</v>
          </cell>
          <cell r="AE33">
            <v>185534.99</v>
          </cell>
          <cell r="AG33">
            <v>182195.91836734692</v>
          </cell>
          <cell r="AH33">
            <v>159804.03999999998</v>
          </cell>
          <cell r="AI33">
            <v>22391.878367346937</v>
          </cell>
          <cell r="AJ33">
            <v>95817.842231999995</v>
          </cell>
          <cell r="AK33">
            <v>13426.077767999999</v>
          </cell>
          <cell r="AL33">
            <v>109243.92</v>
          </cell>
          <cell r="AN33">
            <v>198759.18367346938</v>
          </cell>
          <cell r="AO33">
            <v>174331.68</v>
          </cell>
          <cell r="AP33">
            <v>24427.503673469386</v>
          </cell>
          <cell r="AQ33">
            <v>0</v>
          </cell>
          <cell r="AR33">
            <v>0</v>
          </cell>
          <cell r="AS33"/>
          <cell r="AU33">
            <v>165632.6530612245</v>
          </cell>
          <cell r="AV33">
            <v>145276.40000000002</v>
          </cell>
          <cell r="AW33">
            <v>20356.253061224488</v>
          </cell>
          <cell r="AX33">
            <v>0</v>
          </cell>
          <cell r="AY33">
            <v>0</v>
          </cell>
          <cell r="AZ33"/>
          <cell r="BB33">
            <v>132506.12244897962</v>
          </cell>
          <cell r="BC33">
            <v>116221.12000000002</v>
          </cell>
          <cell r="BD33">
            <v>16285.002448979594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7311.666666666667</v>
          </cell>
          <cell r="M36">
            <v>6413.0628333333334</v>
          </cell>
          <cell r="N36">
            <v>898.60383333333334</v>
          </cell>
          <cell r="O36">
            <v>8059.8347482077916</v>
          </cell>
          <cell r="P36">
            <v>1129.3509184297543</v>
          </cell>
          <cell r="Q36">
            <v>9189.1856666375461</v>
          </cell>
          <cell r="S36">
            <v>7311.666666666667</v>
          </cell>
          <cell r="T36">
            <v>6413.0628333333334</v>
          </cell>
          <cell r="U36">
            <v>898.60383333333334</v>
          </cell>
          <cell r="V36">
            <v>10589.262659793523</v>
          </cell>
          <cell r="W36">
            <v>1483.776514523571</v>
          </cell>
          <cell r="X36">
            <v>12073.039174317095</v>
          </cell>
          <cell r="Z36">
            <v>7311.666666666667</v>
          </cell>
          <cell r="AA36">
            <v>6413.0628333333334</v>
          </cell>
          <cell r="AB36">
            <v>898.60383333333334</v>
          </cell>
          <cell r="AC36">
            <v>8312.7090441602777</v>
          </cell>
          <cell r="AD36">
            <v>1164.7838804324456</v>
          </cell>
          <cell r="AE36">
            <v>9477.4929245927233</v>
          </cell>
          <cell r="AG36">
            <v>7311.666666666667</v>
          </cell>
          <cell r="AH36">
            <v>6413.0628333333334</v>
          </cell>
          <cell r="AI36">
            <v>898.60383333333334</v>
          </cell>
          <cell r="AJ36">
            <v>7664.5558403658779</v>
          </cell>
          <cell r="AK36">
            <v>1073.9641007649827</v>
          </cell>
          <cell r="AL36">
            <v>8738.5199411308604</v>
          </cell>
          <cell r="AN36">
            <v>7311.666666666667</v>
          </cell>
          <cell r="AO36">
            <v>6413.0628333333334</v>
          </cell>
          <cell r="AP36">
            <v>898.60383333333334</v>
          </cell>
          <cell r="AQ36">
            <v>0</v>
          </cell>
          <cell r="AR36">
            <v>0</v>
          </cell>
          <cell r="AS36">
            <v>0</v>
          </cell>
          <cell r="AU36">
            <v>7311.666666666667</v>
          </cell>
          <cell r="AV36">
            <v>6413.0628333333334</v>
          </cell>
          <cell r="AW36">
            <v>898.60383333333334</v>
          </cell>
          <cell r="AX36">
            <v>0</v>
          </cell>
          <cell r="AY36">
            <v>0</v>
          </cell>
          <cell r="AZ36">
            <v>0</v>
          </cell>
          <cell r="BB36">
            <v>7311.666666666667</v>
          </cell>
          <cell r="BC36">
            <v>6413.0628333333334</v>
          </cell>
          <cell r="BD36">
            <v>898.60383333333334</v>
          </cell>
          <cell r="BE36">
            <v>0</v>
          </cell>
          <cell r="BF36">
            <v>0</v>
          </cell>
          <cell r="BG36">
            <v>0</v>
          </cell>
          <cell r="BI36">
            <v>7311.666666666667</v>
          </cell>
          <cell r="BJ36">
            <v>6413.0628333333334</v>
          </cell>
          <cell r="BK36">
            <v>898.60383333333334</v>
          </cell>
          <cell r="BL36">
            <v>0</v>
          </cell>
          <cell r="BM36">
            <v>0</v>
          </cell>
          <cell r="BN36">
            <v>0</v>
          </cell>
          <cell r="BP36">
            <v>7311.666666666667</v>
          </cell>
          <cell r="BQ36">
            <v>6413.0628333333334</v>
          </cell>
          <cell r="BR36">
            <v>898.60383333333334</v>
          </cell>
          <cell r="BS36">
            <v>0</v>
          </cell>
          <cell r="BT36">
            <v>0</v>
          </cell>
          <cell r="BU36">
            <v>0</v>
          </cell>
          <cell r="BW36">
            <v>7311.666666666667</v>
          </cell>
          <cell r="BX36">
            <v>6413.0628333333334</v>
          </cell>
          <cell r="BY36">
            <v>898.60383333333334</v>
          </cell>
          <cell r="BZ36">
            <v>0</v>
          </cell>
          <cell r="CA36">
            <v>0</v>
          </cell>
          <cell r="CB36">
            <v>0</v>
          </cell>
          <cell r="CD36">
            <v>7311.666666666667</v>
          </cell>
          <cell r="CE36">
            <v>6413.0628333333334</v>
          </cell>
          <cell r="CF36">
            <v>898.60383333333334</v>
          </cell>
          <cell r="CG36">
            <v>0</v>
          </cell>
          <cell r="CH36">
            <v>0</v>
          </cell>
          <cell r="CI36">
            <v>0</v>
          </cell>
          <cell r="CK36">
            <v>7311.666666666667</v>
          </cell>
          <cell r="CL36">
            <v>6413.0628333333334</v>
          </cell>
          <cell r="CM36">
            <v>898.60383333333334</v>
          </cell>
          <cell r="CN36">
            <v>0</v>
          </cell>
          <cell r="CO36">
            <v>0</v>
          </cell>
          <cell r="CP36">
            <v>0</v>
          </cell>
          <cell r="CS36">
            <v>20945.27</v>
          </cell>
          <cell r="CT36">
            <v>27518.549999999996</v>
          </cell>
          <cell r="CU36">
            <v>21602.42</v>
          </cell>
          <cell r="CV36">
            <v>19918.05</v>
          </cell>
          <cell r="CW36"/>
          <cell r="CX36"/>
          <cell r="CY36"/>
          <cell r="CZ36"/>
          <cell r="DA36"/>
          <cell r="DB36"/>
          <cell r="DC36"/>
          <cell r="DD36"/>
        </row>
        <row r="37">
          <cell r="L37">
            <v>10967.5</v>
          </cell>
          <cell r="M37">
            <v>9619.5942500000001</v>
          </cell>
          <cell r="N37">
            <v>1347.9057499999999</v>
          </cell>
          <cell r="O37">
            <v>16813.114193223162</v>
          </cell>
          <cell r="P37">
            <v>2355.8678991530342</v>
          </cell>
          <cell r="Q37">
            <v>19168.982092376194</v>
          </cell>
          <cell r="S37">
            <v>10967.5</v>
          </cell>
          <cell r="T37">
            <v>9619.5942500000001</v>
          </cell>
          <cell r="U37">
            <v>1347.9057499999999</v>
          </cell>
          <cell r="V37">
            <v>12630.073477086406</v>
          </cell>
          <cell r="W37">
            <v>1769.7366666673347</v>
          </cell>
          <cell r="X37">
            <v>14399.810143753741</v>
          </cell>
          <cell r="Z37">
            <v>10967.5</v>
          </cell>
          <cell r="AA37">
            <v>9619.5942500000001</v>
          </cell>
          <cell r="AB37">
            <v>1347.9057499999999</v>
          </cell>
          <cell r="AC37">
            <v>17759.348528986935</v>
          </cell>
          <cell r="AD37">
            <v>2488.4550612387347</v>
          </cell>
          <cell r="AE37">
            <v>20247.803590225671</v>
          </cell>
          <cell r="AG37">
            <v>10967.5</v>
          </cell>
          <cell r="AH37">
            <v>9619.5942500000001</v>
          </cell>
          <cell r="AI37">
            <v>1347.9057499999999</v>
          </cell>
          <cell r="AJ37">
            <v>27605.599820647254</v>
          </cell>
          <cell r="AK37">
            <v>3868.1201892116601</v>
          </cell>
          <cell r="AL37">
            <v>31473.720009858913</v>
          </cell>
          <cell r="AN37">
            <v>10967.5</v>
          </cell>
          <cell r="AO37">
            <v>9619.5942500000001</v>
          </cell>
          <cell r="AP37">
            <v>1347.9057499999999</v>
          </cell>
          <cell r="AQ37">
            <v>0</v>
          </cell>
          <cell r="AR37">
            <v>0</v>
          </cell>
          <cell r="AS37">
            <v>0</v>
          </cell>
          <cell r="AU37">
            <v>10967.5</v>
          </cell>
          <cell r="AV37">
            <v>9619.5942500000001</v>
          </cell>
          <cell r="AW37">
            <v>1347.9057499999999</v>
          </cell>
          <cell r="AX37">
            <v>0</v>
          </cell>
          <cell r="AY37">
            <v>0</v>
          </cell>
          <cell r="AZ37">
            <v>0</v>
          </cell>
          <cell r="BB37">
            <v>10967.5</v>
          </cell>
          <cell r="BC37">
            <v>9619.5942500000001</v>
          </cell>
          <cell r="BD37">
            <v>1347.9057499999999</v>
          </cell>
          <cell r="BE37">
            <v>0</v>
          </cell>
          <cell r="BF37">
            <v>0</v>
          </cell>
          <cell r="BG37">
            <v>0</v>
          </cell>
          <cell r="BI37">
            <v>10967.5</v>
          </cell>
          <cell r="BJ37">
            <v>9619.5942500000001</v>
          </cell>
          <cell r="BK37">
            <v>1347.9057499999999</v>
          </cell>
          <cell r="BL37">
            <v>0</v>
          </cell>
          <cell r="BM37">
            <v>0</v>
          </cell>
          <cell r="BN37">
            <v>0</v>
          </cell>
          <cell r="BP37">
            <v>10967.5</v>
          </cell>
          <cell r="BQ37">
            <v>9619.5942500000001</v>
          </cell>
          <cell r="BR37">
            <v>1347.9057499999999</v>
          </cell>
          <cell r="BS37">
            <v>0</v>
          </cell>
          <cell r="BT37">
            <v>0</v>
          </cell>
          <cell r="BU37">
            <v>0</v>
          </cell>
          <cell r="BW37">
            <v>10967.5</v>
          </cell>
          <cell r="BX37">
            <v>9619.5942500000001</v>
          </cell>
          <cell r="BY37">
            <v>1347.9057499999999</v>
          </cell>
          <cell r="BZ37">
            <v>0</v>
          </cell>
          <cell r="CA37">
            <v>0</v>
          </cell>
          <cell r="CB37">
            <v>0</v>
          </cell>
          <cell r="CD37">
            <v>10967.5</v>
          </cell>
          <cell r="CE37">
            <v>9619.5942500000001</v>
          </cell>
          <cell r="CF37">
            <v>1347.9057499999999</v>
          </cell>
          <cell r="CG37">
            <v>0</v>
          </cell>
          <cell r="CH37">
            <v>0</v>
          </cell>
          <cell r="CI37">
            <v>0</v>
          </cell>
          <cell r="CK37">
            <v>10967.5</v>
          </cell>
          <cell r="CL37">
            <v>9619.5942500000001</v>
          </cell>
          <cell r="CM37">
            <v>1347.9057499999999</v>
          </cell>
          <cell r="CN37">
            <v>0</v>
          </cell>
          <cell r="CO37">
            <v>0</v>
          </cell>
          <cell r="CP37">
            <v>0</v>
          </cell>
          <cell r="CS37">
            <v>43692.61</v>
          </cell>
          <cell r="CT37">
            <v>32822.050000000003</v>
          </cell>
          <cell r="CU37">
            <v>46151.61</v>
          </cell>
          <cell r="CV37">
            <v>71739.28</v>
          </cell>
          <cell r="CW37"/>
          <cell r="CX37"/>
          <cell r="CY37"/>
          <cell r="CZ37"/>
          <cell r="DA37"/>
          <cell r="DB37"/>
          <cell r="DC37"/>
          <cell r="DD37"/>
        </row>
        <row r="38">
          <cell r="L38">
            <v>731.16666666666663</v>
          </cell>
          <cell r="M38">
            <v>641.30628333333334</v>
          </cell>
          <cell r="N38">
            <v>89.860383333333331</v>
          </cell>
          <cell r="O38">
            <v>1502.9156550708224</v>
          </cell>
          <cell r="P38">
            <v>210.58982329062141</v>
          </cell>
          <cell r="Q38">
            <v>1713.5054783614437</v>
          </cell>
          <cell r="S38">
            <v>731.16666666666663</v>
          </cell>
          <cell r="T38">
            <v>641.30628333333334</v>
          </cell>
          <cell r="U38">
            <v>89.860383333333331</v>
          </cell>
          <cell r="V38">
            <v>417.07808438563831</v>
          </cell>
          <cell r="W38">
            <v>58.441336872642736</v>
          </cell>
          <cell r="X38">
            <v>475.51942125828106</v>
          </cell>
          <cell r="Z38">
            <v>731.16666666666663</v>
          </cell>
          <cell r="AA38">
            <v>641.30628333333334</v>
          </cell>
          <cell r="AB38">
            <v>89.860383333333331</v>
          </cell>
          <cell r="AC38">
            <v>1630.7130870555757</v>
          </cell>
          <cell r="AD38">
            <v>228.49690844730389</v>
          </cell>
          <cell r="AE38">
            <v>1859.2099955028796</v>
          </cell>
          <cell r="AG38">
            <v>731.16666666666663</v>
          </cell>
          <cell r="AH38">
            <v>641.30628333333334</v>
          </cell>
          <cell r="AI38">
            <v>89.860383333333331</v>
          </cell>
          <cell r="AJ38">
            <v>796.54537414844162</v>
          </cell>
          <cell r="AK38">
            <v>111.61261712785711</v>
          </cell>
          <cell r="AL38">
            <v>908.15799127629873</v>
          </cell>
          <cell r="AN38">
            <v>731.16666666666663</v>
          </cell>
          <cell r="AO38">
            <v>641.30628333333334</v>
          </cell>
          <cell r="AP38">
            <v>89.860383333333331</v>
          </cell>
          <cell r="AQ38">
            <v>0</v>
          </cell>
          <cell r="AR38">
            <v>0</v>
          </cell>
          <cell r="AS38">
            <v>0</v>
          </cell>
          <cell r="AU38">
            <v>731.16666666666663</v>
          </cell>
          <cell r="AV38">
            <v>641.30628333333334</v>
          </cell>
          <cell r="AW38">
            <v>89.860383333333331</v>
          </cell>
          <cell r="AX38">
            <v>0</v>
          </cell>
          <cell r="AY38">
            <v>0</v>
          </cell>
          <cell r="AZ38">
            <v>0</v>
          </cell>
          <cell r="BB38">
            <v>731.16666666666663</v>
          </cell>
          <cell r="BC38">
            <v>641.30628333333334</v>
          </cell>
          <cell r="BD38">
            <v>89.860383333333331</v>
          </cell>
          <cell r="BE38">
            <v>0</v>
          </cell>
          <cell r="BF38">
            <v>0</v>
          </cell>
          <cell r="BG38">
            <v>0</v>
          </cell>
          <cell r="BI38">
            <v>731.16666666666663</v>
          </cell>
          <cell r="BJ38">
            <v>641.30628333333334</v>
          </cell>
          <cell r="BK38">
            <v>89.860383333333331</v>
          </cell>
          <cell r="BL38">
            <v>0</v>
          </cell>
          <cell r="BM38">
            <v>0</v>
          </cell>
          <cell r="BN38">
            <v>0</v>
          </cell>
          <cell r="BP38">
            <v>731.16666666666663</v>
          </cell>
          <cell r="BQ38">
            <v>641.30628333333334</v>
          </cell>
          <cell r="BR38">
            <v>89.860383333333331</v>
          </cell>
          <cell r="BS38">
            <v>0</v>
          </cell>
          <cell r="BT38">
            <v>0</v>
          </cell>
          <cell r="BU38">
            <v>0</v>
          </cell>
          <cell r="BW38">
            <v>731.16666666666663</v>
          </cell>
          <cell r="BX38">
            <v>641.30628333333334</v>
          </cell>
          <cell r="BY38">
            <v>89.860383333333331</v>
          </cell>
          <cell r="BZ38">
            <v>0</v>
          </cell>
          <cell r="CA38">
            <v>0</v>
          </cell>
          <cell r="CB38">
            <v>0</v>
          </cell>
          <cell r="CD38">
            <v>731.16666666666663</v>
          </cell>
          <cell r="CE38">
            <v>641.30628333333334</v>
          </cell>
          <cell r="CF38">
            <v>89.860383333333331</v>
          </cell>
          <cell r="CG38">
            <v>0</v>
          </cell>
          <cell r="CH38">
            <v>0</v>
          </cell>
          <cell r="CI38">
            <v>0</v>
          </cell>
          <cell r="CK38">
            <v>731.16666666666663</v>
          </cell>
          <cell r="CL38">
            <v>641.30628333333334</v>
          </cell>
          <cell r="CM38">
            <v>89.860383333333331</v>
          </cell>
          <cell r="CN38">
            <v>0</v>
          </cell>
          <cell r="CO38">
            <v>0</v>
          </cell>
          <cell r="CP38">
            <v>0</v>
          </cell>
          <cell r="CS38">
            <v>3905.66</v>
          </cell>
          <cell r="CT38">
            <v>1083.8699999999999</v>
          </cell>
          <cell r="CU38">
            <v>4237.7700000000004</v>
          </cell>
          <cell r="CV38">
            <v>2070</v>
          </cell>
          <cell r="CW38"/>
          <cell r="CX38"/>
          <cell r="CY38"/>
          <cell r="CZ38"/>
          <cell r="DA38"/>
          <cell r="DB38"/>
          <cell r="DC38"/>
          <cell r="DD38"/>
        </row>
        <row r="39">
          <cell r="L39">
            <v>2193.5</v>
          </cell>
          <cell r="M39">
            <v>1923.91885</v>
          </cell>
          <cell r="N39">
            <v>269.58114999999998</v>
          </cell>
          <cell r="O39">
            <v>7978.2407959689335</v>
          </cell>
          <cell r="P39">
            <v>1117.9179042578746</v>
          </cell>
          <cell r="Q39">
            <v>9096.1587002268079</v>
          </cell>
          <cell r="S39">
            <v>2193.5</v>
          </cell>
          <cell r="T39">
            <v>1923.91885</v>
          </cell>
          <cell r="U39">
            <v>269.58114999999998</v>
          </cell>
          <cell r="V39">
            <v>4117.0813718938643</v>
          </cell>
          <cell r="W39">
            <v>576.88895291957124</v>
          </cell>
          <cell r="X39">
            <v>4693.9703248134356</v>
          </cell>
          <cell r="Z39">
            <v>2193.5</v>
          </cell>
          <cell r="AA39">
            <v>1923.91885</v>
          </cell>
          <cell r="AB39">
            <v>269.58114999999998</v>
          </cell>
          <cell r="AC39">
            <v>45875.072169029052</v>
          </cell>
          <cell r="AD39">
            <v>6428.0542350629003</v>
          </cell>
          <cell r="AE39">
            <v>52303.126404091949</v>
          </cell>
          <cell r="AG39">
            <v>2193.5</v>
          </cell>
          <cell r="AH39">
            <v>1923.91885</v>
          </cell>
          <cell r="AI39">
            <v>269.58114999999998</v>
          </cell>
          <cell r="AJ39">
            <v>2875.8327962534477</v>
          </cell>
          <cell r="AK39">
            <v>402.96414395114431</v>
          </cell>
          <cell r="AL39">
            <v>3278.7969402045919</v>
          </cell>
          <cell r="AN39">
            <v>2193.5</v>
          </cell>
          <cell r="AO39">
            <v>1923.91885</v>
          </cell>
          <cell r="AP39">
            <v>269.58114999999998</v>
          </cell>
          <cell r="AQ39">
            <v>0</v>
          </cell>
          <cell r="AR39">
            <v>0</v>
          </cell>
          <cell r="AS39">
            <v>0</v>
          </cell>
          <cell r="AU39">
            <v>2193.5</v>
          </cell>
          <cell r="AV39">
            <v>1923.91885</v>
          </cell>
          <cell r="AW39">
            <v>269.58114999999998</v>
          </cell>
          <cell r="AX39">
            <v>0</v>
          </cell>
          <cell r="AY39">
            <v>0</v>
          </cell>
          <cell r="AZ39">
            <v>0</v>
          </cell>
          <cell r="BB39">
            <v>2193.5</v>
          </cell>
          <cell r="BC39">
            <v>1923.91885</v>
          </cell>
          <cell r="BD39">
            <v>269.58114999999998</v>
          </cell>
          <cell r="BE39">
            <v>0</v>
          </cell>
          <cell r="BF39">
            <v>0</v>
          </cell>
          <cell r="BG39">
            <v>0</v>
          </cell>
          <cell r="BI39">
            <v>2193.5</v>
          </cell>
          <cell r="BJ39">
            <v>1923.91885</v>
          </cell>
          <cell r="BK39">
            <v>269.58114999999998</v>
          </cell>
          <cell r="BL39">
            <v>0</v>
          </cell>
          <cell r="BM39">
            <v>0</v>
          </cell>
          <cell r="BN39">
            <v>0</v>
          </cell>
          <cell r="BP39">
            <v>2193.5</v>
          </cell>
          <cell r="BQ39">
            <v>1923.91885</v>
          </cell>
          <cell r="BR39">
            <v>269.58114999999998</v>
          </cell>
          <cell r="BS39">
            <v>0</v>
          </cell>
          <cell r="BT39">
            <v>0</v>
          </cell>
          <cell r="BU39">
            <v>0</v>
          </cell>
          <cell r="BW39">
            <v>2193.5</v>
          </cell>
          <cell r="BX39">
            <v>1923.91885</v>
          </cell>
          <cell r="BY39">
            <v>269.58114999999998</v>
          </cell>
          <cell r="BZ39">
            <v>0</v>
          </cell>
          <cell r="CA39">
            <v>0</v>
          </cell>
          <cell r="CB39">
            <v>0</v>
          </cell>
          <cell r="CD39">
            <v>2193.5</v>
          </cell>
          <cell r="CE39">
            <v>1923.91885</v>
          </cell>
          <cell r="CF39">
            <v>269.58114999999998</v>
          </cell>
          <cell r="CG39">
            <v>0</v>
          </cell>
          <cell r="CH39">
            <v>0</v>
          </cell>
          <cell r="CI39">
            <v>0</v>
          </cell>
          <cell r="CK39">
            <v>2193.5</v>
          </cell>
          <cell r="CL39">
            <v>1923.91885</v>
          </cell>
          <cell r="CM39">
            <v>269.58114999999998</v>
          </cell>
          <cell r="CN39">
            <v>0</v>
          </cell>
          <cell r="CO39">
            <v>0</v>
          </cell>
          <cell r="CP39">
            <v>0</v>
          </cell>
          <cell r="CS39">
            <v>20733.23</v>
          </cell>
          <cell r="CT39">
            <v>10699.15</v>
          </cell>
          <cell r="CU39">
            <v>119216.56</v>
          </cell>
          <cell r="CV39">
            <v>7473.49</v>
          </cell>
          <cell r="CW39"/>
          <cell r="CX39"/>
          <cell r="CY39"/>
          <cell r="CZ39"/>
          <cell r="DA39"/>
          <cell r="DB39"/>
          <cell r="DC39"/>
          <cell r="DD39"/>
        </row>
        <row r="40">
          <cell r="L40">
            <v>4752.583333333333</v>
          </cell>
          <cell r="M40">
            <v>4168.4908416666667</v>
          </cell>
          <cell r="N40">
            <v>584.09249166666666</v>
          </cell>
          <cell r="O40">
            <v>4092.3961613858337</v>
          </cell>
          <cell r="P40">
            <v>573.43004017138173</v>
          </cell>
          <cell r="Q40">
            <v>4665.8262015572154</v>
          </cell>
          <cell r="S40">
            <v>4752.583333333333</v>
          </cell>
          <cell r="T40">
            <v>4168.4908416666667</v>
          </cell>
          <cell r="U40">
            <v>584.09249166666666</v>
          </cell>
          <cell r="V40">
            <v>1416.98880384022</v>
          </cell>
          <cell r="W40">
            <v>198.54967961687726</v>
          </cell>
          <cell r="X40">
            <v>1615.5384834570973</v>
          </cell>
          <cell r="Z40">
            <v>4752.583333333333</v>
          </cell>
          <cell r="AA40">
            <v>4168.4908416666667</v>
          </cell>
          <cell r="AB40">
            <v>584.09249166666666</v>
          </cell>
          <cell r="AC40">
            <v>2251.0526195246389</v>
          </cell>
          <cell r="AD40">
            <v>315.41941276887252</v>
          </cell>
          <cell r="AE40">
            <v>2566.4720322935113</v>
          </cell>
          <cell r="AG40">
            <v>4752.583333333333</v>
          </cell>
          <cell r="AH40">
            <v>4168.4908416666667</v>
          </cell>
          <cell r="AI40">
            <v>584.09249166666666</v>
          </cell>
          <cell r="AJ40">
            <v>3155.343261673836</v>
          </cell>
          <cell r="AK40">
            <v>442.12938873528037</v>
          </cell>
          <cell r="AL40">
            <v>3597.4726504091163</v>
          </cell>
          <cell r="AN40">
            <v>4752.583333333333</v>
          </cell>
          <cell r="AO40">
            <v>4168.4908416666667</v>
          </cell>
          <cell r="AP40">
            <v>584.09249166666666</v>
          </cell>
          <cell r="AQ40">
            <v>0</v>
          </cell>
          <cell r="AR40">
            <v>0</v>
          </cell>
          <cell r="AS40">
            <v>0</v>
          </cell>
          <cell r="AU40">
            <v>4752.583333333333</v>
          </cell>
          <cell r="AV40">
            <v>4168.4908416666667</v>
          </cell>
          <cell r="AW40">
            <v>584.09249166666666</v>
          </cell>
          <cell r="AX40">
            <v>0</v>
          </cell>
          <cell r="AY40">
            <v>0</v>
          </cell>
          <cell r="AZ40">
            <v>0</v>
          </cell>
          <cell r="BB40">
            <v>4752.583333333333</v>
          </cell>
          <cell r="BC40">
            <v>4168.4908416666667</v>
          </cell>
          <cell r="BD40">
            <v>584.09249166666666</v>
          </cell>
          <cell r="BE40">
            <v>0</v>
          </cell>
          <cell r="BF40">
            <v>0</v>
          </cell>
          <cell r="BG40">
            <v>0</v>
          </cell>
          <cell r="BI40">
            <v>4752.583333333333</v>
          </cell>
          <cell r="BJ40">
            <v>4168.4908416666667</v>
          </cell>
          <cell r="BK40">
            <v>584.09249166666666</v>
          </cell>
          <cell r="BL40">
            <v>0</v>
          </cell>
          <cell r="BM40">
            <v>0</v>
          </cell>
          <cell r="BN40">
            <v>0</v>
          </cell>
          <cell r="BP40">
            <v>4752.583333333333</v>
          </cell>
          <cell r="BQ40">
            <v>4168.4908416666667</v>
          </cell>
          <cell r="BR40">
            <v>584.09249166666666</v>
          </cell>
          <cell r="BS40">
            <v>0</v>
          </cell>
          <cell r="BT40">
            <v>0</v>
          </cell>
          <cell r="BU40">
            <v>0</v>
          </cell>
          <cell r="BW40">
            <v>4752.583333333333</v>
          </cell>
          <cell r="BX40">
            <v>4168.4908416666667</v>
          </cell>
          <cell r="BY40">
            <v>584.09249166666666</v>
          </cell>
          <cell r="BZ40">
            <v>0</v>
          </cell>
          <cell r="CA40">
            <v>0</v>
          </cell>
          <cell r="CB40">
            <v>0</v>
          </cell>
          <cell r="CD40">
            <v>4752.583333333333</v>
          </cell>
          <cell r="CE40">
            <v>4168.4908416666667</v>
          </cell>
          <cell r="CF40">
            <v>584.09249166666666</v>
          </cell>
          <cell r="CG40">
            <v>0</v>
          </cell>
          <cell r="CH40">
            <v>0</v>
          </cell>
          <cell r="CI40">
            <v>0</v>
          </cell>
          <cell r="CK40">
            <v>4752.583333333333</v>
          </cell>
          <cell r="CL40">
            <v>4168.4908416666667</v>
          </cell>
          <cell r="CM40">
            <v>584.09249166666666</v>
          </cell>
          <cell r="CN40">
            <v>0</v>
          </cell>
          <cell r="CO40">
            <v>0</v>
          </cell>
          <cell r="CP40">
            <v>0</v>
          </cell>
          <cell r="CS40">
            <v>10635</v>
          </cell>
          <cell r="CT40">
            <v>3682.36</v>
          </cell>
          <cell r="CU40">
            <v>5849.86</v>
          </cell>
          <cell r="CV40">
            <v>8199.86</v>
          </cell>
          <cell r="CW40"/>
          <cell r="CX40"/>
          <cell r="CY40"/>
          <cell r="CZ40"/>
          <cell r="DA40"/>
          <cell r="DB40"/>
          <cell r="DC40"/>
          <cell r="DD40"/>
        </row>
        <row r="41">
          <cell r="L41">
            <v>31330.491666666669</v>
          </cell>
          <cell r="M41">
            <v>27479.974240833333</v>
          </cell>
          <cell r="N41">
            <v>3850.5174258333336</v>
          </cell>
          <cell r="O41">
            <v>27479.974240833333</v>
          </cell>
          <cell r="P41">
            <v>3850.5174258333336</v>
          </cell>
          <cell r="Q41">
            <v>31330.491666666669</v>
          </cell>
          <cell r="S41">
            <v>31330.491666666669</v>
          </cell>
          <cell r="T41">
            <v>27479.974240833333</v>
          </cell>
          <cell r="U41">
            <v>3850.5174258333336</v>
          </cell>
          <cell r="V41">
            <v>27479.974240833333</v>
          </cell>
          <cell r="W41">
            <v>3850.5174258333336</v>
          </cell>
          <cell r="X41">
            <v>31330.491666666669</v>
          </cell>
          <cell r="Z41">
            <v>31330.491666666669</v>
          </cell>
          <cell r="AA41">
            <v>27479.974240833333</v>
          </cell>
          <cell r="AB41">
            <v>3850.5174258333336</v>
          </cell>
          <cell r="AC41">
            <v>27479.974240833333</v>
          </cell>
          <cell r="AD41">
            <v>3850.5174258333336</v>
          </cell>
          <cell r="AE41">
            <v>31330.491666666669</v>
          </cell>
          <cell r="AG41">
            <v>31330.491666666669</v>
          </cell>
          <cell r="AH41">
            <v>27479.974240833333</v>
          </cell>
          <cell r="AI41">
            <v>3850.5174258333336</v>
          </cell>
          <cell r="AJ41">
            <v>27479.974240833333</v>
          </cell>
          <cell r="AK41">
            <v>3850.5174258333336</v>
          </cell>
          <cell r="AL41">
            <v>31330.491666666669</v>
          </cell>
          <cell r="AN41">
            <v>31330.491666666669</v>
          </cell>
          <cell r="AO41">
            <v>27479.974240833333</v>
          </cell>
          <cell r="AP41">
            <v>3850.5174258333336</v>
          </cell>
          <cell r="AQ41">
            <v>0</v>
          </cell>
          <cell r="AR41">
            <v>0</v>
          </cell>
          <cell r="AS41"/>
          <cell r="AU41">
            <v>31330.491666666669</v>
          </cell>
          <cell r="AV41">
            <v>27479.974240833333</v>
          </cell>
          <cell r="AW41">
            <v>3850.5174258333336</v>
          </cell>
          <cell r="AX41">
            <v>0</v>
          </cell>
          <cell r="AY41">
            <v>0</v>
          </cell>
          <cell r="AZ41"/>
          <cell r="BB41">
            <v>31330.491666666669</v>
          </cell>
          <cell r="BC41">
            <v>27479.974240833333</v>
          </cell>
          <cell r="BD41">
            <v>3850.5174258333336</v>
          </cell>
          <cell r="BE41">
            <v>0</v>
          </cell>
          <cell r="BF41">
            <v>0</v>
          </cell>
          <cell r="BG41"/>
          <cell r="BI41">
            <v>31330.491666666669</v>
          </cell>
          <cell r="BJ41">
            <v>27479.974240833333</v>
          </cell>
          <cell r="BK41">
            <v>3850.5174258333336</v>
          </cell>
          <cell r="BL41">
            <v>0</v>
          </cell>
          <cell r="BM41">
            <v>0</v>
          </cell>
          <cell r="BN41"/>
          <cell r="BP41">
            <v>31330.491666666669</v>
          </cell>
          <cell r="BQ41">
            <v>27479.974240833333</v>
          </cell>
          <cell r="BR41">
            <v>3850.5174258333336</v>
          </cell>
          <cell r="BS41">
            <v>0</v>
          </cell>
          <cell r="BT41">
            <v>0</v>
          </cell>
          <cell r="BU41"/>
          <cell r="BW41">
            <v>31330.491666666669</v>
          </cell>
          <cell r="BX41">
            <v>27479.974240833333</v>
          </cell>
          <cell r="BY41">
            <v>3850.5174258333336</v>
          </cell>
          <cell r="BZ41">
            <v>0</v>
          </cell>
          <cell r="CA41">
            <v>0</v>
          </cell>
          <cell r="CB41"/>
          <cell r="CD41">
            <v>31330.491666666669</v>
          </cell>
          <cell r="CE41">
            <v>27479.974240833333</v>
          </cell>
          <cell r="CF41">
            <v>3850.5174258333336</v>
          </cell>
          <cell r="CG41">
            <v>0</v>
          </cell>
          <cell r="CH41">
            <v>0</v>
          </cell>
          <cell r="CI41"/>
          <cell r="CK41">
            <v>31330.491666666669</v>
          </cell>
          <cell r="CL41">
            <v>27479.974240833333</v>
          </cell>
          <cell r="CM41">
            <v>3850.5174258333336</v>
          </cell>
          <cell r="CN41">
            <v>0</v>
          </cell>
          <cell r="CO41">
            <v>0</v>
          </cell>
          <cell r="CP41"/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/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/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/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/>
        </row>
        <row r="43">
          <cell r="L43">
            <v>5059.0884000000005</v>
          </cell>
          <cell r="M43">
            <v>4437.3264356400005</v>
          </cell>
          <cell r="N43">
            <v>621.76196436000009</v>
          </cell>
          <cell r="O43">
            <v>5343.0301194781732</v>
          </cell>
          <cell r="P43">
            <v>748.66993693292375</v>
          </cell>
          <cell r="Q43">
            <v>6091.7000564110967</v>
          </cell>
          <cell r="S43">
            <v>5059.0884000000005</v>
          </cell>
          <cell r="T43">
            <v>4437.3264356400005</v>
          </cell>
          <cell r="U43">
            <v>621.76196436000009</v>
          </cell>
          <cell r="V43">
            <v>4561.8115097028385</v>
          </cell>
          <cell r="W43">
            <v>639.20491909985049</v>
          </cell>
          <cell r="X43">
            <v>5201.016428802689</v>
          </cell>
          <cell r="Z43">
            <v>5059.0884000000005</v>
          </cell>
          <cell r="AA43">
            <v>4437.3264356400005</v>
          </cell>
          <cell r="AB43">
            <v>621.76196436000009</v>
          </cell>
          <cell r="AC43">
            <v>4777.7522670027811</v>
          </cell>
          <cell r="AD43">
            <v>669.4627221692416</v>
          </cell>
          <cell r="AE43">
            <v>5447.2149891720228</v>
          </cell>
          <cell r="AG43">
            <v>5059.0884000000005</v>
          </cell>
          <cell r="AH43">
            <v>4437.3264356400005</v>
          </cell>
          <cell r="AI43">
            <v>621.76196436000009</v>
          </cell>
          <cell r="AJ43">
            <v>5184.5021978414907</v>
          </cell>
          <cell r="AK43">
            <v>726.45686935893184</v>
          </cell>
          <cell r="AL43">
            <v>5910.9590672004224</v>
          </cell>
          <cell r="AN43">
            <v>5059.0884000000005</v>
          </cell>
          <cell r="AO43">
            <v>4437.3264356400005</v>
          </cell>
          <cell r="AP43">
            <v>621.76196436000009</v>
          </cell>
          <cell r="AQ43">
            <v>0</v>
          </cell>
          <cell r="AR43">
            <v>0</v>
          </cell>
          <cell r="AS43">
            <v>0</v>
          </cell>
          <cell r="AU43">
            <v>5059.0884000000005</v>
          </cell>
          <cell r="AV43">
            <v>4437.3264356400005</v>
          </cell>
          <cell r="AW43">
            <v>621.76196436000009</v>
          </cell>
          <cell r="AX43">
            <v>0</v>
          </cell>
          <cell r="AY43">
            <v>0</v>
          </cell>
          <cell r="AZ43">
            <v>0</v>
          </cell>
          <cell r="BB43">
            <v>5059.0884000000005</v>
          </cell>
          <cell r="BC43">
            <v>4437.3264356400005</v>
          </cell>
          <cell r="BD43">
            <v>621.76196436000009</v>
          </cell>
          <cell r="BE43">
            <v>0</v>
          </cell>
          <cell r="BF43">
            <v>0</v>
          </cell>
          <cell r="BG43">
            <v>0</v>
          </cell>
          <cell r="BI43">
            <v>5059.0884000000005</v>
          </cell>
          <cell r="BJ43">
            <v>4437.3264356400005</v>
          </cell>
          <cell r="BK43">
            <v>621.76196436000009</v>
          </cell>
          <cell r="BL43">
            <v>0</v>
          </cell>
          <cell r="BM43">
            <v>0</v>
          </cell>
          <cell r="BN43">
            <v>0</v>
          </cell>
          <cell r="BP43">
            <v>5059.0884000000005</v>
          </cell>
          <cell r="BQ43">
            <v>4437.3264356400005</v>
          </cell>
          <cell r="BR43">
            <v>621.76196436000009</v>
          </cell>
          <cell r="BS43">
            <v>0</v>
          </cell>
          <cell r="BT43">
            <v>0</v>
          </cell>
          <cell r="BU43">
            <v>0</v>
          </cell>
          <cell r="BW43">
            <v>5059.0884000000005</v>
          </cell>
          <cell r="BX43">
            <v>4437.3264356400005</v>
          </cell>
          <cell r="BY43">
            <v>621.76196436000009</v>
          </cell>
          <cell r="BZ43">
            <v>0</v>
          </cell>
          <cell r="CA43">
            <v>0</v>
          </cell>
          <cell r="CB43">
            <v>0</v>
          </cell>
          <cell r="CD43">
            <v>5059.0884000000005</v>
          </cell>
          <cell r="CE43">
            <v>4437.3264356400005</v>
          </cell>
          <cell r="CF43">
            <v>621.76196436000009</v>
          </cell>
          <cell r="CG43">
            <v>0</v>
          </cell>
          <cell r="CH43">
            <v>0</v>
          </cell>
          <cell r="CI43">
            <v>0</v>
          </cell>
          <cell r="CK43">
            <v>5059.0884000000005</v>
          </cell>
          <cell r="CL43">
            <v>4437.3264356400005</v>
          </cell>
          <cell r="CM43">
            <v>621.76196436000009</v>
          </cell>
          <cell r="CN43">
            <v>0</v>
          </cell>
          <cell r="CO43">
            <v>0</v>
          </cell>
          <cell r="CP43">
            <v>0</v>
          </cell>
          <cell r="CS43">
            <v>13885.05</v>
          </cell>
          <cell r="CT43">
            <v>11854.88</v>
          </cell>
          <cell r="CU43">
            <v>12416.05</v>
          </cell>
          <cell r="CV43">
            <v>13473.08</v>
          </cell>
          <cell r="CW43"/>
          <cell r="CX43"/>
          <cell r="CY43"/>
          <cell r="CZ43"/>
          <cell r="DA43"/>
          <cell r="DB43"/>
          <cell r="DC43"/>
          <cell r="DD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</row>
        <row r="48">
          <cell r="L48">
            <v>3655.8333333333335</v>
          </cell>
          <cell r="M48">
            <v>3206.5314166666667</v>
          </cell>
          <cell r="N48">
            <v>449.30191666666667</v>
          </cell>
          <cell r="O48">
            <v>3245.76847784347</v>
          </cell>
          <cell r="P48">
            <v>454.7998471405341</v>
          </cell>
          <cell r="Q48">
            <v>3700.568324984004</v>
          </cell>
          <cell r="S48">
            <v>3655.8333333333335</v>
          </cell>
          <cell r="T48">
            <v>3206.5314166666667</v>
          </cell>
          <cell r="U48">
            <v>449.30191666666667</v>
          </cell>
          <cell r="V48">
            <v>745.67421547094204</v>
          </cell>
          <cell r="W48">
            <v>104.4845069905128</v>
          </cell>
          <cell r="X48">
            <v>850.15872246145489</v>
          </cell>
          <cell r="Z48">
            <v>3655.8333333333335</v>
          </cell>
          <cell r="AA48">
            <v>3206.5314166666667</v>
          </cell>
          <cell r="AB48">
            <v>449.30191666666667</v>
          </cell>
          <cell r="AC48">
            <v>566.68238900468725</v>
          </cell>
          <cell r="AD48">
            <v>79.404019619970427</v>
          </cell>
          <cell r="AE48">
            <v>646.08640862465768</v>
          </cell>
          <cell r="AG48">
            <v>3655.8333333333335</v>
          </cell>
          <cell r="AH48">
            <v>3206.5314166666667</v>
          </cell>
          <cell r="AI48">
            <v>449.30191666666667</v>
          </cell>
          <cell r="AJ48">
            <v>4133.239314048692</v>
          </cell>
          <cell r="AK48">
            <v>579.15301755396672</v>
          </cell>
          <cell r="AL48">
            <v>4712.3923316026585</v>
          </cell>
          <cell r="AN48">
            <v>3655.8333333333335</v>
          </cell>
          <cell r="AO48">
            <v>3206.5314166666667</v>
          </cell>
          <cell r="AP48">
            <v>449.30191666666667</v>
          </cell>
          <cell r="AQ48">
            <v>0</v>
          </cell>
          <cell r="AR48">
            <v>0</v>
          </cell>
          <cell r="AS48">
            <v>0</v>
          </cell>
          <cell r="AU48">
            <v>3655.8333333333335</v>
          </cell>
          <cell r="AV48">
            <v>3206.5314166666667</v>
          </cell>
          <cell r="AW48">
            <v>449.30191666666667</v>
          </cell>
          <cell r="AX48">
            <v>0</v>
          </cell>
          <cell r="AY48">
            <v>0</v>
          </cell>
          <cell r="AZ48">
            <v>0</v>
          </cell>
          <cell r="BB48">
            <v>3655.8333333333335</v>
          </cell>
          <cell r="BC48">
            <v>3206.5314166666667</v>
          </cell>
          <cell r="BD48">
            <v>449.30191666666667</v>
          </cell>
          <cell r="BE48">
            <v>0</v>
          </cell>
          <cell r="BF48">
            <v>0</v>
          </cell>
          <cell r="BG48">
            <v>0</v>
          </cell>
          <cell r="BI48">
            <v>3655.8333333333335</v>
          </cell>
          <cell r="BJ48">
            <v>3206.5314166666667</v>
          </cell>
          <cell r="BK48">
            <v>449.30191666666667</v>
          </cell>
          <cell r="BL48">
            <v>0</v>
          </cell>
          <cell r="BM48">
            <v>0</v>
          </cell>
          <cell r="BN48">
            <v>0</v>
          </cell>
          <cell r="BP48">
            <v>3655.8333333333335</v>
          </cell>
          <cell r="BQ48">
            <v>3206.5314166666667</v>
          </cell>
          <cell r="BR48">
            <v>449.30191666666667</v>
          </cell>
          <cell r="BS48">
            <v>0</v>
          </cell>
          <cell r="BT48">
            <v>0</v>
          </cell>
          <cell r="BU48">
            <v>0</v>
          </cell>
          <cell r="BW48">
            <v>3655.8333333333335</v>
          </cell>
          <cell r="BX48">
            <v>3206.5314166666667</v>
          </cell>
          <cell r="BY48">
            <v>449.30191666666667</v>
          </cell>
          <cell r="BZ48">
            <v>0</v>
          </cell>
          <cell r="CA48">
            <v>0</v>
          </cell>
          <cell r="CB48">
            <v>0</v>
          </cell>
          <cell r="CD48">
            <v>3655.8333333333335</v>
          </cell>
          <cell r="CE48">
            <v>3206.5314166666667</v>
          </cell>
          <cell r="CF48">
            <v>449.30191666666667</v>
          </cell>
          <cell r="CG48">
            <v>0</v>
          </cell>
          <cell r="CH48">
            <v>0</v>
          </cell>
          <cell r="CI48">
            <v>0</v>
          </cell>
          <cell r="CK48">
            <v>3655.8333333333335</v>
          </cell>
          <cell r="CL48">
            <v>3206.5314166666667</v>
          </cell>
          <cell r="CM48">
            <v>449.30191666666667</v>
          </cell>
          <cell r="CN48">
            <v>0</v>
          </cell>
          <cell r="CO48">
            <v>0</v>
          </cell>
          <cell r="CP48">
            <v>0</v>
          </cell>
          <cell r="CS48">
            <v>8434.85</v>
          </cell>
          <cell r="CT48">
            <v>1937.8</v>
          </cell>
          <cell r="CU48">
            <v>1472.65</v>
          </cell>
          <cell r="CV48">
            <v>10741.14</v>
          </cell>
          <cell r="CW48"/>
          <cell r="CX48"/>
          <cell r="CY48"/>
          <cell r="CZ48"/>
          <cell r="DA48"/>
          <cell r="DB48"/>
          <cell r="DC48"/>
          <cell r="DD48"/>
        </row>
        <row r="49">
          <cell r="L49">
            <v>5959.0083333333332</v>
          </cell>
          <cell r="M49">
            <v>5226.6462091666663</v>
          </cell>
          <cell r="N49">
            <v>732.3621241666666</v>
          </cell>
          <cell r="O49">
            <v>9353.0473273868593</v>
          </cell>
          <cell r="P49">
            <v>1310.5569678894594</v>
          </cell>
          <cell r="Q49">
            <v>10663.604295276318</v>
          </cell>
          <cell r="S49">
            <v>5959.0083333333332</v>
          </cell>
          <cell r="T49">
            <v>5226.6462091666663</v>
          </cell>
          <cell r="U49">
            <v>732.3621241666666</v>
          </cell>
          <cell r="V49">
            <v>6605.8546850357407</v>
          </cell>
          <cell r="W49">
            <v>925.61799200877044</v>
          </cell>
          <cell r="X49">
            <v>7531.4726770445113</v>
          </cell>
          <cell r="Z49">
            <v>5959.0083333333332</v>
          </cell>
          <cell r="AA49">
            <v>5226.6462091666663</v>
          </cell>
          <cell r="AB49">
            <v>732.3621241666666</v>
          </cell>
          <cell r="AC49">
            <v>12400.695345648652</v>
          </cell>
          <cell r="AD49">
            <v>1737.5960072742212</v>
          </cell>
          <cell r="AE49">
            <v>14138.291352922874</v>
          </cell>
          <cell r="AG49">
            <v>5959.0083333333332</v>
          </cell>
          <cell r="AH49">
            <v>5226.6462091666663</v>
          </cell>
          <cell r="AI49">
            <v>732.3621241666666</v>
          </cell>
          <cell r="AJ49">
            <v>4275.493852171976</v>
          </cell>
          <cell r="AK49">
            <v>599.0858447519505</v>
          </cell>
          <cell r="AL49">
            <v>4874.5796969239263</v>
          </cell>
          <cell r="AN49">
            <v>5959.0083333333332</v>
          </cell>
          <cell r="AO49">
            <v>5226.6462091666663</v>
          </cell>
          <cell r="AP49">
            <v>732.3621241666666</v>
          </cell>
          <cell r="AQ49">
            <v>0</v>
          </cell>
          <cell r="AR49">
            <v>0</v>
          </cell>
          <cell r="AS49">
            <v>0</v>
          </cell>
          <cell r="AU49">
            <v>5959.0083333333332</v>
          </cell>
          <cell r="AV49">
            <v>5226.6462091666663</v>
          </cell>
          <cell r="AW49">
            <v>732.3621241666666</v>
          </cell>
          <cell r="AX49">
            <v>0</v>
          </cell>
          <cell r="AY49">
            <v>0</v>
          </cell>
          <cell r="AZ49">
            <v>0</v>
          </cell>
          <cell r="BB49">
            <v>5959.0083333333332</v>
          </cell>
          <cell r="BC49">
            <v>5226.6462091666663</v>
          </cell>
          <cell r="BD49">
            <v>732.3621241666666</v>
          </cell>
          <cell r="BE49">
            <v>0</v>
          </cell>
          <cell r="BF49">
            <v>0</v>
          </cell>
          <cell r="BG49">
            <v>0</v>
          </cell>
          <cell r="BI49">
            <v>5959.0083333333332</v>
          </cell>
          <cell r="BJ49">
            <v>5226.6462091666663</v>
          </cell>
          <cell r="BK49">
            <v>732.3621241666666</v>
          </cell>
          <cell r="BL49">
            <v>0</v>
          </cell>
          <cell r="BM49">
            <v>0</v>
          </cell>
          <cell r="BN49">
            <v>0</v>
          </cell>
          <cell r="BP49">
            <v>5959.0083333333332</v>
          </cell>
          <cell r="BQ49">
            <v>5226.6462091666663</v>
          </cell>
          <cell r="BR49">
            <v>732.3621241666666</v>
          </cell>
          <cell r="BS49">
            <v>0</v>
          </cell>
          <cell r="BT49">
            <v>0</v>
          </cell>
          <cell r="BU49">
            <v>0</v>
          </cell>
          <cell r="BW49">
            <v>5959.0083333333332</v>
          </cell>
          <cell r="BX49">
            <v>5226.6462091666663</v>
          </cell>
          <cell r="BY49">
            <v>732.3621241666666</v>
          </cell>
          <cell r="BZ49">
            <v>0</v>
          </cell>
          <cell r="CA49">
            <v>0</v>
          </cell>
          <cell r="CB49">
            <v>0</v>
          </cell>
          <cell r="CD49">
            <v>5959.0083333333332</v>
          </cell>
          <cell r="CE49">
            <v>5226.6462091666663</v>
          </cell>
          <cell r="CF49">
            <v>732.3621241666666</v>
          </cell>
          <cell r="CG49">
            <v>0</v>
          </cell>
          <cell r="CH49">
            <v>0</v>
          </cell>
          <cell r="CI49">
            <v>0</v>
          </cell>
          <cell r="CK49">
            <v>5959.0083333333332</v>
          </cell>
          <cell r="CL49">
            <v>5226.6462091666663</v>
          </cell>
          <cell r="CM49">
            <v>732.3621241666666</v>
          </cell>
          <cell r="CN49">
            <v>0</v>
          </cell>
          <cell r="CO49">
            <v>0</v>
          </cell>
          <cell r="CP49">
            <v>0</v>
          </cell>
          <cell r="CS49">
            <v>24305.97</v>
          </cell>
          <cell r="CT49">
            <v>17166.78</v>
          </cell>
          <cell r="CU49">
            <v>32225.96</v>
          </cell>
          <cell r="CV49">
            <v>11110.820000000003</v>
          </cell>
          <cell r="CW49"/>
          <cell r="CX49"/>
          <cell r="CY49"/>
          <cell r="CZ49"/>
          <cell r="DA49"/>
          <cell r="DB49"/>
          <cell r="DC49"/>
          <cell r="DD49"/>
        </row>
        <row r="50">
          <cell r="L50">
            <v>602.20348999999999</v>
          </cell>
          <cell r="M50">
            <v>528.19268107899995</v>
          </cell>
          <cell r="N50">
            <v>74.010808920999992</v>
          </cell>
          <cell r="O50">
            <v>493.64648948131799</v>
          </cell>
          <cell r="P50">
            <v>69.170167092981387</v>
          </cell>
          <cell r="Q50">
            <v>562.81665657429937</v>
          </cell>
          <cell r="S50">
            <v>602.20348999999999</v>
          </cell>
          <cell r="T50">
            <v>528.19268107899995</v>
          </cell>
          <cell r="U50">
            <v>74.010808920999992</v>
          </cell>
          <cell r="V50">
            <v>550.47827030643077</v>
          </cell>
          <cell r="W50">
            <v>77.133484688929812</v>
          </cell>
          <cell r="X50">
            <v>627.61175499536057</v>
          </cell>
          <cell r="Z50">
            <v>602.20348999999999</v>
          </cell>
          <cell r="AA50">
            <v>528.19268107899995</v>
          </cell>
          <cell r="AB50">
            <v>74.010808920999992</v>
          </cell>
          <cell r="AC50">
            <v>1008.368722992641</v>
          </cell>
          <cell r="AD50">
            <v>141.29348541306072</v>
          </cell>
          <cell r="AE50">
            <v>1149.6622084057017</v>
          </cell>
          <cell r="AG50">
            <v>602.20348999999999</v>
          </cell>
          <cell r="AH50">
            <v>528.19268107899995</v>
          </cell>
          <cell r="AI50">
            <v>74.010808920999992</v>
          </cell>
          <cell r="AJ50">
            <v>466.83330993027295</v>
          </cell>
          <cell r="AK50">
            <v>65.413081507730638</v>
          </cell>
          <cell r="AL50">
            <v>532.24639143800357</v>
          </cell>
          <cell r="AN50">
            <v>602.20348999999999</v>
          </cell>
          <cell r="AO50">
            <v>528.19268107899995</v>
          </cell>
          <cell r="AP50">
            <v>74.010808920999992</v>
          </cell>
          <cell r="AQ50">
            <v>0</v>
          </cell>
          <cell r="AR50">
            <v>0</v>
          </cell>
          <cell r="AS50">
            <v>0</v>
          </cell>
          <cell r="AU50">
            <v>602.20348999999999</v>
          </cell>
          <cell r="AV50">
            <v>528.19268107899995</v>
          </cell>
          <cell r="AW50">
            <v>74.010808920999992</v>
          </cell>
          <cell r="AX50">
            <v>0</v>
          </cell>
          <cell r="AY50">
            <v>0</v>
          </cell>
          <cell r="AZ50">
            <v>0</v>
          </cell>
          <cell r="BB50">
            <v>602.20348999999999</v>
          </cell>
          <cell r="BC50">
            <v>528.19268107899995</v>
          </cell>
          <cell r="BD50">
            <v>74.010808920999992</v>
          </cell>
          <cell r="BE50">
            <v>0</v>
          </cell>
          <cell r="BF50">
            <v>0</v>
          </cell>
          <cell r="BG50">
            <v>0</v>
          </cell>
          <cell r="BI50">
            <v>602.20348999999999</v>
          </cell>
          <cell r="BJ50">
            <v>528.19268107899995</v>
          </cell>
          <cell r="BK50">
            <v>74.010808920999992</v>
          </cell>
          <cell r="BL50">
            <v>0</v>
          </cell>
          <cell r="BM50">
            <v>0</v>
          </cell>
          <cell r="BN50">
            <v>0</v>
          </cell>
          <cell r="BP50">
            <v>602.20348999999999</v>
          </cell>
          <cell r="BQ50">
            <v>528.19268107899995</v>
          </cell>
          <cell r="BR50">
            <v>74.010808920999992</v>
          </cell>
          <cell r="BS50">
            <v>0</v>
          </cell>
          <cell r="BT50">
            <v>0</v>
          </cell>
          <cell r="BU50">
            <v>0</v>
          </cell>
          <cell r="BW50">
            <v>602.20348999999999</v>
          </cell>
          <cell r="BX50">
            <v>528.19268107899995</v>
          </cell>
          <cell r="BY50">
            <v>74.010808920999992</v>
          </cell>
          <cell r="BZ50">
            <v>0</v>
          </cell>
          <cell r="CA50">
            <v>0</v>
          </cell>
          <cell r="CB50">
            <v>0</v>
          </cell>
          <cell r="CD50">
            <v>602.20348999999999</v>
          </cell>
          <cell r="CE50">
            <v>528.19268107899995</v>
          </cell>
          <cell r="CF50">
            <v>74.010808920999992</v>
          </cell>
          <cell r="CG50">
            <v>0</v>
          </cell>
          <cell r="CH50">
            <v>0</v>
          </cell>
          <cell r="CI50">
            <v>0</v>
          </cell>
          <cell r="CK50">
            <v>602.20348999999999</v>
          </cell>
          <cell r="CL50">
            <v>528.19268107899995</v>
          </cell>
          <cell r="CM50">
            <v>74.010808920999992</v>
          </cell>
          <cell r="CN50">
            <v>0</v>
          </cell>
          <cell r="CO50">
            <v>0</v>
          </cell>
          <cell r="CP50">
            <v>0</v>
          </cell>
          <cell r="CS50">
            <v>1282.8499999999999</v>
          </cell>
          <cell r="CT50">
            <v>1430.54</v>
          </cell>
          <cell r="CU50">
            <v>2620.4699999999998</v>
          </cell>
          <cell r="CV50">
            <v>1213.17</v>
          </cell>
          <cell r="CW50"/>
          <cell r="CX50"/>
          <cell r="CY50"/>
          <cell r="CZ50"/>
          <cell r="DA50"/>
          <cell r="DB50"/>
          <cell r="DC50"/>
          <cell r="DD50"/>
        </row>
        <row r="51">
          <cell r="L51">
            <v>452.62409671499989</v>
          </cell>
          <cell r="M51">
            <v>396.99659522872639</v>
          </cell>
          <cell r="N51">
            <v>55.627501486273488</v>
          </cell>
          <cell r="O51">
            <v>392.97008067046932</v>
          </cell>
          <cell r="P51">
            <v>55.063302832517017</v>
          </cell>
          <cell r="Q51">
            <v>448.03338350298634</v>
          </cell>
          <cell r="S51">
            <v>452.62409671499989</v>
          </cell>
          <cell r="T51">
            <v>396.99659522872639</v>
          </cell>
          <cell r="U51">
            <v>55.627501486273488</v>
          </cell>
          <cell r="V51">
            <v>382.73428021039757</v>
          </cell>
          <cell r="W51">
            <v>53.629053742854701</v>
          </cell>
          <cell r="X51">
            <v>436.36333395325227</v>
          </cell>
          <cell r="Z51">
            <v>452.62409671499989</v>
          </cell>
          <cell r="AA51">
            <v>396.99659522872639</v>
          </cell>
          <cell r="AB51">
            <v>55.627501486273488</v>
          </cell>
          <cell r="AC51">
            <v>355.97882133863857</v>
          </cell>
          <cell r="AD51">
            <v>49.880056028410308</v>
          </cell>
          <cell r="AE51">
            <v>405.85887736704888</v>
          </cell>
          <cell r="AG51">
            <v>452.62409671499989</v>
          </cell>
          <cell r="AH51">
            <v>396.99659522872639</v>
          </cell>
          <cell r="AI51">
            <v>55.627501486273488</v>
          </cell>
          <cell r="AJ51">
            <v>474.74489103775693</v>
          </cell>
          <cell r="AK51">
            <v>66.521658999589931</v>
          </cell>
          <cell r="AL51">
            <v>541.26655003734686</v>
          </cell>
          <cell r="AN51">
            <v>452.62409671499989</v>
          </cell>
          <cell r="AO51">
            <v>396.99659522872639</v>
          </cell>
          <cell r="AP51">
            <v>55.627501486273488</v>
          </cell>
          <cell r="AQ51">
            <v>0</v>
          </cell>
          <cell r="AR51">
            <v>0</v>
          </cell>
          <cell r="AS51">
            <v>0</v>
          </cell>
          <cell r="AU51">
            <v>452.62409671499989</v>
          </cell>
          <cell r="AV51">
            <v>396.99659522872639</v>
          </cell>
          <cell r="AW51">
            <v>55.627501486273488</v>
          </cell>
          <cell r="AX51">
            <v>0</v>
          </cell>
          <cell r="AY51">
            <v>0</v>
          </cell>
          <cell r="AZ51">
            <v>0</v>
          </cell>
          <cell r="BB51">
            <v>452.62409671499989</v>
          </cell>
          <cell r="BC51">
            <v>396.99659522872639</v>
          </cell>
          <cell r="BD51">
            <v>55.627501486273488</v>
          </cell>
          <cell r="BE51">
            <v>0</v>
          </cell>
          <cell r="BF51">
            <v>0</v>
          </cell>
          <cell r="BG51">
            <v>0</v>
          </cell>
          <cell r="BI51">
            <v>452.62409671499989</v>
          </cell>
          <cell r="BJ51">
            <v>396.99659522872639</v>
          </cell>
          <cell r="BK51">
            <v>55.627501486273488</v>
          </cell>
          <cell r="BL51">
            <v>0</v>
          </cell>
          <cell r="BM51">
            <v>0</v>
          </cell>
          <cell r="BN51">
            <v>0</v>
          </cell>
          <cell r="BP51">
            <v>452.62409671499989</v>
          </cell>
          <cell r="BQ51">
            <v>396.99659522872639</v>
          </cell>
          <cell r="BR51">
            <v>55.627501486273488</v>
          </cell>
          <cell r="BS51">
            <v>0</v>
          </cell>
          <cell r="BT51">
            <v>0</v>
          </cell>
          <cell r="BU51">
            <v>0</v>
          </cell>
          <cell r="BW51">
            <v>452.62409671499989</v>
          </cell>
          <cell r="BX51">
            <v>396.99659522872639</v>
          </cell>
          <cell r="BY51">
            <v>55.627501486273488</v>
          </cell>
          <cell r="BZ51">
            <v>0</v>
          </cell>
          <cell r="CA51">
            <v>0</v>
          </cell>
          <cell r="CB51">
            <v>0</v>
          </cell>
          <cell r="CD51">
            <v>452.62409671499989</v>
          </cell>
          <cell r="CE51">
            <v>396.99659522872639</v>
          </cell>
          <cell r="CF51">
            <v>55.627501486273488</v>
          </cell>
          <cell r="CG51">
            <v>0</v>
          </cell>
          <cell r="CH51">
            <v>0</v>
          </cell>
          <cell r="CI51">
            <v>0</v>
          </cell>
          <cell r="CK51">
            <v>452.62409671499989</v>
          </cell>
          <cell r="CL51">
            <v>396.99659522872639</v>
          </cell>
          <cell r="CM51">
            <v>55.627501486273488</v>
          </cell>
          <cell r="CN51">
            <v>0</v>
          </cell>
          <cell r="CO51">
            <v>0</v>
          </cell>
          <cell r="CP51">
            <v>0</v>
          </cell>
          <cell r="CS51">
            <v>1021.22</v>
          </cell>
          <cell r="CT51">
            <v>994.62</v>
          </cell>
          <cell r="CU51">
            <v>925.09</v>
          </cell>
          <cell r="CV51">
            <v>1233.73</v>
          </cell>
          <cell r="CW51"/>
          <cell r="CX51"/>
          <cell r="CY51"/>
          <cell r="CZ51"/>
          <cell r="DA51"/>
          <cell r="DB51"/>
          <cell r="DC51"/>
          <cell r="DD51"/>
        </row>
        <row r="52">
          <cell r="L52">
            <v>1462.3333333333333</v>
          </cell>
          <cell r="M52">
            <v>1282.6125666666667</v>
          </cell>
          <cell r="N52">
            <v>179.72076666666666</v>
          </cell>
          <cell r="O52">
            <v>798.69643146317105</v>
          </cell>
          <cell r="P52">
            <v>111.91402511324104</v>
          </cell>
          <cell r="Q52">
            <v>910.61045657641205</v>
          </cell>
          <cell r="S52">
            <v>1462.3333333333333</v>
          </cell>
          <cell r="T52">
            <v>1282.6125666666667</v>
          </cell>
          <cell r="U52">
            <v>179.72076666666666</v>
          </cell>
          <cell r="V52">
            <v>534.22797506474535</v>
          </cell>
          <cell r="W52">
            <v>74.856479461244106</v>
          </cell>
          <cell r="X52">
            <v>609.08445452598949</v>
          </cell>
          <cell r="Z52">
            <v>1462.3333333333333</v>
          </cell>
          <cell r="AA52">
            <v>1282.6125666666667</v>
          </cell>
          <cell r="AB52">
            <v>179.72076666666666</v>
          </cell>
          <cell r="AC52">
            <v>2453.1019333430554</v>
          </cell>
          <cell r="AD52">
            <v>343.7307349308648</v>
          </cell>
          <cell r="AE52">
            <v>2796.8326682739203</v>
          </cell>
          <cell r="AG52">
            <v>1462.3333333333333</v>
          </cell>
          <cell r="AH52">
            <v>1282.6125666666667</v>
          </cell>
          <cell r="AI52">
            <v>179.72076666666666</v>
          </cell>
          <cell r="AJ52">
            <v>1599.2976453427839</v>
          </cell>
          <cell r="AK52">
            <v>224.09494996309215</v>
          </cell>
          <cell r="AL52">
            <v>1823.3925953058761</v>
          </cell>
          <cell r="AN52">
            <v>1462.3333333333333</v>
          </cell>
          <cell r="AO52">
            <v>1282.6125666666667</v>
          </cell>
          <cell r="AP52">
            <v>179.72076666666666</v>
          </cell>
          <cell r="AQ52">
            <v>0</v>
          </cell>
          <cell r="AR52">
            <v>0</v>
          </cell>
          <cell r="AS52">
            <v>0</v>
          </cell>
          <cell r="AU52">
            <v>1462.3333333333333</v>
          </cell>
          <cell r="AV52">
            <v>1282.6125666666667</v>
          </cell>
          <cell r="AW52">
            <v>179.72076666666666</v>
          </cell>
          <cell r="AX52">
            <v>0</v>
          </cell>
          <cell r="AY52">
            <v>0</v>
          </cell>
          <cell r="AZ52">
            <v>0</v>
          </cell>
          <cell r="BB52">
            <v>1462.3333333333333</v>
          </cell>
          <cell r="BC52">
            <v>1282.6125666666667</v>
          </cell>
          <cell r="BD52">
            <v>179.72076666666666</v>
          </cell>
          <cell r="BE52">
            <v>0</v>
          </cell>
          <cell r="BF52">
            <v>0</v>
          </cell>
          <cell r="BG52">
            <v>0</v>
          </cell>
          <cell r="BI52">
            <v>1462.3333333333333</v>
          </cell>
          <cell r="BJ52">
            <v>1282.6125666666667</v>
          </cell>
          <cell r="BK52">
            <v>179.72076666666666</v>
          </cell>
          <cell r="BL52">
            <v>0</v>
          </cell>
          <cell r="BM52">
            <v>0</v>
          </cell>
          <cell r="BN52">
            <v>0</v>
          </cell>
          <cell r="BP52">
            <v>1462.3333333333333</v>
          </cell>
          <cell r="BQ52">
            <v>1282.6125666666667</v>
          </cell>
          <cell r="BR52">
            <v>179.72076666666666</v>
          </cell>
          <cell r="BS52">
            <v>0</v>
          </cell>
          <cell r="BT52">
            <v>0</v>
          </cell>
          <cell r="BU52">
            <v>0</v>
          </cell>
          <cell r="BW52">
            <v>1462.3333333333333</v>
          </cell>
          <cell r="BX52">
            <v>1282.6125666666667</v>
          </cell>
          <cell r="BY52">
            <v>179.72076666666666</v>
          </cell>
          <cell r="BZ52">
            <v>0</v>
          </cell>
          <cell r="CA52">
            <v>0</v>
          </cell>
          <cell r="CB52">
            <v>0</v>
          </cell>
          <cell r="CD52">
            <v>1462.3333333333333</v>
          </cell>
          <cell r="CE52">
            <v>1282.6125666666667</v>
          </cell>
          <cell r="CF52">
            <v>179.72076666666666</v>
          </cell>
          <cell r="CG52">
            <v>0</v>
          </cell>
          <cell r="CH52">
            <v>0</v>
          </cell>
          <cell r="CI52">
            <v>0</v>
          </cell>
          <cell r="CK52">
            <v>1462.3333333333333</v>
          </cell>
          <cell r="CL52">
            <v>1282.6125666666667</v>
          </cell>
          <cell r="CM52">
            <v>179.72076666666666</v>
          </cell>
          <cell r="CN52">
            <v>0</v>
          </cell>
          <cell r="CO52">
            <v>0</v>
          </cell>
          <cell r="CP52">
            <v>0</v>
          </cell>
          <cell r="CS52">
            <v>2075.59</v>
          </cell>
          <cell r="CT52">
            <v>1388.31</v>
          </cell>
          <cell r="CU52">
            <v>6374.93</v>
          </cell>
          <cell r="CV52">
            <v>4156.13</v>
          </cell>
          <cell r="CW52"/>
          <cell r="CX52"/>
          <cell r="CY52"/>
          <cell r="CZ52"/>
          <cell r="DA52"/>
          <cell r="DB52"/>
          <cell r="DC52"/>
          <cell r="DD52"/>
        </row>
        <row r="53">
          <cell r="L53">
            <v>1279.5416666666665</v>
          </cell>
          <cell r="M53">
            <v>1122.2859958333331</v>
          </cell>
          <cell r="N53">
            <v>157.25567083333331</v>
          </cell>
          <cell r="O53">
            <v>0</v>
          </cell>
          <cell r="P53">
            <v>0</v>
          </cell>
          <cell r="Q53">
            <v>0</v>
          </cell>
          <cell r="S53">
            <v>1279.5416666666665</v>
          </cell>
          <cell r="T53">
            <v>1122.2859958333331</v>
          </cell>
          <cell r="U53">
            <v>157.25567083333331</v>
          </cell>
          <cell r="V53">
            <v>41.493472316148043</v>
          </cell>
          <cell r="W53">
            <v>5.8141007270033001</v>
          </cell>
          <cell r="X53">
            <v>47.307573043151343</v>
          </cell>
          <cell r="Z53">
            <v>1279.5416666666665</v>
          </cell>
          <cell r="AA53">
            <v>1122.2859958333331</v>
          </cell>
          <cell r="AB53">
            <v>157.25567083333331</v>
          </cell>
          <cell r="AC53">
            <v>169.3139925726156</v>
          </cell>
          <cell r="AD53">
            <v>23.724421032008273</v>
          </cell>
          <cell r="AE53">
            <v>193.03841360462388</v>
          </cell>
          <cell r="AG53">
            <v>1279.5416666666665</v>
          </cell>
          <cell r="AH53">
            <v>1122.2859958333331</v>
          </cell>
          <cell r="AI53">
            <v>157.25567083333331</v>
          </cell>
          <cell r="AJ53">
            <v>0</v>
          </cell>
          <cell r="AK53">
            <v>0</v>
          </cell>
          <cell r="AL53">
            <v>0</v>
          </cell>
          <cell r="AN53">
            <v>1279.5416666666665</v>
          </cell>
          <cell r="AO53">
            <v>1122.2859958333331</v>
          </cell>
          <cell r="AP53">
            <v>157.25567083333331</v>
          </cell>
          <cell r="AQ53">
            <v>0</v>
          </cell>
          <cell r="AR53">
            <v>0</v>
          </cell>
          <cell r="AS53">
            <v>0</v>
          </cell>
          <cell r="AU53">
            <v>1279.5416666666665</v>
          </cell>
          <cell r="AV53">
            <v>1122.2859958333331</v>
          </cell>
          <cell r="AW53">
            <v>157.25567083333331</v>
          </cell>
          <cell r="AX53">
            <v>0</v>
          </cell>
          <cell r="AY53">
            <v>0</v>
          </cell>
          <cell r="AZ53">
            <v>0</v>
          </cell>
          <cell r="BB53">
            <v>1279.5416666666665</v>
          </cell>
          <cell r="BC53">
            <v>1122.2859958333331</v>
          </cell>
          <cell r="BD53">
            <v>157.25567083333331</v>
          </cell>
          <cell r="BE53">
            <v>0</v>
          </cell>
          <cell r="BF53">
            <v>0</v>
          </cell>
          <cell r="BG53">
            <v>0</v>
          </cell>
          <cell r="BI53">
            <v>1279.5416666666665</v>
          </cell>
          <cell r="BJ53">
            <v>1122.2859958333331</v>
          </cell>
          <cell r="BK53">
            <v>157.25567083333331</v>
          </cell>
          <cell r="BL53">
            <v>0</v>
          </cell>
          <cell r="BM53">
            <v>0</v>
          </cell>
          <cell r="BN53">
            <v>0</v>
          </cell>
          <cell r="BP53">
            <v>1279.5416666666665</v>
          </cell>
          <cell r="BQ53">
            <v>1122.2859958333331</v>
          </cell>
          <cell r="BR53">
            <v>157.25567083333331</v>
          </cell>
          <cell r="BS53">
            <v>0</v>
          </cell>
          <cell r="BT53">
            <v>0</v>
          </cell>
          <cell r="BU53">
            <v>0</v>
          </cell>
          <cell r="BW53">
            <v>1279.5416666666665</v>
          </cell>
          <cell r="BX53">
            <v>1122.2859958333331</v>
          </cell>
          <cell r="BY53">
            <v>157.25567083333331</v>
          </cell>
          <cell r="BZ53">
            <v>0</v>
          </cell>
          <cell r="CA53">
            <v>0</v>
          </cell>
          <cell r="CB53">
            <v>0</v>
          </cell>
          <cell r="CD53">
            <v>1279.5416666666665</v>
          </cell>
          <cell r="CE53">
            <v>1122.2859958333331</v>
          </cell>
          <cell r="CF53">
            <v>157.25567083333331</v>
          </cell>
          <cell r="CG53">
            <v>0</v>
          </cell>
          <cell r="CH53">
            <v>0</v>
          </cell>
          <cell r="CI53">
            <v>0</v>
          </cell>
          <cell r="CK53">
            <v>1279.5416666666665</v>
          </cell>
          <cell r="CL53">
            <v>1122.2859958333331</v>
          </cell>
          <cell r="CM53">
            <v>157.25567083333331</v>
          </cell>
          <cell r="CN53">
            <v>0</v>
          </cell>
          <cell r="CO53">
            <v>0</v>
          </cell>
          <cell r="CP53">
            <v>0</v>
          </cell>
          <cell r="CS53"/>
          <cell r="CT53">
            <v>107.83</v>
          </cell>
          <cell r="CU53">
            <v>440</v>
          </cell>
          <cell r="CV53"/>
          <cell r="CW53"/>
          <cell r="CX53"/>
          <cell r="CY53"/>
          <cell r="CZ53"/>
          <cell r="DA53"/>
          <cell r="DB53"/>
          <cell r="DC53"/>
          <cell r="DD53"/>
        </row>
        <row r="54">
          <cell r="L54">
            <v>21953.607412289264</v>
          </cell>
          <cell r="M54">
            <v>19255.509061318913</v>
          </cell>
          <cell r="N54">
            <v>2698.0983509703506</v>
          </cell>
          <cell r="O54">
            <v>0</v>
          </cell>
          <cell r="P54">
            <v>0</v>
          </cell>
          <cell r="Q54">
            <v>0</v>
          </cell>
          <cell r="S54">
            <v>21953.607412289264</v>
          </cell>
          <cell r="T54">
            <v>19255.509061318913</v>
          </cell>
          <cell r="U54">
            <v>2698.0983509703506</v>
          </cell>
          <cell r="V54">
            <v>20623.464027345301</v>
          </cell>
          <cell r="W54">
            <v>2889.7773674161867</v>
          </cell>
          <cell r="X54">
            <v>23513.241394761488</v>
          </cell>
          <cell r="Z54">
            <v>21953.607412289264</v>
          </cell>
          <cell r="AA54">
            <v>19255.509061318913</v>
          </cell>
          <cell r="AB54">
            <v>2698.0983509703506</v>
          </cell>
          <cell r="AC54">
            <v>18445.127694643634</v>
          </cell>
          <cell r="AD54">
            <v>2584.5470227701544</v>
          </cell>
          <cell r="AE54">
            <v>21029.674717413789</v>
          </cell>
          <cell r="AG54">
            <v>21953.607412289264</v>
          </cell>
          <cell r="AH54">
            <v>19255.509061318913</v>
          </cell>
          <cell r="AI54">
            <v>2698.0983509703506</v>
          </cell>
          <cell r="AJ54">
            <v>0</v>
          </cell>
          <cell r="AK54">
            <v>0</v>
          </cell>
          <cell r="AL54">
            <v>0</v>
          </cell>
          <cell r="AN54">
            <v>21953.607412289264</v>
          </cell>
          <cell r="AO54">
            <v>19255.509061318913</v>
          </cell>
          <cell r="AP54">
            <v>2698.0983509703506</v>
          </cell>
          <cell r="AQ54">
            <v>0</v>
          </cell>
          <cell r="AR54">
            <v>0</v>
          </cell>
          <cell r="AS54">
            <v>0</v>
          </cell>
          <cell r="AU54">
            <v>21953.607412289264</v>
          </cell>
          <cell r="AV54">
            <v>19255.509061318913</v>
          </cell>
          <cell r="AW54">
            <v>2698.0983509703506</v>
          </cell>
          <cell r="AX54">
            <v>0</v>
          </cell>
          <cell r="AY54">
            <v>0</v>
          </cell>
          <cell r="AZ54">
            <v>0</v>
          </cell>
          <cell r="BB54">
            <v>21953.607412289264</v>
          </cell>
          <cell r="BC54">
            <v>19255.509061318913</v>
          </cell>
          <cell r="BD54">
            <v>2698.0983509703506</v>
          </cell>
          <cell r="BE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S54"/>
          <cell r="CT54">
            <v>53594.649999999994</v>
          </cell>
          <cell r="CU54">
            <v>47933.759415439097</v>
          </cell>
          <cell r="CV54"/>
          <cell r="CW54"/>
          <cell r="CX54"/>
          <cell r="CY54"/>
          <cell r="CZ54"/>
          <cell r="DA54"/>
          <cell r="DB54"/>
          <cell r="DC54"/>
          <cell r="DD54"/>
        </row>
        <row r="56">
          <cell r="L56">
            <v>-14062.479165224913</v>
          </cell>
          <cell r="M56">
            <v>-12334.200475818772</v>
          </cell>
          <cell r="N56">
            <v>-1728.2786894061417</v>
          </cell>
          <cell r="O56">
            <v>0</v>
          </cell>
          <cell r="P56">
            <v>0</v>
          </cell>
          <cell r="Q56">
            <v>0</v>
          </cell>
          <cell r="S56">
            <v>-14062.479165224913</v>
          </cell>
          <cell r="T56">
            <v>-12334.200475818772</v>
          </cell>
          <cell r="U56">
            <v>-1728.2786894061417</v>
          </cell>
          <cell r="V56">
            <v>-44849.548860152572</v>
          </cell>
          <cell r="W56">
            <v>-6284.3570344461878</v>
          </cell>
          <cell r="X56">
            <v>-51133.905894598764</v>
          </cell>
          <cell r="Z56">
            <v>-14062.479165224913</v>
          </cell>
          <cell r="AA56">
            <v>-12334.200475818772</v>
          </cell>
          <cell r="AB56">
            <v>-1728.2786894061417</v>
          </cell>
          <cell r="AC56">
            <v>6185.7520370555094</v>
          </cell>
          <cell r="AD56">
            <v>866.75285070587404</v>
          </cell>
          <cell r="AE56">
            <v>7052.5048877613835</v>
          </cell>
          <cell r="AG56">
            <v>-14062.479165224913</v>
          </cell>
          <cell r="AH56">
            <v>-12334.200475818772</v>
          </cell>
          <cell r="AI56">
            <v>-1728.2786894061417</v>
          </cell>
          <cell r="AJ56">
            <v>-75445.306902492652</v>
          </cell>
          <cell r="AK56">
            <v>-10571.460743719468</v>
          </cell>
          <cell r="AL56">
            <v>-86016.767646212116</v>
          </cell>
          <cell r="AN56">
            <v>-14062.479165224913</v>
          </cell>
          <cell r="AO56">
            <v>-12334.200475818772</v>
          </cell>
          <cell r="AP56">
            <v>-1728.2786894061417</v>
          </cell>
          <cell r="AQ56">
            <v>0</v>
          </cell>
          <cell r="AR56">
            <v>0</v>
          </cell>
          <cell r="AS56">
            <v>0</v>
          </cell>
          <cell r="AU56">
            <v>-14062.479165224913</v>
          </cell>
          <cell r="AV56">
            <v>-12334.200475818772</v>
          </cell>
          <cell r="AW56">
            <v>-1728.2786894061417</v>
          </cell>
          <cell r="AX56">
            <v>0</v>
          </cell>
          <cell r="AY56">
            <v>0</v>
          </cell>
          <cell r="AZ56">
            <v>0</v>
          </cell>
          <cell r="BB56">
            <v>-14062.479165224913</v>
          </cell>
          <cell r="BC56">
            <v>-12334.200475818772</v>
          </cell>
          <cell r="BD56">
            <v>-1728.2786894061417</v>
          </cell>
          <cell r="BE56">
            <v>0</v>
          </cell>
          <cell r="BF56">
            <v>0</v>
          </cell>
          <cell r="BG56">
            <v>0</v>
          </cell>
          <cell r="BI56">
            <v>-14062.479165224913</v>
          </cell>
          <cell r="BJ56">
            <v>-12334.200475818772</v>
          </cell>
          <cell r="BK56">
            <v>-1728.2786894061417</v>
          </cell>
          <cell r="BL56">
            <v>0</v>
          </cell>
          <cell r="BM56">
            <v>0</v>
          </cell>
          <cell r="BN56">
            <v>0</v>
          </cell>
          <cell r="BP56">
            <v>-14062.479165224913</v>
          </cell>
          <cell r="BQ56">
            <v>-12334.200475818772</v>
          </cell>
          <cell r="BR56">
            <v>-1728.2786894061417</v>
          </cell>
          <cell r="BS56">
            <v>0</v>
          </cell>
          <cell r="BT56">
            <v>0</v>
          </cell>
          <cell r="BU56">
            <v>0</v>
          </cell>
          <cell r="BW56">
            <v>-14062.479165224913</v>
          </cell>
          <cell r="BX56">
            <v>-12334.200475818772</v>
          </cell>
          <cell r="BY56">
            <v>-1728.2786894061417</v>
          </cell>
          <cell r="BZ56">
            <v>0</v>
          </cell>
          <cell r="CA56">
            <v>0</v>
          </cell>
          <cell r="CB56">
            <v>0</v>
          </cell>
          <cell r="CD56">
            <v>-14062.479165224913</v>
          </cell>
          <cell r="CE56">
            <v>-12334.200475818772</v>
          </cell>
          <cell r="CF56">
            <v>-1728.2786894061417</v>
          </cell>
          <cell r="CG56">
            <v>0</v>
          </cell>
          <cell r="CH56">
            <v>0</v>
          </cell>
          <cell r="CI56">
            <v>0</v>
          </cell>
          <cell r="CK56">
            <v>-14062.479165224913</v>
          </cell>
          <cell r="CL56">
            <v>-12334.200475818772</v>
          </cell>
          <cell r="CM56">
            <v>-1728.2786894061417</v>
          </cell>
          <cell r="CN56">
            <v>0</v>
          </cell>
          <cell r="CO56">
            <v>0</v>
          </cell>
          <cell r="CP56">
            <v>0</v>
          </cell>
          <cell r="CS56"/>
          <cell r="CT56">
            <v>-116551.51</v>
          </cell>
          <cell r="CU56">
            <v>16075.05</v>
          </cell>
          <cell r="CV56">
            <v>-196061.38</v>
          </cell>
          <cell r="CW56"/>
          <cell r="CX56"/>
          <cell r="CY56"/>
          <cell r="CZ56"/>
          <cell r="DA56"/>
          <cell r="DB56"/>
          <cell r="DC56"/>
          <cell r="DD56"/>
        </row>
        <row r="57">
          <cell r="L57">
            <v>-4687.4930550749705</v>
          </cell>
          <cell r="M57">
            <v>-4111.4001586062568</v>
          </cell>
          <cell r="N57">
            <v>-576.09289646871389</v>
          </cell>
          <cell r="O57">
            <v>-16211.722435741085</v>
          </cell>
          <cell r="P57">
            <v>-2271.6003732215022</v>
          </cell>
          <cell r="Q57">
            <v>-18483.322808962588</v>
          </cell>
          <cell r="S57">
            <v>-4687.4930550749705</v>
          </cell>
          <cell r="T57">
            <v>-4111.4001586062568</v>
          </cell>
          <cell r="U57">
            <v>-576.09289646871389</v>
          </cell>
          <cell r="V57">
            <v>-2395.300445105936</v>
          </cell>
          <cell r="W57">
            <v>-335.63154110536942</v>
          </cell>
          <cell r="X57">
            <v>-2730.9319862113052</v>
          </cell>
          <cell r="Z57">
            <v>-4687.4930550749705</v>
          </cell>
          <cell r="AA57">
            <v>-4111.4001586062568</v>
          </cell>
          <cell r="AB57">
            <v>-576.09289646871389</v>
          </cell>
          <cell r="AC57">
            <v>-10531.35727433369</v>
          </cell>
          <cell r="AD57">
            <v>-1475.6627625306241</v>
          </cell>
          <cell r="AE57">
            <v>-12007.020036864315</v>
          </cell>
          <cell r="AG57">
            <v>-4687.4930550749705</v>
          </cell>
          <cell r="AH57">
            <v>-4111.4001586062568</v>
          </cell>
          <cell r="AI57">
            <v>-576.09289646871389</v>
          </cell>
          <cell r="AJ57">
            <v>0</v>
          </cell>
          <cell r="AK57">
            <v>0</v>
          </cell>
          <cell r="AL57">
            <v>0</v>
          </cell>
          <cell r="AN57">
            <v>-4687.4930550749705</v>
          </cell>
          <cell r="AO57">
            <v>-4111.4001586062568</v>
          </cell>
          <cell r="AP57">
            <v>-576.09289646871389</v>
          </cell>
          <cell r="AQ57">
            <v>0</v>
          </cell>
          <cell r="AR57">
            <v>0</v>
          </cell>
          <cell r="AS57">
            <v>0</v>
          </cell>
          <cell r="AU57">
            <v>-4687.4930550749705</v>
          </cell>
          <cell r="AV57">
            <v>-4111.4001586062568</v>
          </cell>
          <cell r="AW57">
            <v>-576.09289646871389</v>
          </cell>
          <cell r="AX57">
            <v>0</v>
          </cell>
          <cell r="AY57">
            <v>0</v>
          </cell>
          <cell r="AZ57">
            <v>0</v>
          </cell>
          <cell r="BB57">
            <v>-4687.4930550749705</v>
          </cell>
          <cell r="BC57">
            <v>-4111.4001586062568</v>
          </cell>
          <cell r="BD57">
            <v>-576.09289646871389</v>
          </cell>
          <cell r="BE57">
            <v>0</v>
          </cell>
          <cell r="BF57">
            <v>0</v>
          </cell>
          <cell r="BG57">
            <v>0</v>
          </cell>
          <cell r="BI57">
            <v>-4687.4930550749705</v>
          </cell>
          <cell r="BJ57">
            <v>-4111.4001586062568</v>
          </cell>
          <cell r="BK57">
            <v>-576.09289646871389</v>
          </cell>
          <cell r="BL57">
            <v>0</v>
          </cell>
          <cell r="BM57">
            <v>0</v>
          </cell>
          <cell r="BN57">
            <v>0</v>
          </cell>
          <cell r="BP57">
            <v>-4687.4930550749705</v>
          </cell>
          <cell r="BQ57">
            <v>-4111.4001586062568</v>
          </cell>
          <cell r="BR57">
            <v>-576.09289646871389</v>
          </cell>
          <cell r="BS57">
            <v>0</v>
          </cell>
          <cell r="BT57">
            <v>0</v>
          </cell>
          <cell r="BU57">
            <v>0</v>
          </cell>
          <cell r="BW57">
            <v>-4687.4930550749705</v>
          </cell>
          <cell r="BX57">
            <v>-4111.4001586062568</v>
          </cell>
          <cell r="BY57">
            <v>-576.09289646871389</v>
          </cell>
          <cell r="BZ57">
            <v>0</v>
          </cell>
          <cell r="CA57">
            <v>0</v>
          </cell>
          <cell r="CB57">
            <v>0</v>
          </cell>
          <cell r="CD57">
            <v>-4687.4930550749705</v>
          </cell>
          <cell r="CE57">
            <v>-4111.4001586062568</v>
          </cell>
          <cell r="CF57">
            <v>-576.09289646871389</v>
          </cell>
          <cell r="CG57">
            <v>0</v>
          </cell>
          <cell r="CH57">
            <v>0</v>
          </cell>
          <cell r="CI57">
            <v>0</v>
          </cell>
          <cell r="CK57">
            <v>-4687.4930550749705</v>
          </cell>
          <cell r="CL57">
            <v>-4111.4001586062568</v>
          </cell>
          <cell r="CM57">
            <v>-576.09289646871389</v>
          </cell>
          <cell r="CN57">
            <v>0</v>
          </cell>
          <cell r="CO57">
            <v>0</v>
          </cell>
          <cell r="CP57">
            <v>0</v>
          </cell>
          <cell r="CS57">
            <v>-42129.760000000002</v>
          </cell>
          <cell r="CT57">
            <v>-6224.72</v>
          </cell>
          <cell r="CU57">
            <v>-27368.07</v>
          </cell>
          <cell r="CV57"/>
          <cell r="CW57"/>
          <cell r="CX57"/>
          <cell r="CY57"/>
          <cell r="CZ57"/>
          <cell r="DA57"/>
          <cell r="DB57"/>
          <cell r="DC57"/>
          <cell r="DD57"/>
        </row>
      </sheetData>
      <sheetData sheetId="3">
        <row r="4">
          <cell r="L4">
            <v>11403.11263455</v>
          </cell>
          <cell r="M4">
            <v>10001.670091763805</v>
          </cell>
          <cell r="N4">
            <v>1401.442542786195</v>
          </cell>
          <cell r="O4">
            <v>8571.9122144116463</v>
          </cell>
          <cell r="P4"/>
          <cell r="Q4">
            <v>8571.9122144116463</v>
          </cell>
          <cell r="S4">
            <v>18081.987634549998</v>
          </cell>
          <cell r="T4">
            <v>15859.711354263804</v>
          </cell>
          <cell r="U4">
            <v>2222.2762802861948</v>
          </cell>
          <cell r="V4">
            <v>12043.359442386722</v>
          </cell>
          <cell r="W4"/>
          <cell r="X4">
            <v>12043.359442386722</v>
          </cell>
          <cell r="Z4">
            <v>11403.11263455</v>
          </cell>
          <cell r="AA4">
            <v>10001.670091763805</v>
          </cell>
          <cell r="AB4">
            <v>1401.442542786195</v>
          </cell>
          <cell r="AC4">
            <v>8885.016809322562</v>
          </cell>
          <cell r="AD4"/>
          <cell r="AE4">
            <v>8885.016809322562</v>
          </cell>
          <cell r="AG4">
            <v>11403.11263455</v>
          </cell>
          <cell r="AH4">
            <v>10001.670091763805</v>
          </cell>
          <cell r="AI4">
            <v>1401.442542786195</v>
          </cell>
          <cell r="AJ4">
            <v>17398.372372984024</v>
          </cell>
          <cell r="AK4"/>
          <cell r="AL4">
            <v>17398.372372984024</v>
          </cell>
          <cell r="AN4">
            <v>11403.11263455</v>
          </cell>
          <cell r="AO4">
            <v>10001.670091763805</v>
          </cell>
          <cell r="AP4">
            <v>1401.442542786195</v>
          </cell>
          <cell r="AQ4">
            <v>0</v>
          </cell>
          <cell r="AR4"/>
          <cell r="AS4">
            <v>0</v>
          </cell>
          <cell r="AU4">
            <v>11403.11263455</v>
          </cell>
          <cell r="AV4">
            <v>10001.670091763805</v>
          </cell>
          <cell r="AW4">
            <v>1401.442542786195</v>
          </cell>
          <cell r="AX4">
            <v>0</v>
          </cell>
          <cell r="AY4"/>
          <cell r="AZ4">
            <v>0</v>
          </cell>
          <cell r="BB4">
            <v>11403.11263455</v>
          </cell>
          <cell r="BC4">
            <v>10001.670091763805</v>
          </cell>
          <cell r="BD4">
            <v>1401.442542786195</v>
          </cell>
          <cell r="BE4">
            <v>0</v>
          </cell>
          <cell r="BF4"/>
          <cell r="BG4">
            <v>0</v>
          </cell>
          <cell r="BI4">
            <v>12315.361645314002</v>
          </cell>
          <cell r="BJ4">
            <v>10801.803699104912</v>
          </cell>
          <cell r="BK4">
            <v>1513.5579462090907</v>
          </cell>
          <cell r="BL4">
            <v>0</v>
          </cell>
          <cell r="BM4"/>
          <cell r="BN4">
            <v>0</v>
          </cell>
          <cell r="BP4">
            <v>12315.361645314002</v>
          </cell>
          <cell r="BQ4">
            <v>10801.803699104912</v>
          </cell>
          <cell r="BR4">
            <v>1513.5579462090907</v>
          </cell>
          <cell r="BS4">
            <v>0</v>
          </cell>
          <cell r="BT4"/>
          <cell r="BU4">
            <v>0</v>
          </cell>
          <cell r="BW4">
            <v>12315.361645314002</v>
          </cell>
          <cell r="BX4">
            <v>10801.803699104912</v>
          </cell>
          <cell r="BY4">
            <v>1513.5579462090907</v>
          </cell>
          <cell r="BZ4">
            <v>0</v>
          </cell>
          <cell r="CA4"/>
          <cell r="CB4">
            <v>0</v>
          </cell>
          <cell r="CD4">
            <v>12315.361645314002</v>
          </cell>
          <cell r="CE4">
            <v>10801.803699104912</v>
          </cell>
          <cell r="CF4">
            <v>1513.5579462090907</v>
          </cell>
          <cell r="CG4">
            <v>0</v>
          </cell>
          <cell r="CH4"/>
          <cell r="CI4">
            <v>0</v>
          </cell>
          <cell r="CK4">
            <v>12315.361645314002</v>
          </cell>
          <cell r="CL4">
            <v>10801.803699104912</v>
          </cell>
          <cell r="CM4">
            <v>1513.5579462090907</v>
          </cell>
          <cell r="CN4">
            <v>0</v>
          </cell>
          <cell r="CO4"/>
          <cell r="CP4">
            <v>0</v>
          </cell>
        </row>
        <row r="5">
          <cell r="L5">
            <v>765.625</v>
          </cell>
          <cell r="M5">
            <v>671.52968750000002</v>
          </cell>
          <cell r="N5">
            <v>94.095312499999991</v>
          </cell>
          <cell r="O5">
            <v>984.44655410344694</v>
          </cell>
          <cell r="P5"/>
          <cell r="Q5">
            <v>984.44655410344694</v>
          </cell>
          <cell r="S5">
            <v>765.625</v>
          </cell>
          <cell r="T5">
            <v>671.52968750000002</v>
          </cell>
          <cell r="U5">
            <v>94.095312499999991</v>
          </cell>
          <cell r="V5">
            <v>1004.7897725147083</v>
          </cell>
          <cell r="W5"/>
          <cell r="X5">
            <v>1004.7897725147083</v>
          </cell>
          <cell r="Z5">
            <v>765.625</v>
          </cell>
          <cell r="AA5">
            <v>671.52968750000002</v>
          </cell>
          <cell r="AB5">
            <v>94.095312499999991</v>
          </cell>
          <cell r="AC5">
            <v>677.80974975809568</v>
          </cell>
          <cell r="AD5"/>
          <cell r="AE5">
            <v>677.80974975809568</v>
          </cell>
          <cell r="AG5">
            <v>765.625</v>
          </cell>
          <cell r="AH5">
            <v>671.52968750000002</v>
          </cell>
          <cell r="AI5">
            <v>94.095312499999991</v>
          </cell>
          <cell r="AJ5">
            <v>947.17646883930036</v>
          </cell>
          <cell r="AK5"/>
          <cell r="AL5">
            <v>947.17646883930036</v>
          </cell>
          <cell r="AN5">
            <v>765.625</v>
          </cell>
          <cell r="AO5">
            <v>671.52968750000002</v>
          </cell>
          <cell r="AP5">
            <v>94.095312499999991</v>
          </cell>
          <cell r="AQ5">
            <v>0</v>
          </cell>
          <cell r="AR5"/>
          <cell r="AS5">
            <v>0</v>
          </cell>
          <cell r="AU5">
            <v>765.625</v>
          </cell>
          <cell r="AV5">
            <v>671.52968750000002</v>
          </cell>
          <cell r="AW5">
            <v>94.095312499999991</v>
          </cell>
          <cell r="AX5">
            <v>0</v>
          </cell>
          <cell r="AY5"/>
          <cell r="AZ5">
            <v>0</v>
          </cell>
          <cell r="BB5">
            <v>765.625</v>
          </cell>
          <cell r="BC5">
            <v>671.52968750000002</v>
          </cell>
          <cell r="BD5">
            <v>94.095312499999991</v>
          </cell>
          <cell r="BE5">
            <v>0</v>
          </cell>
          <cell r="BF5"/>
          <cell r="BG5">
            <v>0</v>
          </cell>
          <cell r="BI5">
            <v>765.625</v>
          </cell>
          <cell r="BJ5">
            <v>671.52968750000002</v>
          </cell>
          <cell r="BK5">
            <v>94.095312499999991</v>
          </cell>
          <cell r="BL5">
            <v>0</v>
          </cell>
          <cell r="BM5"/>
          <cell r="BN5">
            <v>0</v>
          </cell>
          <cell r="BP5">
            <v>765.625</v>
          </cell>
          <cell r="BQ5">
            <v>671.52968750000002</v>
          </cell>
          <cell r="BR5">
            <v>94.095312499999991</v>
          </cell>
          <cell r="BS5">
            <v>0</v>
          </cell>
          <cell r="BT5"/>
          <cell r="BU5">
            <v>0</v>
          </cell>
          <cell r="BW5">
            <v>765.625</v>
          </cell>
          <cell r="BX5">
            <v>671.52968750000002</v>
          </cell>
          <cell r="BY5">
            <v>94.095312499999991</v>
          </cell>
          <cell r="BZ5">
            <v>0</v>
          </cell>
          <cell r="CA5"/>
          <cell r="CB5">
            <v>0</v>
          </cell>
          <cell r="CD5">
            <v>765.625</v>
          </cell>
          <cell r="CE5">
            <v>671.52968750000002</v>
          </cell>
          <cell r="CF5">
            <v>94.095312499999991</v>
          </cell>
          <cell r="CG5">
            <v>0</v>
          </cell>
          <cell r="CH5"/>
          <cell r="CI5">
            <v>0</v>
          </cell>
          <cell r="CK5">
            <v>765.625</v>
          </cell>
          <cell r="CL5">
            <v>671.52968750000002</v>
          </cell>
          <cell r="CM5">
            <v>94.095312499999991</v>
          </cell>
          <cell r="CN5">
            <v>0</v>
          </cell>
          <cell r="CO5"/>
          <cell r="CP5">
            <v>0</v>
          </cell>
        </row>
        <row r="6">
          <cell r="L6">
            <v>1450.2664536167501</v>
          </cell>
          <cell r="M6">
            <v>1272.0287064672516</v>
          </cell>
          <cell r="N6">
            <v>178.23774714949857</v>
          </cell>
          <cell r="O6">
            <v>1303.0230871020974</v>
          </cell>
          <cell r="P6"/>
          <cell r="Q6">
            <v>1303.0230871020974</v>
          </cell>
          <cell r="S6">
            <v>1450.2664536167501</v>
          </cell>
          <cell r="T6">
            <v>1272.0287064672516</v>
          </cell>
          <cell r="U6">
            <v>178.23774714949857</v>
          </cell>
          <cell r="V6">
            <v>1286.3718736152184</v>
          </cell>
          <cell r="W6"/>
          <cell r="X6">
            <v>1286.3718736152184</v>
          </cell>
          <cell r="Z6">
            <v>1450.2664536167501</v>
          </cell>
          <cell r="AA6">
            <v>1272.0287064672516</v>
          </cell>
          <cell r="AB6">
            <v>178.23774714949857</v>
          </cell>
          <cell r="AC6">
            <v>1386.5793104239219</v>
          </cell>
          <cell r="AD6"/>
          <cell r="AE6">
            <v>1386.5793104239219</v>
          </cell>
          <cell r="AG6">
            <v>1450.2664536167501</v>
          </cell>
          <cell r="AH6">
            <v>1272.0287064672516</v>
          </cell>
          <cell r="AI6">
            <v>178.23774714949857</v>
          </cell>
          <cell r="AJ6">
            <v>1346.7609629318065</v>
          </cell>
          <cell r="AK6"/>
          <cell r="AL6">
            <v>1346.7609629318065</v>
          </cell>
          <cell r="AN6">
            <v>1450.2664536167501</v>
          </cell>
          <cell r="AO6">
            <v>1272.0287064672516</v>
          </cell>
          <cell r="AP6">
            <v>178.23774714949857</v>
          </cell>
          <cell r="AQ6">
            <v>0</v>
          </cell>
          <cell r="AR6"/>
          <cell r="AS6">
            <v>0</v>
          </cell>
          <cell r="AU6">
            <v>1450.2664536167501</v>
          </cell>
          <cell r="AV6">
            <v>1272.0287064672516</v>
          </cell>
          <cell r="AW6">
            <v>178.23774714949857</v>
          </cell>
          <cell r="AX6">
            <v>0</v>
          </cell>
          <cell r="AY6"/>
          <cell r="AZ6">
            <v>0</v>
          </cell>
          <cell r="BB6">
            <v>1450.2664536167501</v>
          </cell>
          <cell r="BC6">
            <v>1272.0287064672516</v>
          </cell>
          <cell r="BD6">
            <v>178.23774714949857</v>
          </cell>
          <cell r="BE6">
            <v>0</v>
          </cell>
          <cell r="BF6"/>
          <cell r="BG6">
            <v>0</v>
          </cell>
          <cell r="BI6">
            <v>1559.5380199060899</v>
          </cell>
          <cell r="BJ6">
            <v>1367.8707972596314</v>
          </cell>
          <cell r="BK6">
            <v>191.66722264645844</v>
          </cell>
          <cell r="BL6">
            <v>0</v>
          </cell>
          <cell r="BM6"/>
          <cell r="BN6">
            <v>0</v>
          </cell>
          <cell r="BP6">
            <v>1559.5380199060899</v>
          </cell>
          <cell r="BQ6">
            <v>1367.8707972596314</v>
          </cell>
          <cell r="BR6">
            <v>191.66722264645844</v>
          </cell>
          <cell r="BS6">
            <v>0</v>
          </cell>
          <cell r="BT6"/>
          <cell r="BU6">
            <v>0</v>
          </cell>
          <cell r="BW6">
            <v>1559.5380199060899</v>
          </cell>
          <cell r="BX6">
            <v>1367.8707972596314</v>
          </cell>
          <cell r="BY6">
            <v>191.66722264645844</v>
          </cell>
          <cell r="BZ6">
            <v>0</v>
          </cell>
          <cell r="CA6"/>
          <cell r="CB6">
            <v>0</v>
          </cell>
          <cell r="CD6">
            <v>1559.5380199060899</v>
          </cell>
          <cell r="CE6">
            <v>1367.8707972596314</v>
          </cell>
          <cell r="CF6">
            <v>191.66722264645844</v>
          </cell>
          <cell r="CG6">
            <v>0</v>
          </cell>
          <cell r="CH6"/>
          <cell r="CI6">
            <v>0</v>
          </cell>
          <cell r="CK6">
            <v>1559.5380199060899</v>
          </cell>
          <cell r="CL6">
            <v>1367.8707972596314</v>
          </cell>
          <cell r="CM6">
            <v>191.66722264645844</v>
          </cell>
          <cell r="CN6">
            <v>0</v>
          </cell>
          <cell r="CO6"/>
          <cell r="CP6">
            <v>0</v>
          </cell>
        </row>
        <row r="7">
          <cell r="L7">
            <v>1125.206731254375</v>
          </cell>
          <cell r="M7">
            <v>986.91882398321229</v>
          </cell>
          <cell r="N7">
            <v>138.28790727116268</v>
          </cell>
          <cell r="O7">
            <v>892.7712452901751</v>
          </cell>
          <cell r="P7"/>
          <cell r="Q7">
            <v>892.7712452901751</v>
          </cell>
          <cell r="S7">
            <v>1125.206731254375</v>
          </cell>
          <cell r="T7">
            <v>986.91882398321229</v>
          </cell>
          <cell r="U7">
            <v>138.28790727116268</v>
          </cell>
          <cell r="V7">
            <v>882.11527374141929</v>
          </cell>
          <cell r="W7"/>
          <cell r="X7">
            <v>882.11527374141929</v>
          </cell>
          <cell r="Z7">
            <v>1125.206731254375</v>
          </cell>
          <cell r="AA7">
            <v>986.91882398321229</v>
          </cell>
          <cell r="AB7">
            <v>138.28790727116268</v>
          </cell>
          <cell r="AC7">
            <v>932.01028316865199</v>
          </cell>
          <cell r="AD7"/>
          <cell r="AE7">
            <v>932.01028316865199</v>
          </cell>
          <cell r="AG7">
            <v>1125.206731254375</v>
          </cell>
          <cell r="AH7">
            <v>986.91882398321229</v>
          </cell>
          <cell r="AI7">
            <v>138.28790727116268</v>
          </cell>
          <cell r="AJ7">
            <v>919.84303110214125</v>
          </cell>
          <cell r="AK7"/>
          <cell r="AL7">
            <v>919.84303110214125</v>
          </cell>
          <cell r="AN7">
            <v>1125.206731254375</v>
          </cell>
          <cell r="AO7">
            <v>986.91882398321229</v>
          </cell>
          <cell r="AP7">
            <v>138.28790727116268</v>
          </cell>
          <cell r="AQ7">
            <v>0</v>
          </cell>
          <cell r="AR7"/>
          <cell r="AS7">
            <v>0</v>
          </cell>
          <cell r="AU7">
            <v>1125.206731254375</v>
          </cell>
          <cell r="AV7">
            <v>986.91882398321229</v>
          </cell>
          <cell r="AW7">
            <v>138.28790727116268</v>
          </cell>
          <cell r="AX7">
            <v>0</v>
          </cell>
          <cell r="AY7"/>
          <cell r="AZ7">
            <v>0</v>
          </cell>
          <cell r="BB7">
            <v>1125.206731254375</v>
          </cell>
          <cell r="BC7">
            <v>986.91882398321229</v>
          </cell>
          <cell r="BD7">
            <v>138.28790727116268</v>
          </cell>
          <cell r="BE7">
            <v>0</v>
          </cell>
          <cell r="BF7"/>
          <cell r="BG7">
            <v>0</v>
          </cell>
          <cell r="BI7">
            <v>1209.9863947547249</v>
          </cell>
          <cell r="BJ7">
            <v>1061.2790668393691</v>
          </cell>
          <cell r="BK7">
            <v>148.70732791535568</v>
          </cell>
          <cell r="BL7">
            <v>0</v>
          </cell>
          <cell r="BM7"/>
          <cell r="BN7">
            <v>0</v>
          </cell>
          <cell r="BP7">
            <v>1209.9863947547249</v>
          </cell>
          <cell r="BQ7">
            <v>1061.2790668393691</v>
          </cell>
          <cell r="BR7">
            <v>148.70732791535568</v>
          </cell>
          <cell r="BS7">
            <v>0</v>
          </cell>
          <cell r="BT7"/>
          <cell r="BU7">
            <v>0</v>
          </cell>
          <cell r="BW7">
            <v>1209.9863947547249</v>
          </cell>
          <cell r="BX7">
            <v>1061.2790668393691</v>
          </cell>
          <cell r="BY7">
            <v>148.70732791535568</v>
          </cell>
          <cell r="BZ7">
            <v>0</v>
          </cell>
          <cell r="CA7"/>
          <cell r="CB7">
            <v>0</v>
          </cell>
          <cell r="CD7">
            <v>1209.9863947547249</v>
          </cell>
          <cell r="CE7">
            <v>1061.2790668393691</v>
          </cell>
          <cell r="CF7">
            <v>148.70732791535568</v>
          </cell>
          <cell r="CG7">
            <v>0</v>
          </cell>
          <cell r="CH7"/>
          <cell r="CI7">
            <v>0</v>
          </cell>
          <cell r="CK7">
            <v>1209.9863947547249</v>
          </cell>
          <cell r="CL7">
            <v>1061.2790668393691</v>
          </cell>
          <cell r="CM7">
            <v>148.70732791535568</v>
          </cell>
          <cell r="CN7">
            <v>0</v>
          </cell>
          <cell r="CO7"/>
          <cell r="CP7">
            <v>0</v>
          </cell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/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/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/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/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/>
          <cell r="AS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/>
          <cell r="AZ8">
            <v>0</v>
          </cell>
          <cell r="BB8">
            <v>12532.579196507957</v>
          </cell>
          <cell r="BC8">
            <v>10992.325213257129</v>
          </cell>
          <cell r="BD8">
            <v>1540.2539832508278</v>
          </cell>
          <cell r="BE8">
            <v>0</v>
          </cell>
          <cell r="BF8"/>
          <cell r="BG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/>
          <cell r="BN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/>
          <cell r="BU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/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/>
          <cell r="CI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/>
          <cell r="CP8">
            <v>0</v>
          </cell>
        </row>
        <row r="9">
          <cell r="L9">
            <v>881.74094729875003</v>
          </cell>
          <cell r="M9">
            <v>773.37498487573362</v>
          </cell>
          <cell r="N9">
            <v>108.36596242301637</v>
          </cell>
          <cell r="O9">
            <v>1838.0942734018527</v>
          </cell>
          <cell r="P9"/>
          <cell r="Q9">
            <v>1838.0942734018527</v>
          </cell>
          <cell r="S9">
            <v>881.74094729875003</v>
          </cell>
          <cell r="T9">
            <v>773.37498487573362</v>
          </cell>
          <cell r="U9">
            <v>108.36596242301637</v>
          </cell>
          <cell r="V9">
            <v>951.64992917905897</v>
          </cell>
          <cell r="W9"/>
          <cell r="X9">
            <v>951.64992917905897</v>
          </cell>
          <cell r="Z9">
            <v>881.74094729875003</v>
          </cell>
          <cell r="AA9">
            <v>773.37498487573362</v>
          </cell>
          <cell r="AB9">
            <v>108.36596242301637</v>
          </cell>
          <cell r="AC9">
            <v>1652.0221257172789</v>
          </cell>
          <cell r="AD9"/>
          <cell r="AE9">
            <v>1652.0221257172789</v>
          </cell>
          <cell r="AG9">
            <v>881.74094729875003</v>
          </cell>
          <cell r="AH9">
            <v>773.37498487573362</v>
          </cell>
          <cell r="AI9">
            <v>108.36596242301637</v>
          </cell>
          <cell r="AJ9">
            <v>558.3783347131216</v>
          </cell>
          <cell r="AK9"/>
          <cell r="AL9">
            <v>558.3783347131216</v>
          </cell>
          <cell r="AN9">
            <v>881.74094729875003</v>
          </cell>
          <cell r="AO9">
            <v>773.37498487573362</v>
          </cell>
          <cell r="AP9">
            <v>108.36596242301637</v>
          </cell>
          <cell r="AQ9">
            <v>0</v>
          </cell>
          <cell r="AR9"/>
          <cell r="AS9">
            <v>0</v>
          </cell>
          <cell r="AU9">
            <v>881.74094729875003</v>
          </cell>
          <cell r="AV9">
            <v>773.37498487573362</v>
          </cell>
          <cell r="AW9">
            <v>108.36596242301637</v>
          </cell>
          <cell r="AX9">
            <v>0</v>
          </cell>
          <cell r="AY9"/>
          <cell r="AZ9">
            <v>0</v>
          </cell>
          <cell r="BB9">
            <v>881.74094729875003</v>
          </cell>
          <cell r="BC9">
            <v>773.37498487573362</v>
          </cell>
          <cell r="BD9">
            <v>108.36596242301637</v>
          </cell>
          <cell r="BE9">
            <v>0</v>
          </cell>
          <cell r="BF9"/>
          <cell r="BG9">
            <v>0</v>
          </cell>
          <cell r="BI9">
            <v>948.17647308265009</v>
          </cell>
          <cell r="BJ9">
            <v>831.64558454079236</v>
          </cell>
          <cell r="BK9">
            <v>116.53088854185769</v>
          </cell>
          <cell r="BL9">
            <v>0</v>
          </cell>
          <cell r="BM9"/>
          <cell r="BN9">
            <v>0</v>
          </cell>
          <cell r="BP9">
            <v>948.17647308265009</v>
          </cell>
          <cell r="BQ9">
            <v>831.64558454079236</v>
          </cell>
          <cell r="BR9">
            <v>116.53088854185769</v>
          </cell>
          <cell r="BS9">
            <v>0</v>
          </cell>
          <cell r="BT9"/>
          <cell r="BU9">
            <v>0</v>
          </cell>
          <cell r="BW9">
            <v>948.17647308265009</v>
          </cell>
          <cell r="BX9">
            <v>831.64558454079236</v>
          </cell>
          <cell r="BY9">
            <v>116.53088854185769</v>
          </cell>
          <cell r="BZ9">
            <v>0</v>
          </cell>
          <cell r="CA9"/>
          <cell r="CB9">
            <v>0</v>
          </cell>
          <cell r="CD9">
            <v>948.17647308265009</v>
          </cell>
          <cell r="CE9">
            <v>831.64558454079236</v>
          </cell>
          <cell r="CF9">
            <v>116.53088854185769</v>
          </cell>
          <cell r="CG9">
            <v>0</v>
          </cell>
          <cell r="CH9"/>
          <cell r="CI9">
            <v>0</v>
          </cell>
          <cell r="CK9">
            <v>948.17647308265009</v>
          </cell>
          <cell r="CL9">
            <v>831.64558454079236</v>
          </cell>
          <cell r="CM9">
            <v>116.53088854185769</v>
          </cell>
          <cell r="CN9">
            <v>0</v>
          </cell>
          <cell r="CO9"/>
          <cell r="CP9">
            <v>0</v>
          </cell>
        </row>
        <row r="10">
          <cell r="L10">
            <v>875</v>
          </cell>
          <cell r="M10">
            <v>767.46249999999998</v>
          </cell>
          <cell r="N10">
            <v>107.53749999999999</v>
          </cell>
          <cell r="O10">
            <v>1087.0447369309729</v>
          </cell>
          <cell r="P10"/>
          <cell r="Q10">
            <v>1087.0447369309729</v>
          </cell>
          <cell r="S10">
            <v>875</v>
          </cell>
          <cell r="T10">
            <v>767.46249999999998</v>
          </cell>
          <cell r="U10">
            <v>107.53749999999999</v>
          </cell>
          <cell r="V10">
            <v>1072.1620804367878</v>
          </cell>
          <cell r="W10"/>
          <cell r="X10">
            <v>1072.1620804367878</v>
          </cell>
          <cell r="Z10">
            <v>875</v>
          </cell>
          <cell r="AA10">
            <v>767.46249999999998</v>
          </cell>
          <cell r="AB10">
            <v>107.53749999999999</v>
          </cell>
          <cell r="AC10">
            <v>1105.2956150307389</v>
          </cell>
          <cell r="AD10"/>
          <cell r="AE10">
            <v>1105.2956150307389</v>
          </cell>
          <cell r="AG10">
            <v>875</v>
          </cell>
          <cell r="AH10">
            <v>767.46249999999998</v>
          </cell>
          <cell r="AI10">
            <v>107.53749999999999</v>
          </cell>
          <cell r="AJ10">
            <v>175.01801016269772</v>
          </cell>
          <cell r="AK10"/>
          <cell r="AL10">
            <v>175.01801016269772</v>
          </cell>
          <cell r="AN10">
            <v>875</v>
          </cell>
          <cell r="AO10">
            <v>767.46249999999998</v>
          </cell>
          <cell r="AP10">
            <v>107.53749999999999</v>
          </cell>
          <cell r="AQ10">
            <v>0</v>
          </cell>
          <cell r="AR10"/>
          <cell r="AS10">
            <v>0</v>
          </cell>
          <cell r="AU10">
            <v>875</v>
          </cell>
          <cell r="AV10">
            <v>767.46249999999998</v>
          </cell>
          <cell r="AW10">
            <v>107.53749999999999</v>
          </cell>
          <cell r="AX10">
            <v>0</v>
          </cell>
          <cell r="AY10"/>
          <cell r="AZ10">
            <v>0</v>
          </cell>
          <cell r="BB10">
            <v>875</v>
          </cell>
          <cell r="BC10">
            <v>767.46249999999998</v>
          </cell>
          <cell r="BD10">
            <v>107.53749999999999</v>
          </cell>
          <cell r="BE10">
            <v>0</v>
          </cell>
          <cell r="BF10"/>
          <cell r="BG10">
            <v>0</v>
          </cell>
          <cell r="BI10">
            <v>875</v>
          </cell>
          <cell r="BJ10">
            <v>767.46249999999998</v>
          </cell>
          <cell r="BK10">
            <v>107.53749999999999</v>
          </cell>
          <cell r="BL10">
            <v>0</v>
          </cell>
          <cell r="BM10"/>
          <cell r="BN10">
            <v>0</v>
          </cell>
          <cell r="BP10">
            <v>875</v>
          </cell>
          <cell r="BQ10">
            <v>767.46249999999998</v>
          </cell>
          <cell r="BR10">
            <v>107.53749999999999</v>
          </cell>
          <cell r="BS10">
            <v>0</v>
          </cell>
          <cell r="BT10"/>
          <cell r="BU10">
            <v>0</v>
          </cell>
          <cell r="BW10">
            <v>875</v>
          </cell>
          <cell r="BX10">
            <v>767.46249999999998</v>
          </cell>
          <cell r="BY10">
            <v>107.53749999999999</v>
          </cell>
          <cell r="BZ10">
            <v>0</v>
          </cell>
          <cell r="CA10"/>
          <cell r="CB10">
            <v>0</v>
          </cell>
          <cell r="CD10">
            <v>875</v>
          </cell>
          <cell r="CE10">
            <v>767.46249999999998</v>
          </cell>
          <cell r="CF10">
            <v>107.53749999999999</v>
          </cell>
          <cell r="CG10">
            <v>0</v>
          </cell>
          <cell r="CH10"/>
          <cell r="CI10">
            <v>0</v>
          </cell>
          <cell r="CK10">
            <v>875</v>
          </cell>
          <cell r="CL10">
            <v>767.46249999999998</v>
          </cell>
          <cell r="CM10">
            <v>107.53749999999999</v>
          </cell>
          <cell r="CN10">
            <v>0</v>
          </cell>
          <cell r="CO10"/>
          <cell r="CP10">
            <v>0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/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/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/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/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/>
          <cell r="AS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/>
          <cell r="AZ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/>
          <cell r="BG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/>
          <cell r="BN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/>
          <cell r="BU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/>
          <cell r="CB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/>
          <cell r="CI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/>
          <cell r="CP11">
            <v>0</v>
          </cell>
        </row>
        <row r="12">
          <cell r="L12">
            <v>271.6875</v>
          </cell>
          <cell r="M12">
            <v>238.29710625000001</v>
          </cell>
          <cell r="N12">
            <v>33.390393750000001</v>
          </cell>
          <cell r="O12">
            <v>253.32981880999682</v>
          </cell>
          <cell r="P12"/>
          <cell r="Q12">
            <v>253.32981880999682</v>
          </cell>
          <cell r="S12">
            <v>271.6875</v>
          </cell>
          <cell r="T12">
            <v>238.29710625000001</v>
          </cell>
          <cell r="U12">
            <v>33.390393750000001</v>
          </cell>
          <cell r="V12">
            <v>253.32981880999682</v>
          </cell>
          <cell r="W12"/>
          <cell r="X12">
            <v>253.32981880999682</v>
          </cell>
          <cell r="Z12">
            <v>271.6875</v>
          </cell>
          <cell r="AA12">
            <v>238.29710625000001</v>
          </cell>
          <cell r="AB12">
            <v>33.390393750000001</v>
          </cell>
          <cell r="AC12">
            <v>524.93589333123327</v>
          </cell>
          <cell r="AD12"/>
          <cell r="AE12">
            <v>524.93589333123327</v>
          </cell>
          <cell r="AG12">
            <v>271.6875</v>
          </cell>
          <cell r="AH12">
            <v>238.29710625000001</v>
          </cell>
          <cell r="AI12">
            <v>33.390393750000001</v>
          </cell>
          <cell r="AJ12">
            <v>524.84838432615197</v>
          </cell>
          <cell r="AK12"/>
          <cell r="AL12">
            <v>524.84838432615197</v>
          </cell>
          <cell r="AN12">
            <v>271.6875</v>
          </cell>
          <cell r="AO12">
            <v>238.29710625000001</v>
          </cell>
          <cell r="AP12">
            <v>33.390393750000001</v>
          </cell>
          <cell r="AQ12">
            <v>0</v>
          </cell>
          <cell r="AR12"/>
          <cell r="AS12">
            <v>0</v>
          </cell>
          <cell r="AU12">
            <v>271.6875</v>
          </cell>
          <cell r="AV12">
            <v>238.29710625000001</v>
          </cell>
          <cell r="AW12">
            <v>33.390393750000001</v>
          </cell>
          <cell r="AX12">
            <v>0</v>
          </cell>
          <cell r="AY12"/>
          <cell r="AZ12">
            <v>0</v>
          </cell>
          <cell r="BB12">
            <v>271.6875</v>
          </cell>
          <cell r="BC12">
            <v>238.29710625000001</v>
          </cell>
          <cell r="BD12">
            <v>33.390393750000001</v>
          </cell>
          <cell r="BE12">
            <v>0</v>
          </cell>
          <cell r="BF12"/>
          <cell r="BG12">
            <v>0</v>
          </cell>
          <cell r="BI12">
            <v>271.6875</v>
          </cell>
          <cell r="BJ12">
            <v>238.29710625000001</v>
          </cell>
          <cell r="BK12">
            <v>33.390393750000001</v>
          </cell>
          <cell r="BL12">
            <v>0</v>
          </cell>
          <cell r="BM12"/>
          <cell r="BN12">
            <v>0</v>
          </cell>
          <cell r="BP12">
            <v>271.6875</v>
          </cell>
          <cell r="BQ12">
            <v>238.29710625000001</v>
          </cell>
          <cell r="BR12">
            <v>33.390393750000001</v>
          </cell>
          <cell r="BS12">
            <v>0</v>
          </cell>
          <cell r="BT12"/>
          <cell r="BU12">
            <v>0</v>
          </cell>
          <cell r="BW12">
            <v>271.6875</v>
          </cell>
          <cell r="BX12">
            <v>238.29710625000001</v>
          </cell>
          <cell r="BY12">
            <v>33.390393750000001</v>
          </cell>
          <cell r="BZ12">
            <v>0</v>
          </cell>
          <cell r="CA12"/>
          <cell r="CB12">
            <v>0</v>
          </cell>
          <cell r="CD12">
            <v>271.6875</v>
          </cell>
          <cell r="CE12">
            <v>238.29710625000001</v>
          </cell>
          <cell r="CF12">
            <v>33.390393750000001</v>
          </cell>
          <cell r="CG12">
            <v>0</v>
          </cell>
          <cell r="CH12"/>
          <cell r="CI12">
            <v>0</v>
          </cell>
          <cell r="CK12">
            <v>271.6875</v>
          </cell>
          <cell r="CL12">
            <v>238.29710625000001</v>
          </cell>
          <cell r="CM12">
            <v>33.390393750000001</v>
          </cell>
          <cell r="CN12">
            <v>0</v>
          </cell>
          <cell r="CO12"/>
          <cell r="CP12">
            <v>0</v>
          </cell>
        </row>
        <row r="13">
          <cell r="L13">
            <v>962.49999999999989</v>
          </cell>
          <cell r="M13">
            <v>844.2087499999999</v>
          </cell>
          <cell r="N13">
            <v>118.29124999999998</v>
          </cell>
          <cell r="O13">
            <v>907.44475526221572</v>
          </cell>
          <cell r="P13"/>
          <cell r="Q13">
            <v>907.44475526221572</v>
          </cell>
          <cell r="S13">
            <v>962.49999999999989</v>
          </cell>
          <cell r="T13">
            <v>844.2087499999999</v>
          </cell>
          <cell r="U13">
            <v>118.29124999999998</v>
          </cell>
          <cell r="V13">
            <v>945.74219624601733</v>
          </cell>
          <cell r="W13"/>
          <cell r="X13">
            <v>945.74219624601733</v>
          </cell>
          <cell r="Z13">
            <v>962.49999999999989</v>
          </cell>
          <cell r="AA13">
            <v>844.2087499999999</v>
          </cell>
          <cell r="AB13">
            <v>118.29124999999998</v>
          </cell>
          <cell r="AC13">
            <v>945.74219624601733</v>
          </cell>
          <cell r="AD13"/>
          <cell r="AE13">
            <v>945.74219624601733</v>
          </cell>
          <cell r="AG13">
            <v>962.49999999999989</v>
          </cell>
          <cell r="AH13">
            <v>844.2087499999999</v>
          </cell>
          <cell r="AI13">
            <v>118.29124999999998</v>
          </cell>
          <cell r="AJ13">
            <v>945.74219624601733</v>
          </cell>
          <cell r="AK13"/>
          <cell r="AL13">
            <v>945.74219624601733</v>
          </cell>
          <cell r="AN13">
            <v>962.49999999999989</v>
          </cell>
          <cell r="AO13">
            <v>844.2087499999999</v>
          </cell>
          <cell r="AP13">
            <v>118.29124999999998</v>
          </cell>
          <cell r="AQ13">
            <v>0</v>
          </cell>
          <cell r="AR13"/>
          <cell r="AS13">
            <v>0</v>
          </cell>
          <cell r="AU13">
            <v>962.49999999999989</v>
          </cell>
          <cell r="AV13">
            <v>844.2087499999999</v>
          </cell>
          <cell r="AW13">
            <v>118.29124999999998</v>
          </cell>
          <cell r="AX13">
            <v>0</v>
          </cell>
          <cell r="AY13"/>
          <cell r="AZ13">
            <v>0</v>
          </cell>
          <cell r="BB13">
            <v>962.49999999999989</v>
          </cell>
          <cell r="BC13">
            <v>844.2087499999999</v>
          </cell>
          <cell r="BD13">
            <v>118.29124999999998</v>
          </cell>
          <cell r="BE13">
            <v>0</v>
          </cell>
          <cell r="BF13"/>
          <cell r="BG13">
            <v>0</v>
          </cell>
          <cell r="BI13">
            <v>962.49999999999989</v>
          </cell>
          <cell r="BJ13">
            <v>844.2087499999999</v>
          </cell>
          <cell r="BK13">
            <v>118.29124999999998</v>
          </cell>
          <cell r="BL13">
            <v>0</v>
          </cell>
          <cell r="BM13"/>
          <cell r="BN13">
            <v>0</v>
          </cell>
          <cell r="BP13">
            <v>962.49999999999989</v>
          </cell>
          <cell r="BQ13">
            <v>844.2087499999999</v>
          </cell>
          <cell r="BR13">
            <v>118.29124999999998</v>
          </cell>
          <cell r="BS13">
            <v>0</v>
          </cell>
          <cell r="BT13"/>
          <cell r="BU13">
            <v>0</v>
          </cell>
          <cell r="BW13">
            <v>962.49999999999989</v>
          </cell>
          <cell r="BX13">
            <v>844.2087499999999</v>
          </cell>
          <cell r="BY13">
            <v>118.29124999999998</v>
          </cell>
          <cell r="BZ13">
            <v>0</v>
          </cell>
          <cell r="CA13"/>
          <cell r="CB13">
            <v>0</v>
          </cell>
          <cell r="CD13">
            <v>962.49999999999989</v>
          </cell>
          <cell r="CE13">
            <v>844.2087499999999</v>
          </cell>
          <cell r="CF13">
            <v>118.29124999999998</v>
          </cell>
          <cell r="CG13">
            <v>0</v>
          </cell>
          <cell r="CH13"/>
          <cell r="CI13">
            <v>0</v>
          </cell>
          <cell r="CK13">
            <v>962.49999999999989</v>
          </cell>
          <cell r="CL13">
            <v>844.2087499999999</v>
          </cell>
          <cell r="CM13">
            <v>118.29124999999998</v>
          </cell>
          <cell r="CN13">
            <v>0</v>
          </cell>
          <cell r="CO13"/>
          <cell r="CP13">
            <v>0</v>
          </cell>
        </row>
        <row r="14">
          <cell r="L14">
            <v>594.28424999999993</v>
          </cell>
          <cell r="M14">
            <v>521.2467156749999</v>
          </cell>
          <cell r="N14">
            <v>73.037534324999982</v>
          </cell>
          <cell r="O14">
            <v>447.2436484399102</v>
          </cell>
          <cell r="P14"/>
          <cell r="Q14">
            <v>447.2436484399102</v>
          </cell>
          <cell r="S14">
            <v>594.28424999999993</v>
          </cell>
          <cell r="T14">
            <v>521.2467156749999</v>
          </cell>
          <cell r="U14">
            <v>73.037534324999982</v>
          </cell>
          <cell r="V14">
            <v>1634.159787600074</v>
          </cell>
          <cell r="W14"/>
          <cell r="X14">
            <v>1634.159787600074</v>
          </cell>
          <cell r="Z14">
            <v>594.28424999999993</v>
          </cell>
          <cell r="AA14">
            <v>521.2467156749999</v>
          </cell>
          <cell r="AB14">
            <v>73.037534324999982</v>
          </cell>
          <cell r="AC14">
            <v>609.06355045623889</v>
          </cell>
          <cell r="AD14"/>
          <cell r="AE14">
            <v>609.06355045623889</v>
          </cell>
          <cell r="AG14">
            <v>594.28424999999993</v>
          </cell>
          <cell r="AH14">
            <v>521.2467156749999</v>
          </cell>
          <cell r="AI14">
            <v>73.037534324999982</v>
          </cell>
          <cell r="AJ14">
            <v>582.28579490134609</v>
          </cell>
          <cell r="AK14"/>
          <cell r="AL14">
            <v>582.28579490134609</v>
          </cell>
          <cell r="AN14">
            <v>594.28424999999993</v>
          </cell>
          <cell r="AO14">
            <v>521.2467156749999</v>
          </cell>
          <cell r="AP14">
            <v>73.037534324999982</v>
          </cell>
          <cell r="AQ14">
            <v>0</v>
          </cell>
          <cell r="AR14"/>
          <cell r="AS14">
            <v>0</v>
          </cell>
          <cell r="AU14">
            <v>594.28424999999993</v>
          </cell>
          <cell r="AV14">
            <v>521.2467156749999</v>
          </cell>
          <cell r="AW14">
            <v>73.037534324999982</v>
          </cell>
          <cell r="AX14">
            <v>0</v>
          </cell>
          <cell r="AY14"/>
          <cell r="AZ14">
            <v>0</v>
          </cell>
          <cell r="BB14">
            <v>594.28424999999993</v>
          </cell>
          <cell r="BC14">
            <v>521.2467156749999</v>
          </cell>
          <cell r="BD14">
            <v>73.037534324999982</v>
          </cell>
          <cell r="BE14">
            <v>0</v>
          </cell>
          <cell r="BF14"/>
          <cell r="BG14">
            <v>0</v>
          </cell>
          <cell r="BI14">
            <v>594.28424999999993</v>
          </cell>
          <cell r="BJ14">
            <v>521.2467156749999</v>
          </cell>
          <cell r="BK14">
            <v>73.037534324999982</v>
          </cell>
          <cell r="BL14">
            <v>0</v>
          </cell>
          <cell r="BM14"/>
          <cell r="BN14">
            <v>0</v>
          </cell>
          <cell r="BP14">
            <v>594.28424999999993</v>
          </cell>
          <cell r="BQ14">
            <v>521.2467156749999</v>
          </cell>
          <cell r="BR14">
            <v>73.037534324999982</v>
          </cell>
          <cell r="BS14">
            <v>0</v>
          </cell>
          <cell r="BT14"/>
          <cell r="BU14">
            <v>0</v>
          </cell>
          <cell r="BW14">
            <v>594.28424999999993</v>
          </cell>
          <cell r="BX14">
            <v>521.2467156749999</v>
          </cell>
          <cell r="BY14">
            <v>73.037534324999982</v>
          </cell>
          <cell r="BZ14">
            <v>0</v>
          </cell>
          <cell r="CA14"/>
          <cell r="CB14">
            <v>0</v>
          </cell>
          <cell r="CD14">
            <v>594.28424999999993</v>
          </cell>
          <cell r="CE14">
            <v>521.2467156749999</v>
          </cell>
          <cell r="CF14">
            <v>73.037534324999982</v>
          </cell>
          <cell r="CG14">
            <v>0</v>
          </cell>
          <cell r="CH14"/>
          <cell r="CI14">
            <v>0</v>
          </cell>
          <cell r="CK14">
            <v>594.28424999999993</v>
          </cell>
          <cell r="CL14">
            <v>521.2467156749999</v>
          </cell>
          <cell r="CM14">
            <v>73.037534324999982</v>
          </cell>
          <cell r="CN14">
            <v>0</v>
          </cell>
          <cell r="CO14"/>
          <cell r="CP14">
            <v>0</v>
          </cell>
        </row>
        <row r="15">
          <cell r="L15">
            <v>1611.2774999999997</v>
          </cell>
          <cell r="M15">
            <v>1413.2514952499998</v>
          </cell>
          <cell r="N15">
            <v>198.02600474999994</v>
          </cell>
          <cell r="O15">
            <v>1443.8644553302743</v>
          </cell>
          <cell r="P15"/>
          <cell r="Q15">
            <v>1443.8644553302743</v>
          </cell>
          <cell r="S15">
            <v>1611.2774999999997</v>
          </cell>
          <cell r="T15">
            <v>1413.2514952499998</v>
          </cell>
          <cell r="U15">
            <v>198.02600474999994</v>
          </cell>
          <cell r="V15">
            <v>1438.5447829113773</v>
          </cell>
          <cell r="W15"/>
          <cell r="X15">
            <v>1438.5447829113773</v>
          </cell>
          <cell r="Z15">
            <v>1611.2774999999997</v>
          </cell>
          <cell r="AA15">
            <v>1413.2514952499998</v>
          </cell>
          <cell r="AB15">
            <v>198.02600474999994</v>
          </cell>
          <cell r="AC15">
            <v>2154.9565049909593</v>
          </cell>
          <cell r="AD15"/>
          <cell r="AE15">
            <v>2154.9565049909593</v>
          </cell>
          <cell r="AG15">
            <v>1611.2774999999997</v>
          </cell>
          <cell r="AH15">
            <v>1413.2514952499998</v>
          </cell>
          <cell r="AI15">
            <v>198.02600474999994</v>
          </cell>
          <cell r="AJ15">
            <v>2543.170078963195</v>
          </cell>
          <cell r="AK15"/>
          <cell r="AL15">
            <v>2543.170078963195</v>
          </cell>
          <cell r="AN15">
            <v>1611.2774999999997</v>
          </cell>
          <cell r="AO15">
            <v>1413.2514952499998</v>
          </cell>
          <cell r="AP15">
            <v>198.02600474999994</v>
          </cell>
          <cell r="AQ15">
            <v>0</v>
          </cell>
          <cell r="AR15"/>
          <cell r="AS15">
            <v>0</v>
          </cell>
          <cell r="AU15">
            <v>1611.2774999999997</v>
          </cell>
          <cell r="AV15">
            <v>1413.2514952499998</v>
          </cell>
          <cell r="AW15">
            <v>198.02600474999994</v>
          </cell>
          <cell r="AX15">
            <v>0</v>
          </cell>
          <cell r="AY15"/>
          <cell r="AZ15">
            <v>0</v>
          </cell>
          <cell r="BB15">
            <v>1736.98</v>
          </cell>
          <cell r="BC15">
            <v>1523.5051579999999</v>
          </cell>
          <cell r="BD15">
            <v>213.474842</v>
          </cell>
          <cell r="BE15">
            <v>0</v>
          </cell>
          <cell r="BF15"/>
          <cell r="BG15">
            <v>0</v>
          </cell>
          <cell r="BI15">
            <v>1611.2774999999997</v>
          </cell>
          <cell r="BJ15">
            <v>1413.2514952499998</v>
          </cell>
          <cell r="BK15">
            <v>198.02600474999994</v>
          </cell>
          <cell r="BL15">
            <v>0</v>
          </cell>
          <cell r="BM15"/>
          <cell r="BN15">
            <v>0</v>
          </cell>
          <cell r="BP15">
            <v>1611.2774999999997</v>
          </cell>
          <cell r="BQ15">
            <v>1413.2514952499998</v>
          </cell>
          <cell r="BR15">
            <v>198.02600474999994</v>
          </cell>
          <cell r="BS15">
            <v>0</v>
          </cell>
          <cell r="BT15"/>
          <cell r="BU15">
            <v>0</v>
          </cell>
          <cell r="BW15">
            <v>1611.2774999999997</v>
          </cell>
          <cell r="BX15">
            <v>1413.2514952499998</v>
          </cell>
          <cell r="BY15">
            <v>198.02600474999994</v>
          </cell>
          <cell r="BZ15">
            <v>0</v>
          </cell>
          <cell r="CA15"/>
          <cell r="CB15">
            <v>0</v>
          </cell>
          <cell r="CD15">
            <v>1611.2774999999997</v>
          </cell>
          <cell r="CE15">
            <v>1413.2514952499998</v>
          </cell>
          <cell r="CF15">
            <v>198.02600474999994</v>
          </cell>
          <cell r="CG15">
            <v>0</v>
          </cell>
          <cell r="CH15"/>
          <cell r="CI15">
            <v>0</v>
          </cell>
          <cell r="CK15">
            <v>1611.2774999999997</v>
          </cell>
          <cell r="CL15">
            <v>1413.2514952499998</v>
          </cell>
          <cell r="CM15">
            <v>198.02600474999994</v>
          </cell>
          <cell r="CN15">
            <v>0</v>
          </cell>
          <cell r="CO15"/>
          <cell r="CP15">
            <v>0</v>
          </cell>
        </row>
        <row r="16">
          <cell r="L16">
            <v>546.875</v>
          </cell>
          <cell r="M16">
            <v>479.6640625</v>
          </cell>
          <cell r="N16">
            <v>67.2109375</v>
          </cell>
          <cell r="O16">
            <v>501.02930823305962</v>
          </cell>
          <cell r="P16"/>
          <cell r="Q16">
            <v>501.02930823305962</v>
          </cell>
          <cell r="S16">
            <v>546.875</v>
          </cell>
          <cell r="T16">
            <v>479.6640625</v>
          </cell>
          <cell r="U16">
            <v>67.2109375</v>
          </cell>
          <cell r="V16">
            <v>8796.9678736798596</v>
          </cell>
          <cell r="W16"/>
          <cell r="X16">
            <v>8796.9678736798596</v>
          </cell>
          <cell r="Z16">
            <v>546.875</v>
          </cell>
          <cell r="AA16">
            <v>479.6640625</v>
          </cell>
          <cell r="AB16">
            <v>67.2109375</v>
          </cell>
          <cell r="AC16">
            <v>549.81295329575926</v>
          </cell>
          <cell r="AD16"/>
          <cell r="AE16">
            <v>549.81295329575926</v>
          </cell>
          <cell r="AG16">
            <v>546.875</v>
          </cell>
          <cell r="AH16">
            <v>479.6640625</v>
          </cell>
          <cell r="AI16">
            <v>67.2109375</v>
          </cell>
          <cell r="AJ16">
            <v>2000.1224468502749</v>
          </cell>
          <cell r="AK16"/>
          <cell r="AL16">
            <v>2000.1224468502749</v>
          </cell>
          <cell r="AN16">
            <v>546.875</v>
          </cell>
          <cell r="AO16">
            <v>479.6640625</v>
          </cell>
          <cell r="AP16">
            <v>67.2109375</v>
          </cell>
          <cell r="AQ16">
            <v>0</v>
          </cell>
          <cell r="AR16"/>
          <cell r="AS16">
            <v>0</v>
          </cell>
          <cell r="AU16">
            <v>546.875</v>
          </cell>
          <cell r="AV16">
            <v>479.6640625</v>
          </cell>
          <cell r="AW16">
            <v>67.2109375</v>
          </cell>
          <cell r="AX16">
            <v>0</v>
          </cell>
          <cell r="AY16"/>
          <cell r="AZ16">
            <v>0</v>
          </cell>
          <cell r="BB16">
            <v>546.875</v>
          </cell>
          <cell r="BC16">
            <v>479.6640625</v>
          </cell>
          <cell r="BD16">
            <v>67.2109375</v>
          </cell>
          <cell r="BE16">
            <v>0</v>
          </cell>
          <cell r="BF16"/>
          <cell r="BG16">
            <v>0</v>
          </cell>
          <cell r="BI16">
            <v>546.875</v>
          </cell>
          <cell r="BJ16">
            <v>479.6640625</v>
          </cell>
          <cell r="BK16">
            <v>67.2109375</v>
          </cell>
          <cell r="BL16">
            <v>0</v>
          </cell>
          <cell r="BM16"/>
          <cell r="BN16">
            <v>0</v>
          </cell>
          <cell r="BP16">
            <v>546.875</v>
          </cell>
          <cell r="BQ16">
            <v>479.6640625</v>
          </cell>
          <cell r="BR16">
            <v>67.2109375</v>
          </cell>
          <cell r="BS16">
            <v>0</v>
          </cell>
          <cell r="BT16"/>
          <cell r="BU16">
            <v>0</v>
          </cell>
          <cell r="BW16">
            <v>546.875</v>
          </cell>
          <cell r="BX16">
            <v>479.6640625</v>
          </cell>
          <cell r="BY16">
            <v>67.2109375</v>
          </cell>
          <cell r="BZ16">
            <v>0</v>
          </cell>
          <cell r="CA16"/>
          <cell r="CB16">
            <v>0</v>
          </cell>
          <cell r="CD16">
            <v>546.875</v>
          </cell>
          <cell r="CE16">
            <v>479.6640625</v>
          </cell>
          <cell r="CF16">
            <v>67.2109375</v>
          </cell>
          <cell r="CG16">
            <v>0</v>
          </cell>
          <cell r="CH16"/>
          <cell r="CI16">
            <v>0</v>
          </cell>
          <cell r="CK16">
            <v>546.875</v>
          </cell>
          <cell r="CL16">
            <v>479.6640625</v>
          </cell>
          <cell r="CM16">
            <v>67.2109375</v>
          </cell>
          <cell r="CN16">
            <v>0</v>
          </cell>
          <cell r="CO16"/>
          <cell r="CP16">
            <v>0</v>
          </cell>
        </row>
        <row r="17">
          <cell r="L17">
            <v>6886.6875</v>
          </cell>
          <cell r="M17">
            <v>6040.3136062499998</v>
          </cell>
          <cell r="N17">
            <v>846.37389374999998</v>
          </cell>
          <cell r="O17">
            <v>7109.1176391681038</v>
          </cell>
          <cell r="P17"/>
          <cell r="Q17">
            <v>7109.1176391681038</v>
          </cell>
          <cell r="S17">
            <v>6886.6875</v>
          </cell>
          <cell r="T17">
            <v>6040.3136062499998</v>
          </cell>
          <cell r="U17">
            <v>846.37389374999998</v>
          </cell>
          <cell r="V17">
            <v>5476.1355045969249</v>
          </cell>
          <cell r="W17"/>
          <cell r="X17">
            <v>5476.1355045969249</v>
          </cell>
          <cell r="Z17">
            <v>6886.6875</v>
          </cell>
          <cell r="AA17">
            <v>6040.3136062499998</v>
          </cell>
          <cell r="AB17">
            <v>846.37389374999998</v>
          </cell>
          <cell r="AC17">
            <v>8791.4900292138391</v>
          </cell>
          <cell r="AD17"/>
          <cell r="AE17">
            <v>8791.4900292138391</v>
          </cell>
          <cell r="AG17">
            <v>6886.6875</v>
          </cell>
          <cell r="AH17">
            <v>6040.3136062499998</v>
          </cell>
          <cell r="AI17">
            <v>846.37389374999998</v>
          </cell>
          <cell r="AJ17">
            <v>16246.610588848747</v>
          </cell>
          <cell r="AK17"/>
          <cell r="AL17">
            <v>16246.610588848747</v>
          </cell>
          <cell r="AN17">
            <v>6886.6875</v>
          </cell>
          <cell r="AO17">
            <v>6040.3136062499998</v>
          </cell>
          <cell r="AP17">
            <v>846.37389374999998</v>
          </cell>
          <cell r="AQ17">
            <v>0</v>
          </cell>
          <cell r="AR17"/>
          <cell r="AS17"/>
          <cell r="AU17">
            <v>6886.6875</v>
          </cell>
          <cell r="AV17">
            <v>6040.3136062499998</v>
          </cell>
          <cell r="AW17">
            <v>846.37389374999998</v>
          </cell>
          <cell r="AX17">
            <v>0</v>
          </cell>
          <cell r="AY17"/>
          <cell r="AZ17"/>
          <cell r="BB17">
            <v>6886.6875</v>
          </cell>
          <cell r="BC17">
            <v>6040.3136062499998</v>
          </cell>
          <cell r="BD17">
            <v>846.37389374999998</v>
          </cell>
          <cell r="BE17">
            <v>0</v>
          </cell>
          <cell r="BF17"/>
          <cell r="BG17"/>
          <cell r="BI17">
            <v>6886.6875</v>
          </cell>
          <cell r="BJ17">
            <v>6040.3136062499998</v>
          </cell>
          <cell r="BK17">
            <v>846.37389374999998</v>
          </cell>
          <cell r="BL17">
            <v>0</v>
          </cell>
          <cell r="BM17"/>
          <cell r="BN17"/>
          <cell r="BP17">
            <v>6886.6875</v>
          </cell>
          <cell r="BQ17">
            <v>6040.3136062499998</v>
          </cell>
          <cell r="BR17">
            <v>846.37389374999998</v>
          </cell>
          <cell r="BS17">
            <v>0</v>
          </cell>
          <cell r="BT17"/>
          <cell r="BU17"/>
          <cell r="BW17">
            <v>6886.6875</v>
          </cell>
          <cell r="BX17">
            <v>6040.3136062499998</v>
          </cell>
          <cell r="BY17">
            <v>846.37389374999998</v>
          </cell>
          <cell r="BZ17">
            <v>0</v>
          </cell>
          <cell r="CA17"/>
          <cell r="CB17"/>
          <cell r="CD17">
            <v>6886.6875</v>
          </cell>
          <cell r="CE17">
            <v>6040.3136062499998</v>
          </cell>
          <cell r="CF17">
            <v>846.37389374999998</v>
          </cell>
          <cell r="CG17">
            <v>0</v>
          </cell>
          <cell r="CH17"/>
          <cell r="CI17"/>
          <cell r="CK17">
            <v>6886.6875</v>
          </cell>
          <cell r="CL17">
            <v>6040.3136062499998</v>
          </cell>
          <cell r="CM17">
            <v>846.37389374999998</v>
          </cell>
          <cell r="CN17">
            <v>0</v>
          </cell>
          <cell r="CO17"/>
          <cell r="CP17"/>
        </row>
        <row r="18">
          <cell r="L18">
            <v>963.22187499999995</v>
          </cell>
          <cell r="M18">
            <v>844.84190656249996</v>
          </cell>
          <cell r="N18">
            <v>118.3799684375</v>
          </cell>
          <cell r="O18">
            <v>1730.7387618153091</v>
          </cell>
          <cell r="P18"/>
          <cell r="Q18">
            <v>1730.7387618153091</v>
          </cell>
          <cell r="S18">
            <v>963.22187499999995</v>
          </cell>
          <cell r="T18">
            <v>844.84190656249996</v>
          </cell>
          <cell r="U18">
            <v>118.3799684375</v>
          </cell>
          <cell r="V18">
            <v>2492.4990427435996</v>
          </cell>
          <cell r="W18"/>
          <cell r="X18">
            <v>2492.4990427435996</v>
          </cell>
          <cell r="Z18">
            <v>963.22187499999995</v>
          </cell>
          <cell r="AA18">
            <v>844.84190656249996</v>
          </cell>
          <cell r="AB18">
            <v>118.3799684375</v>
          </cell>
          <cell r="AC18">
            <v>0</v>
          </cell>
          <cell r="AD18"/>
          <cell r="AE18">
            <v>0</v>
          </cell>
          <cell r="AG18">
            <v>963.22187499999995</v>
          </cell>
          <cell r="AH18">
            <v>844.84190656249996</v>
          </cell>
          <cell r="AI18">
            <v>118.3799684375</v>
          </cell>
          <cell r="AJ18">
            <v>0</v>
          </cell>
          <cell r="AK18"/>
          <cell r="AL18">
            <v>0</v>
          </cell>
          <cell r="AN18">
            <v>963.22187499999995</v>
          </cell>
          <cell r="AO18">
            <v>844.84190656249996</v>
          </cell>
          <cell r="AP18">
            <v>118.3799684375</v>
          </cell>
          <cell r="AQ18">
            <v>0</v>
          </cell>
          <cell r="AR18"/>
          <cell r="AS18"/>
          <cell r="AU18">
            <v>963.22187499999995</v>
          </cell>
          <cell r="AV18">
            <v>844.84190656249996</v>
          </cell>
          <cell r="AW18">
            <v>118.3799684375</v>
          </cell>
          <cell r="AX18">
            <v>0</v>
          </cell>
          <cell r="AY18"/>
          <cell r="AZ18"/>
          <cell r="BB18">
            <v>963.22187499999995</v>
          </cell>
          <cell r="BC18">
            <v>844.84190656249996</v>
          </cell>
          <cell r="BD18">
            <v>118.3799684375</v>
          </cell>
          <cell r="BE18">
            <v>0</v>
          </cell>
          <cell r="BF18"/>
          <cell r="BG18"/>
          <cell r="BI18">
            <v>963.22187499999995</v>
          </cell>
          <cell r="BJ18">
            <v>844.84190656249996</v>
          </cell>
          <cell r="BK18">
            <v>118.3799684375</v>
          </cell>
          <cell r="BL18">
            <v>0</v>
          </cell>
          <cell r="BM18"/>
          <cell r="BN18"/>
          <cell r="BP18">
            <v>963.22187499999995</v>
          </cell>
          <cell r="BQ18">
            <v>844.84190656249996</v>
          </cell>
          <cell r="BR18">
            <v>118.3799684375</v>
          </cell>
          <cell r="BS18">
            <v>0</v>
          </cell>
          <cell r="BT18"/>
          <cell r="BU18"/>
          <cell r="BW18">
            <v>963.22187499999995</v>
          </cell>
          <cell r="BX18">
            <v>844.84190656249996</v>
          </cell>
          <cell r="BY18">
            <v>118.3799684375</v>
          </cell>
          <cell r="BZ18">
            <v>0</v>
          </cell>
          <cell r="CA18"/>
          <cell r="CB18"/>
          <cell r="CD18">
            <v>963.22187499999995</v>
          </cell>
          <cell r="CE18">
            <v>844.84190656249996</v>
          </cell>
          <cell r="CF18">
            <v>118.3799684375</v>
          </cell>
          <cell r="CG18">
            <v>0</v>
          </cell>
          <cell r="CH18"/>
          <cell r="CI18"/>
          <cell r="CK18">
            <v>963.22187499999995</v>
          </cell>
          <cell r="CL18">
            <v>844.84190656249996</v>
          </cell>
          <cell r="CM18">
            <v>118.3799684375</v>
          </cell>
          <cell r="CN18">
            <v>0</v>
          </cell>
          <cell r="CO18"/>
          <cell r="CP18"/>
        </row>
        <row r="19">
          <cell r="L19">
            <v>255.20833333333331</v>
          </cell>
          <cell r="M19">
            <v>223.84322916666665</v>
          </cell>
          <cell r="N19">
            <v>31.365104166666661</v>
          </cell>
          <cell r="O19">
            <v>603.00932865755169</v>
          </cell>
          <cell r="P19"/>
          <cell r="Q19">
            <v>603.00932865755169</v>
          </cell>
          <cell r="S19">
            <v>255.20833333333331</v>
          </cell>
          <cell r="T19">
            <v>223.84322916666665</v>
          </cell>
          <cell r="U19">
            <v>31.365104166666661</v>
          </cell>
          <cell r="V19">
            <v>225.80249953473142</v>
          </cell>
          <cell r="W19"/>
          <cell r="X19">
            <v>225.80249953473142</v>
          </cell>
          <cell r="Z19">
            <v>255.20833333333331</v>
          </cell>
          <cell r="AA19">
            <v>223.84322916666665</v>
          </cell>
          <cell r="AB19">
            <v>31.365104166666661</v>
          </cell>
          <cell r="AC19">
            <v>65.489902998692955</v>
          </cell>
          <cell r="AD19"/>
          <cell r="AE19">
            <v>65.489902998692955</v>
          </cell>
          <cell r="AG19">
            <v>255.20833333333331</v>
          </cell>
          <cell r="AH19">
            <v>223.84322916666665</v>
          </cell>
          <cell r="AI19">
            <v>31.365104166666661</v>
          </cell>
          <cell r="AJ19">
            <v>866.20567703307393</v>
          </cell>
          <cell r="AK19"/>
          <cell r="AL19">
            <v>866.20567703307393</v>
          </cell>
          <cell r="AN19">
            <v>255.20833333333331</v>
          </cell>
          <cell r="AO19">
            <v>223.84322916666665</v>
          </cell>
          <cell r="AP19">
            <v>31.365104166666661</v>
          </cell>
          <cell r="AQ19">
            <v>0</v>
          </cell>
          <cell r="AR19"/>
          <cell r="AS19"/>
          <cell r="AU19">
            <v>255.20833333333331</v>
          </cell>
          <cell r="AV19">
            <v>223.84322916666665</v>
          </cell>
          <cell r="AW19">
            <v>31.365104166666661</v>
          </cell>
          <cell r="AX19">
            <v>0</v>
          </cell>
          <cell r="AY19"/>
          <cell r="AZ19"/>
          <cell r="BB19">
            <v>255.20833333333331</v>
          </cell>
          <cell r="BC19">
            <v>223.84322916666665</v>
          </cell>
          <cell r="BD19">
            <v>31.365104166666661</v>
          </cell>
          <cell r="BE19">
            <v>0</v>
          </cell>
          <cell r="BF19"/>
          <cell r="BG19"/>
          <cell r="BI19">
            <v>255.20833333333331</v>
          </cell>
          <cell r="BJ19">
            <v>223.84322916666665</v>
          </cell>
          <cell r="BK19">
            <v>31.365104166666661</v>
          </cell>
          <cell r="BL19">
            <v>0</v>
          </cell>
          <cell r="BM19"/>
          <cell r="BN19"/>
          <cell r="BP19">
            <v>255.20833333333331</v>
          </cell>
          <cell r="BQ19">
            <v>223.84322916666665</v>
          </cell>
          <cell r="BR19">
            <v>31.365104166666661</v>
          </cell>
          <cell r="BS19">
            <v>0</v>
          </cell>
          <cell r="BT19"/>
          <cell r="BU19"/>
          <cell r="BW19">
            <v>255.20833333333331</v>
          </cell>
          <cell r="BX19">
            <v>223.84322916666665</v>
          </cell>
          <cell r="BY19">
            <v>31.365104166666661</v>
          </cell>
          <cell r="BZ19">
            <v>0</v>
          </cell>
          <cell r="CA19"/>
          <cell r="CB19"/>
          <cell r="CD19">
            <v>255.20833333333331</v>
          </cell>
          <cell r="CE19">
            <v>223.84322916666665</v>
          </cell>
          <cell r="CF19">
            <v>31.365104166666661</v>
          </cell>
          <cell r="CG19">
            <v>0</v>
          </cell>
          <cell r="CH19"/>
          <cell r="CI19"/>
          <cell r="CK19">
            <v>255.20833333333331</v>
          </cell>
          <cell r="CL19">
            <v>223.84322916666665</v>
          </cell>
          <cell r="CM19">
            <v>31.365104166666661</v>
          </cell>
          <cell r="CN19">
            <v>0</v>
          </cell>
          <cell r="CO19"/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/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303.79000000000002</v>
          </cell>
          <cell r="W20"/>
          <cell r="X20">
            <v>303.79000000000002</v>
          </cell>
          <cell r="Z20">
            <v>66293.137239999996</v>
          </cell>
          <cell r="AA20">
            <v>58145.710673203997</v>
          </cell>
          <cell r="AB20">
            <v>8147.426566795999</v>
          </cell>
          <cell r="AC20">
            <v>0</v>
          </cell>
          <cell r="AD20"/>
          <cell r="AE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30064.02</v>
          </cell>
          <cell r="AK20"/>
          <cell r="AL20">
            <v>30064.02</v>
          </cell>
          <cell r="AN20">
            <v>1586.8456000000001</v>
          </cell>
          <cell r="AO20">
            <v>1391.8222757600001</v>
          </cell>
          <cell r="AP20">
            <v>195.02332423999999</v>
          </cell>
          <cell r="AQ20">
            <v>0</v>
          </cell>
          <cell r="AR20"/>
          <cell r="AS20"/>
          <cell r="AU20">
            <v>1586.8456000000001</v>
          </cell>
          <cell r="AV20">
            <v>1391.8222757600001</v>
          </cell>
          <cell r="AW20">
            <v>195.02332423999999</v>
          </cell>
          <cell r="AX20">
            <v>0</v>
          </cell>
          <cell r="AY20"/>
          <cell r="AZ20"/>
          <cell r="BB20">
            <v>30934.845599999899</v>
          </cell>
          <cell r="BC20">
            <v>27132.953075759913</v>
          </cell>
          <cell r="BD20">
            <v>3801.8925242399873</v>
          </cell>
          <cell r="BE20">
            <v>0</v>
          </cell>
          <cell r="BF20"/>
          <cell r="BG20"/>
          <cell r="BI20">
            <v>4354.9828399999997</v>
          </cell>
          <cell r="BJ20">
            <v>3819.7554489639997</v>
          </cell>
          <cell r="BK20">
            <v>535.22739103599997</v>
          </cell>
          <cell r="BL20">
            <v>0</v>
          </cell>
          <cell r="BM20"/>
          <cell r="BN20"/>
          <cell r="BP20">
            <v>30934.845599999899</v>
          </cell>
          <cell r="BQ20">
            <v>27132.953075759913</v>
          </cell>
          <cell r="BR20">
            <v>3801.8925242399873</v>
          </cell>
          <cell r="BS20">
            <v>0</v>
          </cell>
          <cell r="BT20"/>
          <cell r="BU20"/>
          <cell r="BW20">
            <v>1586.8456000000001</v>
          </cell>
          <cell r="BX20">
            <v>1391.8222757600001</v>
          </cell>
          <cell r="BY20">
            <v>195.02332423999999</v>
          </cell>
          <cell r="BZ20">
            <v>0</v>
          </cell>
          <cell r="CA20"/>
          <cell r="CB20"/>
          <cell r="CD20">
            <v>1586.8456000000001</v>
          </cell>
          <cell r="CE20">
            <v>1391.8222757600001</v>
          </cell>
          <cell r="CF20">
            <v>195.02332423999999</v>
          </cell>
          <cell r="CG20">
            <v>0</v>
          </cell>
          <cell r="CH20"/>
          <cell r="CI20"/>
          <cell r="CK20">
            <v>1586.8456000000001</v>
          </cell>
          <cell r="CL20">
            <v>1391.8222757600001</v>
          </cell>
          <cell r="CM20">
            <v>195.02332423999999</v>
          </cell>
          <cell r="CN20">
            <v>0</v>
          </cell>
          <cell r="CO20"/>
          <cell r="CP20"/>
        </row>
        <row r="21">
          <cell r="L21">
            <v>45630.864000000001</v>
          </cell>
          <cell r="M21">
            <v>40022.830814400004</v>
          </cell>
          <cell r="N21">
            <v>5608.0331856000003</v>
          </cell>
          <cell r="O21">
            <v>0</v>
          </cell>
          <cell r="P21"/>
          <cell r="Q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/>
          <cell r="AE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27001.051673954513</v>
          </cell>
          <cell r="AK21"/>
          <cell r="AL21">
            <v>27001.051673954513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/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/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/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/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/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/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/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/>
          <cell r="CP21"/>
        </row>
        <row r="22">
          <cell r="L22">
            <v>4504.08</v>
          </cell>
          <cell r="M22">
            <v>3950.5285679999997</v>
          </cell>
          <cell r="N22">
            <v>553.55143199999998</v>
          </cell>
          <cell r="O22">
            <v>2367.6454488943773</v>
          </cell>
          <cell r="P22"/>
          <cell r="Q22">
            <v>2367.6454488943773</v>
          </cell>
          <cell r="S22">
            <v>4504.08</v>
          </cell>
          <cell r="T22">
            <v>3950.5285679999997</v>
          </cell>
          <cell r="U22">
            <v>553.55143199999998</v>
          </cell>
          <cell r="V22">
            <v>3579.1565012579945</v>
          </cell>
          <cell r="W22"/>
          <cell r="X22">
            <v>3579.1565012579945</v>
          </cell>
          <cell r="Z22">
            <v>4504.08</v>
          </cell>
          <cell r="AA22">
            <v>3950.5285679999997</v>
          </cell>
          <cell r="AB22">
            <v>553.55143199999998</v>
          </cell>
          <cell r="AC22">
            <v>988.24471820993983</v>
          </cell>
          <cell r="AD22"/>
          <cell r="AE22">
            <v>988.24471820993983</v>
          </cell>
          <cell r="AG22">
            <v>4504.08</v>
          </cell>
          <cell r="AH22">
            <v>3950.5285679999997</v>
          </cell>
          <cell r="AI22">
            <v>553.55143199999998</v>
          </cell>
          <cell r="AJ22">
            <v>1487.3065383664016</v>
          </cell>
          <cell r="AK22"/>
          <cell r="AL22">
            <v>1487.3065383664016</v>
          </cell>
          <cell r="AN22">
            <v>4504.08</v>
          </cell>
          <cell r="AO22">
            <v>3950.5285679999997</v>
          </cell>
          <cell r="AP22">
            <v>553.55143199999998</v>
          </cell>
          <cell r="AQ22">
            <v>0</v>
          </cell>
          <cell r="AR22"/>
          <cell r="AS22"/>
          <cell r="AU22">
            <v>4504.08</v>
          </cell>
          <cell r="AV22">
            <v>3950.5285679999997</v>
          </cell>
          <cell r="AW22">
            <v>553.55143199999998</v>
          </cell>
          <cell r="AX22">
            <v>0</v>
          </cell>
          <cell r="AY22"/>
          <cell r="AZ22"/>
          <cell r="BB22">
            <v>4504.08</v>
          </cell>
          <cell r="BC22">
            <v>3950.5285679999997</v>
          </cell>
          <cell r="BD22">
            <v>553.55143199999998</v>
          </cell>
          <cell r="BE22">
            <v>0</v>
          </cell>
          <cell r="BF22"/>
          <cell r="BG22"/>
          <cell r="BI22">
            <v>4504.08</v>
          </cell>
          <cell r="BJ22">
            <v>3950.5285679999997</v>
          </cell>
          <cell r="BK22">
            <v>553.55143199999998</v>
          </cell>
          <cell r="BL22">
            <v>0</v>
          </cell>
          <cell r="BM22"/>
          <cell r="BN22"/>
          <cell r="BP22">
            <v>4504.08</v>
          </cell>
          <cell r="BQ22">
            <v>3950.5285679999997</v>
          </cell>
          <cell r="BR22">
            <v>553.55143199999998</v>
          </cell>
          <cell r="BS22">
            <v>0</v>
          </cell>
          <cell r="BT22"/>
          <cell r="BU22"/>
          <cell r="BW22">
            <v>4504.08</v>
          </cell>
          <cell r="BX22">
            <v>3950.5285679999997</v>
          </cell>
          <cell r="BY22">
            <v>553.55143199999998</v>
          </cell>
          <cell r="BZ22">
            <v>0</v>
          </cell>
          <cell r="CA22"/>
          <cell r="CB22"/>
          <cell r="CD22">
            <v>4504.08</v>
          </cell>
          <cell r="CE22">
            <v>3950.5285679999997</v>
          </cell>
          <cell r="CF22">
            <v>553.55143199999998</v>
          </cell>
          <cell r="CG22">
            <v>0</v>
          </cell>
          <cell r="CH22"/>
          <cell r="CI22"/>
          <cell r="CK22">
            <v>4504.08</v>
          </cell>
          <cell r="CL22">
            <v>3950.5285679999997</v>
          </cell>
          <cell r="CM22">
            <v>553.55143199999998</v>
          </cell>
          <cell r="CN22">
            <v>0</v>
          </cell>
          <cell r="CO22"/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/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/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/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/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/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/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/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/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/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/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/>
          <cell r="CP23"/>
        </row>
        <row r="24">
          <cell r="L24">
            <v>4376.1452984828002</v>
          </cell>
          <cell r="M24">
            <v>3838.317041299264</v>
          </cell>
          <cell r="N24">
            <v>537.82825718353615</v>
          </cell>
          <cell r="O24">
            <v>2895.0700000000006</v>
          </cell>
          <cell r="P24"/>
          <cell r="Q24">
            <v>2895.0700000000006</v>
          </cell>
          <cell r="S24">
            <v>4376.1452984828002</v>
          </cell>
          <cell r="T24">
            <v>3838.317041299264</v>
          </cell>
          <cell r="U24">
            <v>537.82825718353615</v>
          </cell>
          <cell r="V24">
            <v>11791.92</v>
          </cell>
          <cell r="W24"/>
          <cell r="X24">
            <v>11791.92</v>
          </cell>
          <cell r="Z24">
            <v>4376.1452984828002</v>
          </cell>
          <cell r="AA24">
            <v>3838.317041299264</v>
          </cell>
          <cell r="AB24">
            <v>537.82825718353615</v>
          </cell>
          <cell r="AC24">
            <v>0</v>
          </cell>
          <cell r="AD24"/>
          <cell r="AE24">
            <v>0</v>
          </cell>
          <cell r="AG24">
            <v>4376.1452984828002</v>
          </cell>
          <cell r="AH24">
            <v>3838.317041299264</v>
          </cell>
          <cell r="AI24">
            <v>537.82825718353615</v>
          </cell>
          <cell r="AJ24">
            <v>1442.35</v>
          </cell>
          <cell r="AK24"/>
          <cell r="AL24">
            <v>1442.35</v>
          </cell>
          <cell r="AN24">
            <v>4376.1452984828002</v>
          </cell>
          <cell r="AO24">
            <v>3838.317041299264</v>
          </cell>
          <cell r="AP24">
            <v>537.82825718353615</v>
          </cell>
          <cell r="AQ24">
            <v>0</v>
          </cell>
          <cell r="AR24"/>
          <cell r="AS24"/>
          <cell r="AU24">
            <v>4376.1452984828002</v>
          </cell>
          <cell r="AV24">
            <v>3838.317041299264</v>
          </cell>
          <cell r="AW24">
            <v>537.82825718353615</v>
          </cell>
          <cell r="AX24">
            <v>0</v>
          </cell>
          <cell r="AY24"/>
          <cell r="AZ24"/>
          <cell r="BB24">
            <v>3831.5824242427998</v>
          </cell>
          <cell r="BC24">
            <v>3360.6809443033599</v>
          </cell>
          <cell r="BD24">
            <v>470.90147993944009</v>
          </cell>
          <cell r="BE24">
            <v>0</v>
          </cell>
          <cell r="BF24"/>
          <cell r="BG24"/>
          <cell r="BI24">
            <v>4376.1452984828002</v>
          </cell>
          <cell r="BJ24">
            <v>3838.317041299264</v>
          </cell>
          <cell r="BK24">
            <v>537.82825718353615</v>
          </cell>
          <cell r="BL24">
            <v>0</v>
          </cell>
          <cell r="BM24"/>
          <cell r="BN24"/>
          <cell r="BP24">
            <v>4376.1452984828002</v>
          </cell>
          <cell r="BQ24">
            <v>3838.317041299264</v>
          </cell>
          <cell r="BR24">
            <v>537.82825718353615</v>
          </cell>
          <cell r="BS24">
            <v>0</v>
          </cell>
          <cell r="BT24"/>
          <cell r="BU24"/>
          <cell r="BW24">
            <v>4376.1452984828002</v>
          </cell>
          <cell r="BX24">
            <v>3838.317041299264</v>
          </cell>
          <cell r="BY24">
            <v>537.82825718353615</v>
          </cell>
          <cell r="BZ24">
            <v>0</v>
          </cell>
          <cell r="CA24"/>
          <cell r="CB24"/>
          <cell r="CD24">
            <v>4376.1452984828002</v>
          </cell>
          <cell r="CE24">
            <v>3838.317041299264</v>
          </cell>
          <cell r="CF24">
            <v>537.82825718353615</v>
          </cell>
          <cell r="CG24">
            <v>0</v>
          </cell>
          <cell r="CH24"/>
          <cell r="CI24"/>
          <cell r="CK24">
            <v>4376.1452984828002</v>
          </cell>
          <cell r="CL24">
            <v>3838.317041299264</v>
          </cell>
          <cell r="CM24">
            <v>537.82825718353615</v>
          </cell>
          <cell r="CN24">
            <v>0</v>
          </cell>
          <cell r="CO24"/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2573.7300000000005</v>
          </cell>
          <cell r="P25"/>
          <cell r="Q25">
            <v>2573.7300000000005</v>
          </cell>
          <cell r="S25">
            <v>0</v>
          </cell>
          <cell r="T25">
            <v>0</v>
          </cell>
          <cell r="U25">
            <v>0</v>
          </cell>
          <cell r="V25">
            <v>2223.3000000000002</v>
          </cell>
          <cell r="W25"/>
          <cell r="X25">
            <v>2223.3000000000002</v>
          </cell>
          <cell r="Z25">
            <v>14015.7318</v>
          </cell>
          <cell r="AA25">
            <v>12293.19836178</v>
          </cell>
          <cell r="AB25">
            <v>1722.5334382199999</v>
          </cell>
          <cell r="AC25">
            <v>2229.7400000000002</v>
          </cell>
          <cell r="AD25"/>
          <cell r="AE25">
            <v>2229.7400000000002</v>
          </cell>
          <cell r="AG25">
            <v>12162.55566</v>
          </cell>
          <cell r="AH25">
            <v>10667.777569386</v>
          </cell>
          <cell r="AI25">
            <v>1494.7780906139999</v>
          </cell>
          <cell r="AJ25">
            <v>27262.98</v>
          </cell>
          <cell r="AK25"/>
          <cell r="AL25">
            <v>27262.98</v>
          </cell>
          <cell r="AN25">
            <v>12162.55566</v>
          </cell>
          <cell r="AO25">
            <v>10667.777569386</v>
          </cell>
          <cell r="AP25">
            <v>1494.7780906139999</v>
          </cell>
          <cell r="AQ25">
            <v>0</v>
          </cell>
          <cell r="AR25"/>
          <cell r="AS25"/>
          <cell r="AU25">
            <v>12746.569380000001</v>
          </cell>
          <cell r="AV25">
            <v>11180.016003198001</v>
          </cell>
          <cell r="AW25">
            <v>1566.553376802</v>
          </cell>
          <cell r="AX25">
            <v>0</v>
          </cell>
          <cell r="AY25"/>
          <cell r="AZ25"/>
          <cell r="BB25">
            <v>3111.0553799999998</v>
          </cell>
          <cell r="BC25">
            <v>2728.7066737979999</v>
          </cell>
          <cell r="BD25">
            <v>382.34870620199996</v>
          </cell>
          <cell r="BE25">
            <v>0</v>
          </cell>
          <cell r="BF25"/>
          <cell r="BG25"/>
          <cell r="BI25">
            <v>3111.0553799999998</v>
          </cell>
          <cell r="BJ25">
            <v>2728.7066737979999</v>
          </cell>
          <cell r="BK25">
            <v>382.34870620199996</v>
          </cell>
          <cell r="BL25">
            <v>0</v>
          </cell>
          <cell r="BM25"/>
          <cell r="BN25"/>
          <cell r="BP25">
            <v>3111.0553799999998</v>
          </cell>
          <cell r="BQ25">
            <v>2728.7066737979999</v>
          </cell>
          <cell r="BR25">
            <v>382.34870620199996</v>
          </cell>
          <cell r="BS25">
            <v>0</v>
          </cell>
          <cell r="BT25"/>
          <cell r="BU25"/>
          <cell r="BW25">
            <v>1341.3774659999999</v>
          </cell>
          <cell r="BX25">
            <v>1176.5221754285999</v>
          </cell>
          <cell r="BY25">
            <v>164.85529057139999</v>
          </cell>
          <cell r="BZ25">
            <v>0</v>
          </cell>
          <cell r="CA25"/>
          <cell r="CB25"/>
          <cell r="CD25">
            <v>1341.3774659999999</v>
          </cell>
          <cell r="CE25">
            <v>1176.5221754285999</v>
          </cell>
          <cell r="CF25">
            <v>164.85529057139999</v>
          </cell>
          <cell r="CG25">
            <v>0</v>
          </cell>
          <cell r="CH25"/>
          <cell r="CI25"/>
          <cell r="CK25">
            <v>1341.3774659999999</v>
          </cell>
          <cell r="CL25">
            <v>1176.5221754285999</v>
          </cell>
          <cell r="CM25">
            <v>164.85529057139999</v>
          </cell>
          <cell r="CN25">
            <v>0</v>
          </cell>
          <cell r="CO25"/>
          <cell r="CP25"/>
        </row>
        <row r="26">
          <cell r="L26">
            <v>13336.402886112</v>
          </cell>
          <cell r="M26">
            <v>11697.358971408836</v>
          </cell>
          <cell r="N26">
            <v>1639.0439147031648</v>
          </cell>
          <cell r="O26">
            <v>20295.52</v>
          </cell>
          <cell r="P26"/>
          <cell r="Q26">
            <v>20295.52</v>
          </cell>
          <cell r="S26">
            <v>26187.676806111998</v>
          </cell>
          <cell r="T26">
            <v>22969.211326640834</v>
          </cell>
          <cell r="U26">
            <v>3218.4654794711646</v>
          </cell>
          <cell r="V26">
            <v>26067.427576276477</v>
          </cell>
          <cell r="W26"/>
          <cell r="X26">
            <v>26067.427576276477</v>
          </cell>
          <cell r="Z26">
            <v>39863.154592671999</v>
          </cell>
          <cell r="AA26">
            <v>34963.972893232611</v>
          </cell>
          <cell r="AB26">
            <v>4899.1816994393885</v>
          </cell>
          <cell r="AC26">
            <v>36641.75557419267</v>
          </cell>
          <cell r="AD26"/>
          <cell r="AE26">
            <v>36641.75557419267</v>
          </cell>
          <cell r="AG26">
            <v>39863.154592671999</v>
          </cell>
          <cell r="AH26">
            <v>34963.972893232611</v>
          </cell>
          <cell r="AI26">
            <v>4899.1816994393885</v>
          </cell>
          <cell r="AJ26">
            <v>59741.91</v>
          </cell>
          <cell r="AK26"/>
          <cell r="AL26">
            <v>59741.91</v>
          </cell>
          <cell r="AN26">
            <v>44570.298006112003</v>
          </cell>
          <cell r="AO26">
            <v>39092.608381160841</v>
          </cell>
          <cell r="AP26">
            <v>5477.6896249511647</v>
          </cell>
          <cell r="AQ26">
            <v>0</v>
          </cell>
          <cell r="AR26"/>
          <cell r="AS26"/>
          <cell r="AU26">
            <v>34679.586632672006</v>
          </cell>
          <cell r="AV26">
            <v>30417.465435516617</v>
          </cell>
          <cell r="AW26">
            <v>4262.1211971553894</v>
          </cell>
          <cell r="AX26">
            <v>0</v>
          </cell>
          <cell r="AY26"/>
          <cell r="AZ26"/>
          <cell r="BB26">
            <v>29972.443219231998</v>
          </cell>
          <cell r="BC26">
            <v>26288.829947588387</v>
          </cell>
          <cell r="BD26">
            <v>3683.6132716436123</v>
          </cell>
          <cell r="BE26">
            <v>0</v>
          </cell>
          <cell r="BF26"/>
          <cell r="BG26"/>
          <cell r="BI26">
            <v>39863.154592671999</v>
          </cell>
          <cell r="BJ26">
            <v>34963.972893232611</v>
          </cell>
          <cell r="BK26">
            <v>4899.1816994393885</v>
          </cell>
          <cell r="BL26">
            <v>0</v>
          </cell>
          <cell r="BM26"/>
          <cell r="BN26"/>
          <cell r="BP26">
            <v>49767.18757016</v>
          </cell>
          <cell r="BQ26">
            <v>43650.800217787335</v>
          </cell>
          <cell r="BR26">
            <v>6116.3873523726634</v>
          </cell>
          <cell r="BS26">
            <v>0</v>
          </cell>
          <cell r="BT26"/>
          <cell r="BU26"/>
          <cell r="BW26">
            <v>46650.766443599998</v>
          </cell>
          <cell r="BX26">
            <v>40917.38724768156</v>
          </cell>
          <cell r="BY26">
            <v>5733.3791959184391</v>
          </cell>
          <cell r="BZ26">
            <v>0</v>
          </cell>
          <cell r="CA26"/>
          <cell r="CB26"/>
          <cell r="CD26">
            <v>34623.696390160003</v>
          </cell>
          <cell r="CE26">
            <v>30368.444103809339</v>
          </cell>
          <cell r="CF26">
            <v>4255.2522863506638</v>
          </cell>
          <cell r="CG26">
            <v>0</v>
          </cell>
          <cell r="CH26"/>
          <cell r="CI26"/>
          <cell r="CK26">
            <v>33799.492523599998</v>
          </cell>
          <cell r="CL26">
            <v>29645.534892449559</v>
          </cell>
          <cell r="CM26">
            <v>4153.9576311504397</v>
          </cell>
          <cell r="CN26">
            <v>0</v>
          </cell>
          <cell r="CO26"/>
          <cell r="CP26"/>
        </row>
        <row r="27">
          <cell r="L27">
            <v>559.69475199999999</v>
          </cell>
          <cell r="M27">
            <v>490.90826697919999</v>
          </cell>
          <cell r="N27">
            <v>68.786485020800001</v>
          </cell>
          <cell r="O27">
            <v>2850.13</v>
          </cell>
          <cell r="P27"/>
          <cell r="Q27">
            <v>2850.13</v>
          </cell>
          <cell r="S27">
            <v>2020.5364159999999</v>
          </cell>
          <cell r="T27">
            <v>1772.2124904735999</v>
          </cell>
          <cell r="U27">
            <v>248.32392552639999</v>
          </cell>
          <cell r="V27">
            <v>0</v>
          </cell>
          <cell r="W27"/>
          <cell r="X27">
            <v>0</v>
          </cell>
          <cell r="Z27">
            <v>2020.5364159999999</v>
          </cell>
          <cell r="AA27">
            <v>1772.2124904735999</v>
          </cell>
          <cell r="AB27">
            <v>248.32392552639999</v>
          </cell>
          <cell r="AC27">
            <v>5192.8599999999997</v>
          </cell>
          <cell r="AD27"/>
          <cell r="AE27">
            <v>5192.8599999999997</v>
          </cell>
          <cell r="AG27">
            <v>2143.3063000000002</v>
          </cell>
          <cell r="AH27">
            <v>1879.8939557300002</v>
          </cell>
          <cell r="AI27">
            <v>263.41234427000001</v>
          </cell>
          <cell r="AJ27">
            <v>7069.2</v>
          </cell>
          <cell r="AK27"/>
          <cell r="AL27">
            <v>7069.2</v>
          </cell>
          <cell r="AN27">
            <v>839.57429999999999</v>
          </cell>
          <cell r="AO27">
            <v>736.39061852999998</v>
          </cell>
          <cell r="AP27">
            <v>103.18368147</v>
          </cell>
          <cell r="AQ27">
            <v>0</v>
          </cell>
          <cell r="AR27"/>
          <cell r="AS27"/>
          <cell r="AU27">
            <v>2703.0010520000001</v>
          </cell>
          <cell r="AV27">
            <v>2370.8022227092001</v>
          </cell>
          <cell r="AW27">
            <v>332.19882929080001</v>
          </cell>
          <cell r="AX27">
            <v>0</v>
          </cell>
          <cell r="AY27"/>
          <cell r="AZ27"/>
          <cell r="BB27">
            <v>1399.2690520000001</v>
          </cell>
          <cell r="BC27">
            <v>1227.2988855092001</v>
          </cell>
          <cell r="BD27">
            <v>171.97016649080001</v>
          </cell>
          <cell r="BE27">
            <v>0</v>
          </cell>
          <cell r="BF27"/>
          <cell r="BG27"/>
          <cell r="BI27">
            <v>2703.0010520000001</v>
          </cell>
          <cell r="BJ27">
            <v>2370.8022227092001</v>
          </cell>
          <cell r="BK27">
            <v>332.19882929080001</v>
          </cell>
          <cell r="BL27">
            <v>0</v>
          </cell>
          <cell r="BM27"/>
          <cell r="BN27"/>
          <cell r="BP27">
            <v>2703.0010520000001</v>
          </cell>
          <cell r="BQ27">
            <v>2370.8022227092001</v>
          </cell>
          <cell r="BR27">
            <v>332.19882929080001</v>
          </cell>
          <cell r="BS27">
            <v>0</v>
          </cell>
          <cell r="BT27"/>
          <cell r="BU27"/>
          <cell r="BW27">
            <v>1697.3818819999999</v>
          </cell>
          <cell r="BX27">
            <v>1488.7736487021998</v>
          </cell>
          <cell r="BY27">
            <v>208.60823329779998</v>
          </cell>
          <cell r="BZ27">
            <v>0</v>
          </cell>
          <cell r="CA27"/>
          <cell r="CB27"/>
          <cell r="CD27">
            <v>1137.68713</v>
          </cell>
          <cell r="CE27">
            <v>997.86538172300004</v>
          </cell>
          <cell r="CF27">
            <v>139.82174827700001</v>
          </cell>
          <cell r="CG27">
            <v>0</v>
          </cell>
          <cell r="CH27"/>
          <cell r="CI27"/>
          <cell r="CK27">
            <v>1137.68713</v>
          </cell>
          <cell r="CL27">
            <v>997.86538172300004</v>
          </cell>
          <cell r="CM27">
            <v>139.82174827700001</v>
          </cell>
          <cell r="CN27">
            <v>0</v>
          </cell>
          <cell r="CO27"/>
          <cell r="CP27"/>
        </row>
        <row r="28">
          <cell r="L28">
            <v>1768.7706000000001</v>
          </cell>
          <cell r="M28">
            <v>1551.3886932600001</v>
          </cell>
          <cell r="N28">
            <v>217.38190674000001</v>
          </cell>
          <cell r="O28">
            <v>2239.46</v>
          </cell>
          <cell r="P28"/>
          <cell r="Q28">
            <v>2239.46</v>
          </cell>
          <cell r="S28">
            <v>1768.7706000000001</v>
          </cell>
          <cell r="T28">
            <v>1551.3886932600001</v>
          </cell>
          <cell r="U28">
            <v>217.38190674000001</v>
          </cell>
          <cell r="V28">
            <v>2162.2800000000002</v>
          </cell>
          <cell r="W28"/>
          <cell r="X28">
            <v>2162.2800000000002</v>
          </cell>
          <cell r="Z28">
            <v>2358.3607999999999</v>
          </cell>
          <cell r="AA28">
            <v>2068.5182576799998</v>
          </cell>
          <cell r="AB28">
            <v>289.84254232000001</v>
          </cell>
          <cell r="AC28">
            <v>281.39</v>
          </cell>
          <cell r="AD28"/>
          <cell r="AE28">
            <v>281.39</v>
          </cell>
          <cell r="AG28">
            <v>2412.0956999999999</v>
          </cell>
          <cell r="AH28">
            <v>2115.6491384699998</v>
          </cell>
          <cell r="AI28">
            <v>296.44656153</v>
          </cell>
          <cell r="AJ28">
            <v>2412.1400000000003</v>
          </cell>
          <cell r="AK28"/>
          <cell r="AL28">
            <v>2412.1400000000003</v>
          </cell>
          <cell r="AN28">
            <v>2063.5657000000001</v>
          </cell>
          <cell r="AO28">
            <v>1809.9534754700001</v>
          </cell>
          <cell r="AP28">
            <v>253.61222452999999</v>
          </cell>
          <cell r="AQ28">
            <v>0</v>
          </cell>
          <cell r="AR28"/>
          <cell r="AS28"/>
          <cell r="AU28">
            <v>1822.5055</v>
          </cell>
          <cell r="AV28">
            <v>1598.5195740500001</v>
          </cell>
          <cell r="AW28">
            <v>223.98592595</v>
          </cell>
          <cell r="AX28">
            <v>0</v>
          </cell>
          <cell r="AY28"/>
          <cell r="AZ28"/>
          <cell r="BB28">
            <v>1473.9755</v>
          </cell>
          <cell r="BC28">
            <v>1292.8239110500001</v>
          </cell>
          <cell r="BD28">
            <v>181.15158894999999</v>
          </cell>
          <cell r="BE28">
            <v>0</v>
          </cell>
          <cell r="BF28"/>
          <cell r="BG28"/>
          <cell r="BI28">
            <v>2412.0956999999999</v>
          </cell>
          <cell r="BJ28">
            <v>2115.6491384699998</v>
          </cell>
          <cell r="BK28">
            <v>296.44656153</v>
          </cell>
          <cell r="BL28">
            <v>0</v>
          </cell>
          <cell r="BM28"/>
          <cell r="BN28"/>
          <cell r="BP28">
            <v>2412.0956999999999</v>
          </cell>
          <cell r="BQ28">
            <v>2115.6491384699998</v>
          </cell>
          <cell r="BR28">
            <v>296.44656153</v>
          </cell>
          <cell r="BS28">
            <v>0</v>
          </cell>
          <cell r="BT28"/>
          <cell r="BU28"/>
          <cell r="BW28">
            <v>2110.2536100000002</v>
          </cell>
          <cell r="BX28">
            <v>1850.9034413310001</v>
          </cell>
          <cell r="BY28">
            <v>259.35016866900003</v>
          </cell>
          <cell r="BZ28">
            <v>0</v>
          </cell>
          <cell r="CA28"/>
          <cell r="CB28"/>
          <cell r="CD28">
            <v>1520.6634100000001</v>
          </cell>
          <cell r="CE28">
            <v>1333.7738769110001</v>
          </cell>
          <cell r="CF28">
            <v>186.889533089</v>
          </cell>
          <cell r="CG28">
            <v>0</v>
          </cell>
          <cell r="CH28"/>
          <cell r="CI28"/>
          <cell r="CK28">
            <v>1520.6634100000001</v>
          </cell>
          <cell r="CL28">
            <v>1333.7738769110001</v>
          </cell>
          <cell r="CM28">
            <v>186.889533089</v>
          </cell>
          <cell r="CN28">
            <v>0</v>
          </cell>
          <cell r="CO28"/>
          <cell r="CP28"/>
        </row>
        <row r="29">
          <cell r="L29">
            <v>3831.01999999999</v>
          </cell>
          <cell r="M29">
            <v>3360.1876419999912</v>
          </cell>
          <cell r="N29">
            <v>470.83235799999875</v>
          </cell>
          <cell r="O29">
            <v>0</v>
          </cell>
          <cell r="P29"/>
          <cell r="Q29">
            <v>0</v>
          </cell>
          <cell r="S29">
            <v>5779.9354999999996</v>
          </cell>
          <cell r="T29">
            <v>5069.5814270499995</v>
          </cell>
          <cell r="U29">
            <v>710.35407294999993</v>
          </cell>
          <cell r="V29">
            <v>0</v>
          </cell>
          <cell r="W29"/>
          <cell r="X29">
            <v>0</v>
          </cell>
          <cell r="Z29">
            <v>3831.01999999999</v>
          </cell>
          <cell r="AA29">
            <v>3360.1876419999912</v>
          </cell>
          <cell r="AB29">
            <v>470.83235799999875</v>
          </cell>
          <cell r="AC29">
            <v>0</v>
          </cell>
          <cell r="AD29"/>
          <cell r="AE29">
            <v>0</v>
          </cell>
          <cell r="AG29">
            <v>5779.9354999999996</v>
          </cell>
          <cell r="AH29">
            <v>5069.5814270499995</v>
          </cell>
          <cell r="AI29">
            <v>710.35407294999993</v>
          </cell>
          <cell r="AJ29">
            <v>0</v>
          </cell>
          <cell r="AK29"/>
          <cell r="AL29">
            <v>0</v>
          </cell>
          <cell r="AN29">
            <v>3831.01999999999</v>
          </cell>
          <cell r="AO29">
            <v>3360.1876419999912</v>
          </cell>
          <cell r="AP29">
            <v>470.83235799999875</v>
          </cell>
          <cell r="AQ29">
            <v>0</v>
          </cell>
          <cell r="AR29"/>
          <cell r="AS29"/>
          <cell r="AU29">
            <v>5779.9354999999996</v>
          </cell>
          <cell r="AV29">
            <v>5069.5814270499995</v>
          </cell>
          <cell r="AW29">
            <v>710.35407294999993</v>
          </cell>
          <cell r="AX29">
            <v>0</v>
          </cell>
          <cell r="AY29"/>
          <cell r="AZ29"/>
          <cell r="BB29">
            <v>3831.01999999999</v>
          </cell>
          <cell r="BC29">
            <v>3360.1876419999912</v>
          </cell>
          <cell r="BD29">
            <v>470.83235799999875</v>
          </cell>
          <cell r="BE29">
            <v>0</v>
          </cell>
          <cell r="BF29"/>
          <cell r="BG29"/>
          <cell r="BI29">
            <v>5779.9354999999996</v>
          </cell>
          <cell r="BJ29">
            <v>5069.5814270499995</v>
          </cell>
          <cell r="BK29">
            <v>710.35407294999993</v>
          </cell>
          <cell r="BL29">
            <v>0</v>
          </cell>
          <cell r="BM29"/>
          <cell r="BN29"/>
          <cell r="BP29">
            <v>3831.01999999999</v>
          </cell>
          <cell r="BQ29">
            <v>3360.1876419999912</v>
          </cell>
          <cell r="BR29">
            <v>470.83235799999875</v>
          </cell>
          <cell r="BS29">
            <v>0</v>
          </cell>
          <cell r="BT29"/>
          <cell r="BU29"/>
          <cell r="BW29">
            <v>5779.9354999999996</v>
          </cell>
          <cell r="BX29">
            <v>5069.5814270499995</v>
          </cell>
          <cell r="BY29">
            <v>710.35407294999993</v>
          </cell>
          <cell r="BZ29">
            <v>0</v>
          </cell>
          <cell r="CA29"/>
          <cell r="CB29"/>
          <cell r="CD29">
            <v>3831.01999999999</v>
          </cell>
          <cell r="CE29">
            <v>3360.1876419999912</v>
          </cell>
          <cell r="CF29">
            <v>470.83235799999875</v>
          </cell>
          <cell r="CG29">
            <v>0</v>
          </cell>
          <cell r="CH29"/>
          <cell r="CI29"/>
          <cell r="CK29">
            <v>5779.9354999999996</v>
          </cell>
          <cell r="CL29">
            <v>5069.5814270499995</v>
          </cell>
          <cell r="CM29">
            <v>710.35407294999993</v>
          </cell>
          <cell r="CN29">
            <v>0</v>
          </cell>
          <cell r="CO29"/>
          <cell r="CP29"/>
        </row>
        <row r="30">
          <cell r="L30">
            <v>583.33333333333337</v>
          </cell>
          <cell r="M30">
            <v>511.64166666666671</v>
          </cell>
          <cell r="N30">
            <v>71.691666666666663</v>
          </cell>
          <cell r="O30">
            <v>0</v>
          </cell>
          <cell r="P30"/>
          <cell r="Q30">
            <v>0</v>
          </cell>
          <cell r="S30">
            <v>583.33333333333337</v>
          </cell>
          <cell r="T30">
            <v>511.64166666666671</v>
          </cell>
          <cell r="U30">
            <v>71.691666666666663</v>
          </cell>
          <cell r="V30">
            <v>0</v>
          </cell>
          <cell r="W30"/>
          <cell r="X30">
            <v>0</v>
          </cell>
          <cell r="Z30">
            <v>583.33333333333337</v>
          </cell>
          <cell r="AA30">
            <v>511.64166666666671</v>
          </cell>
          <cell r="AB30">
            <v>71.691666666666663</v>
          </cell>
          <cell r="AC30">
            <v>0</v>
          </cell>
          <cell r="AD30"/>
          <cell r="AE30">
            <v>0</v>
          </cell>
          <cell r="AG30">
            <v>583.33333333333337</v>
          </cell>
          <cell r="AH30">
            <v>511.64166666666671</v>
          </cell>
          <cell r="AI30">
            <v>71.691666666666663</v>
          </cell>
          <cell r="AJ30">
            <v>0</v>
          </cell>
          <cell r="AK30"/>
          <cell r="AL30">
            <v>0</v>
          </cell>
          <cell r="AN30">
            <v>583.33333333333337</v>
          </cell>
          <cell r="AO30">
            <v>511.64166666666671</v>
          </cell>
          <cell r="AP30">
            <v>71.691666666666663</v>
          </cell>
          <cell r="AQ30">
            <v>0</v>
          </cell>
          <cell r="AR30"/>
          <cell r="AS30">
            <v>0</v>
          </cell>
          <cell r="AU30">
            <v>583.33333333333337</v>
          </cell>
          <cell r="AV30">
            <v>511.64166666666671</v>
          </cell>
          <cell r="AW30">
            <v>71.691666666666663</v>
          </cell>
          <cell r="AX30">
            <v>0</v>
          </cell>
          <cell r="AY30"/>
          <cell r="AZ30">
            <v>0</v>
          </cell>
          <cell r="BB30">
            <v>583.33333333333337</v>
          </cell>
          <cell r="BC30">
            <v>511.64166666666671</v>
          </cell>
          <cell r="BD30">
            <v>71.691666666666663</v>
          </cell>
          <cell r="BE30">
            <v>0</v>
          </cell>
          <cell r="BF30"/>
          <cell r="BG30">
            <v>0</v>
          </cell>
          <cell r="BI30">
            <v>583.33333333333337</v>
          </cell>
          <cell r="BJ30">
            <v>511.64166666666671</v>
          </cell>
          <cell r="BK30">
            <v>71.691666666666663</v>
          </cell>
          <cell r="BL30">
            <v>0</v>
          </cell>
          <cell r="BM30"/>
          <cell r="BN30">
            <v>0</v>
          </cell>
          <cell r="BP30">
            <v>583.33333333333337</v>
          </cell>
          <cell r="BQ30">
            <v>511.64166666666671</v>
          </cell>
          <cell r="BR30">
            <v>71.691666666666663</v>
          </cell>
          <cell r="BS30">
            <v>0</v>
          </cell>
          <cell r="BT30"/>
          <cell r="BU30">
            <v>0</v>
          </cell>
          <cell r="BW30">
            <v>583.33333333333337</v>
          </cell>
          <cell r="BX30">
            <v>511.64166666666671</v>
          </cell>
          <cell r="BY30">
            <v>71.691666666666663</v>
          </cell>
          <cell r="BZ30">
            <v>0</v>
          </cell>
          <cell r="CA30"/>
          <cell r="CB30">
            <v>0</v>
          </cell>
          <cell r="CD30">
            <v>583.33333333333337</v>
          </cell>
          <cell r="CE30">
            <v>511.64166666666671</v>
          </cell>
          <cell r="CF30">
            <v>71.691666666666663</v>
          </cell>
          <cell r="CG30">
            <v>0</v>
          </cell>
          <cell r="CH30"/>
          <cell r="CI30">
            <v>0</v>
          </cell>
          <cell r="CK30">
            <v>583.33333333333337</v>
          </cell>
          <cell r="CL30">
            <v>511.64166666666671</v>
          </cell>
          <cell r="CM30">
            <v>71.691666666666663</v>
          </cell>
          <cell r="CN30">
            <v>0</v>
          </cell>
          <cell r="CO30"/>
          <cell r="CP30">
            <v>0</v>
          </cell>
        </row>
        <row r="31">
          <cell r="L31">
            <v>313.54166666666669</v>
          </cell>
          <cell r="M31">
            <v>275.00739583333336</v>
          </cell>
          <cell r="N31">
            <v>38.534270833333338</v>
          </cell>
          <cell r="O31">
            <v>48.304970804904571</v>
          </cell>
          <cell r="P31"/>
          <cell r="Q31">
            <v>48.304970804904571</v>
          </cell>
          <cell r="S31">
            <v>313.54166666666669</v>
          </cell>
          <cell r="T31">
            <v>275.00739583333336</v>
          </cell>
          <cell r="U31">
            <v>38.534270833333338</v>
          </cell>
          <cell r="V31">
            <v>492.58818960291273</v>
          </cell>
          <cell r="W31"/>
          <cell r="X31">
            <v>492.58818960291273</v>
          </cell>
          <cell r="Z31">
            <v>313.54166666666669</v>
          </cell>
          <cell r="AA31">
            <v>275.00739583333336</v>
          </cell>
          <cell r="AB31">
            <v>38.534270833333338</v>
          </cell>
          <cell r="AC31">
            <v>112.18654451428924</v>
          </cell>
          <cell r="AD31"/>
          <cell r="AE31">
            <v>112.18654451428924</v>
          </cell>
          <cell r="AG31">
            <v>313.54166666666669</v>
          </cell>
          <cell r="AH31">
            <v>275.00739583333336</v>
          </cell>
          <cell r="AI31">
            <v>38.534270833333338</v>
          </cell>
          <cell r="AJ31">
            <v>48.786270332851991</v>
          </cell>
          <cell r="AK31"/>
          <cell r="AL31">
            <v>48.786270332851991</v>
          </cell>
          <cell r="AN31">
            <v>313.54166666666669</v>
          </cell>
          <cell r="AO31">
            <v>275.00739583333336</v>
          </cell>
          <cell r="AP31">
            <v>38.534270833333338</v>
          </cell>
          <cell r="AQ31">
            <v>0</v>
          </cell>
          <cell r="AR31"/>
          <cell r="AS31">
            <v>0</v>
          </cell>
          <cell r="AU31">
            <v>313.54166666666669</v>
          </cell>
          <cell r="AV31">
            <v>275.00739583333336</v>
          </cell>
          <cell r="AW31">
            <v>38.534270833333338</v>
          </cell>
          <cell r="AX31">
            <v>0</v>
          </cell>
          <cell r="AY31"/>
          <cell r="AZ31">
            <v>0</v>
          </cell>
          <cell r="BB31">
            <v>313.54166666666669</v>
          </cell>
          <cell r="BC31">
            <v>275.00739583333336</v>
          </cell>
          <cell r="BD31">
            <v>38.534270833333338</v>
          </cell>
          <cell r="BE31">
            <v>0</v>
          </cell>
          <cell r="BF31"/>
          <cell r="BG31">
            <v>0</v>
          </cell>
          <cell r="BI31">
            <v>313.54166666666669</v>
          </cell>
          <cell r="BJ31">
            <v>275.00739583333336</v>
          </cell>
          <cell r="BK31">
            <v>38.534270833333338</v>
          </cell>
          <cell r="BL31">
            <v>0</v>
          </cell>
          <cell r="BM31"/>
          <cell r="BN31">
            <v>0</v>
          </cell>
          <cell r="BP31">
            <v>313.54166666666669</v>
          </cell>
          <cell r="BQ31">
            <v>275.00739583333336</v>
          </cell>
          <cell r="BR31">
            <v>38.534270833333338</v>
          </cell>
          <cell r="BS31">
            <v>0</v>
          </cell>
          <cell r="BT31"/>
          <cell r="BU31">
            <v>0</v>
          </cell>
          <cell r="BW31">
            <v>313.54166666666669</v>
          </cell>
          <cell r="BX31">
            <v>275.00739583333336</v>
          </cell>
          <cell r="BY31">
            <v>38.534270833333338</v>
          </cell>
          <cell r="BZ31">
            <v>0</v>
          </cell>
          <cell r="CA31"/>
          <cell r="CB31">
            <v>0</v>
          </cell>
          <cell r="CD31">
            <v>313.54166666666669</v>
          </cell>
          <cell r="CE31">
            <v>275.00739583333336</v>
          </cell>
          <cell r="CF31">
            <v>38.534270833333338</v>
          </cell>
          <cell r="CG31">
            <v>0</v>
          </cell>
          <cell r="CH31"/>
          <cell r="CI31">
            <v>0</v>
          </cell>
          <cell r="CK31">
            <v>313.54166666666669</v>
          </cell>
          <cell r="CL31">
            <v>275.00739583333336</v>
          </cell>
          <cell r="CM31">
            <v>38.534270833333338</v>
          </cell>
          <cell r="CN31">
            <v>0</v>
          </cell>
          <cell r="CO31"/>
          <cell r="CP31">
            <v>0</v>
          </cell>
        </row>
        <row r="32">
          <cell r="L32">
            <v>71370.786713599999</v>
          </cell>
          <cell r="M32">
            <v>62599.31702649856</v>
          </cell>
          <cell r="N32">
            <v>8771.4696871014403</v>
          </cell>
          <cell r="O32">
            <v>155774.03000000003</v>
          </cell>
          <cell r="P32"/>
          <cell r="Q32">
            <v>155774.03000000003</v>
          </cell>
          <cell r="S32">
            <v>71480.283072000006</v>
          </cell>
          <cell r="T32">
            <v>62695.356282451205</v>
          </cell>
          <cell r="U32">
            <v>8784.926789548801</v>
          </cell>
          <cell r="V32">
            <v>1064.8604459999999</v>
          </cell>
          <cell r="W32"/>
          <cell r="X32">
            <v>1064.8604459999999</v>
          </cell>
          <cell r="Z32">
            <v>71480.283072000006</v>
          </cell>
          <cell r="AA32">
            <v>62695.356282451205</v>
          </cell>
          <cell r="AB32">
            <v>8784.926789548801</v>
          </cell>
          <cell r="AC32">
            <v>27150.27</v>
          </cell>
          <cell r="AD32"/>
          <cell r="AE32">
            <v>27150.27</v>
          </cell>
          <cell r="AG32">
            <v>77069.520211199982</v>
          </cell>
          <cell r="AH32">
            <v>67597.676177243498</v>
          </cell>
          <cell r="AI32">
            <v>9471.8440339564768</v>
          </cell>
          <cell r="AJ32">
            <v>146301.34</v>
          </cell>
          <cell r="AK32"/>
          <cell r="AL32">
            <v>146301.34</v>
          </cell>
          <cell r="AN32">
            <v>82658.757350399988</v>
          </cell>
          <cell r="AO32">
            <v>72499.996072035836</v>
          </cell>
          <cell r="AP32">
            <v>10158.761278364158</v>
          </cell>
          <cell r="AQ32">
            <v>0</v>
          </cell>
          <cell r="AR32"/>
          <cell r="AS32"/>
          <cell r="AU32">
            <v>78365.403072000001</v>
          </cell>
          <cell r="AV32">
            <v>68734.295034451206</v>
          </cell>
          <cell r="AW32">
            <v>9631.1080375488</v>
          </cell>
          <cell r="AX32">
            <v>0</v>
          </cell>
          <cell r="AY32"/>
          <cell r="AZ32"/>
          <cell r="BB32">
            <v>78088.368793599991</v>
          </cell>
          <cell r="BC32">
            <v>68491.30826886656</v>
          </cell>
          <cell r="BD32">
            <v>9597.0605247334388</v>
          </cell>
          <cell r="BE32">
            <v>0</v>
          </cell>
          <cell r="BF32"/>
          <cell r="BG32"/>
          <cell r="BI32">
            <v>56572.735999999997</v>
          </cell>
          <cell r="BJ32">
            <v>49619.946745599998</v>
          </cell>
          <cell r="BK32">
            <v>6952.7892543999997</v>
          </cell>
          <cell r="BL32">
            <v>0</v>
          </cell>
          <cell r="BM32"/>
          <cell r="BN32"/>
          <cell r="BP32">
            <v>918.01599999999996</v>
          </cell>
          <cell r="BQ32">
            <v>805.1918336</v>
          </cell>
          <cell r="BR32">
            <v>112.8241664</v>
          </cell>
          <cell r="BS32">
            <v>0</v>
          </cell>
          <cell r="BT32"/>
          <cell r="BU32"/>
          <cell r="BW32">
            <v>918.01599999999996</v>
          </cell>
          <cell r="BX32">
            <v>805.1918336</v>
          </cell>
          <cell r="BY32">
            <v>112.8241664</v>
          </cell>
          <cell r="BZ32">
            <v>0</v>
          </cell>
          <cell r="CA32"/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/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/>
          <cell r="CP32"/>
        </row>
        <row r="33">
          <cell r="L33">
            <v>42579.591836734697</v>
          </cell>
          <cell r="M33">
            <v>37346.560000000005</v>
          </cell>
          <cell r="N33">
            <v>5233.0318367346945</v>
          </cell>
          <cell r="O33">
            <v>187819.11</v>
          </cell>
          <cell r="P33"/>
          <cell r="Q33">
            <v>187819.11</v>
          </cell>
          <cell r="S33">
            <v>53224.489795918365</v>
          </cell>
          <cell r="T33">
            <v>46683.199999999997</v>
          </cell>
          <cell r="U33">
            <v>6541.2897959183665</v>
          </cell>
          <cell r="V33">
            <v>1219.51</v>
          </cell>
          <cell r="W33"/>
          <cell r="X33">
            <v>1219.51</v>
          </cell>
          <cell r="Z33">
            <v>53224.489795918365</v>
          </cell>
          <cell r="AA33">
            <v>46683.199999999997</v>
          </cell>
          <cell r="AB33">
            <v>6541.2897959183665</v>
          </cell>
          <cell r="AC33">
            <v>24359.25</v>
          </cell>
          <cell r="AD33"/>
          <cell r="AE33">
            <v>24359.25</v>
          </cell>
          <cell r="AG33">
            <v>58546.9387755102</v>
          </cell>
          <cell r="AH33">
            <v>51351.519999999997</v>
          </cell>
          <cell r="AI33">
            <v>7195.418775510203</v>
          </cell>
          <cell r="AJ33">
            <v>107493.5</v>
          </cell>
          <cell r="AK33"/>
          <cell r="AL33">
            <v>107493.5</v>
          </cell>
          <cell r="AN33">
            <v>63869.387755102034</v>
          </cell>
          <cell r="AO33">
            <v>56019.839999999997</v>
          </cell>
          <cell r="AP33">
            <v>7849.5477551020394</v>
          </cell>
          <cell r="AQ33">
            <v>0</v>
          </cell>
          <cell r="AR33"/>
          <cell r="AS33"/>
          <cell r="AU33">
            <v>53224.489795918365</v>
          </cell>
          <cell r="AV33">
            <v>46683.199999999997</v>
          </cell>
          <cell r="AW33">
            <v>6541.2897959183665</v>
          </cell>
          <cell r="AX33">
            <v>0</v>
          </cell>
          <cell r="AY33"/>
          <cell r="AZ33"/>
          <cell r="BB33">
            <v>42579.591836734697</v>
          </cell>
          <cell r="BC33">
            <v>37346.560000000005</v>
          </cell>
          <cell r="BD33">
            <v>5233.0318367346945</v>
          </cell>
          <cell r="BE33">
            <v>0</v>
          </cell>
          <cell r="BF33"/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/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/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/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/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/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/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/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/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/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/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/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/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/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/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/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/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/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/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/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/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/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/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/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/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/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/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/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/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/>
          <cell r="CP35"/>
        </row>
        <row r="36">
          <cell r="L36">
            <v>1458.3333333333333</v>
          </cell>
          <cell r="M36">
            <v>1279.1041666666665</v>
          </cell>
          <cell r="N36">
            <v>179.22916666666666</v>
          </cell>
          <cell r="O36">
            <v>1832.8997388602238</v>
          </cell>
          <cell r="P36"/>
          <cell r="Q36">
            <v>1832.8997388602238</v>
          </cell>
          <cell r="S36">
            <v>1458.3333333333333</v>
          </cell>
          <cell r="T36">
            <v>1279.1041666666665</v>
          </cell>
          <cell r="U36">
            <v>179.22916666666666</v>
          </cell>
          <cell r="V36">
            <v>2408.1209317813523</v>
          </cell>
          <cell r="W36"/>
          <cell r="X36">
            <v>2408.1209317813523</v>
          </cell>
          <cell r="Z36">
            <v>1458.3333333333333</v>
          </cell>
          <cell r="AA36">
            <v>1279.1041666666665</v>
          </cell>
          <cell r="AB36">
            <v>179.22916666666666</v>
          </cell>
          <cell r="AC36">
            <v>1890.4062815494322</v>
          </cell>
          <cell r="AD36"/>
          <cell r="AE36">
            <v>1890.4062815494322</v>
          </cell>
          <cell r="AG36">
            <v>1458.3333333333333</v>
          </cell>
          <cell r="AH36">
            <v>1279.1041666666665</v>
          </cell>
          <cell r="AI36">
            <v>179.22916666666666</v>
          </cell>
          <cell r="AJ36">
            <v>1743.0087386605605</v>
          </cell>
          <cell r="AK36"/>
          <cell r="AL36">
            <v>1743.0087386605605</v>
          </cell>
          <cell r="AN36">
            <v>1458.3333333333333</v>
          </cell>
          <cell r="AO36">
            <v>1279.1041666666665</v>
          </cell>
          <cell r="AP36">
            <v>179.22916666666666</v>
          </cell>
          <cell r="AQ36">
            <v>0</v>
          </cell>
          <cell r="AR36"/>
          <cell r="AS36">
            <v>0</v>
          </cell>
          <cell r="AU36">
            <v>1458.3333333333333</v>
          </cell>
          <cell r="AV36">
            <v>1279.1041666666665</v>
          </cell>
          <cell r="AW36">
            <v>179.22916666666666</v>
          </cell>
          <cell r="AX36">
            <v>0</v>
          </cell>
          <cell r="AY36"/>
          <cell r="AZ36">
            <v>0</v>
          </cell>
          <cell r="BB36">
            <v>1458.3333333333333</v>
          </cell>
          <cell r="BC36">
            <v>1279.1041666666665</v>
          </cell>
          <cell r="BD36">
            <v>179.22916666666666</v>
          </cell>
          <cell r="BE36">
            <v>0</v>
          </cell>
          <cell r="BF36"/>
          <cell r="BG36">
            <v>0</v>
          </cell>
          <cell r="BI36">
            <v>1458.3333333333333</v>
          </cell>
          <cell r="BJ36">
            <v>1279.1041666666665</v>
          </cell>
          <cell r="BK36">
            <v>179.22916666666666</v>
          </cell>
          <cell r="BL36">
            <v>0</v>
          </cell>
          <cell r="BM36"/>
          <cell r="BN36">
            <v>0</v>
          </cell>
          <cell r="BP36">
            <v>1458.3333333333333</v>
          </cell>
          <cell r="BQ36">
            <v>1279.1041666666665</v>
          </cell>
          <cell r="BR36">
            <v>179.22916666666666</v>
          </cell>
          <cell r="BS36">
            <v>0</v>
          </cell>
          <cell r="BT36"/>
          <cell r="BU36">
            <v>0</v>
          </cell>
          <cell r="BW36">
            <v>1458.3333333333333</v>
          </cell>
          <cell r="BX36">
            <v>1279.1041666666665</v>
          </cell>
          <cell r="BY36">
            <v>179.22916666666666</v>
          </cell>
          <cell r="BZ36">
            <v>0</v>
          </cell>
          <cell r="CA36"/>
          <cell r="CB36">
            <v>0</v>
          </cell>
          <cell r="CD36">
            <v>1458.3333333333333</v>
          </cell>
          <cell r="CE36">
            <v>1279.1041666666665</v>
          </cell>
          <cell r="CF36">
            <v>179.22916666666666</v>
          </cell>
          <cell r="CG36">
            <v>0</v>
          </cell>
          <cell r="CH36"/>
          <cell r="CI36">
            <v>0</v>
          </cell>
          <cell r="CK36">
            <v>1458.3333333333333</v>
          </cell>
          <cell r="CL36">
            <v>1279.1041666666665</v>
          </cell>
          <cell r="CM36">
            <v>179.22916666666666</v>
          </cell>
          <cell r="CN36">
            <v>0</v>
          </cell>
          <cell r="CO36"/>
          <cell r="CP36">
            <v>0</v>
          </cell>
        </row>
        <row r="37">
          <cell r="L37">
            <v>2187.5</v>
          </cell>
          <cell r="M37">
            <v>1918.65625</v>
          </cell>
          <cell r="N37">
            <v>268.84375</v>
          </cell>
          <cell r="O37">
            <v>3823.496830507394</v>
          </cell>
          <cell r="P37"/>
          <cell r="Q37">
            <v>3823.496830507394</v>
          </cell>
          <cell r="S37">
            <v>2187.5</v>
          </cell>
          <cell r="T37">
            <v>1918.65625</v>
          </cell>
          <cell r="U37">
            <v>268.84375</v>
          </cell>
          <cell r="V37">
            <v>2872.2249402302864</v>
          </cell>
          <cell r="W37"/>
          <cell r="X37">
            <v>2872.2249402302864</v>
          </cell>
          <cell r="Z37">
            <v>2187.5</v>
          </cell>
          <cell r="AA37">
            <v>1918.65625</v>
          </cell>
          <cell r="AB37">
            <v>268.84375</v>
          </cell>
          <cell r="AC37">
            <v>4038.6814740024311</v>
          </cell>
          <cell r="AD37"/>
          <cell r="AE37">
            <v>4038.6814740024311</v>
          </cell>
          <cell r="AG37">
            <v>2187.5</v>
          </cell>
          <cell r="AH37">
            <v>1918.65625</v>
          </cell>
          <cell r="AI37">
            <v>268.84375</v>
          </cell>
          <cell r="AJ37">
            <v>6277.833018052308</v>
          </cell>
          <cell r="AK37"/>
          <cell r="AL37">
            <v>6277.833018052308</v>
          </cell>
          <cell r="AN37">
            <v>2187.5</v>
          </cell>
          <cell r="AO37">
            <v>1918.65625</v>
          </cell>
          <cell r="AP37">
            <v>268.84375</v>
          </cell>
          <cell r="AQ37">
            <v>0</v>
          </cell>
          <cell r="AR37"/>
          <cell r="AS37">
            <v>0</v>
          </cell>
          <cell r="AU37">
            <v>2187.5</v>
          </cell>
          <cell r="AV37">
            <v>1918.65625</v>
          </cell>
          <cell r="AW37">
            <v>268.84375</v>
          </cell>
          <cell r="AX37">
            <v>0</v>
          </cell>
          <cell r="AY37"/>
          <cell r="AZ37">
            <v>0</v>
          </cell>
          <cell r="BB37">
            <v>2187.5</v>
          </cell>
          <cell r="BC37">
            <v>1918.65625</v>
          </cell>
          <cell r="BD37">
            <v>268.84375</v>
          </cell>
          <cell r="BE37">
            <v>0</v>
          </cell>
          <cell r="BF37"/>
          <cell r="BG37">
            <v>0</v>
          </cell>
          <cell r="BI37">
            <v>2187.5</v>
          </cell>
          <cell r="BJ37">
            <v>1918.65625</v>
          </cell>
          <cell r="BK37">
            <v>268.84375</v>
          </cell>
          <cell r="BL37">
            <v>0</v>
          </cell>
          <cell r="BM37"/>
          <cell r="BN37">
            <v>0</v>
          </cell>
          <cell r="BP37">
            <v>2187.5</v>
          </cell>
          <cell r="BQ37">
            <v>1918.65625</v>
          </cell>
          <cell r="BR37">
            <v>268.84375</v>
          </cell>
          <cell r="BS37">
            <v>0</v>
          </cell>
          <cell r="BT37"/>
          <cell r="BU37">
            <v>0</v>
          </cell>
          <cell r="BW37">
            <v>2187.5</v>
          </cell>
          <cell r="BX37">
            <v>1918.65625</v>
          </cell>
          <cell r="BY37">
            <v>268.84375</v>
          </cell>
          <cell r="BZ37">
            <v>0</v>
          </cell>
          <cell r="CA37"/>
          <cell r="CB37">
            <v>0</v>
          </cell>
          <cell r="CD37">
            <v>2187.5</v>
          </cell>
          <cell r="CE37">
            <v>1918.65625</v>
          </cell>
          <cell r="CF37">
            <v>268.84375</v>
          </cell>
          <cell r="CG37">
            <v>0</v>
          </cell>
          <cell r="CH37"/>
          <cell r="CI37">
            <v>0</v>
          </cell>
          <cell r="CK37">
            <v>2187.5</v>
          </cell>
          <cell r="CL37">
            <v>1918.65625</v>
          </cell>
          <cell r="CM37">
            <v>268.84375</v>
          </cell>
          <cell r="CN37">
            <v>0</v>
          </cell>
          <cell r="CO37"/>
          <cell r="CP37">
            <v>0</v>
          </cell>
        </row>
        <row r="38">
          <cell r="L38">
            <v>145.83333333333334</v>
          </cell>
          <cell r="M38">
            <v>127.91041666666668</v>
          </cell>
          <cell r="N38">
            <v>17.922916666666666</v>
          </cell>
          <cell r="O38">
            <v>341.78042078602095</v>
          </cell>
          <cell r="P38"/>
          <cell r="Q38">
            <v>341.78042078602095</v>
          </cell>
          <cell r="S38">
            <v>145.83333333333334</v>
          </cell>
          <cell r="T38">
            <v>127.91041666666668</v>
          </cell>
          <cell r="U38">
            <v>17.922916666666666</v>
          </cell>
          <cell r="V38">
            <v>94.848385337521577</v>
          </cell>
          <cell r="W38"/>
          <cell r="X38">
            <v>94.848385337521577</v>
          </cell>
          <cell r="Z38">
            <v>145.83333333333334</v>
          </cell>
          <cell r="AA38">
            <v>127.91041666666668</v>
          </cell>
          <cell r="AB38">
            <v>17.922916666666666</v>
          </cell>
          <cell r="AC38">
            <v>370.84303646358779</v>
          </cell>
          <cell r="AD38"/>
          <cell r="AE38">
            <v>370.84303646358779</v>
          </cell>
          <cell r="AG38">
            <v>145.83333333333334</v>
          </cell>
          <cell r="AH38">
            <v>127.91041666666668</v>
          </cell>
          <cell r="AI38">
            <v>17.922916666666666</v>
          </cell>
          <cell r="AJ38">
            <v>181.14364051839215</v>
          </cell>
          <cell r="AK38"/>
          <cell r="AL38">
            <v>181.14364051839215</v>
          </cell>
          <cell r="AN38">
            <v>145.83333333333334</v>
          </cell>
          <cell r="AO38">
            <v>127.91041666666668</v>
          </cell>
          <cell r="AP38">
            <v>17.922916666666666</v>
          </cell>
          <cell r="AQ38">
            <v>0</v>
          </cell>
          <cell r="AR38"/>
          <cell r="AS38">
            <v>0</v>
          </cell>
          <cell r="AU38">
            <v>145.83333333333334</v>
          </cell>
          <cell r="AV38">
            <v>127.91041666666668</v>
          </cell>
          <cell r="AW38">
            <v>17.922916666666666</v>
          </cell>
          <cell r="AX38">
            <v>0</v>
          </cell>
          <cell r="AY38"/>
          <cell r="AZ38">
            <v>0</v>
          </cell>
          <cell r="BB38">
            <v>145.83333333333334</v>
          </cell>
          <cell r="BC38">
            <v>127.91041666666668</v>
          </cell>
          <cell r="BD38">
            <v>17.922916666666666</v>
          </cell>
          <cell r="BE38">
            <v>0</v>
          </cell>
          <cell r="BF38"/>
          <cell r="BG38">
            <v>0</v>
          </cell>
          <cell r="BI38">
            <v>145.83333333333334</v>
          </cell>
          <cell r="BJ38">
            <v>127.91041666666668</v>
          </cell>
          <cell r="BK38">
            <v>17.922916666666666</v>
          </cell>
          <cell r="BL38">
            <v>0</v>
          </cell>
          <cell r="BM38"/>
          <cell r="BN38">
            <v>0</v>
          </cell>
          <cell r="BP38">
            <v>145.83333333333334</v>
          </cell>
          <cell r="BQ38">
            <v>127.91041666666668</v>
          </cell>
          <cell r="BR38">
            <v>17.922916666666666</v>
          </cell>
          <cell r="BS38">
            <v>0</v>
          </cell>
          <cell r="BT38"/>
          <cell r="BU38">
            <v>0</v>
          </cell>
          <cell r="BW38">
            <v>145.83333333333334</v>
          </cell>
          <cell r="BX38">
            <v>127.91041666666668</v>
          </cell>
          <cell r="BY38">
            <v>17.922916666666666</v>
          </cell>
          <cell r="BZ38">
            <v>0</v>
          </cell>
          <cell r="CA38"/>
          <cell r="CB38">
            <v>0</v>
          </cell>
          <cell r="CD38">
            <v>145.83333333333334</v>
          </cell>
          <cell r="CE38">
            <v>127.91041666666668</v>
          </cell>
          <cell r="CF38">
            <v>17.922916666666666</v>
          </cell>
          <cell r="CG38">
            <v>0</v>
          </cell>
          <cell r="CH38"/>
          <cell r="CI38">
            <v>0</v>
          </cell>
          <cell r="CK38">
            <v>145.83333333333334</v>
          </cell>
          <cell r="CL38">
            <v>127.91041666666668</v>
          </cell>
          <cell r="CM38">
            <v>17.922916666666666</v>
          </cell>
          <cell r="CN38">
            <v>0</v>
          </cell>
          <cell r="CO38"/>
          <cell r="CP38">
            <v>0</v>
          </cell>
        </row>
        <row r="39">
          <cell r="L39">
            <v>437.5</v>
          </cell>
          <cell r="M39">
            <v>383.73124999999999</v>
          </cell>
          <cell r="N39">
            <v>53.768749999999997</v>
          </cell>
          <cell r="O39">
            <v>1814.3443294227745</v>
          </cell>
          <cell r="P39"/>
          <cell r="Q39">
            <v>1814.3443294227745</v>
          </cell>
          <cell r="S39">
            <v>437.5</v>
          </cell>
          <cell r="T39">
            <v>383.73124999999999</v>
          </cell>
          <cell r="U39">
            <v>53.768749999999997</v>
          </cell>
          <cell r="V39">
            <v>936.27197171611363</v>
          </cell>
          <cell r="W39"/>
          <cell r="X39">
            <v>936.27197171611363</v>
          </cell>
          <cell r="Z39">
            <v>437.5</v>
          </cell>
          <cell r="AA39">
            <v>383.73124999999999</v>
          </cell>
          <cell r="AB39">
            <v>53.768749999999997</v>
          </cell>
          <cell r="AC39">
            <v>10432.522554820931</v>
          </cell>
          <cell r="AD39"/>
          <cell r="AE39">
            <v>10432.522554820931</v>
          </cell>
          <cell r="AG39">
            <v>437.5</v>
          </cell>
          <cell r="AH39">
            <v>383.73124999999999</v>
          </cell>
          <cell r="AI39">
            <v>53.768749999999997</v>
          </cell>
          <cell r="AJ39">
            <v>653.99767438540982</v>
          </cell>
          <cell r="AK39"/>
          <cell r="AL39">
            <v>653.99767438540982</v>
          </cell>
          <cell r="AN39">
            <v>437.5</v>
          </cell>
          <cell r="AO39">
            <v>383.73124999999999</v>
          </cell>
          <cell r="AP39">
            <v>53.768749999999997</v>
          </cell>
          <cell r="AQ39">
            <v>0</v>
          </cell>
          <cell r="AR39"/>
          <cell r="AS39">
            <v>0</v>
          </cell>
          <cell r="AU39">
            <v>437.5</v>
          </cell>
          <cell r="AV39">
            <v>383.73124999999999</v>
          </cell>
          <cell r="AW39">
            <v>53.768749999999997</v>
          </cell>
          <cell r="AX39">
            <v>0</v>
          </cell>
          <cell r="AY39"/>
          <cell r="AZ39">
            <v>0</v>
          </cell>
          <cell r="BB39">
            <v>437.5</v>
          </cell>
          <cell r="BC39">
            <v>383.73124999999999</v>
          </cell>
          <cell r="BD39">
            <v>53.768749999999997</v>
          </cell>
          <cell r="BE39">
            <v>0</v>
          </cell>
          <cell r="BF39"/>
          <cell r="BG39">
            <v>0</v>
          </cell>
          <cell r="BI39">
            <v>437.5</v>
          </cell>
          <cell r="BJ39">
            <v>383.73124999999999</v>
          </cell>
          <cell r="BK39">
            <v>53.768749999999997</v>
          </cell>
          <cell r="BL39">
            <v>0</v>
          </cell>
          <cell r="BM39"/>
          <cell r="BN39">
            <v>0</v>
          </cell>
          <cell r="BP39">
            <v>437.5</v>
          </cell>
          <cell r="BQ39">
            <v>383.73124999999999</v>
          </cell>
          <cell r="BR39">
            <v>53.768749999999997</v>
          </cell>
          <cell r="BS39">
            <v>0</v>
          </cell>
          <cell r="BT39"/>
          <cell r="BU39">
            <v>0</v>
          </cell>
          <cell r="BW39">
            <v>437.5</v>
          </cell>
          <cell r="BX39">
            <v>383.73124999999999</v>
          </cell>
          <cell r="BY39">
            <v>53.768749999999997</v>
          </cell>
          <cell r="BZ39">
            <v>0</v>
          </cell>
          <cell r="CA39"/>
          <cell r="CB39">
            <v>0</v>
          </cell>
          <cell r="CD39">
            <v>437.5</v>
          </cell>
          <cell r="CE39">
            <v>383.73124999999999</v>
          </cell>
          <cell r="CF39">
            <v>53.768749999999997</v>
          </cell>
          <cell r="CG39">
            <v>0</v>
          </cell>
          <cell r="CH39"/>
          <cell r="CI39">
            <v>0</v>
          </cell>
          <cell r="CK39">
            <v>437.5</v>
          </cell>
          <cell r="CL39">
            <v>383.73124999999999</v>
          </cell>
          <cell r="CM39">
            <v>53.768749999999997</v>
          </cell>
          <cell r="CN39">
            <v>0</v>
          </cell>
          <cell r="CO39"/>
          <cell r="CP39">
            <v>0</v>
          </cell>
        </row>
        <row r="40">
          <cell r="L40">
            <v>947.91666666666663</v>
          </cell>
          <cell r="M40">
            <v>831.41770833333328</v>
          </cell>
          <cell r="N40">
            <v>116.49895833333332</v>
          </cell>
          <cell r="O40">
            <v>930.65826904014511</v>
          </cell>
          <cell r="P40"/>
          <cell r="Q40">
            <v>930.65826904014511</v>
          </cell>
          <cell r="S40">
            <v>947.91666666666663</v>
          </cell>
          <cell r="T40">
            <v>831.41770833333328</v>
          </cell>
          <cell r="U40">
            <v>116.49895833333332</v>
          </cell>
          <cell r="V40">
            <v>322.2396599513558</v>
          </cell>
          <cell r="W40"/>
          <cell r="X40">
            <v>322.2396599513558</v>
          </cell>
          <cell r="Z40">
            <v>947.91666666666663</v>
          </cell>
          <cell r="AA40">
            <v>831.41770833333328</v>
          </cell>
          <cell r="AB40">
            <v>116.49895833333332</v>
          </cell>
          <cell r="AC40">
            <v>511.91542846517939</v>
          </cell>
          <cell r="AD40"/>
          <cell r="AE40">
            <v>511.91542846517939</v>
          </cell>
          <cell r="AG40">
            <v>947.91666666666663</v>
          </cell>
          <cell r="AH40">
            <v>831.41770833333328</v>
          </cell>
          <cell r="AI40">
            <v>116.49895833333332</v>
          </cell>
          <cell r="AJ40">
            <v>717.5615904063493</v>
          </cell>
          <cell r="AK40"/>
          <cell r="AL40">
            <v>717.5615904063493</v>
          </cell>
          <cell r="AN40">
            <v>947.91666666666663</v>
          </cell>
          <cell r="AO40">
            <v>831.41770833333328</v>
          </cell>
          <cell r="AP40">
            <v>116.49895833333332</v>
          </cell>
          <cell r="AQ40">
            <v>0</v>
          </cell>
          <cell r="AR40"/>
          <cell r="AS40">
            <v>0</v>
          </cell>
          <cell r="AU40">
            <v>947.91666666666663</v>
          </cell>
          <cell r="AV40">
            <v>831.41770833333328</v>
          </cell>
          <cell r="AW40">
            <v>116.49895833333332</v>
          </cell>
          <cell r="AX40">
            <v>0</v>
          </cell>
          <cell r="AY40"/>
          <cell r="AZ40">
            <v>0</v>
          </cell>
          <cell r="BB40">
            <v>947.91666666666663</v>
          </cell>
          <cell r="BC40">
            <v>831.41770833333328</v>
          </cell>
          <cell r="BD40">
            <v>116.49895833333332</v>
          </cell>
          <cell r="BE40">
            <v>0</v>
          </cell>
          <cell r="BF40"/>
          <cell r="BG40">
            <v>0</v>
          </cell>
          <cell r="BI40">
            <v>947.91666666666663</v>
          </cell>
          <cell r="BJ40">
            <v>831.41770833333328</v>
          </cell>
          <cell r="BK40">
            <v>116.49895833333332</v>
          </cell>
          <cell r="BL40">
            <v>0</v>
          </cell>
          <cell r="BM40"/>
          <cell r="BN40">
            <v>0</v>
          </cell>
          <cell r="BP40">
            <v>947.91666666666663</v>
          </cell>
          <cell r="BQ40">
            <v>831.41770833333328</v>
          </cell>
          <cell r="BR40">
            <v>116.49895833333332</v>
          </cell>
          <cell r="BS40">
            <v>0</v>
          </cell>
          <cell r="BT40"/>
          <cell r="BU40">
            <v>0</v>
          </cell>
          <cell r="BW40">
            <v>947.91666666666663</v>
          </cell>
          <cell r="BX40">
            <v>831.41770833333328</v>
          </cell>
          <cell r="BY40">
            <v>116.49895833333332</v>
          </cell>
          <cell r="BZ40">
            <v>0</v>
          </cell>
          <cell r="CA40"/>
          <cell r="CB40">
            <v>0</v>
          </cell>
          <cell r="CD40">
            <v>947.91666666666663</v>
          </cell>
          <cell r="CE40">
            <v>831.41770833333328</v>
          </cell>
          <cell r="CF40">
            <v>116.49895833333332</v>
          </cell>
          <cell r="CG40">
            <v>0</v>
          </cell>
          <cell r="CH40"/>
          <cell r="CI40">
            <v>0</v>
          </cell>
          <cell r="CK40">
            <v>947.91666666666663</v>
          </cell>
          <cell r="CL40">
            <v>831.41770833333328</v>
          </cell>
          <cell r="CM40">
            <v>116.49895833333332</v>
          </cell>
          <cell r="CN40">
            <v>0</v>
          </cell>
          <cell r="CO40"/>
          <cell r="CP40">
            <v>0</v>
          </cell>
        </row>
        <row r="41">
          <cell r="L41">
            <v>6248.958333333333</v>
          </cell>
          <cell r="M41">
            <v>5480.9613541666668</v>
          </cell>
          <cell r="N41">
            <v>767.99697916666662</v>
          </cell>
          <cell r="O41">
            <v>6248.958333333333</v>
          </cell>
          <cell r="P41"/>
          <cell r="Q41">
            <v>6248.958333333333</v>
          </cell>
          <cell r="S41">
            <v>6248.958333333333</v>
          </cell>
          <cell r="T41">
            <v>5480.9613541666668</v>
          </cell>
          <cell r="U41">
            <v>767.99697916666662</v>
          </cell>
          <cell r="V41">
            <v>6248.958333333333</v>
          </cell>
          <cell r="W41"/>
          <cell r="X41">
            <v>6248.958333333333</v>
          </cell>
          <cell r="Z41">
            <v>6248.958333333333</v>
          </cell>
          <cell r="AA41">
            <v>5480.9613541666668</v>
          </cell>
          <cell r="AB41">
            <v>767.99697916666662</v>
          </cell>
          <cell r="AC41">
            <v>6248.958333333333</v>
          </cell>
          <cell r="AD41"/>
          <cell r="AE41">
            <v>6248.958333333333</v>
          </cell>
          <cell r="AG41">
            <v>6248.958333333333</v>
          </cell>
          <cell r="AH41">
            <v>5480.9613541666668</v>
          </cell>
          <cell r="AI41">
            <v>767.99697916666662</v>
          </cell>
          <cell r="AJ41">
            <v>6248.958333333333</v>
          </cell>
          <cell r="AK41"/>
          <cell r="AL41">
            <v>6248.958333333333</v>
          </cell>
          <cell r="AN41">
            <v>6248.958333333333</v>
          </cell>
          <cell r="AO41">
            <v>5480.9613541666668</v>
          </cell>
          <cell r="AP41">
            <v>767.99697916666662</v>
          </cell>
          <cell r="AQ41">
            <v>0</v>
          </cell>
          <cell r="AR41"/>
          <cell r="AS41"/>
          <cell r="AU41">
            <v>6248.958333333333</v>
          </cell>
          <cell r="AV41">
            <v>5480.9613541666668</v>
          </cell>
          <cell r="AW41">
            <v>767.99697916666662</v>
          </cell>
          <cell r="AX41">
            <v>0</v>
          </cell>
          <cell r="AY41"/>
          <cell r="AZ41"/>
          <cell r="BB41">
            <v>6248.958333333333</v>
          </cell>
          <cell r="BC41">
            <v>5480.9613541666668</v>
          </cell>
          <cell r="BD41">
            <v>767.99697916666662</v>
          </cell>
          <cell r="BE41">
            <v>0</v>
          </cell>
          <cell r="BF41"/>
          <cell r="BG41"/>
          <cell r="BI41">
            <v>6248.958333333333</v>
          </cell>
          <cell r="BJ41">
            <v>5480.9613541666668</v>
          </cell>
          <cell r="BK41">
            <v>767.99697916666662</v>
          </cell>
          <cell r="BL41">
            <v>0</v>
          </cell>
          <cell r="BM41"/>
          <cell r="BN41"/>
          <cell r="BP41">
            <v>6248.958333333333</v>
          </cell>
          <cell r="BQ41">
            <v>5480.9613541666668</v>
          </cell>
          <cell r="BR41">
            <v>767.99697916666662</v>
          </cell>
          <cell r="BS41">
            <v>0</v>
          </cell>
          <cell r="BT41"/>
          <cell r="BU41"/>
          <cell r="BW41">
            <v>6248.958333333333</v>
          </cell>
          <cell r="BX41">
            <v>5480.9613541666668</v>
          </cell>
          <cell r="BY41">
            <v>767.99697916666662</v>
          </cell>
          <cell r="BZ41">
            <v>0</v>
          </cell>
          <cell r="CA41"/>
          <cell r="CB41"/>
          <cell r="CD41">
            <v>6248.958333333333</v>
          </cell>
          <cell r="CE41">
            <v>5480.9613541666668</v>
          </cell>
          <cell r="CF41">
            <v>767.99697916666662</v>
          </cell>
          <cell r="CG41">
            <v>0</v>
          </cell>
          <cell r="CH41"/>
          <cell r="CI41"/>
          <cell r="CK41">
            <v>6248.958333333333</v>
          </cell>
          <cell r="CL41">
            <v>5480.9613541666668</v>
          </cell>
          <cell r="CM41">
            <v>767.99697916666662</v>
          </cell>
          <cell r="CN41">
            <v>0</v>
          </cell>
          <cell r="CO41"/>
          <cell r="CP41"/>
        </row>
        <row r="42">
          <cell r="L42">
            <v>20785.999999999996</v>
          </cell>
          <cell r="M42">
            <v>18231.400599999997</v>
          </cell>
          <cell r="N42">
            <v>2554.5993999999996</v>
          </cell>
          <cell r="O42">
            <v>20000</v>
          </cell>
          <cell r="P42"/>
          <cell r="Q42">
            <v>20000</v>
          </cell>
          <cell r="S42">
            <v>20785.999999999996</v>
          </cell>
          <cell r="T42">
            <v>18231.400599999997</v>
          </cell>
          <cell r="U42">
            <v>2554.5993999999996</v>
          </cell>
          <cell r="V42">
            <v>20000</v>
          </cell>
          <cell r="W42"/>
          <cell r="X42">
            <v>20000</v>
          </cell>
          <cell r="Z42">
            <v>20785.999999999996</v>
          </cell>
          <cell r="AA42">
            <v>18231.400599999997</v>
          </cell>
          <cell r="AB42">
            <v>2554.5993999999996</v>
          </cell>
          <cell r="AC42">
            <v>20000</v>
          </cell>
          <cell r="AD42"/>
          <cell r="AE42">
            <v>20000</v>
          </cell>
          <cell r="AG42">
            <v>20785.999999999996</v>
          </cell>
          <cell r="AH42">
            <v>18231.400599999997</v>
          </cell>
          <cell r="AI42">
            <v>2554.5993999999996</v>
          </cell>
          <cell r="AJ42">
            <v>20000</v>
          </cell>
          <cell r="AK42"/>
          <cell r="AL42">
            <v>20000</v>
          </cell>
          <cell r="AN42">
            <v>20785.999999999996</v>
          </cell>
          <cell r="AO42">
            <v>18231.400599999997</v>
          </cell>
          <cell r="AP42">
            <v>2554.5993999999996</v>
          </cell>
          <cell r="AQ42">
            <v>0</v>
          </cell>
          <cell r="AR42"/>
          <cell r="AS42"/>
          <cell r="AU42">
            <v>20785.999999999996</v>
          </cell>
          <cell r="AV42">
            <v>18231.400599999997</v>
          </cell>
          <cell r="AW42">
            <v>2554.5993999999996</v>
          </cell>
          <cell r="AX42">
            <v>0</v>
          </cell>
          <cell r="AY42"/>
          <cell r="AZ42"/>
          <cell r="BB42">
            <v>20785.999999999996</v>
          </cell>
          <cell r="BC42">
            <v>18231.400599999997</v>
          </cell>
          <cell r="BD42">
            <v>2554.5993999999996</v>
          </cell>
          <cell r="BE42">
            <v>0</v>
          </cell>
          <cell r="BF42"/>
          <cell r="BG42"/>
          <cell r="BI42">
            <v>20785.999999999996</v>
          </cell>
          <cell r="BJ42">
            <v>18231.400599999997</v>
          </cell>
          <cell r="BK42">
            <v>2554.5993999999996</v>
          </cell>
          <cell r="BL42">
            <v>0</v>
          </cell>
          <cell r="BM42"/>
          <cell r="BN42"/>
          <cell r="BP42">
            <v>20785.999999999996</v>
          </cell>
          <cell r="BQ42">
            <v>18231.400599999997</v>
          </cell>
          <cell r="BR42">
            <v>2554.5993999999996</v>
          </cell>
          <cell r="BS42">
            <v>0</v>
          </cell>
          <cell r="BT42"/>
          <cell r="BU42"/>
          <cell r="BW42">
            <v>20785.999999999996</v>
          </cell>
          <cell r="BX42">
            <v>18231.400599999997</v>
          </cell>
          <cell r="BY42">
            <v>2554.5993999999996</v>
          </cell>
          <cell r="BZ42">
            <v>0</v>
          </cell>
          <cell r="CA42"/>
          <cell r="CB42"/>
          <cell r="CD42">
            <v>20785.999999999996</v>
          </cell>
          <cell r="CE42">
            <v>18231.400599999997</v>
          </cell>
          <cell r="CF42">
            <v>2554.5993999999996</v>
          </cell>
          <cell r="CG42">
            <v>0</v>
          </cell>
          <cell r="CH42"/>
          <cell r="CI42"/>
          <cell r="CK42">
            <v>20785.999999999996</v>
          </cell>
          <cell r="CL42">
            <v>18231.400599999997</v>
          </cell>
          <cell r="CM42">
            <v>2554.5993999999996</v>
          </cell>
          <cell r="CN42">
            <v>0</v>
          </cell>
          <cell r="CO42"/>
          <cell r="CP42"/>
        </row>
        <row r="43">
          <cell r="L43">
            <v>1009.0500000000001</v>
          </cell>
          <cell r="M43">
            <v>885.03775500000006</v>
          </cell>
          <cell r="N43">
            <v>124.01224500000001</v>
          </cell>
          <cell r="O43">
            <v>1215.0669110047829</v>
          </cell>
          <cell r="P43"/>
          <cell r="Q43">
            <v>1215.0669110047829</v>
          </cell>
          <cell r="S43">
            <v>1009.0500000000001</v>
          </cell>
          <cell r="T43">
            <v>885.03775500000006</v>
          </cell>
          <cell r="U43">
            <v>124.01224500000001</v>
          </cell>
          <cell r="V43">
            <v>1037.408754158781</v>
          </cell>
          <cell r="W43"/>
          <cell r="X43">
            <v>1037.408754158781</v>
          </cell>
          <cell r="Z43">
            <v>1009.0500000000001</v>
          </cell>
          <cell r="AA43">
            <v>885.03775500000006</v>
          </cell>
          <cell r="AB43">
            <v>124.01224500000001</v>
          </cell>
          <cell r="AC43">
            <v>1086.5161825402815</v>
          </cell>
          <cell r="AD43"/>
          <cell r="AE43">
            <v>1086.5161825402815</v>
          </cell>
          <cell r="AG43">
            <v>1009.0500000000001</v>
          </cell>
          <cell r="AH43">
            <v>885.03775500000006</v>
          </cell>
          <cell r="AI43">
            <v>124.01224500000001</v>
          </cell>
          <cell r="AJ43">
            <v>1179.0158261814197</v>
          </cell>
          <cell r="AK43"/>
          <cell r="AL43">
            <v>1179.0158261814197</v>
          </cell>
          <cell r="AN43">
            <v>1009.0500000000001</v>
          </cell>
          <cell r="AO43">
            <v>885.03775500000006</v>
          </cell>
          <cell r="AP43">
            <v>124.01224500000001</v>
          </cell>
          <cell r="AQ43">
            <v>0</v>
          </cell>
          <cell r="AR43"/>
          <cell r="AS43">
            <v>0</v>
          </cell>
          <cell r="AU43">
            <v>1009.0500000000001</v>
          </cell>
          <cell r="AV43">
            <v>885.03775500000006</v>
          </cell>
          <cell r="AW43">
            <v>124.01224500000001</v>
          </cell>
          <cell r="AX43">
            <v>0</v>
          </cell>
          <cell r="AY43"/>
          <cell r="AZ43">
            <v>0</v>
          </cell>
          <cell r="BB43">
            <v>1009.0500000000001</v>
          </cell>
          <cell r="BC43">
            <v>885.03775500000006</v>
          </cell>
          <cell r="BD43">
            <v>124.01224500000001</v>
          </cell>
          <cell r="BE43">
            <v>0</v>
          </cell>
          <cell r="BF43"/>
          <cell r="BG43">
            <v>0</v>
          </cell>
          <cell r="BI43">
            <v>1009.0500000000001</v>
          </cell>
          <cell r="BJ43">
            <v>885.03775500000006</v>
          </cell>
          <cell r="BK43">
            <v>124.01224500000001</v>
          </cell>
          <cell r="BL43">
            <v>0</v>
          </cell>
          <cell r="BM43"/>
          <cell r="BN43">
            <v>0</v>
          </cell>
          <cell r="BP43">
            <v>1009.0500000000001</v>
          </cell>
          <cell r="BQ43">
            <v>885.03775500000006</v>
          </cell>
          <cell r="BR43">
            <v>124.01224500000001</v>
          </cell>
          <cell r="BS43">
            <v>0</v>
          </cell>
          <cell r="BT43"/>
          <cell r="BU43">
            <v>0</v>
          </cell>
          <cell r="BW43">
            <v>1009.0500000000001</v>
          </cell>
          <cell r="BX43">
            <v>885.03775500000006</v>
          </cell>
          <cell r="BY43">
            <v>124.01224500000001</v>
          </cell>
          <cell r="BZ43">
            <v>0</v>
          </cell>
          <cell r="CA43"/>
          <cell r="CB43">
            <v>0</v>
          </cell>
          <cell r="CD43">
            <v>1009.0500000000001</v>
          </cell>
          <cell r="CE43">
            <v>885.03775500000006</v>
          </cell>
          <cell r="CF43">
            <v>124.01224500000001</v>
          </cell>
          <cell r="CG43">
            <v>0</v>
          </cell>
          <cell r="CH43"/>
          <cell r="CI43">
            <v>0</v>
          </cell>
          <cell r="CK43">
            <v>1009.0500000000001</v>
          </cell>
          <cell r="CL43">
            <v>885.03775500000006</v>
          </cell>
          <cell r="CM43">
            <v>124.01224500000001</v>
          </cell>
          <cell r="CN43">
            <v>0</v>
          </cell>
          <cell r="CO43"/>
          <cell r="CP43">
            <v>0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/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/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/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/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/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/>
          <cell r="AZ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/>
          <cell r="BG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/>
          <cell r="BN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/>
          <cell r="BU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/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/>
          <cell r="CI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/>
          <cell r="CP44">
            <v>0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/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/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/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/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/>
          <cell r="AS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/>
          <cell r="AZ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/>
          <cell r="BG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/>
          <cell r="BN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/>
          <cell r="BU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/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/>
          <cell r="CI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/>
          <cell r="CP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/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/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/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/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/>
          <cell r="AS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/>
          <cell r="AZ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/>
          <cell r="BG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/>
          <cell r="BN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/>
          <cell r="BU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/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/>
          <cell r="CI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/>
          <cell r="CP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/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/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/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/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/>
          <cell r="AS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/>
          <cell r="AZ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/>
          <cell r="BG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/>
          <cell r="BN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/>
          <cell r="BU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/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/>
          <cell r="CI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/>
          <cell r="CP47">
            <v>0</v>
          </cell>
        </row>
        <row r="48">
          <cell r="L48">
            <v>729.16666666666663</v>
          </cell>
          <cell r="M48">
            <v>639.55208333333326</v>
          </cell>
          <cell r="N48">
            <v>89.614583333333329</v>
          </cell>
          <cell r="O48">
            <v>738.12533151041544</v>
          </cell>
          <cell r="P48"/>
          <cell r="Q48">
            <v>738.12533151041544</v>
          </cell>
          <cell r="S48">
            <v>729.16666666666663</v>
          </cell>
          <cell r="T48">
            <v>639.55208333333326</v>
          </cell>
          <cell r="U48">
            <v>89.614583333333329</v>
          </cell>
          <cell r="V48">
            <v>169.57495004663781</v>
          </cell>
          <cell r="W48"/>
          <cell r="X48">
            <v>169.57495004663781</v>
          </cell>
          <cell r="Z48">
            <v>729.16666666666663</v>
          </cell>
          <cell r="AA48">
            <v>639.55208333333326</v>
          </cell>
          <cell r="AB48">
            <v>89.614583333333329</v>
          </cell>
          <cell r="AC48">
            <v>128.87013633304841</v>
          </cell>
          <cell r="AD48"/>
          <cell r="AE48">
            <v>128.87013633304841</v>
          </cell>
          <cell r="AG48">
            <v>729.16666666666663</v>
          </cell>
          <cell r="AH48">
            <v>639.55208333333326</v>
          </cell>
          <cell r="AI48">
            <v>89.614583333333329</v>
          </cell>
          <cell r="AJ48">
            <v>939.94647483947938</v>
          </cell>
          <cell r="AK48"/>
          <cell r="AL48">
            <v>939.94647483947938</v>
          </cell>
          <cell r="AN48">
            <v>729.16666666666663</v>
          </cell>
          <cell r="AO48">
            <v>639.55208333333326</v>
          </cell>
          <cell r="AP48">
            <v>89.614583333333329</v>
          </cell>
          <cell r="AQ48">
            <v>0</v>
          </cell>
          <cell r="AR48"/>
          <cell r="AS48">
            <v>0</v>
          </cell>
          <cell r="AU48">
            <v>729.16666666666663</v>
          </cell>
          <cell r="AV48">
            <v>639.55208333333326</v>
          </cell>
          <cell r="AW48">
            <v>89.614583333333329</v>
          </cell>
          <cell r="AX48">
            <v>0</v>
          </cell>
          <cell r="AY48"/>
          <cell r="AZ48">
            <v>0</v>
          </cell>
          <cell r="BB48">
            <v>729.16666666666663</v>
          </cell>
          <cell r="BC48">
            <v>639.55208333333326</v>
          </cell>
          <cell r="BD48">
            <v>89.614583333333329</v>
          </cell>
          <cell r="BE48">
            <v>0</v>
          </cell>
          <cell r="BF48"/>
          <cell r="BG48">
            <v>0</v>
          </cell>
          <cell r="BI48">
            <v>729.16666666666663</v>
          </cell>
          <cell r="BJ48">
            <v>639.55208333333326</v>
          </cell>
          <cell r="BK48">
            <v>89.614583333333329</v>
          </cell>
          <cell r="BL48">
            <v>0</v>
          </cell>
          <cell r="BM48"/>
          <cell r="BN48">
            <v>0</v>
          </cell>
          <cell r="BP48">
            <v>729.16666666666663</v>
          </cell>
          <cell r="BQ48">
            <v>639.55208333333326</v>
          </cell>
          <cell r="BR48">
            <v>89.614583333333329</v>
          </cell>
          <cell r="BS48">
            <v>0</v>
          </cell>
          <cell r="BT48"/>
          <cell r="BU48">
            <v>0</v>
          </cell>
          <cell r="BW48">
            <v>729.16666666666663</v>
          </cell>
          <cell r="BX48">
            <v>639.55208333333326</v>
          </cell>
          <cell r="BY48">
            <v>89.614583333333329</v>
          </cell>
          <cell r="BZ48">
            <v>0</v>
          </cell>
          <cell r="CA48"/>
          <cell r="CB48">
            <v>0</v>
          </cell>
          <cell r="CD48">
            <v>729.16666666666663</v>
          </cell>
          <cell r="CE48">
            <v>639.55208333333326</v>
          </cell>
          <cell r="CF48">
            <v>89.614583333333329</v>
          </cell>
          <cell r="CG48">
            <v>0</v>
          </cell>
          <cell r="CH48"/>
          <cell r="CI48">
            <v>0</v>
          </cell>
          <cell r="CK48">
            <v>729.16666666666663</v>
          </cell>
          <cell r="CL48">
            <v>639.55208333333326</v>
          </cell>
          <cell r="CM48">
            <v>89.614583333333329</v>
          </cell>
          <cell r="CN48">
            <v>0</v>
          </cell>
          <cell r="CO48"/>
          <cell r="CP48">
            <v>0</v>
          </cell>
        </row>
        <row r="49">
          <cell r="L49">
            <v>1188.5416666666667</v>
          </cell>
          <cell r="M49">
            <v>1042.4698958333333</v>
          </cell>
          <cell r="N49">
            <v>146.07177083333335</v>
          </cell>
          <cell r="O49">
            <v>2126.9912522371128</v>
          </cell>
          <cell r="P49"/>
          <cell r="Q49">
            <v>2126.9912522371128</v>
          </cell>
          <cell r="S49">
            <v>1188.5416666666667</v>
          </cell>
          <cell r="T49">
            <v>1042.4698958333333</v>
          </cell>
          <cell r="U49">
            <v>146.07177083333335</v>
          </cell>
          <cell r="V49">
            <v>1502.2478382503978</v>
          </cell>
          <cell r="W49"/>
          <cell r="X49">
            <v>1502.2478382503978</v>
          </cell>
          <cell r="Z49">
            <v>1188.5416666666667</v>
          </cell>
          <cell r="AA49">
            <v>1042.4698958333333</v>
          </cell>
          <cell r="AB49">
            <v>146.07177083333335</v>
          </cell>
          <cell r="AC49">
            <v>2820.0616973913452</v>
          </cell>
          <cell r="AD49"/>
          <cell r="AE49">
            <v>2820.0616973913452</v>
          </cell>
          <cell r="AG49">
            <v>1188.5416666666667</v>
          </cell>
          <cell r="AH49">
            <v>1042.4698958333333</v>
          </cell>
          <cell r="AI49">
            <v>146.07177083333335</v>
          </cell>
          <cell r="AJ49">
            <v>972.29680383795278</v>
          </cell>
          <cell r="AK49"/>
          <cell r="AL49">
            <v>972.29680383795278</v>
          </cell>
          <cell r="AN49">
            <v>1188.5416666666667</v>
          </cell>
          <cell r="AO49">
            <v>1042.4698958333333</v>
          </cell>
          <cell r="AP49">
            <v>146.07177083333335</v>
          </cell>
          <cell r="AQ49">
            <v>0</v>
          </cell>
          <cell r="AR49"/>
          <cell r="AS49">
            <v>0</v>
          </cell>
          <cell r="AU49">
            <v>1188.5416666666667</v>
          </cell>
          <cell r="AV49">
            <v>1042.4698958333333</v>
          </cell>
          <cell r="AW49">
            <v>146.07177083333335</v>
          </cell>
          <cell r="AX49">
            <v>0</v>
          </cell>
          <cell r="AY49"/>
          <cell r="AZ49">
            <v>0</v>
          </cell>
          <cell r="BB49">
            <v>1188.5416666666667</v>
          </cell>
          <cell r="BC49">
            <v>1042.4698958333333</v>
          </cell>
          <cell r="BD49">
            <v>146.07177083333335</v>
          </cell>
          <cell r="BE49">
            <v>0</v>
          </cell>
          <cell r="BF49"/>
          <cell r="BG49">
            <v>0</v>
          </cell>
          <cell r="BI49">
            <v>1188.5416666666667</v>
          </cell>
          <cell r="BJ49">
            <v>1042.4698958333333</v>
          </cell>
          <cell r="BK49">
            <v>146.07177083333335</v>
          </cell>
          <cell r="BL49">
            <v>0</v>
          </cell>
          <cell r="BM49"/>
          <cell r="BN49">
            <v>0</v>
          </cell>
          <cell r="BP49">
            <v>1188.5416666666667</v>
          </cell>
          <cell r="BQ49">
            <v>1042.4698958333333</v>
          </cell>
          <cell r="BR49">
            <v>146.07177083333335</v>
          </cell>
          <cell r="BS49">
            <v>0</v>
          </cell>
          <cell r="BT49"/>
          <cell r="BU49">
            <v>0</v>
          </cell>
          <cell r="BW49">
            <v>1188.5416666666667</v>
          </cell>
          <cell r="BX49">
            <v>1042.4698958333333</v>
          </cell>
          <cell r="BY49">
            <v>146.07177083333335</v>
          </cell>
          <cell r="BZ49">
            <v>0</v>
          </cell>
          <cell r="CA49"/>
          <cell r="CB49">
            <v>0</v>
          </cell>
          <cell r="CD49">
            <v>1188.5416666666667</v>
          </cell>
          <cell r="CE49">
            <v>1042.4698958333333</v>
          </cell>
          <cell r="CF49">
            <v>146.07177083333335</v>
          </cell>
          <cell r="CG49">
            <v>0</v>
          </cell>
          <cell r="CH49"/>
          <cell r="CI49">
            <v>0</v>
          </cell>
          <cell r="CK49">
            <v>1188.5416666666667</v>
          </cell>
          <cell r="CL49">
            <v>1042.4698958333333</v>
          </cell>
          <cell r="CM49">
            <v>146.07177083333335</v>
          </cell>
          <cell r="CN49">
            <v>0</v>
          </cell>
          <cell r="CO49"/>
          <cell r="CP49">
            <v>0</v>
          </cell>
        </row>
        <row r="50">
          <cell r="L50">
            <v>120.11125</v>
          </cell>
          <cell r="M50">
            <v>105.349577375</v>
          </cell>
          <cell r="N50">
            <v>14.761672624999999</v>
          </cell>
          <cell r="O50">
            <v>112.26092716860838</v>
          </cell>
          <cell r="P50"/>
          <cell r="Q50">
            <v>112.26092716860838</v>
          </cell>
          <cell r="S50">
            <v>120.11125</v>
          </cell>
          <cell r="T50">
            <v>105.349577375</v>
          </cell>
          <cell r="U50">
            <v>14.761672624999999</v>
          </cell>
          <cell r="V50">
            <v>125.1851321290728</v>
          </cell>
          <cell r="W50"/>
          <cell r="X50">
            <v>125.1851321290728</v>
          </cell>
          <cell r="Z50">
            <v>120.11125</v>
          </cell>
          <cell r="AA50">
            <v>105.349577375</v>
          </cell>
          <cell r="AB50">
            <v>14.761672624999999</v>
          </cell>
          <cell r="AC50">
            <v>229.31472254552222</v>
          </cell>
          <cell r="AD50"/>
          <cell r="AE50">
            <v>229.31472254552222</v>
          </cell>
          <cell r="AG50">
            <v>120.11125</v>
          </cell>
          <cell r="AH50">
            <v>105.349577375</v>
          </cell>
          <cell r="AI50">
            <v>14.761672624999999</v>
          </cell>
          <cell r="AJ50">
            <v>106.16329969454</v>
          </cell>
          <cell r="AK50"/>
          <cell r="AL50">
            <v>106.16329969454</v>
          </cell>
          <cell r="AN50">
            <v>120.11125</v>
          </cell>
          <cell r="AO50">
            <v>105.349577375</v>
          </cell>
          <cell r="AP50">
            <v>14.761672624999999</v>
          </cell>
          <cell r="AQ50">
            <v>0</v>
          </cell>
          <cell r="AR50"/>
          <cell r="AS50">
            <v>0</v>
          </cell>
          <cell r="AU50">
            <v>120.11125</v>
          </cell>
          <cell r="AV50">
            <v>105.349577375</v>
          </cell>
          <cell r="AW50">
            <v>14.761672624999999</v>
          </cell>
          <cell r="AX50">
            <v>0</v>
          </cell>
          <cell r="AY50"/>
          <cell r="AZ50">
            <v>0</v>
          </cell>
          <cell r="BB50">
            <v>120.11125</v>
          </cell>
          <cell r="BC50">
            <v>105.349577375</v>
          </cell>
          <cell r="BD50">
            <v>14.761672624999999</v>
          </cell>
          <cell r="BE50">
            <v>0</v>
          </cell>
          <cell r="BF50"/>
          <cell r="BG50">
            <v>0</v>
          </cell>
          <cell r="BI50">
            <v>120.11125</v>
          </cell>
          <cell r="BJ50">
            <v>105.349577375</v>
          </cell>
          <cell r="BK50">
            <v>14.761672624999999</v>
          </cell>
          <cell r="BL50">
            <v>0</v>
          </cell>
          <cell r="BM50"/>
          <cell r="BN50">
            <v>0</v>
          </cell>
          <cell r="BP50">
            <v>120.11125</v>
          </cell>
          <cell r="BQ50">
            <v>105.349577375</v>
          </cell>
          <cell r="BR50">
            <v>14.761672624999999</v>
          </cell>
          <cell r="BS50">
            <v>0</v>
          </cell>
          <cell r="BT50"/>
          <cell r="BU50">
            <v>0</v>
          </cell>
          <cell r="BW50">
            <v>120.11125</v>
          </cell>
          <cell r="BX50">
            <v>105.349577375</v>
          </cell>
          <cell r="BY50">
            <v>14.761672624999999</v>
          </cell>
          <cell r="BZ50">
            <v>0</v>
          </cell>
          <cell r="CA50"/>
          <cell r="CB50">
            <v>0</v>
          </cell>
          <cell r="CD50">
            <v>120.11125</v>
          </cell>
          <cell r="CE50">
            <v>105.349577375</v>
          </cell>
          <cell r="CF50">
            <v>14.761672624999999</v>
          </cell>
          <cell r="CG50">
            <v>0</v>
          </cell>
          <cell r="CH50"/>
          <cell r="CI50">
            <v>0</v>
          </cell>
          <cell r="CK50">
            <v>120.11125</v>
          </cell>
          <cell r="CL50">
            <v>105.349577375</v>
          </cell>
          <cell r="CM50">
            <v>14.761672624999999</v>
          </cell>
          <cell r="CN50">
            <v>0</v>
          </cell>
          <cell r="CO50"/>
          <cell r="CP50">
            <v>0</v>
          </cell>
        </row>
        <row r="51">
          <cell r="L51">
            <v>90.277201874999975</v>
          </cell>
          <cell r="M51">
            <v>79.182133764562479</v>
          </cell>
          <cell r="N51">
            <v>11.095068110437497</v>
          </cell>
          <cell r="O51">
            <v>89.365946169175089</v>
          </cell>
          <cell r="P51"/>
          <cell r="Q51">
            <v>89.365946169175089</v>
          </cell>
          <cell r="S51">
            <v>90.277201874999975</v>
          </cell>
          <cell r="T51">
            <v>79.182133764562479</v>
          </cell>
          <cell r="U51">
            <v>11.095068110437497</v>
          </cell>
          <cell r="V51">
            <v>87.038206634011203</v>
          </cell>
          <cell r="W51"/>
          <cell r="X51">
            <v>87.038206634011203</v>
          </cell>
          <cell r="Z51">
            <v>90.277201874999975</v>
          </cell>
          <cell r="AA51">
            <v>79.182133764562479</v>
          </cell>
          <cell r="AB51">
            <v>11.095068110437497</v>
          </cell>
          <cell r="AC51">
            <v>80.953705510705021</v>
          </cell>
          <cell r="AD51"/>
          <cell r="AE51">
            <v>80.953705510705021</v>
          </cell>
          <cell r="AG51">
            <v>90.277201874999975</v>
          </cell>
          <cell r="AH51">
            <v>79.182133764562479</v>
          </cell>
          <cell r="AI51">
            <v>11.095068110437497</v>
          </cell>
          <cell r="AJ51">
            <v>107.96248483901253</v>
          </cell>
          <cell r="AK51"/>
          <cell r="AL51">
            <v>107.96248483901253</v>
          </cell>
          <cell r="AN51">
            <v>90.277201874999975</v>
          </cell>
          <cell r="AO51">
            <v>79.182133764562479</v>
          </cell>
          <cell r="AP51">
            <v>11.095068110437497</v>
          </cell>
          <cell r="AQ51">
            <v>0</v>
          </cell>
          <cell r="AR51"/>
          <cell r="AS51">
            <v>0</v>
          </cell>
          <cell r="AU51">
            <v>90.277201874999975</v>
          </cell>
          <cell r="AV51">
            <v>79.182133764562479</v>
          </cell>
          <cell r="AW51">
            <v>11.095068110437497</v>
          </cell>
          <cell r="AX51">
            <v>0</v>
          </cell>
          <cell r="AY51"/>
          <cell r="AZ51">
            <v>0</v>
          </cell>
          <cell r="BB51">
            <v>90.277201874999975</v>
          </cell>
          <cell r="BC51">
            <v>79.182133764562479</v>
          </cell>
          <cell r="BD51">
            <v>11.095068110437497</v>
          </cell>
          <cell r="BE51">
            <v>0</v>
          </cell>
          <cell r="BF51"/>
          <cell r="BG51">
            <v>0</v>
          </cell>
          <cell r="BI51">
            <v>90.277201874999975</v>
          </cell>
          <cell r="BJ51">
            <v>79.182133764562479</v>
          </cell>
          <cell r="BK51">
            <v>11.095068110437497</v>
          </cell>
          <cell r="BL51">
            <v>0</v>
          </cell>
          <cell r="BM51"/>
          <cell r="BN51">
            <v>0</v>
          </cell>
          <cell r="BP51">
            <v>90.277201874999975</v>
          </cell>
          <cell r="BQ51">
            <v>79.182133764562479</v>
          </cell>
          <cell r="BR51">
            <v>11.095068110437497</v>
          </cell>
          <cell r="BS51">
            <v>0</v>
          </cell>
          <cell r="BT51"/>
          <cell r="BU51">
            <v>0</v>
          </cell>
          <cell r="BW51">
            <v>90.277201874999975</v>
          </cell>
          <cell r="BX51">
            <v>79.182133764562479</v>
          </cell>
          <cell r="BY51">
            <v>11.095068110437497</v>
          </cell>
          <cell r="BZ51">
            <v>0</v>
          </cell>
          <cell r="CA51"/>
          <cell r="CB51">
            <v>0</v>
          </cell>
          <cell r="CD51">
            <v>90.277201874999975</v>
          </cell>
          <cell r="CE51">
            <v>79.182133764562479</v>
          </cell>
          <cell r="CF51">
            <v>11.095068110437497</v>
          </cell>
          <cell r="CG51">
            <v>0</v>
          </cell>
          <cell r="CH51"/>
          <cell r="CI51">
            <v>0</v>
          </cell>
          <cell r="CK51">
            <v>90.277201874999975</v>
          </cell>
          <cell r="CL51">
            <v>79.182133764562479</v>
          </cell>
          <cell r="CM51">
            <v>11.095068110437497</v>
          </cell>
          <cell r="CN51">
            <v>0</v>
          </cell>
          <cell r="CO51"/>
          <cell r="CP51">
            <v>0</v>
          </cell>
        </row>
        <row r="52">
          <cell r="L52">
            <v>291.66666666666669</v>
          </cell>
          <cell r="M52">
            <v>255.82083333333335</v>
          </cell>
          <cell r="N52">
            <v>35.845833333333331</v>
          </cell>
          <cell r="O52">
            <v>181.6328158567969</v>
          </cell>
          <cell r="P52"/>
          <cell r="Q52">
            <v>181.6328158567969</v>
          </cell>
          <cell r="S52">
            <v>291.66666666666669</v>
          </cell>
          <cell r="T52">
            <v>255.82083333333335</v>
          </cell>
          <cell r="U52">
            <v>35.845833333333331</v>
          </cell>
          <cell r="V52">
            <v>121.48962684448743</v>
          </cell>
          <cell r="W52"/>
          <cell r="X52">
            <v>121.48962684448743</v>
          </cell>
          <cell r="Z52">
            <v>291.66666666666669</v>
          </cell>
          <cell r="AA52">
            <v>255.82083333333335</v>
          </cell>
          <cell r="AB52">
            <v>35.845833333333331</v>
          </cell>
          <cell r="AC52">
            <v>557.86378176324331</v>
          </cell>
          <cell r="AD52"/>
          <cell r="AE52">
            <v>557.86378176324331</v>
          </cell>
          <cell r="AG52">
            <v>291.66666666666669</v>
          </cell>
          <cell r="AH52">
            <v>255.82083333333335</v>
          </cell>
          <cell r="AI52">
            <v>35.845833333333331</v>
          </cell>
          <cell r="AJ52">
            <v>363.69880128874644</v>
          </cell>
          <cell r="AK52"/>
          <cell r="AL52">
            <v>363.69880128874644</v>
          </cell>
          <cell r="AN52">
            <v>291.66666666666669</v>
          </cell>
          <cell r="AO52">
            <v>255.82083333333335</v>
          </cell>
          <cell r="AP52">
            <v>35.845833333333331</v>
          </cell>
          <cell r="AQ52">
            <v>0</v>
          </cell>
          <cell r="AR52"/>
          <cell r="AS52">
            <v>0</v>
          </cell>
          <cell r="AU52">
            <v>291.66666666666669</v>
          </cell>
          <cell r="AV52">
            <v>255.82083333333335</v>
          </cell>
          <cell r="AW52">
            <v>35.845833333333331</v>
          </cell>
          <cell r="AX52">
            <v>0</v>
          </cell>
          <cell r="AY52"/>
          <cell r="AZ52">
            <v>0</v>
          </cell>
          <cell r="BB52">
            <v>291.66666666666669</v>
          </cell>
          <cell r="BC52">
            <v>255.82083333333335</v>
          </cell>
          <cell r="BD52">
            <v>35.845833333333331</v>
          </cell>
          <cell r="BE52">
            <v>0</v>
          </cell>
          <cell r="BF52"/>
          <cell r="BG52">
            <v>0</v>
          </cell>
          <cell r="BI52">
            <v>291.66666666666669</v>
          </cell>
          <cell r="BJ52">
            <v>255.82083333333335</v>
          </cell>
          <cell r="BK52">
            <v>35.845833333333331</v>
          </cell>
          <cell r="BL52">
            <v>0</v>
          </cell>
          <cell r="BM52"/>
          <cell r="BN52">
            <v>0</v>
          </cell>
          <cell r="BP52">
            <v>291.66666666666669</v>
          </cell>
          <cell r="BQ52">
            <v>255.82083333333335</v>
          </cell>
          <cell r="BR52">
            <v>35.845833333333331</v>
          </cell>
          <cell r="BS52">
            <v>0</v>
          </cell>
          <cell r="BT52"/>
          <cell r="BU52">
            <v>0</v>
          </cell>
          <cell r="BW52">
            <v>291.66666666666669</v>
          </cell>
          <cell r="BX52">
            <v>255.82083333333335</v>
          </cell>
          <cell r="BY52">
            <v>35.845833333333331</v>
          </cell>
          <cell r="BZ52">
            <v>0</v>
          </cell>
          <cell r="CA52"/>
          <cell r="CB52">
            <v>0</v>
          </cell>
          <cell r="CD52">
            <v>291.66666666666669</v>
          </cell>
          <cell r="CE52">
            <v>255.82083333333335</v>
          </cell>
          <cell r="CF52">
            <v>35.845833333333331</v>
          </cell>
          <cell r="CG52">
            <v>0</v>
          </cell>
          <cell r="CH52"/>
          <cell r="CI52">
            <v>0</v>
          </cell>
          <cell r="CK52">
            <v>291.66666666666669</v>
          </cell>
          <cell r="CL52">
            <v>255.82083333333335</v>
          </cell>
          <cell r="CM52">
            <v>35.845833333333331</v>
          </cell>
          <cell r="CN52">
            <v>0</v>
          </cell>
          <cell r="CO52"/>
          <cell r="CP52">
            <v>0</v>
          </cell>
        </row>
        <row r="53">
          <cell r="L53">
            <v>255.20833333333331</v>
          </cell>
          <cell r="M53">
            <v>223.84322916666665</v>
          </cell>
          <cell r="N53">
            <v>31.365104166666661</v>
          </cell>
          <cell r="O53">
            <v>0</v>
          </cell>
          <cell r="P53"/>
          <cell r="Q53">
            <v>0</v>
          </cell>
          <cell r="S53">
            <v>255.20833333333331</v>
          </cell>
          <cell r="T53">
            <v>223.84322916666665</v>
          </cell>
          <cell r="U53">
            <v>31.365104166666661</v>
          </cell>
          <cell r="V53">
            <v>9.436096017921848</v>
          </cell>
          <cell r="W53"/>
          <cell r="X53">
            <v>9.436096017921848</v>
          </cell>
          <cell r="Z53">
            <v>255.20833333333331</v>
          </cell>
          <cell r="AA53">
            <v>223.84322916666665</v>
          </cell>
          <cell r="AB53">
            <v>31.365104166666661</v>
          </cell>
          <cell r="AC53">
            <v>38.503962235793495</v>
          </cell>
          <cell r="AD53"/>
          <cell r="AE53">
            <v>38.503962235793495</v>
          </cell>
          <cell r="AG53">
            <v>255.20833333333331</v>
          </cell>
          <cell r="AH53">
            <v>223.84322916666665</v>
          </cell>
          <cell r="AI53">
            <v>31.365104166666661</v>
          </cell>
          <cell r="AJ53">
            <v>0</v>
          </cell>
          <cell r="AK53"/>
          <cell r="AL53">
            <v>0</v>
          </cell>
          <cell r="AN53">
            <v>255.20833333333331</v>
          </cell>
          <cell r="AO53">
            <v>223.84322916666665</v>
          </cell>
          <cell r="AP53">
            <v>31.365104166666661</v>
          </cell>
          <cell r="AQ53">
            <v>0</v>
          </cell>
          <cell r="AR53"/>
          <cell r="AS53">
            <v>0</v>
          </cell>
          <cell r="AU53">
            <v>255.20833333333331</v>
          </cell>
          <cell r="AV53">
            <v>223.84322916666665</v>
          </cell>
          <cell r="AW53">
            <v>31.365104166666661</v>
          </cell>
          <cell r="AX53">
            <v>0</v>
          </cell>
          <cell r="AY53"/>
          <cell r="AZ53">
            <v>0</v>
          </cell>
          <cell r="BB53">
            <v>255.20833333333331</v>
          </cell>
          <cell r="BC53">
            <v>223.84322916666665</v>
          </cell>
          <cell r="BD53">
            <v>31.365104166666661</v>
          </cell>
          <cell r="BE53">
            <v>0</v>
          </cell>
          <cell r="BF53"/>
          <cell r="BG53">
            <v>0</v>
          </cell>
          <cell r="BI53">
            <v>255.20833333333331</v>
          </cell>
          <cell r="BJ53">
            <v>223.84322916666665</v>
          </cell>
          <cell r="BK53">
            <v>31.365104166666661</v>
          </cell>
          <cell r="BL53">
            <v>0</v>
          </cell>
          <cell r="BM53"/>
          <cell r="BN53">
            <v>0</v>
          </cell>
          <cell r="BP53">
            <v>255.20833333333331</v>
          </cell>
          <cell r="BQ53">
            <v>223.84322916666665</v>
          </cell>
          <cell r="BR53">
            <v>31.365104166666661</v>
          </cell>
          <cell r="BS53">
            <v>0</v>
          </cell>
          <cell r="BT53"/>
          <cell r="BU53">
            <v>0</v>
          </cell>
          <cell r="BW53">
            <v>255.20833333333331</v>
          </cell>
          <cell r="BX53">
            <v>223.84322916666665</v>
          </cell>
          <cell r="BY53">
            <v>31.365104166666661</v>
          </cell>
          <cell r="BZ53">
            <v>0</v>
          </cell>
          <cell r="CA53"/>
          <cell r="CB53">
            <v>0</v>
          </cell>
          <cell r="CD53">
            <v>255.20833333333331</v>
          </cell>
          <cell r="CE53">
            <v>223.84322916666665</v>
          </cell>
          <cell r="CF53">
            <v>31.365104166666661</v>
          </cell>
          <cell r="CG53">
            <v>0</v>
          </cell>
          <cell r="CH53"/>
          <cell r="CI53">
            <v>0</v>
          </cell>
          <cell r="CK53">
            <v>255.20833333333331</v>
          </cell>
          <cell r="CL53">
            <v>223.84322916666665</v>
          </cell>
          <cell r="CM53">
            <v>31.365104166666661</v>
          </cell>
          <cell r="CN53">
            <v>0</v>
          </cell>
          <cell r="CO53"/>
          <cell r="CP53">
            <v>0</v>
          </cell>
        </row>
        <row r="54">
          <cell r="L54">
            <v>7570.209452513539</v>
          </cell>
          <cell r="M54">
            <v>6639.8307107996252</v>
          </cell>
          <cell r="N54">
            <v>930.37874171391388</v>
          </cell>
          <cell r="O54">
            <v>0</v>
          </cell>
          <cell r="P54"/>
          <cell r="Q54">
            <v>0</v>
          </cell>
          <cell r="S54">
            <v>7570.209452513539</v>
          </cell>
          <cell r="T54">
            <v>6639.8307107996252</v>
          </cell>
          <cell r="U54">
            <v>930.37874171391388</v>
          </cell>
          <cell r="V54">
            <v>4690.014499183113</v>
          </cell>
          <cell r="W54"/>
          <cell r="X54">
            <v>4690.014499183113</v>
          </cell>
          <cell r="Z54">
            <v>7570.209452513539</v>
          </cell>
          <cell r="AA54">
            <v>6639.8307107996252</v>
          </cell>
          <cell r="AB54">
            <v>930.37874171391388</v>
          </cell>
          <cell r="AC54">
            <v>4194.6355962538137</v>
          </cell>
          <cell r="AD54"/>
          <cell r="AE54">
            <v>4194.6355962538137</v>
          </cell>
          <cell r="AG54">
            <v>7570.209452513539</v>
          </cell>
          <cell r="AH54">
            <v>6639.8307107996252</v>
          </cell>
          <cell r="AI54">
            <v>930.37874171391388</v>
          </cell>
          <cell r="AJ54">
            <v>0</v>
          </cell>
          <cell r="AK54"/>
          <cell r="AL54">
            <v>0</v>
          </cell>
          <cell r="AN54">
            <v>7570.209452513539</v>
          </cell>
          <cell r="AO54">
            <v>6639.8307107996252</v>
          </cell>
          <cell r="AP54">
            <v>930.37874171391388</v>
          </cell>
          <cell r="AQ54">
            <v>0</v>
          </cell>
          <cell r="AR54"/>
          <cell r="AS54">
            <v>0</v>
          </cell>
          <cell r="AU54">
            <v>7570.209452513539</v>
          </cell>
          <cell r="AV54">
            <v>6639.8307107996252</v>
          </cell>
          <cell r="AW54">
            <v>930.37874171391388</v>
          </cell>
          <cell r="AX54">
            <v>0</v>
          </cell>
          <cell r="AY54"/>
          <cell r="AZ54">
            <v>0</v>
          </cell>
          <cell r="BB54">
            <v>7570.209452513539</v>
          </cell>
          <cell r="BC54">
            <v>6639.8307107996252</v>
          </cell>
          <cell r="BD54">
            <v>930.37874171391388</v>
          </cell>
          <cell r="BE54">
            <v>0</v>
          </cell>
          <cell r="BF54"/>
          <cell r="BG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/>
          <cell r="BN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/>
          <cell r="BU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/>
          <cell r="CB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/>
          <cell r="CI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/>
          <cell r="CP54">
            <v>0</v>
          </cell>
        </row>
        <row r="56">
          <cell r="L56">
            <v>-2804.802660034602</v>
          </cell>
          <cell r="M56">
            <v>-2460.0924131163492</v>
          </cell>
          <cell r="N56">
            <v>-344.71024691825255</v>
          </cell>
          <cell r="O56">
            <v>0</v>
          </cell>
          <cell r="P56"/>
          <cell r="Q56">
            <v>0</v>
          </cell>
          <cell r="S56">
            <v>-2804.802660034602</v>
          </cell>
          <cell r="T56">
            <v>-2460.0924131163492</v>
          </cell>
          <cell r="U56">
            <v>-344.71024691825255</v>
          </cell>
          <cell r="V56">
            <v>-10199.306680828882</v>
          </cell>
          <cell r="W56"/>
          <cell r="X56">
            <v>-10199.306680828882</v>
          </cell>
          <cell r="Z56">
            <v>-2804.802660034602</v>
          </cell>
          <cell r="AA56">
            <v>-2460.0924131163492</v>
          </cell>
          <cell r="AB56">
            <v>-344.71024691825255</v>
          </cell>
          <cell r="AC56">
            <v>1406.711632132937</v>
          </cell>
          <cell r="AD56"/>
          <cell r="AE56">
            <v>1406.711632132937</v>
          </cell>
          <cell r="AG56">
            <v>-2804.802660034602</v>
          </cell>
          <cell r="AH56">
            <v>-2460.0924131163492</v>
          </cell>
          <cell r="AI56">
            <v>-344.71024691825255</v>
          </cell>
          <cell r="AJ56">
            <v>-17157.136298676269</v>
          </cell>
          <cell r="AK56"/>
          <cell r="AL56">
            <v>-17157.136298676269</v>
          </cell>
          <cell r="AN56">
            <v>-2804.802660034602</v>
          </cell>
          <cell r="AO56">
            <v>-2460.0924131163492</v>
          </cell>
          <cell r="AP56">
            <v>-344.71024691825255</v>
          </cell>
          <cell r="AQ56">
            <v>0</v>
          </cell>
          <cell r="AR56"/>
          <cell r="AS56">
            <v>0</v>
          </cell>
          <cell r="AU56">
            <v>-2804.802660034602</v>
          </cell>
          <cell r="AV56">
            <v>-2460.0924131163492</v>
          </cell>
          <cell r="AW56">
            <v>-344.71024691825255</v>
          </cell>
          <cell r="AX56">
            <v>0</v>
          </cell>
          <cell r="AY56"/>
          <cell r="AZ56">
            <v>0</v>
          </cell>
          <cell r="BB56">
            <v>-2804.802660034602</v>
          </cell>
          <cell r="BC56">
            <v>-2460.0924131163492</v>
          </cell>
          <cell r="BD56">
            <v>-344.71024691825255</v>
          </cell>
          <cell r="BE56">
            <v>0</v>
          </cell>
          <cell r="BF56"/>
          <cell r="BG56">
            <v>0</v>
          </cell>
          <cell r="BI56">
            <v>-2804.802660034602</v>
          </cell>
          <cell r="BJ56">
            <v>-2460.0924131163492</v>
          </cell>
          <cell r="BK56">
            <v>-344.71024691825255</v>
          </cell>
          <cell r="BL56">
            <v>0</v>
          </cell>
          <cell r="BM56"/>
          <cell r="BN56">
            <v>0</v>
          </cell>
          <cell r="BP56">
            <v>-2804.802660034602</v>
          </cell>
          <cell r="BQ56">
            <v>-2460.0924131163492</v>
          </cell>
          <cell r="BR56">
            <v>-344.71024691825255</v>
          </cell>
          <cell r="BS56">
            <v>0</v>
          </cell>
          <cell r="BT56"/>
          <cell r="BU56">
            <v>0</v>
          </cell>
          <cell r="BW56">
            <v>-2804.802660034602</v>
          </cell>
          <cell r="BX56">
            <v>-2460.0924131163492</v>
          </cell>
          <cell r="BY56">
            <v>-344.71024691825255</v>
          </cell>
          <cell r="BZ56">
            <v>0</v>
          </cell>
          <cell r="CA56"/>
          <cell r="CB56">
            <v>0</v>
          </cell>
          <cell r="CD56">
            <v>-2804.802660034602</v>
          </cell>
          <cell r="CE56">
            <v>-2460.0924131163492</v>
          </cell>
          <cell r="CF56">
            <v>-344.71024691825255</v>
          </cell>
          <cell r="CG56">
            <v>0</v>
          </cell>
          <cell r="CH56"/>
          <cell r="CI56">
            <v>0</v>
          </cell>
          <cell r="CK56">
            <v>-2804.802660034602</v>
          </cell>
          <cell r="CL56">
            <v>-2460.0924131163492</v>
          </cell>
          <cell r="CM56">
            <v>-344.71024691825255</v>
          </cell>
          <cell r="CN56">
            <v>0</v>
          </cell>
          <cell r="CO56"/>
          <cell r="CP56">
            <v>0</v>
          </cell>
        </row>
        <row r="57">
          <cell r="L57">
            <v>-934.93422001153397</v>
          </cell>
          <cell r="M57">
            <v>-820.03080437211645</v>
          </cell>
          <cell r="N57">
            <v>-114.90341563941752</v>
          </cell>
          <cell r="O57">
            <v>-3686.7333819160081</v>
          </cell>
          <cell r="P57"/>
          <cell r="Q57">
            <v>-3686.7333819160081</v>
          </cell>
          <cell r="S57">
            <v>-934.93422001153397</v>
          </cell>
          <cell r="T57">
            <v>-820.03080437211645</v>
          </cell>
          <cell r="U57">
            <v>-114.90341563941752</v>
          </cell>
          <cell r="V57">
            <v>-544.71905410997385</v>
          </cell>
          <cell r="W57"/>
          <cell r="X57">
            <v>-544.71905410997385</v>
          </cell>
          <cell r="Z57">
            <v>-934.93422001153397</v>
          </cell>
          <cell r="AA57">
            <v>-820.03080437211645</v>
          </cell>
          <cell r="AB57">
            <v>-114.90341563941752</v>
          </cell>
          <cell r="AC57">
            <v>-2394.9525766967113</v>
          </cell>
          <cell r="AD57"/>
          <cell r="AE57">
            <v>-2394.9525766967113</v>
          </cell>
          <cell r="AG57">
            <v>-934.93422001153397</v>
          </cell>
          <cell r="AH57">
            <v>-820.03080437211645</v>
          </cell>
          <cell r="AI57">
            <v>-114.90341563941752</v>
          </cell>
          <cell r="AJ57">
            <v>0</v>
          </cell>
          <cell r="AK57"/>
          <cell r="AL57">
            <v>0</v>
          </cell>
          <cell r="AN57">
            <v>-934.93422001153397</v>
          </cell>
          <cell r="AO57">
            <v>-820.03080437211645</v>
          </cell>
          <cell r="AP57">
            <v>-114.90341563941752</v>
          </cell>
          <cell r="AQ57">
            <v>0</v>
          </cell>
          <cell r="AR57"/>
          <cell r="AS57">
            <v>0</v>
          </cell>
          <cell r="AU57">
            <v>-934.93422001153397</v>
          </cell>
          <cell r="AV57">
            <v>-820.03080437211645</v>
          </cell>
          <cell r="AW57">
            <v>-114.90341563941752</v>
          </cell>
          <cell r="AX57">
            <v>0</v>
          </cell>
          <cell r="AY57"/>
          <cell r="AZ57">
            <v>0</v>
          </cell>
          <cell r="BB57">
            <v>-934.93422001153397</v>
          </cell>
          <cell r="BC57">
            <v>-820.03080437211645</v>
          </cell>
          <cell r="BD57">
            <v>-114.90341563941752</v>
          </cell>
          <cell r="BE57">
            <v>0</v>
          </cell>
          <cell r="BF57"/>
          <cell r="BG57">
            <v>0</v>
          </cell>
          <cell r="BI57">
            <v>-934.93422001153397</v>
          </cell>
          <cell r="BJ57">
            <v>-820.03080437211645</v>
          </cell>
          <cell r="BK57">
            <v>-114.90341563941752</v>
          </cell>
          <cell r="BL57">
            <v>0</v>
          </cell>
          <cell r="BM57"/>
          <cell r="BN57">
            <v>0</v>
          </cell>
          <cell r="BP57">
            <v>-934.93422001153397</v>
          </cell>
          <cell r="BQ57">
            <v>-820.03080437211645</v>
          </cell>
          <cell r="BR57">
            <v>-114.90341563941752</v>
          </cell>
          <cell r="BS57">
            <v>0</v>
          </cell>
          <cell r="BT57"/>
          <cell r="BU57">
            <v>0</v>
          </cell>
          <cell r="BW57">
            <v>-934.93422001153397</v>
          </cell>
          <cell r="BX57">
            <v>-820.03080437211645</v>
          </cell>
          <cell r="BY57">
            <v>-114.90341563941752</v>
          </cell>
          <cell r="BZ57">
            <v>0</v>
          </cell>
          <cell r="CA57"/>
          <cell r="CB57">
            <v>0</v>
          </cell>
          <cell r="CD57">
            <v>-934.93422001153397</v>
          </cell>
          <cell r="CE57">
            <v>-820.03080437211645</v>
          </cell>
          <cell r="CF57">
            <v>-114.90341563941752</v>
          </cell>
          <cell r="CG57">
            <v>0</v>
          </cell>
          <cell r="CH57"/>
          <cell r="CI57">
            <v>0</v>
          </cell>
          <cell r="CK57">
            <v>-934.93422001153397</v>
          </cell>
          <cell r="CL57">
            <v>-820.03080437211645</v>
          </cell>
          <cell r="CM57">
            <v>-114.90341563941752</v>
          </cell>
          <cell r="CN57">
            <v>0</v>
          </cell>
          <cell r="CO57"/>
          <cell r="CP57">
            <v>0</v>
          </cell>
        </row>
      </sheetData>
      <sheetData sheetId="4">
        <row r="4">
          <cell r="L4">
            <v>123363.4302</v>
          </cell>
          <cell r="M4">
            <v>108202.06462842</v>
          </cell>
          <cell r="N4">
            <v>15161.36557158</v>
          </cell>
          <cell r="O4">
            <v>98962.293399999995</v>
          </cell>
          <cell r="P4">
            <v>37161.906600000009</v>
          </cell>
          <cell r="Q4">
            <v>136124.20000000001</v>
          </cell>
          <cell r="S4">
            <v>193398.4302</v>
          </cell>
          <cell r="T4">
            <v>169629.76312841999</v>
          </cell>
          <cell r="U4">
            <v>23768.667071579999</v>
          </cell>
          <cell r="V4">
            <v>90163.492369999993</v>
          </cell>
          <cell r="W4">
            <v>33857.817629999998</v>
          </cell>
          <cell r="X4">
            <v>124021.30999999998</v>
          </cell>
          <cell r="Z4">
            <v>123363.4302</v>
          </cell>
          <cell r="AA4">
            <v>108202.06462842</v>
          </cell>
          <cell r="AB4">
            <v>15161.36557158</v>
          </cell>
          <cell r="AC4">
            <v>66070.566970000014</v>
          </cell>
          <cell r="AD4">
            <v>24810.543030000004</v>
          </cell>
          <cell r="AE4">
            <v>90881.110000000015</v>
          </cell>
          <cell r="AG4">
            <v>123363.4302</v>
          </cell>
          <cell r="AH4">
            <v>108202.06462842</v>
          </cell>
          <cell r="AI4">
            <v>15161.36557158</v>
          </cell>
          <cell r="AJ4">
            <v>124791.99999</v>
          </cell>
          <cell r="AK4">
            <v>46861.370009999999</v>
          </cell>
          <cell r="AL4">
            <v>171653.37</v>
          </cell>
          <cell r="AN4">
            <v>123363.4302</v>
          </cell>
          <cell r="AO4">
            <v>108202.06462842</v>
          </cell>
          <cell r="AP4">
            <v>15161.36557158</v>
          </cell>
          <cell r="AQ4">
            <v>0</v>
          </cell>
          <cell r="AR4">
            <v>0</v>
          </cell>
          <cell r="AS4"/>
          <cell r="AU4">
            <v>123363.4302</v>
          </cell>
          <cell r="AV4">
            <v>108202.06462842</v>
          </cell>
          <cell r="AW4">
            <v>15161.36557158</v>
          </cell>
          <cell r="AX4">
            <v>0</v>
          </cell>
          <cell r="AY4">
            <v>0</v>
          </cell>
          <cell r="AZ4"/>
          <cell r="BB4">
            <v>123363.4302</v>
          </cell>
          <cell r="BC4">
            <v>108202.06462842</v>
          </cell>
          <cell r="BD4">
            <v>15161.36557158</v>
          </cell>
          <cell r="BE4">
            <v>0</v>
          </cell>
          <cell r="BF4">
            <v>0</v>
          </cell>
          <cell r="BG4"/>
          <cell r="BI4">
            <v>133232.50461599999</v>
          </cell>
          <cell r="BJ4">
            <v>116858.22979869359</v>
          </cell>
          <cell r="BK4">
            <v>16374.274817306397</v>
          </cell>
          <cell r="BL4">
            <v>0</v>
          </cell>
          <cell r="BM4">
            <v>0</v>
          </cell>
          <cell r="BN4"/>
          <cell r="BP4">
            <v>133232.50461599999</v>
          </cell>
          <cell r="BQ4">
            <v>116858.22979869359</v>
          </cell>
          <cell r="BR4">
            <v>16374.274817306397</v>
          </cell>
          <cell r="BS4">
            <v>0</v>
          </cell>
          <cell r="BT4">
            <v>0</v>
          </cell>
          <cell r="BU4"/>
          <cell r="BW4">
            <v>133232.50461599999</v>
          </cell>
          <cell r="BX4">
            <v>116858.22979869359</v>
          </cell>
          <cell r="BY4">
            <v>16374.274817306397</v>
          </cell>
          <cell r="BZ4">
            <v>0</v>
          </cell>
          <cell r="CA4">
            <v>0</v>
          </cell>
          <cell r="CB4"/>
          <cell r="CD4">
            <v>133232.50461599999</v>
          </cell>
          <cell r="CE4">
            <v>116858.22979869359</v>
          </cell>
          <cell r="CF4">
            <v>16374.274817306397</v>
          </cell>
          <cell r="CG4">
            <v>0</v>
          </cell>
          <cell r="CH4">
            <v>0</v>
          </cell>
          <cell r="CI4"/>
          <cell r="CK4">
            <v>133232.50461599999</v>
          </cell>
          <cell r="CL4">
            <v>116858.22979869359</v>
          </cell>
          <cell r="CM4">
            <v>16374.274817306397</v>
          </cell>
          <cell r="CN4">
            <v>0</v>
          </cell>
          <cell r="CO4">
            <v>0</v>
          </cell>
          <cell r="CP4"/>
        </row>
        <row r="5">
          <cell r="L5">
            <v>7916.666666666667</v>
          </cell>
          <cell r="M5">
            <v>6943.7083333333339</v>
          </cell>
          <cell r="N5">
            <v>972.95833333333337</v>
          </cell>
          <cell r="O5">
            <v>10064.4426</v>
          </cell>
          <cell r="P5">
            <v>3779.3574000000008</v>
          </cell>
          <cell r="Q5">
            <v>13843.800000000001</v>
          </cell>
          <cell r="S5">
            <v>7916.666666666667</v>
          </cell>
          <cell r="T5">
            <v>6943.7083333333339</v>
          </cell>
          <cell r="U5">
            <v>972.95833333333337</v>
          </cell>
          <cell r="V5">
            <v>11527.660959999999</v>
          </cell>
          <cell r="W5">
            <v>4328.8190400000003</v>
          </cell>
          <cell r="X5">
            <v>15856.48</v>
          </cell>
          <cell r="Z5">
            <v>7916.666666666667</v>
          </cell>
          <cell r="AA5">
            <v>6943.7083333333339</v>
          </cell>
          <cell r="AB5">
            <v>972.95833333333337</v>
          </cell>
          <cell r="AC5">
            <v>7604.5217799999991</v>
          </cell>
          <cell r="AD5">
            <v>2855.6182199999998</v>
          </cell>
          <cell r="AE5">
            <v>10460.14</v>
          </cell>
          <cell r="AG5">
            <v>7916.666666666667</v>
          </cell>
          <cell r="AH5">
            <v>6943.7083333333339</v>
          </cell>
          <cell r="AI5">
            <v>972.95833333333337</v>
          </cell>
          <cell r="AJ5">
            <v>7922.2862099999993</v>
          </cell>
          <cell r="AK5">
            <v>2974.9437900000003</v>
          </cell>
          <cell r="AL5">
            <v>10897.23</v>
          </cell>
          <cell r="AN5">
            <v>7916.666666666667</v>
          </cell>
          <cell r="AO5">
            <v>6943.7083333333339</v>
          </cell>
          <cell r="AP5">
            <v>972.95833333333337</v>
          </cell>
          <cell r="AQ5">
            <v>0</v>
          </cell>
          <cell r="AR5">
            <v>0</v>
          </cell>
          <cell r="AS5"/>
          <cell r="AU5">
            <v>7916.666666666667</v>
          </cell>
          <cell r="AV5">
            <v>6943.7083333333339</v>
          </cell>
          <cell r="AW5">
            <v>972.95833333333337</v>
          </cell>
          <cell r="AX5">
            <v>0</v>
          </cell>
          <cell r="AY5">
            <v>0</v>
          </cell>
          <cell r="AZ5"/>
          <cell r="BB5">
            <v>7916.666666666667</v>
          </cell>
          <cell r="BC5">
            <v>6943.7083333333339</v>
          </cell>
          <cell r="BD5">
            <v>972.95833333333337</v>
          </cell>
          <cell r="BE5">
            <v>0</v>
          </cell>
          <cell r="BF5">
            <v>0</v>
          </cell>
          <cell r="BG5"/>
          <cell r="BI5">
            <v>7916.666666666667</v>
          </cell>
          <cell r="BJ5">
            <v>6943.7083333333339</v>
          </cell>
          <cell r="BK5">
            <v>972.95833333333337</v>
          </cell>
          <cell r="BL5">
            <v>0</v>
          </cell>
          <cell r="BM5">
            <v>0</v>
          </cell>
          <cell r="BN5"/>
          <cell r="BP5">
            <v>7916.666666666667</v>
          </cell>
          <cell r="BQ5">
            <v>6943.7083333333339</v>
          </cell>
          <cell r="BR5">
            <v>972.95833333333337</v>
          </cell>
          <cell r="BS5">
            <v>0</v>
          </cell>
          <cell r="BT5">
            <v>0</v>
          </cell>
          <cell r="BU5"/>
          <cell r="BW5">
            <v>7916.666666666667</v>
          </cell>
          <cell r="BX5">
            <v>6943.7083333333339</v>
          </cell>
          <cell r="BY5">
            <v>972.95833333333337</v>
          </cell>
          <cell r="BZ5">
            <v>0</v>
          </cell>
          <cell r="CA5">
            <v>0</v>
          </cell>
          <cell r="CB5"/>
          <cell r="CD5">
            <v>7916.666666666667</v>
          </cell>
          <cell r="CE5">
            <v>6943.7083333333339</v>
          </cell>
          <cell r="CF5">
            <v>972.95833333333337</v>
          </cell>
          <cell r="CG5">
            <v>0</v>
          </cell>
          <cell r="CH5">
            <v>0</v>
          </cell>
          <cell r="CI5"/>
          <cell r="CK5">
            <v>7916.666666666667</v>
          </cell>
          <cell r="CL5">
            <v>6943.7083333333339</v>
          </cell>
          <cell r="CM5">
            <v>972.95833333333337</v>
          </cell>
          <cell r="CN5">
            <v>0</v>
          </cell>
          <cell r="CO5">
            <v>0</v>
          </cell>
          <cell r="CP5"/>
        </row>
        <row r="6">
          <cell r="L6">
            <v>15649.210153666665</v>
          </cell>
          <cell r="M6">
            <v>13725.922225781032</v>
          </cell>
          <cell r="N6">
            <v>1923.2879278856331</v>
          </cell>
          <cell r="O6">
            <v>12063.85254</v>
          </cell>
          <cell r="P6">
            <v>4530.1674600000006</v>
          </cell>
          <cell r="Q6">
            <v>16594.02</v>
          </cell>
          <cell r="S6">
            <v>15649.210153666665</v>
          </cell>
          <cell r="T6">
            <v>13725.922225781032</v>
          </cell>
          <cell r="U6">
            <v>1923.2879278856331</v>
          </cell>
          <cell r="V6">
            <v>11650.42218</v>
          </cell>
          <cell r="W6">
            <v>4374.9178200000006</v>
          </cell>
          <cell r="X6">
            <v>16025.34</v>
          </cell>
          <cell r="Z6">
            <v>15649.210153666665</v>
          </cell>
          <cell r="AA6">
            <v>13725.922225781032</v>
          </cell>
          <cell r="AB6">
            <v>1923.2879278856331</v>
          </cell>
          <cell r="AC6">
            <v>12056.160879999999</v>
          </cell>
          <cell r="AD6">
            <v>4527.2791200000001</v>
          </cell>
          <cell r="AE6">
            <v>16583.439999999999</v>
          </cell>
          <cell r="AG6">
            <v>15649.210153666665</v>
          </cell>
          <cell r="AH6">
            <v>13725.922225781032</v>
          </cell>
          <cell r="AI6">
            <v>1923.2879278856331</v>
          </cell>
          <cell r="AJ6">
            <v>11171.554550000001</v>
          </cell>
          <cell r="AK6">
            <v>4195.0954499999998</v>
          </cell>
          <cell r="AL6">
            <v>15366.65</v>
          </cell>
          <cell r="AN6">
            <v>15649.210153666665</v>
          </cell>
          <cell r="AO6">
            <v>13725.922225781032</v>
          </cell>
          <cell r="AP6">
            <v>1923.2879278856331</v>
          </cell>
          <cell r="AQ6">
            <v>0</v>
          </cell>
          <cell r="AR6">
            <v>0</v>
          </cell>
          <cell r="AS6"/>
          <cell r="AU6">
            <v>15649.210153666665</v>
          </cell>
          <cell r="AV6">
            <v>13725.922225781032</v>
          </cell>
          <cell r="AW6">
            <v>1923.2879278856331</v>
          </cell>
          <cell r="AX6">
            <v>0</v>
          </cell>
          <cell r="AY6">
            <v>0</v>
          </cell>
          <cell r="AZ6"/>
          <cell r="BB6">
            <v>15649.210153666665</v>
          </cell>
          <cell r="BC6">
            <v>13725.922225781032</v>
          </cell>
          <cell r="BD6">
            <v>1923.2879278856331</v>
          </cell>
          <cell r="BE6">
            <v>0</v>
          </cell>
          <cell r="BF6">
            <v>0</v>
          </cell>
          <cell r="BG6"/>
          <cell r="BI6">
            <v>16831.353632626666</v>
          </cell>
          <cell r="BJ6">
            <v>14762.780271176849</v>
          </cell>
          <cell r="BK6">
            <v>2068.5733614498172</v>
          </cell>
          <cell r="BL6">
            <v>0</v>
          </cell>
          <cell r="BM6">
            <v>0</v>
          </cell>
          <cell r="BN6"/>
          <cell r="BP6">
            <v>16831.353632626666</v>
          </cell>
          <cell r="BQ6">
            <v>14762.780271176849</v>
          </cell>
          <cell r="BR6">
            <v>2068.5733614498172</v>
          </cell>
          <cell r="BS6">
            <v>0</v>
          </cell>
          <cell r="BT6">
            <v>0</v>
          </cell>
          <cell r="BU6"/>
          <cell r="BW6">
            <v>16831.353632626666</v>
          </cell>
          <cell r="BX6">
            <v>14762.780271176849</v>
          </cell>
          <cell r="BY6">
            <v>2068.5733614498172</v>
          </cell>
          <cell r="BZ6">
            <v>0</v>
          </cell>
          <cell r="CA6">
            <v>0</v>
          </cell>
          <cell r="CB6"/>
          <cell r="CD6">
            <v>16831.353632626666</v>
          </cell>
          <cell r="CE6">
            <v>14762.780271176849</v>
          </cell>
          <cell r="CF6">
            <v>2068.5733614498172</v>
          </cell>
          <cell r="CG6">
            <v>0</v>
          </cell>
          <cell r="CH6">
            <v>0</v>
          </cell>
          <cell r="CI6"/>
          <cell r="CK6">
            <v>16831.353632626666</v>
          </cell>
          <cell r="CL6">
            <v>14762.780271176849</v>
          </cell>
          <cell r="CM6">
            <v>2068.5733614498172</v>
          </cell>
          <cell r="CN6">
            <v>0</v>
          </cell>
          <cell r="CO6">
            <v>0</v>
          </cell>
          <cell r="CP6"/>
        </row>
        <row r="7">
          <cell r="L7">
            <v>12141.628567499998</v>
          </cell>
          <cell r="M7">
            <v>10649.422416554249</v>
          </cell>
          <cell r="N7">
            <v>1492.2061509457496</v>
          </cell>
          <cell r="O7">
            <v>9077.8963299999996</v>
          </cell>
          <cell r="P7">
            <v>3408.8936700000004</v>
          </cell>
          <cell r="Q7">
            <v>12486.79</v>
          </cell>
          <cell r="S7">
            <v>12141.628567499998</v>
          </cell>
          <cell r="T7">
            <v>10649.422416554249</v>
          </cell>
          <cell r="U7">
            <v>1492.2061509457496</v>
          </cell>
          <cell r="V7">
            <v>8362.0267000000003</v>
          </cell>
          <cell r="W7">
            <v>3140.0733000000005</v>
          </cell>
          <cell r="X7">
            <v>11502.1</v>
          </cell>
          <cell r="Z7">
            <v>12141.628567499998</v>
          </cell>
          <cell r="AA7">
            <v>10649.422416554249</v>
          </cell>
          <cell r="AB7">
            <v>1492.2061509457496</v>
          </cell>
          <cell r="AC7">
            <v>8601.0715700000001</v>
          </cell>
          <cell r="AD7">
            <v>3229.8384300000002</v>
          </cell>
          <cell r="AE7">
            <v>11830.91</v>
          </cell>
          <cell r="AG7">
            <v>12141.628567499998</v>
          </cell>
          <cell r="AH7">
            <v>10649.422416554249</v>
          </cell>
          <cell r="AI7">
            <v>1492.2061509457496</v>
          </cell>
          <cell r="AJ7">
            <v>8269.3632799999996</v>
          </cell>
          <cell r="AK7">
            <v>3105.2767200000003</v>
          </cell>
          <cell r="AL7">
            <v>11374.64</v>
          </cell>
          <cell r="AN7">
            <v>12141.628567499998</v>
          </cell>
          <cell r="AO7">
            <v>10649.422416554249</v>
          </cell>
          <cell r="AP7">
            <v>1492.2061509457496</v>
          </cell>
          <cell r="AQ7">
            <v>0</v>
          </cell>
          <cell r="AR7">
            <v>0</v>
          </cell>
          <cell r="AS7"/>
          <cell r="AU7">
            <v>12141.628567499998</v>
          </cell>
          <cell r="AV7">
            <v>10649.422416554249</v>
          </cell>
          <cell r="AW7">
            <v>1492.2061509457496</v>
          </cell>
          <cell r="AX7">
            <v>0</v>
          </cell>
          <cell r="AY7">
            <v>0</v>
          </cell>
          <cell r="AZ7"/>
          <cell r="BB7">
            <v>12141.628567499998</v>
          </cell>
          <cell r="BC7">
            <v>10649.422416554249</v>
          </cell>
          <cell r="BD7">
            <v>1492.2061509457496</v>
          </cell>
          <cell r="BE7">
            <v>0</v>
          </cell>
          <cell r="BF7">
            <v>0</v>
          </cell>
          <cell r="BG7"/>
          <cell r="BI7">
            <v>13058.808852899998</v>
          </cell>
          <cell r="BJ7">
            <v>11453.881244878588</v>
          </cell>
          <cell r="BK7">
            <v>1604.9276080214097</v>
          </cell>
          <cell r="BL7">
            <v>0</v>
          </cell>
          <cell r="BM7">
            <v>0</v>
          </cell>
          <cell r="BN7"/>
          <cell r="BP7">
            <v>13058.808852899998</v>
          </cell>
          <cell r="BQ7">
            <v>11453.881244878588</v>
          </cell>
          <cell r="BR7">
            <v>1604.9276080214097</v>
          </cell>
          <cell r="BS7">
            <v>0</v>
          </cell>
          <cell r="BT7">
            <v>0</v>
          </cell>
          <cell r="BU7"/>
          <cell r="BW7">
            <v>13058.808852899998</v>
          </cell>
          <cell r="BX7">
            <v>11453.881244878588</v>
          </cell>
          <cell r="BY7">
            <v>1604.9276080214097</v>
          </cell>
          <cell r="BZ7">
            <v>0</v>
          </cell>
          <cell r="CA7">
            <v>0</v>
          </cell>
          <cell r="CB7"/>
          <cell r="CD7">
            <v>13058.808852899998</v>
          </cell>
          <cell r="CE7">
            <v>11453.881244878588</v>
          </cell>
          <cell r="CF7">
            <v>1604.9276080214097</v>
          </cell>
          <cell r="CG7">
            <v>0</v>
          </cell>
          <cell r="CH7">
            <v>0</v>
          </cell>
          <cell r="CI7"/>
          <cell r="CK7">
            <v>13058.808852899998</v>
          </cell>
          <cell r="CL7">
            <v>11453.881244878588</v>
          </cell>
          <cell r="CM7">
            <v>1604.9276080214097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127256.74847026668</v>
          </cell>
          <cell r="BC8">
            <v>111616.8940832709</v>
          </cell>
          <cell r="BD8">
            <v>15639.854386995776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5708.6955369999996</v>
          </cell>
          <cell r="M9">
            <v>5007.0968555026993</v>
          </cell>
          <cell r="N9">
            <v>701.59868149729994</v>
          </cell>
          <cell r="O9">
            <v>10377.35794</v>
          </cell>
          <cell r="P9">
            <v>3896.8620599999999</v>
          </cell>
          <cell r="Q9">
            <v>14274.22</v>
          </cell>
          <cell r="S9">
            <v>5708.6955369999996</v>
          </cell>
          <cell r="T9">
            <v>5007.0968555026993</v>
          </cell>
          <cell r="U9">
            <v>701.59868149729994</v>
          </cell>
          <cell r="V9">
            <v>8248.8691500000004</v>
          </cell>
          <cell r="W9">
            <v>3097.5808500000003</v>
          </cell>
          <cell r="X9">
            <v>11346.45</v>
          </cell>
          <cell r="Z9">
            <v>5708.6955369999996</v>
          </cell>
          <cell r="AA9">
            <v>5007.0968555026993</v>
          </cell>
          <cell r="AB9">
            <v>701.59868149729994</v>
          </cell>
          <cell r="AC9">
            <v>4568.5188899999994</v>
          </cell>
          <cell r="AD9">
            <v>1715.5511100000001</v>
          </cell>
          <cell r="AE9">
            <v>6284.07</v>
          </cell>
          <cell r="AG9">
            <v>5708.6955369999996</v>
          </cell>
          <cell r="AH9">
            <v>5007.0968555026993</v>
          </cell>
          <cell r="AI9">
            <v>701.59868149729994</v>
          </cell>
          <cell r="AJ9">
            <v>0</v>
          </cell>
          <cell r="AK9">
            <v>0</v>
          </cell>
          <cell r="AL9"/>
          <cell r="AN9">
            <v>5708.6955369999996</v>
          </cell>
          <cell r="AO9">
            <v>5007.0968555026993</v>
          </cell>
          <cell r="AP9">
            <v>701.59868149729994</v>
          </cell>
          <cell r="AQ9">
            <v>0</v>
          </cell>
          <cell r="AR9">
            <v>0</v>
          </cell>
          <cell r="AS9"/>
          <cell r="AU9">
            <v>5708.6955369999996</v>
          </cell>
          <cell r="AV9">
            <v>5007.0968555026993</v>
          </cell>
          <cell r="AW9">
            <v>701.59868149729994</v>
          </cell>
          <cell r="AX9">
            <v>0</v>
          </cell>
          <cell r="AY9">
            <v>0</v>
          </cell>
          <cell r="AZ9"/>
          <cell r="BB9">
            <v>5708.6955369999996</v>
          </cell>
          <cell r="BC9">
            <v>5007.0968555026993</v>
          </cell>
          <cell r="BD9">
            <v>701.59868149729994</v>
          </cell>
          <cell r="BE9">
            <v>0</v>
          </cell>
          <cell r="BF9">
            <v>0</v>
          </cell>
          <cell r="BG9"/>
          <cell r="BI9">
            <v>6139.9311799599991</v>
          </cell>
          <cell r="BJ9">
            <v>5385.3336379429156</v>
          </cell>
          <cell r="BK9">
            <v>754.59754201708381</v>
          </cell>
          <cell r="BL9">
            <v>0</v>
          </cell>
          <cell r="BM9">
            <v>0</v>
          </cell>
          <cell r="BN9"/>
          <cell r="BP9">
            <v>6139.9311799599991</v>
          </cell>
          <cell r="BQ9">
            <v>5385.3336379429156</v>
          </cell>
          <cell r="BR9">
            <v>754.59754201708381</v>
          </cell>
          <cell r="BS9">
            <v>0</v>
          </cell>
          <cell r="BT9">
            <v>0</v>
          </cell>
          <cell r="BU9"/>
          <cell r="BW9">
            <v>6139.9311799599991</v>
          </cell>
          <cell r="BX9">
            <v>5385.3336379429156</v>
          </cell>
          <cell r="BY9">
            <v>754.59754201708381</v>
          </cell>
          <cell r="BZ9">
            <v>0</v>
          </cell>
          <cell r="CA9">
            <v>0</v>
          </cell>
          <cell r="CB9"/>
          <cell r="CD9">
            <v>6139.9311799599991</v>
          </cell>
          <cell r="CE9">
            <v>5385.3336379429156</v>
          </cell>
          <cell r="CF9">
            <v>754.59754201708381</v>
          </cell>
          <cell r="CG9">
            <v>0</v>
          </cell>
          <cell r="CH9">
            <v>0</v>
          </cell>
          <cell r="CI9"/>
          <cell r="CK9">
            <v>6139.9311799599991</v>
          </cell>
          <cell r="CL9">
            <v>5385.3336379429156</v>
          </cell>
          <cell r="CM9">
            <v>754.59754201708381</v>
          </cell>
          <cell r="CN9">
            <v>0</v>
          </cell>
          <cell r="CO9">
            <v>0</v>
          </cell>
          <cell r="CP9"/>
        </row>
        <row r="10">
          <cell r="L10">
            <v>7200</v>
          </cell>
          <cell r="M10">
            <v>6315.12</v>
          </cell>
          <cell r="N10">
            <v>884.88</v>
          </cell>
          <cell r="O10">
            <v>12988.240309999999</v>
          </cell>
          <cell r="P10">
            <v>4877.2896899999996</v>
          </cell>
          <cell r="Q10">
            <v>17865.53</v>
          </cell>
          <cell r="S10">
            <v>7200</v>
          </cell>
          <cell r="T10">
            <v>6315.12</v>
          </cell>
          <cell r="U10">
            <v>884.88</v>
          </cell>
          <cell r="V10">
            <v>4537.3378599999996</v>
          </cell>
          <cell r="W10">
            <v>1703.8421400000002</v>
          </cell>
          <cell r="X10">
            <v>6241.18</v>
          </cell>
          <cell r="Z10">
            <v>7200</v>
          </cell>
          <cell r="AA10">
            <v>6315.12</v>
          </cell>
          <cell r="AB10">
            <v>884.88</v>
          </cell>
          <cell r="AC10">
            <v>6349.8215600000003</v>
          </cell>
          <cell r="AD10">
            <v>2384.4584400000003</v>
          </cell>
          <cell r="AE10">
            <v>8734.2800000000007</v>
          </cell>
          <cell r="AG10">
            <v>7200</v>
          </cell>
          <cell r="AH10">
            <v>6315.12</v>
          </cell>
          <cell r="AI10">
            <v>884.88</v>
          </cell>
          <cell r="AJ10">
            <v>6347.2334400000009</v>
          </cell>
          <cell r="AK10">
            <v>2383.4865600000003</v>
          </cell>
          <cell r="AL10">
            <v>8730.7200000000012</v>
          </cell>
          <cell r="AN10">
            <v>7200</v>
          </cell>
          <cell r="AO10">
            <v>6315.12</v>
          </cell>
          <cell r="AP10">
            <v>884.88</v>
          </cell>
          <cell r="AQ10">
            <v>0</v>
          </cell>
          <cell r="AR10">
            <v>0</v>
          </cell>
          <cell r="AS10"/>
          <cell r="AU10">
            <v>7200</v>
          </cell>
          <cell r="AV10">
            <v>6315.12</v>
          </cell>
          <cell r="AW10">
            <v>884.88</v>
          </cell>
          <cell r="AX10">
            <v>0</v>
          </cell>
          <cell r="AY10">
            <v>0</v>
          </cell>
          <cell r="AZ10"/>
          <cell r="BB10">
            <v>7200</v>
          </cell>
          <cell r="BC10">
            <v>6315.12</v>
          </cell>
          <cell r="BD10">
            <v>884.88</v>
          </cell>
          <cell r="BE10">
            <v>0</v>
          </cell>
          <cell r="BF10">
            <v>0</v>
          </cell>
          <cell r="BG10"/>
          <cell r="BI10">
            <v>7200</v>
          </cell>
          <cell r="BJ10">
            <v>6315.12</v>
          </cell>
          <cell r="BK10">
            <v>884.88</v>
          </cell>
          <cell r="BL10">
            <v>0</v>
          </cell>
          <cell r="BM10">
            <v>0</v>
          </cell>
          <cell r="BN10"/>
          <cell r="BP10">
            <v>7200</v>
          </cell>
          <cell r="BQ10">
            <v>6315.12</v>
          </cell>
          <cell r="BR10">
            <v>884.88</v>
          </cell>
          <cell r="BS10">
            <v>0</v>
          </cell>
          <cell r="BT10">
            <v>0</v>
          </cell>
          <cell r="BU10"/>
          <cell r="BW10">
            <v>7200</v>
          </cell>
          <cell r="BX10">
            <v>6315.12</v>
          </cell>
          <cell r="BY10">
            <v>884.88</v>
          </cell>
          <cell r="BZ10">
            <v>0</v>
          </cell>
          <cell r="CA10">
            <v>0</v>
          </cell>
          <cell r="CB10"/>
          <cell r="CD10">
            <v>7200</v>
          </cell>
          <cell r="CE10">
            <v>6315.12</v>
          </cell>
          <cell r="CF10">
            <v>884.88</v>
          </cell>
          <cell r="CG10">
            <v>0</v>
          </cell>
          <cell r="CH10">
            <v>0</v>
          </cell>
          <cell r="CI10"/>
          <cell r="CK10">
            <v>7200</v>
          </cell>
          <cell r="CL10">
            <v>6315.12</v>
          </cell>
          <cell r="CM10">
            <v>884.88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2196.6523099999999</v>
          </cell>
          <cell r="AD11">
            <v>824.87769000000014</v>
          </cell>
          <cell r="AE11">
            <v>3021.53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/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4457.9058399999994</v>
          </cell>
          <cell r="P12">
            <v>1674.0141600000002</v>
          </cell>
          <cell r="Q12">
            <v>6131.92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2122.8109199999999</v>
          </cell>
          <cell r="W12">
            <v>797.14908000000003</v>
          </cell>
          <cell r="X12">
            <v>2919.96</v>
          </cell>
          <cell r="Z12">
            <v>3105</v>
          </cell>
          <cell r="AA12">
            <v>2723.3955000000001</v>
          </cell>
          <cell r="AB12">
            <v>381.60449999999997</v>
          </cell>
          <cell r="AC12">
            <v>2122.8109199999999</v>
          </cell>
          <cell r="AD12">
            <v>797.14908000000003</v>
          </cell>
          <cell r="AE12">
            <v>2919.96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2122.8109199999999</v>
          </cell>
          <cell r="AK12">
            <v>797.14908000000003</v>
          </cell>
          <cell r="AL12">
            <v>2919.96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1000</v>
          </cell>
          <cell r="M13">
            <v>877.1</v>
          </cell>
          <cell r="N13">
            <v>122.89999999999999</v>
          </cell>
          <cell r="O13">
            <v>0</v>
          </cell>
          <cell r="P13">
            <v>0</v>
          </cell>
          <cell r="Q13"/>
          <cell r="S13">
            <v>1000</v>
          </cell>
          <cell r="T13">
            <v>877.1</v>
          </cell>
          <cell r="U13">
            <v>122.89999999999999</v>
          </cell>
          <cell r="V13">
            <v>0</v>
          </cell>
          <cell r="W13">
            <v>0</v>
          </cell>
          <cell r="X13"/>
          <cell r="Z13">
            <v>1000</v>
          </cell>
          <cell r="AA13">
            <v>877.1</v>
          </cell>
          <cell r="AB13">
            <v>122.89999999999999</v>
          </cell>
          <cell r="AC13">
            <v>9809.7454199999993</v>
          </cell>
          <cell r="AD13">
            <v>3683.7145799999998</v>
          </cell>
          <cell r="AE13">
            <v>13493.46</v>
          </cell>
          <cell r="AG13">
            <v>1000</v>
          </cell>
          <cell r="AH13">
            <v>877.1</v>
          </cell>
          <cell r="AI13">
            <v>122.89999999999999</v>
          </cell>
          <cell r="AJ13">
            <v>0</v>
          </cell>
          <cell r="AK13">
            <v>0</v>
          </cell>
          <cell r="AL13"/>
          <cell r="AN13">
            <v>1000</v>
          </cell>
          <cell r="AO13">
            <v>877.1</v>
          </cell>
          <cell r="AP13">
            <v>122.89999999999999</v>
          </cell>
          <cell r="AQ13">
            <v>0</v>
          </cell>
          <cell r="AR13">
            <v>0</v>
          </cell>
          <cell r="AS13"/>
          <cell r="AU13">
            <v>1000</v>
          </cell>
          <cell r="AV13">
            <v>877.1</v>
          </cell>
          <cell r="AW13">
            <v>122.89999999999999</v>
          </cell>
          <cell r="AX13">
            <v>0</v>
          </cell>
          <cell r="AY13">
            <v>0</v>
          </cell>
          <cell r="AZ13"/>
          <cell r="BB13">
            <v>1000</v>
          </cell>
          <cell r="BC13">
            <v>877.1</v>
          </cell>
          <cell r="BD13">
            <v>122.89999999999999</v>
          </cell>
          <cell r="BE13">
            <v>0</v>
          </cell>
          <cell r="BF13">
            <v>0</v>
          </cell>
          <cell r="BG13"/>
          <cell r="BI13">
            <v>1000</v>
          </cell>
          <cell r="BJ13">
            <v>877.1</v>
          </cell>
          <cell r="BK13">
            <v>122.89999999999999</v>
          </cell>
          <cell r="BL13">
            <v>0</v>
          </cell>
          <cell r="BM13">
            <v>0</v>
          </cell>
          <cell r="BN13"/>
          <cell r="BP13">
            <v>1000</v>
          </cell>
          <cell r="BQ13">
            <v>877.1</v>
          </cell>
          <cell r="BR13">
            <v>122.89999999999999</v>
          </cell>
          <cell r="BS13">
            <v>0</v>
          </cell>
          <cell r="BT13">
            <v>0</v>
          </cell>
          <cell r="BU13"/>
          <cell r="BW13">
            <v>1000</v>
          </cell>
          <cell r="BX13">
            <v>877.1</v>
          </cell>
          <cell r="BY13">
            <v>122.89999999999999</v>
          </cell>
          <cell r="BZ13">
            <v>0</v>
          </cell>
          <cell r="CA13">
            <v>0</v>
          </cell>
          <cell r="CB13"/>
          <cell r="CD13">
            <v>1000</v>
          </cell>
          <cell r="CE13">
            <v>877.1</v>
          </cell>
          <cell r="CF13">
            <v>122.89999999999999</v>
          </cell>
          <cell r="CG13">
            <v>0</v>
          </cell>
          <cell r="CH13">
            <v>0</v>
          </cell>
          <cell r="CI13"/>
          <cell r="CK13">
            <v>1000</v>
          </cell>
          <cell r="CL13">
            <v>877.1</v>
          </cell>
          <cell r="CM13">
            <v>122.89999999999999</v>
          </cell>
          <cell r="CN13">
            <v>0</v>
          </cell>
          <cell r="CO13">
            <v>0</v>
          </cell>
          <cell r="CP13"/>
        </row>
        <row r="14">
          <cell r="L14">
            <v>7122.73</v>
          </cell>
          <cell r="M14">
            <v>6247.3464829999994</v>
          </cell>
          <cell r="N14">
            <v>875.38351699999987</v>
          </cell>
          <cell r="O14">
            <v>4441.72282</v>
          </cell>
          <cell r="P14">
            <v>1667.9371800000001</v>
          </cell>
          <cell r="Q14">
            <v>6109.66</v>
          </cell>
          <cell r="S14">
            <v>7122.73</v>
          </cell>
          <cell r="T14">
            <v>6247.3464829999994</v>
          </cell>
          <cell r="U14">
            <v>875.38351699999987</v>
          </cell>
          <cell r="V14">
            <v>12196.297399999999</v>
          </cell>
          <cell r="W14">
            <v>4579.9026000000003</v>
          </cell>
          <cell r="X14">
            <v>16776.2</v>
          </cell>
          <cell r="Z14">
            <v>7122.73</v>
          </cell>
          <cell r="AA14">
            <v>6247.3464829999994</v>
          </cell>
          <cell r="AB14">
            <v>875.38351699999987</v>
          </cell>
          <cell r="AC14">
            <v>4985.5042800000001</v>
          </cell>
          <cell r="AD14">
            <v>1872.1357200000002</v>
          </cell>
          <cell r="AE14">
            <v>6857.64</v>
          </cell>
          <cell r="AG14">
            <v>7122.73</v>
          </cell>
          <cell r="AH14">
            <v>6247.3464829999994</v>
          </cell>
          <cell r="AI14">
            <v>875.38351699999987</v>
          </cell>
          <cell r="AJ14">
            <v>5113.2963399999999</v>
          </cell>
          <cell r="AK14">
            <v>1920.1236600000002</v>
          </cell>
          <cell r="AL14">
            <v>7033.42</v>
          </cell>
          <cell r="AN14">
            <v>7122.73</v>
          </cell>
          <cell r="AO14">
            <v>6247.3464829999994</v>
          </cell>
          <cell r="AP14">
            <v>875.38351699999987</v>
          </cell>
          <cell r="AQ14">
            <v>0</v>
          </cell>
          <cell r="AR14">
            <v>0</v>
          </cell>
          <cell r="AS14"/>
          <cell r="AU14">
            <v>7122.73</v>
          </cell>
          <cell r="AV14">
            <v>6247.3464829999994</v>
          </cell>
          <cell r="AW14">
            <v>875.38351699999987</v>
          </cell>
          <cell r="AX14">
            <v>0</v>
          </cell>
          <cell r="AY14">
            <v>0</v>
          </cell>
          <cell r="AZ14"/>
          <cell r="BB14">
            <v>7122.73</v>
          </cell>
          <cell r="BC14">
            <v>6247.3464829999994</v>
          </cell>
          <cell r="BD14">
            <v>875.38351699999987</v>
          </cell>
          <cell r="BE14">
            <v>0</v>
          </cell>
          <cell r="BF14">
            <v>0</v>
          </cell>
          <cell r="BG14"/>
          <cell r="BI14">
            <v>7122.73</v>
          </cell>
          <cell r="BJ14">
            <v>6247.3464829999994</v>
          </cell>
          <cell r="BK14">
            <v>875.38351699999987</v>
          </cell>
          <cell r="BL14">
            <v>0</v>
          </cell>
          <cell r="BM14">
            <v>0</v>
          </cell>
          <cell r="BN14"/>
          <cell r="BP14">
            <v>7122.73</v>
          </cell>
          <cell r="BQ14">
            <v>6247.3464829999994</v>
          </cell>
          <cell r="BR14">
            <v>875.38351699999987</v>
          </cell>
          <cell r="BS14">
            <v>0</v>
          </cell>
          <cell r="BT14">
            <v>0</v>
          </cell>
          <cell r="BU14"/>
          <cell r="BW14">
            <v>7122.73</v>
          </cell>
          <cell r="BX14">
            <v>6247.3464829999994</v>
          </cell>
          <cell r="BY14">
            <v>875.38351699999987</v>
          </cell>
          <cell r="BZ14">
            <v>0</v>
          </cell>
          <cell r="CA14">
            <v>0</v>
          </cell>
          <cell r="CB14"/>
          <cell r="CD14">
            <v>7122.73</v>
          </cell>
          <cell r="CE14">
            <v>6247.3464829999994</v>
          </cell>
          <cell r="CF14">
            <v>875.38351699999987</v>
          </cell>
          <cell r="CG14">
            <v>0</v>
          </cell>
          <cell r="CH14">
            <v>0</v>
          </cell>
          <cell r="CI14"/>
          <cell r="CK14">
            <v>7122.73</v>
          </cell>
          <cell r="CL14">
            <v>6247.3464829999994</v>
          </cell>
          <cell r="CM14">
            <v>875.38351699999987</v>
          </cell>
          <cell r="CN14">
            <v>0</v>
          </cell>
          <cell r="CO14">
            <v>0</v>
          </cell>
          <cell r="CP14"/>
        </row>
        <row r="15">
          <cell r="L15">
            <v>16031.7</v>
          </cell>
          <cell r="M15">
            <v>14061.404070000001</v>
          </cell>
          <cell r="N15">
            <v>1970.29593</v>
          </cell>
          <cell r="O15">
            <v>11247.07531</v>
          </cell>
          <cell r="P15">
            <v>4223.4546900000005</v>
          </cell>
          <cell r="Q15">
            <v>15470.53</v>
          </cell>
          <cell r="S15">
            <v>16031.7</v>
          </cell>
          <cell r="T15">
            <v>14061.404070000001</v>
          </cell>
          <cell r="U15">
            <v>1970.29593</v>
          </cell>
          <cell r="V15">
            <v>10632.222330000006</v>
          </cell>
          <cell r="W15">
            <v>3992.5676700000026</v>
          </cell>
          <cell r="X15">
            <v>14624.790000000008</v>
          </cell>
          <cell r="Z15">
            <v>16031.7</v>
          </cell>
          <cell r="AA15">
            <v>14061.404070000001</v>
          </cell>
          <cell r="AB15">
            <v>1970.29593</v>
          </cell>
          <cell r="AC15">
            <v>15589.809810000002</v>
          </cell>
          <cell r="AD15">
            <v>5854.2201900000009</v>
          </cell>
          <cell r="AE15">
            <v>21444.030000000002</v>
          </cell>
          <cell r="AG15">
            <v>16031.7</v>
          </cell>
          <cell r="AH15">
            <v>14061.404070000001</v>
          </cell>
          <cell r="AI15">
            <v>1970.29593</v>
          </cell>
          <cell r="AJ15">
            <v>18400.348189999997</v>
          </cell>
          <cell r="AK15">
            <v>6909.6218099999996</v>
          </cell>
          <cell r="AL15">
            <v>25309.969999999998</v>
          </cell>
          <cell r="AN15">
            <v>16031.7</v>
          </cell>
          <cell r="AO15">
            <v>14061.404070000001</v>
          </cell>
          <cell r="AP15">
            <v>1970.29593</v>
          </cell>
          <cell r="AQ15">
            <v>0</v>
          </cell>
          <cell r="AR15">
            <v>0</v>
          </cell>
          <cell r="AS15"/>
          <cell r="AU15">
            <v>16031.7</v>
          </cell>
          <cell r="AV15">
            <v>14061.404070000001</v>
          </cell>
          <cell r="AW15">
            <v>1970.29593</v>
          </cell>
          <cell r="AX15">
            <v>0</v>
          </cell>
          <cell r="AY15">
            <v>0</v>
          </cell>
          <cell r="AZ15"/>
          <cell r="BB15">
            <v>17282.400000000001</v>
          </cell>
          <cell r="BC15">
            <v>15158.393040000001</v>
          </cell>
          <cell r="BD15">
            <v>2124.0069600000002</v>
          </cell>
          <cell r="BE15">
            <v>0</v>
          </cell>
          <cell r="BF15">
            <v>0</v>
          </cell>
          <cell r="BG15"/>
          <cell r="BI15">
            <v>16031.7</v>
          </cell>
          <cell r="BJ15">
            <v>14061.404070000001</v>
          </cell>
          <cell r="BK15">
            <v>1970.29593</v>
          </cell>
          <cell r="BL15">
            <v>0</v>
          </cell>
          <cell r="BM15">
            <v>0</v>
          </cell>
          <cell r="BN15"/>
          <cell r="BP15">
            <v>16031.7</v>
          </cell>
          <cell r="BQ15">
            <v>14061.404070000001</v>
          </cell>
          <cell r="BR15">
            <v>1970.29593</v>
          </cell>
          <cell r="BS15">
            <v>0</v>
          </cell>
          <cell r="BT15">
            <v>0</v>
          </cell>
          <cell r="BU15"/>
          <cell r="BW15">
            <v>16031.7</v>
          </cell>
          <cell r="BX15">
            <v>14061.404070000001</v>
          </cell>
          <cell r="BY15">
            <v>1970.29593</v>
          </cell>
          <cell r="BZ15">
            <v>0</v>
          </cell>
          <cell r="CA15">
            <v>0</v>
          </cell>
          <cell r="CB15"/>
          <cell r="CD15">
            <v>16031.7</v>
          </cell>
          <cell r="CE15">
            <v>14061.404070000001</v>
          </cell>
          <cell r="CF15">
            <v>1970.29593</v>
          </cell>
          <cell r="CG15">
            <v>0</v>
          </cell>
          <cell r="CH15">
            <v>0</v>
          </cell>
          <cell r="CI15"/>
          <cell r="CK15">
            <v>16031.7</v>
          </cell>
          <cell r="CL15">
            <v>14061.404070000001</v>
          </cell>
          <cell r="CM15">
            <v>1970.29593</v>
          </cell>
          <cell r="CN15">
            <v>0</v>
          </cell>
          <cell r="CO15">
            <v>0</v>
          </cell>
          <cell r="CP15"/>
        </row>
        <row r="16">
          <cell r="L16">
            <v>16666.666666666668</v>
          </cell>
          <cell r="M16">
            <v>14618.333333333334</v>
          </cell>
          <cell r="N16">
            <v>2048.3333333333335</v>
          </cell>
          <cell r="O16">
            <v>26174.217349999999</v>
          </cell>
          <cell r="P16">
            <v>9828.8326500000021</v>
          </cell>
          <cell r="Q16">
            <v>36003.050000000003</v>
          </cell>
          <cell r="S16">
            <v>16666.666666666668</v>
          </cell>
          <cell r="T16">
            <v>14618.333333333334</v>
          </cell>
          <cell r="U16">
            <v>2048.3333333333335</v>
          </cell>
          <cell r="V16">
            <v>21336.795699999999</v>
          </cell>
          <cell r="W16">
            <v>8012.3042999999998</v>
          </cell>
          <cell r="X16">
            <v>29349.1</v>
          </cell>
          <cell r="Z16">
            <v>16666.666666666668</v>
          </cell>
          <cell r="AA16">
            <v>14618.333333333334</v>
          </cell>
          <cell r="AB16">
            <v>2048.3333333333335</v>
          </cell>
          <cell r="AC16">
            <v>13969.632150000001</v>
          </cell>
          <cell r="AD16">
            <v>5245.8178500000004</v>
          </cell>
          <cell r="AE16">
            <v>19215.45</v>
          </cell>
          <cell r="AG16">
            <v>16666.666666666668</v>
          </cell>
          <cell r="AH16">
            <v>14618.333333333334</v>
          </cell>
          <cell r="AI16">
            <v>2048.3333333333335</v>
          </cell>
          <cell r="AJ16">
            <v>64670.990189999997</v>
          </cell>
          <cell r="AK16">
            <v>24284.979810000001</v>
          </cell>
          <cell r="AL16">
            <v>88955.97</v>
          </cell>
          <cell r="AN16">
            <v>16666.666666666668</v>
          </cell>
          <cell r="AO16">
            <v>14618.333333333334</v>
          </cell>
          <cell r="AP16">
            <v>2048.3333333333335</v>
          </cell>
          <cell r="AQ16">
            <v>0</v>
          </cell>
          <cell r="AR16">
            <v>0</v>
          </cell>
          <cell r="AS16"/>
          <cell r="AU16">
            <v>16666.666666666668</v>
          </cell>
          <cell r="AV16">
            <v>14618.333333333334</v>
          </cell>
          <cell r="AW16">
            <v>2048.3333333333335</v>
          </cell>
          <cell r="AX16">
            <v>0</v>
          </cell>
          <cell r="AY16">
            <v>0</v>
          </cell>
          <cell r="AZ16"/>
          <cell r="BB16">
            <v>16666.666666666668</v>
          </cell>
          <cell r="BC16">
            <v>14618.333333333334</v>
          </cell>
          <cell r="BD16">
            <v>2048.3333333333335</v>
          </cell>
          <cell r="BE16">
            <v>0</v>
          </cell>
          <cell r="BF16">
            <v>0</v>
          </cell>
          <cell r="BG16"/>
          <cell r="BI16">
            <v>16666.666666666668</v>
          </cell>
          <cell r="BJ16">
            <v>14618.333333333334</v>
          </cell>
          <cell r="BK16">
            <v>2048.3333333333335</v>
          </cell>
          <cell r="BL16">
            <v>0</v>
          </cell>
          <cell r="BM16">
            <v>0</v>
          </cell>
          <cell r="BN16"/>
          <cell r="BP16">
            <v>16666.666666666668</v>
          </cell>
          <cell r="BQ16">
            <v>14618.333333333334</v>
          </cell>
          <cell r="BR16">
            <v>2048.3333333333335</v>
          </cell>
          <cell r="BS16">
            <v>0</v>
          </cell>
          <cell r="BT16">
            <v>0</v>
          </cell>
          <cell r="BU16"/>
          <cell r="BW16">
            <v>16666.666666666668</v>
          </cell>
          <cell r="BX16">
            <v>14618.333333333334</v>
          </cell>
          <cell r="BY16">
            <v>2048.3333333333335</v>
          </cell>
          <cell r="BZ16">
            <v>0</v>
          </cell>
          <cell r="CA16">
            <v>0</v>
          </cell>
          <cell r="CB16"/>
          <cell r="CD16">
            <v>16666.666666666668</v>
          </cell>
          <cell r="CE16">
            <v>14618.333333333334</v>
          </cell>
          <cell r="CF16">
            <v>2048.3333333333335</v>
          </cell>
          <cell r="CG16">
            <v>0</v>
          </cell>
          <cell r="CH16">
            <v>0</v>
          </cell>
          <cell r="CI16"/>
          <cell r="CK16">
            <v>16666.666666666668</v>
          </cell>
          <cell r="CL16">
            <v>14618.333333333334</v>
          </cell>
          <cell r="CM16">
            <v>2048.3333333333335</v>
          </cell>
          <cell r="CN16">
            <v>0</v>
          </cell>
          <cell r="CO16">
            <v>0</v>
          </cell>
          <cell r="CP16"/>
        </row>
        <row r="17">
          <cell r="L17">
            <v>66780</v>
          </cell>
          <cell r="M17">
            <v>58572.737999999998</v>
          </cell>
          <cell r="N17">
            <v>8207.2619999999988</v>
          </cell>
          <cell r="O17">
            <v>63463.879390000002</v>
          </cell>
          <cell r="P17">
            <v>23831.690610000005</v>
          </cell>
          <cell r="Q17">
            <v>87295.57</v>
          </cell>
          <cell r="S17">
            <v>66780</v>
          </cell>
          <cell r="T17">
            <v>58572.737999999998</v>
          </cell>
          <cell r="U17">
            <v>8207.2619999999988</v>
          </cell>
          <cell r="V17">
            <v>47496.138629999994</v>
          </cell>
          <cell r="W17">
            <v>17835.551370000001</v>
          </cell>
          <cell r="X17">
            <v>65331.689999999995</v>
          </cell>
          <cell r="Z17">
            <v>66780</v>
          </cell>
          <cell r="AA17">
            <v>58572.737999999998</v>
          </cell>
          <cell r="AB17">
            <v>8207.2619999999988</v>
          </cell>
          <cell r="AC17">
            <v>59261.106929999994</v>
          </cell>
          <cell r="AD17">
            <v>22253.483070000002</v>
          </cell>
          <cell r="AE17">
            <v>81514.59</v>
          </cell>
          <cell r="AG17">
            <v>66780</v>
          </cell>
          <cell r="AH17">
            <v>58572.737999999998</v>
          </cell>
          <cell r="AI17">
            <v>8207.2619999999988</v>
          </cell>
          <cell r="AJ17">
            <v>80230.862139999997</v>
          </cell>
          <cell r="AK17">
            <v>30127.957860000006</v>
          </cell>
          <cell r="AL17">
            <v>110358.82</v>
          </cell>
          <cell r="AN17">
            <v>66780</v>
          </cell>
          <cell r="AO17">
            <v>58572.737999999998</v>
          </cell>
          <cell r="AP17">
            <v>8207.2619999999988</v>
          </cell>
          <cell r="AQ17">
            <v>0</v>
          </cell>
          <cell r="AR17">
            <v>0</v>
          </cell>
          <cell r="AS17"/>
          <cell r="AU17">
            <v>66780</v>
          </cell>
          <cell r="AV17">
            <v>58572.737999999998</v>
          </cell>
          <cell r="AW17">
            <v>8207.2619999999988</v>
          </cell>
          <cell r="AX17">
            <v>0</v>
          </cell>
          <cell r="AY17">
            <v>0</v>
          </cell>
          <cell r="AZ17"/>
          <cell r="BB17">
            <v>66780</v>
          </cell>
          <cell r="BC17">
            <v>58572.737999999998</v>
          </cell>
          <cell r="BD17">
            <v>8207.2619999999988</v>
          </cell>
          <cell r="BE17">
            <v>0</v>
          </cell>
          <cell r="BF17">
            <v>0</v>
          </cell>
          <cell r="BG17"/>
          <cell r="BI17">
            <v>66780</v>
          </cell>
          <cell r="BJ17">
            <v>58572.737999999998</v>
          </cell>
          <cell r="BK17">
            <v>8207.2619999999988</v>
          </cell>
          <cell r="BL17">
            <v>0</v>
          </cell>
          <cell r="BM17">
            <v>0</v>
          </cell>
          <cell r="BN17"/>
          <cell r="BP17">
            <v>66780</v>
          </cell>
          <cell r="BQ17">
            <v>58572.737999999998</v>
          </cell>
          <cell r="BR17">
            <v>8207.2619999999988</v>
          </cell>
          <cell r="BS17">
            <v>0</v>
          </cell>
          <cell r="BT17">
            <v>0</v>
          </cell>
          <cell r="BU17"/>
          <cell r="BW17">
            <v>66780</v>
          </cell>
          <cell r="BX17">
            <v>58572.737999999998</v>
          </cell>
          <cell r="BY17">
            <v>8207.2619999999988</v>
          </cell>
          <cell r="BZ17">
            <v>0</v>
          </cell>
          <cell r="CA17">
            <v>0</v>
          </cell>
          <cell r="CB17"/>
          <cell r="CD17">
            <v>66780</v>
          </cell>
          <cell r="CE17">
            <v>58572.737999999998</v>
          </cell>
          <cell r="CF17">
            <v>8207.2619999999988</v>
          </cell>
          <cell r="CG17">
            <v>0</v>
          </cell>
          <cell r="CH17">
            <v>0</v>
          </cell>
          <cell r="CI17"/>
          <cell r="CK17">
            <v>66780</v>
          </cell>
          <cell r="CL17">
            <v>58572.737999999998</v>
          </cell>
          <cell r="CM17">
            <v>8207.2619999999988</v>
          </cell>
          <cell r="CN17">
            <v>0</v>
          </cell>
          <cell r="CO17">
            <v>0</v>
          </cell>
          <cell r="CP17"/>
        </row>
        <row r="18">
          <cell r="L18">
            <v>10343.666666666666</v>
          </cell>
          <cell r="M18">
            <v>9072.4300333333322</v>
          </cell>
          <cell r="N18">
            <v>1271.2366333333332</v>
          </cell>
          <cell r="O18">
            <v>9031.7172900000005</v>
          </cell>
          <cell r="P18">
            <v>3391.5527100000004</v>
          </cell>
          <cell r="Q18">
            <v>12423.27</v>
          </cell>
          <cell r="S18">
            <v>10343.666666666666</v>
          </cell>
          <cell r="T18">
            <v>9072.4300333333322</v>
          </cell>
          <cell r="U18">
            <v>1271.2366333333332</v>
          </cell>
          <cell r="V18">
            <v>20342.245159999999</v>
          </cell>
          <cell r="W18">
            <v>7638.8348400000013</v>
          </cell>
          <cell r="X18">
            <v>27981.08</v>
          </cell>
          <cell r="Z18">
            <v>10343.666666666666</v>
          </cell>
          <cell r="AA18">
            <v>9072.4300333333322</v>
          </cell>
          <cell r="AB18">
            <v>1271.2366333333332</v>
          </cell>
          <cell r="AC18">
            <v>328.60399999999998</v>
          </cell>
          <cell r="AD18">
            <v>123.39600000000002</v>
          </cell>
          <cell r="AE18">
            <v>452</v>
          </cell>
          <cell r="AG18">
            <v>10343.666666666666</v>
          </cell>
          <cell r="AH18">
            <v>9072.4300333333322</v>
          </cell>
          <cell r="AI18">
            <v>1271.2366333333332</v>
          </cell>
          <cell r="AJ18">
            <v>0</v>
          </cell>
          <cell r="AK18">
            <v>0</v>
          </cell>
          <cell r="AL18"/>
          <cell r="AN18">
            <v>10343.666666666666</v>
          </cell>
          <cell r="AO18">
            <v>9072.4300333333322</v>
          </cell>
          <cell r="AP18">
            <v>1271.2366333333332</v>
          </cell>
          <cell r="AQ18">
            <v>0</v>
          </cell>
          <cell r="AR18">
            <v>0</v>
          </cell>
          <cell r="AS18"/>
          <cell r="AU18">
            <v>10343.666666666666</v>
          </cell>
          <cell r="AV18">
            <v>9072.4300333333322</v>
          </cell>
          <cell r="AW18">
            <v>1271.2366333333332</v>
          </cell>
          <cell r="AX18">
            <v>0</v>
          </cell>
          <cell r="AY18">
            <v>0</v>
          </cell>
          <cell r="AZ18"/>
          <cell r="BB18">
            <v>10343.666666666666</v>
          </cell>
          <cell r="BC18">
            <v>9072.4300333333322</v>
          </cell>
          <cell r="BD18">
            <v>1271.2366333333332</v>
          </cell>
          <cell r="BE18">
            <v>0</v>
          </cell>
          <cell r="BF18">
            <v>0</v>
          </cell>
          <cell r="BG18"/>
          <cell r="BI18">
            <v>10343.666666666666</v>
          </cell>
          <cell r="BJ18">
            <v>9072.4300333333322</v>
          </cell>
          <cell r="BK18">
            <v>1271.2366333333332</v>
          </cell>
          <cell r="BL18">
            <v>0</v>
          </cell>
          <cell r="BM18">
            <v>0</v>
          </cell>
          <cell r="BN18"/>
          <cell r="BP18">
            <v>10343.666666666666</v>
          </cell>
          <cell r="BQ18">
            <v>9072.4300333333322</v>
          </cell>
          <cell r="BR18">
            <v>1271.2366333333332</v>
          </cell>
          <cell r="BS18">
            <v>0</v>
          </cell>
          <cell r="BT18">
            <v>0</v>
          </cell>
          <cell r="BU18"/>
          <cell r="BW18">
            <v>10343.666666666666</v>
          </cell>
          <cell r="BX18">
            <v>9072.4300333333322</v>
          </cell>
          <cell r="BY18">
            <v>1271.2366333333332</v>
          </cell>
          <cell r="BZ18">
            <v>0</v>
          </cell>
          <cell r="CA18">
            <v>0</v>
          </cell>
          <cell r="CB18"/>
          <cell r="CD18">
            <v>10343.666666666666</v>
          </cell>
          <cell r="CE18">
            <v>9072.4300333333322</v>
          </cell>
          <cell r="CF18">
            <v>1271.2366333333332</v>
          </cell>
          <cell r="CG18">
            <v>0</v>
          </cell>
          <cell r="CH18">
            <v>0</v>
          </cell>
          <cell r="CI18"/>
          <cell r="CK18">
            <v>10343.666666666666</v>
          </cell>
          <cell r="CL18">
            <v>9072.4300333333322</v>
          </cell>
          <cell r="CM18">
            <v>1271.2366333333332</v>
          </cell>
          <cell r="CN18">
            <v>0</v>
          </cell>
          <cell r="CO18">
            <v>0</v>
          </cell>
          <cell r="CP18"/>
        </row>
        <row r="19">
          <cell r="L19">
            <v>2916.6666666666665</v>
          </cell>
          <cell r="M19">
            <v>2558.208333333333</v>
          </cell>
          <cell r="N19">
            <v>358.45833333333331</v>
          </cell>
          <cell r="O19">
            <v>3028.9000999999998</v>
          </cell>
          <cell r="P19">
            <v>1137.3999000000001</v>
          </cell>
          <cell r="Q19">
            <v>4166.3</v>
          </cell>
          <cell r="S19">
            <v>2916.6666666666665</v>
          </cell>
          <cell r="T19">
            <v>2558.208333333333</v>
          </cell>
          <cell r="U19">
            <v>358.45833333333331</v>
          </cell>
          <cell r="V19">
            <v>3649.3582500000002</v>
          </cell>
          <cell r="W19">
            <v>1370.39175</v>
          </cell>
          <cell r="X19">
            <v>5019.75</v>
          </cell>
          <cell r="Z19">
            <v>2916.6666666666665</v>
          </cell>
          <cell r="AA19">
            <v>2558.208333333333</v>
          </cell>
          <cell r="AB19">
            <v>358.45833333333331</v>
          </cell>
          <cell r="AC19">
            <v>1266.09231</v>
          </cell>
          <cell r="AD19">
            <v>475.43769000000003</v>
          </cell>
          <cell r="AE19">
            <v>1741.53</v>
          </cell>
          <cell r="AG19">
            <v>2916.6666666666665</v>
          </cell>
          <cell r="AH19">
            <v>2558.208333333333</v>
          </cell>
          <cell r="AI19">
            <v>358.45833333333331</v>
          </cell>
          <cell r="AJ19">
            <v>3996.2099500000004</v>
          </cell>
          <cell r="AK19">
            <v>1500.6400500000002</v>
          </cell>
          <cell r="AL19">
            <v>5496.85</v>
          </cell>
          <cell r="AN19">
            <v>2916.6666666666665</v>
          </cell>
          <cell r="AO19">
            <v>2558.208333333333</v>
          </cell>
          <cell r="AP19">
            <v>358.45833333333331</v>
          </cell>
          <cell r="AQ19">
            <v>0</v>
          </cell>
          <cell r="AR19">
            <v>0</v>
          </cell>
          <cell r="AS19"/>
          <cell r="AU19">
            <v>2916.6666666666665</v>
          </cell>
          <cell r="AV19">
            <v>2558.208333333333</v>
          </cell>
          <cell r="AW19">
            <v>358.45833333333331</v>
          </cell>
          <cell r="AX19">
            <v>0</v>
          </cell>
          <cell r="AY19">
            <v>0</v>
          </cell>
          <cell r="AZ19"/>
          <cell r="BB19">
            <v>2916.6666666666665</v>
          </cell>
          <cell r="BC19">
            <v>2558.208333333333</v>
          </cell>
          <cell r="BD19">
            <v>358.45833333333331</v>
          </cell>
          <cell r="BE19">
            <v>0</v>
          </cell>
          <cell r="BF19">
            <v>0</v>
          </cell>
          <cell r="BG19"/>
          <cell r="BI19">
            <v>2916.6666666666665</v>
          </cell>
          <cell r="BJ19">
            <v>2558.208333333333</v>
          </cell>
          <cell r="BK19">
            <v>358.45833333333331</v>
          </cell>
          <cell r="BL19">
            <v>0</v>
          </cell>
          <cell r="BM19">
            <v>0</v>
          </cell>
          <cell r="BN19"/>
          <cell r="BP19">
            <v>2916.6666666666665</v>
          </cell>
          <cell r="BQ19">
            <v>2558.208333333333</v>
          </cell>
          <cell r="BR19">
            <v>358.45833333333331</v>
          </cell>
          <cell r="BS19">
            <v>0</v>
          </cell>
          <cell r="BT19">
            <v>0</v>
          </cell>
          <cell r="BU19"/>
          <cell r="BW19">
            <v>2916.6666666666665</v>
          </cell>
          <cell r="BX19">
            <v>2558.208333333333</v>
          </cell>
          <cell r="BY19">
            <v>358.45833333333331</v>
          </cell>
          <cell r="BZ19">
            <v>0</v>
          </cell>
          <cell r="CA19">
            <v>0</v>
          </cell>
          <cell r="CB19"/>
          <cell r="CD19">
            <v>2916.6666666666665</v>
          </cell>
          <cell r="CE19">
            <v>2558.208333333333</v>
          </cell>
          <cell r="CF19">
            <v>358.45833333333331</v>
          </cell>
          <cell r="CG19">
            <v>0</v>
          </cell>
          <cell r="CH19">
            <v>0</v>
          </cell>
          <cell r="CI19"/>
          <cell r="CK19">
            <v>2916.6666666666665</v>
          </cell>
          <cell r="CL19">
            <v>2558.208333333333</v>
          </cell>
          <cell r="CM19">
            <v>358.45833333333331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9215.6628300000011</v>
          </cell>
          <cell r="P20">
            <v>3460.6271700000007</v>
          </cell>
          <cell r="Q20">
            <v>12676.29</v>
          </cell>
          <cell r="S20">
            <v>0</v>
          </cell>
          <cell r="T20">
            <v>0</v>
          </cell>
          <cell r="U20">
            <v>0</v>
          </cell>
          <cell r="V20">
            <v>9592.6414100000002</v>
          </cell>
          <cell r="W20">
            <v>3602.1885900000007</v>
          </cell>
          <cell r="X20">
            <v>13194.830000000002</v>
          </cell>
          <cell r="Z20">
            <v>541940.09377142799</v>
          </cell>
          <cell r="AA20">
            <v>475335.65624691948</v>
          </cell>
          <cell r="AB20">
            <v>66604.437524508496</v>
          </cell>
          <cell r="AC20">
            <v>131403.81780999998</v>
          </cell>
          <cell r="AD20">
            <v>49344.212190000006</v>
          </cell>
          <cell r="AE20">
            <v>180748.03</v>
          </cell>
          <cell r="AG20">
            <v>0</v>
          </cell>
          <cell r="AH20">
            <v>0</v>
          </cell>
          <cell r="AI20">
            <v>0</v>
          </cell>
          <cell r="AJ20">
            <v>238489.38383999997</v>
          </cell>
          <cell r="AK20">
            <v>89556.536160000003</v>
          </cell>
          <cell r="AL20">
            <v>328045.92</v>
          </cell>
          <cell r="AN20">
            <v>15786.83496</v>
          </cell>
          <cell r="AO20">
            <v>13846.632943416</v>
          </cell>
          <cell r="AP20">
            <v>1940.2020165839999</v>
          </cell>
          <cell r="AQ20">
            <v>0</v>
          </cell>
          <cell r="AR20">
            <v>0</v>
          </cell>
          <cell r="AS20"/>
          <cell r="AU20">
            <v>15786.83496</v>
          </cell>
          <cell r="AV20">
            <v>13846.632943416</v>
          </cell>
          <cell r="AW20">
            <v>1940.2020165839999</v>
          </cell>
          <cell r="AX20">
            <v>0</v>
          </cell>
          <cell r="AY20">
            <v>0</v>
          </cell>
          <cell r="AZ20"/>
          <cell r="BB20">
            <v>262208.83495999902</v>
          </cell>
          <cell r="BC20">
            <v>229983.36914341513</v>
          </cell>
          <cell r="BD20">
            <v>32225.465816583877</v>
          </cell>
          <cell r="BE20">
            <v>0</v>
          </cell>
          <cell r="BF20">
            <v>0</v>
          </cell>
          <cell r="BG20"/>
          <cell r="BI20">
            <v>40176.928731428503</v>
          </cell>
          <cell r="BJ20">
            <v>35239.184190335938</v>
          </cell>
          <cell r="BK20">
            <v>4937.7445410925629</v>
          </cell>
          <cell r="BL20">
            <v>0</v>
          </cell>
          <cell r="BM20">
            <v>0</v>
          </cell>
          <cell r="BN20"/>
          <cell r="BP20">
            <v>271569.83495999902</v>
          </cell>
          <cell r="BQ20">
            <v>238193.90224341513</v>
          </cell>
          <cell r="BR20">
            <v>33375.932716583877</v>
          </cell>
          <cell r="BS20">
            <v>0</v>
          </cell>
          <cell r="BT20">
            <v>0</v>
          </cell>
          <cell r="BU20"/>
          <cell r="BW20">
            <v>15786.83496</v>
          </cell>
          <cell r="BX20">
            <v>13846.632943416</v>
          </cell>
          <cell r="BY20">
            <v>1940.2020165839999</v>
          </cell>
          <cell r="BZ20">
            <v>0</v>
          </cell>
          <cell r="CA20">
            <v>0</v>
          </cell>
          <cell r="CB20"/>
          <cell r="CD20">
            <v>15786.83496</v>
          </cell>
          <cell r="CE20">
            <v>13846.632943416</v>
          </cell>
          <cell r="CF20">
            <v>1940.2020165839999</v>
          </cell>
          <cell r="CG20">
            <v>0</v>
          </cell>
          <cell r="CH20">
            <v>0</v>
          </cell>
          <cell r="CI20"/>
          <cell r="CK20">
            <v>15786.83496</v>
          </cell>
          <cell r="CL20">
            <v>13846.632943416</v>
          </cell>
          <cell r="CM20">
            <v>1940.2020165839999</v>
          </cell>
          <cell r="CN20">
            <v>0</v>
          </cell>
          <cell r="CO20">
            <v>0</v>
          </cell>
          <cell r="CP20"/>
        </row>
        <row r="21">
          <cell r="L21">
            <v>69479.495999999897</v>
          </cell>
          <cell r="M21">
            <v>60940.465941599912</v>
          </cell>
          <cell r="N21">
            <v>8539.030058399987</v>
          </cell>
          <cell r="O21">
            <v>8550.2324599999993</v>
          </cell>
          <cell r="P21">
            <v>3210.7475400000003</v>
          </cell>
          <cell r="Q21">
            <v>11760.98</v>
          </cell>
          <cell r="S21">
            <v>0</v>
          </cell>
          <cell r="T21">
            <v>0</v>
          </cell>
          <cell r="U21">
            <v>0</v>
          </cell>
          <cell r="V21">
            <v>5150.0679999999993</v>
          </cell>
          <cell r="W21">
            <v>1933.9320000000002</v>
          </cell>
          <cell r="X21">
            <v>7084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/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33316.711333333238</v>
          </cell>
          <cell r="M22">
            <v>29222.087510466583</v>
          </cell>
          <cell r="N22">
            <v>4094.6238228666548</v>
          </cell>
          <cell r="O22">
            <v>163644.72657</v>
          </cell>
          <cell r="P22">
            <v>61451.183430000005</v>
          </cell>
          <cell r="Q22">
            <v>225095.91</v>
          </cell>
          <cell r="S22">
            <v>33316.711333333238</v>
          </cell>
          <cell r="T22">
            <v>29222.087510466583</v>
          </cell>
          <cell r="U22">
            <v>4094.6238228666548</v>
          </cell>
          <cell r="V22">
            <v>30316.932339999999</v>
          </cell>
          <cell r="W22">
            <v>11384.487660000001</v>
          </cell>
          <cell r="X22">
            <v>41701.42</v>
          </cell>
          <cell r="Z22">
            <v>33316.711333333238</v>
          </cell>
          <cell r="AA22">
            <v>29222.087510466583</v>
          </cell>
          <cell r="AB22">
            <v>4094.6238228666548</v>
          </cell>
          <cell r="AC22">
            <v>10775.833909999999</v>
          </cell>
          <cell r="AD22">
            <v>4046.4960900000001</v>
          </cell>
          <cell r="AE22">
            <v>14822.33</v>
          </cell>
          <cell r="AG22">
            <v>33316.711333333238</v>
          </cell>
          <cell r="AH22">
            <v>29222.087510466583</v>
          </cell>
          <cell r="AI22">
            <v>4094.6238228666548</v>
          </cell>
          <cell r="AJ22">
            <v>7385.7747499999996</v>
          </cell>
          <cell r="AK22">
            <v>2773.4752500000004</v>
          </cell>
          <cell r="AL22">
            <v>10159.25</v>
          </cell>
          <cell r="AN22">
            <v>33316.711333333238</v>
          </cell>
          <cell r="AO22">
            <v>29222.087510466583</v>
          </cell>
          <cell r="AP22">
            <v>4094.6238228666548</v>
          </cell>
          <cell r="AQ22">
            <v>0</v>
          </cell>
          <cell r="AR22">
            <v>0</v>
          </cell>
          <cell r="AS22"/>
          <cell r="AU22">
            <v>33316.711333333238</v>
          </cell>
          <cell r="AV22">
            <v>29222.087510466583</v>
          </cell>
          <cell r="AW22">
            <v>4094.6238228666548</v>
          </cell>
          <cell r="AX22">
            <v>0</v>
          </cell>
          <cell r="AY22">
            <v>0</v>
          </cell>
          <cell r="AZ22"/>
          <cell r="BB22">
            <v>33316.711333333238</v>
          </cell>
          <cell r="BC22">
            <v>29222.087510466583</v>
          </cell>
          <cell r="BD22">
            <v>4094.6238228666548</v>
          </cell>
          <cell r="BE22">
            <v>0</v>
          </cell>
          <cell r="BF22">
            <v>0</v>
          </cell>
          <cell r="BG22"/>
          <cell r="BI22">
            <v>33316.711333333238</v>
          </cell>
          <cell r="BJ22">
            <v>29222.087510466583</v>
          </cell>
          <cell r="BK22">
            <v>4094.6238228666548</v>
          </cell>
          <cell r="BL22">
            <v>0</v>
          </cell>
          <cell r="BM22">
            <v>0</v>
          </cell>
          <cell r="BN22"/>
          <cell r="BP22">
            <v>33316.711333333238</v>
          </cell>
          <cell r="BQ22">
            <v>29222.087510466583</v>
          </cell>
          <cell r="BR22">
            <v>4094.6238228666548</v>
          </cell>
          <cell r="BS22">
            <v>0</v>
          </cell>
          <cell r="BT22">
            <v>0</v>
          </cell>
          <cell r="BU22"/>
          <cell r="BW22">
            <v>33316.711333333238</v>
          </cell>
          <cell r="BX22">
            <v>29222.087510466583</v>
          </cell>
          <cell r="BY22">
            <v>4094.6238228666548</v>
          </cell>
          <cell r="BZ22">
            <v>0</v>
          </cell>
          <cell r="CA22">
            <v>0</v>
          </cell>
          <cell r="CB22"/>
          <cell r="CD22">
            <v>33316.711333333238</v>
          </cell>
          <cell r="CE22">
            <v>29222.087510466583</v>
          </cell>
          <cell r="CF22">
            <v>4094.6238228666548</v>
          </cell>
          <cell r="CG22">
            <v>0</v>
          </cell>
          <cell r="CH22">
            <v>0</v>
          </cell>
          <cell r="CI22"/>
          <cell r="CK22">
            <v>33316.711333333238</v>
          </cell>
          <cell r="CL22">
            <v>29222.087510466583</v>
          </cell>
          <cell r="CM22">
            <v>4094.6238228666548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151.82668000000001</v>
          </cell>
          <cell r="AD23">
            <v>57.013320000000007</v>
          </cell>
          <cell r="AE23">
            <v>208.84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27616.107339788236</v>
          </cell>
          <cell r="M24">
            <v>24222.087747728263</v>
          </cell>
          <cell r="N24">
            <v>3394.019592059974</v>
          </cell>
          <cell r="O24">
            <v>47574.080300000001</v>
          </cell>
          <cell r="P24">
            <v>17864.8197</v>
          </cell>
          <cell r="Q24">
            <v>65438.9</v>
          </cell>
          <cell r="S24">
            <v>27616.107339788236</v>
          </cell>
          <cell r="T24">
            <v>24222.087747728263</v>
          </cell>
          <cell r="U24">
            <v>3394.019592059974</v>
          </cell>
          <cell r="V24">
            <v>33012.212140000003</v>
          </cell>
          <cell r="W24">
            <v>12396.60786</v>
          </cell>
          <cell r="X24">
            <v>45408.82</v>
          </cell>
          <cell r="Z24">
            <v>27616.107339788236</v>
          </cell>
          <cell r="AA24">
            <v>24222.087747728263</v>
          </cell>
          <cell r="AB24">
            <v>3394.019592059974</v>
          </cell>
          <cell r="AC24">
            <v>27175.012820000004</v>
          </cell>
          <cell r="AD24">
            <v>10204.647180000002</v>
          </cell>
          <cell r="AE24">
            <v>37379.660000000003</v>
          </cell>
          <cell r="AG24">
            <v>27616.107339788236</v>
          </cell>
          <cell r="AH24">
            <v>24222.087747728263</v>
          </cell>
          <cell r="AI24">
            <v>3394.019592059974</v>
          </cell>
          <cell r="AJ24">
            <v>29839.177020000003</v>
          </cell>
          <cell r="AK24">
            <v>11205.082980000001</v>
          </cell>
          <cell r="AL24">
            <v>41044.26</v>
          </cell>
          <cell r="AN24">
            <v>27616.107339788236</v>
          </cell>
          <cell r="AO24">
            <v>24222.087747728263</v>
          </cell>
          <cell r="AP24">
            <v>3394.019592059974</v>
          </cell>
          <cell r="AQ24">
            <v>0</v>
          </cell>
          <cell r="AR24">
            <v>0</v>
          </cell>
          <cell r="AS24"/>
          <cell r="AU24">
            <v>27616.107339788236</v>
          </cell>
          <cell r="AV24">
            <v>24222.087747728263</v>
          </cell>
          <cell r="AW24">
            <v>3394.019592059974</v>
          </cell>
          <cell r="AX24">
            <v>0</v>
          </cell>
          <cell r="AY24">
            <v>0</v>
          </cell>
          <cell r="AZ24"/>
          <cell r="BB24">
            <v>22817.956664588237</v>
          </cell>
          <cell r="BC24">
            <v>20013.629790510342</v>
          </cell>
          <cell r="BD24">
            <v>2804.326874077894</v>
          </cell>
          <cell r="BE24">
            <v>0</v>
          </cell>
          <cell r="BF24">
            <v>0</v>
          </cell>
          <cell r="BG24"/>
          <cell r="BI24">
            <v>27616.107339788236</v>
          </cell>
          <cell r="BJ24">
            <v>24222.087747728263</v>
          </cell>
          <cell r="BK24">
            <v>3394.019592059974</v>
          </cell>
          <cell r="BL24">
            <v>0</v>
          </cell>
          <cell r="BM24">
            <v>0</v>
          </cell>
          <cell r="BN24"/>
          <cell r="BP24">
            <v>27616.107339788236</v>
          </cell>
          <cell r="BQ24">
            <v>24222.087747728263</v>
          </cell>
          <cell r="BR24">
            <v>3394.019592059974</v>
          </cell>
          <cell r="BS24">
            <v>0</v>
          </cell>
          <cell r="BT24">
            <v>0</v>
          </cell>
          <cell r="BU24"/>
          <cell r="BW24">
            <v>27616.107339788236</v>
          </cell>
          <cell r="BX24">
            <v>24222.087747728263</v>
          </cell>
          <cell r="BY24">
            <v>3394.019592059974</v>
          </cell>
          <cell r="BZ24">
            <v>0</v>
          </cell>
          <cell r="CA24">
            <v>0</v>
          </cell>
          <cell r="CB24"/>
          <cell r="CD24">
            <v>27616.107339788236</v>
          </cell>
          <cell r="CE24">
            <v>24222.087747728263</v>
          </cell>
          <cell r="CF24">
            <v>3394.019592059974</v>
          </cell>
          <cell r="CG24">
            <v>0</v>
          </cell>
          <cell r="CH24">
            <v>0</v>
          </cell>
          <cell r="CI24"/>
          <cell r="CK24">
            <v>27616.107339788236</v>
          </cell>
          <cell r="CL24">
            <v>24222.087747728263</v>
          </cell>
          <cell r="CM24">
            <v>3394.019592059974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15282.69593</v>
          </cell>
          <cell r="P25">
            <v>5738.8940700000003</v>
          </cell>
          <cell r="Q25">
            <v>21021.59</v>
          </cell>
          <cell r="S25">
            <v>0</v>
          </cell>
          <cell r="T25">
            <v>0</v>
          </cell>
          <cell r="U25">
            <v>0</v>
          </cell>
          <cell r="V25">
            <v>15625.469160000001</v>
          </cell>
          <cell r="W25">
            <v>5867.6108400000012</v>
          </cell>
          <cell r="X25">
            <v>21493.08</v>
          </cell>
          <cell r="Z25">
            <v>105957.473369999</v>
          </cell>
          <cell r="AA25">
            <v>92935.299892826122</v>
          </cell>
          <cell r="AB25">
            <v>13022.173477172877</v>
          </cell>
          <cell r="AC25">
            <v>21656.08683</v>
          </cell>
          <cell r="AD25">
            <v>8132.2031700000007</v>
          </cell>
          <cell r="AE25">
            <v>29788.29</v>
          </cell>
          <cell r="AG25">
            <v>141195.85494599899</v>
          </cell>
          <cell r="AH25">
            <v>123842.88437313572</v>
          </cell>
          <cell r="AI25">
            <v>17352.970572863276</v>
          </cell>
          <cell r="AJ25">
            <v>121328.71012</v>
          </cell>
          <cell r="AK25">
            <v>45560.849880000002</v>
          </cell>
          <cell r="AL25">
            <v>166889.56</v>
          </cell>
          <cell r="AN25">
            <v>141195.85494599899</v>
          </cell>
          <cell r="AO25">
            <v>123842.88437313572</v>
          </cell>
          <cell r="AP25">
            <v>17352.970572863276</v>
          </cell>
          <cell r="AQ25">
            <v>0</v>
          </cell>
          <cell r="AR25">
            <v>0</v>
          </cell>
          <cell r="AS25"/>
          <cell r="AU25">
            <v>147005.95279799899</v>
          </cell>
          <cell r="AV25">
            <v>128938.92119912492</v>
          </cell>
          <cell r="AW25">
            <v>18067.031598874077</v>
          </cell>
          <cell r="AX25">
            <v>0</v>
          </cell>
          <cell r="AY25">
            <v>0</v>
          </cell>
          <cell r="AZ25"/>
          <cell r="BB25">
            <v>51146.425397999999</v>
          </cell>
          <cell r="BC25">
            <v>44860.529716585799</v>
          </cell>
          <cell r="BD25">
            <v>6285.8956814141993</v>
          </cell>
          <cell r="BE25">
            <v>0</v>
          </cell>
          <cell r="BF25">
            <v>0</v>
          </cell>
          <cell r="BG25"/>
          <cell r="BI25">
            <v>51146.425397999999</v>
          </cell>
          <cell r="BJ25">
            <v>44860.529716585799</v>
          </cell>
          <cell r="BK25">
            <v>6285.8956814141993</v>
          </cell>
          <cell r="BL25">
            <v>0</v>
          </cell>
          <cell r="BM25">
            <v>0</v>
          </cell>
          <cell r="BN25"/>
          <cell r="BP25">
            <v>51146.425397999999</v>
          </cell>
          <cell r="BQ25">
            <v>44860.529716585799</v>
          </cell>
          <cell r="BR25">
            <v>6285.8956814141993</v>
          </cell>
          <cell r="BS25">
            <v>0</v>
          </cell>
          <cell r="BT25">
            <v>0</v>
          </cell>
          <cell r="BU25"/>
          <cell r="BW25">
            <v>38114.794655999998</v>
          </cell>
          <cell r="BX25">
            <v>33430.486392777602</v>
          </cell>
          <cell r="BY25">
            <v>4684.3082632223995</v>
          </cell>
          <cell r="BZ25">
            <v>0</v>
          </cell>
          <cell r="CA25">
            <v>0</v>
          </cell>
          <cell r="CB25"/>
          <cell r="CD25">
            <v>26220.537741</v>
          </cell>
          <cell r="CE25">
            <v>22998.0336526311</v>
          </cell>
          <cell r="CF25">
            <v>3222.5040883688998</v>
          </cell>
          <cell r="CG25">
            <v>0</v>
          </cell>
          <cell r="CH25">
            <v>0</v>
          </cell>
          <cell r="CI25"/>
          <cell r="CK25">
            <v>26220.537741</v>
          </cell>
          <cell r="CL25">
            <v>22998.0336526311</v>
          </cell>
          <cell r="CM25">
            <v>3222.5040883688998</v>
          </cell>
          <cell r="CN25">
            <v>0</v>
          </cell>
          <cell r="CO25">
            <v>0</v>
          </cell>
          <cell r="CP25"/>
        </row>
        <row r="26">
          <cell r="L26">
            <v>140767.93216225388</v>
          </cell>
          <cell r="M26">
            <v>123467.55329951289</v>
          </cell>
          <cell r="N26">
            <v>17300.378862741003</v>
          </cell>
          <cell r="O26">
            <v>178881.47609999997</v>
          </cell>
          <cell r="P26">
            <v>67172.823900000003</v>
          </cell>
          <cell r="Q26">
            <v>246054.3</v>
          </cell>
          <cell r="S26">
            <v>268619.65283425379</v>
          </cell>
          <cell r="T26">
            <v>235606.297500924</v>
          </cell>
          <cell r="U26">
            <v>33013.35533332979</v>
          </cell>
          <cell r="V26">
            <v>113186.49914</v>
          </cell>
          <cell r="W26">
            <v>42503.320860000007</v>
          </cell>
          <cell r="X26">
            <v>155689.82</v>
          </cell>
          <cell r="Z26">
            <v>268619.65283425379</v>
          </cell>
          <cell r="AA26">
            <v>235606.297500924</v>
          </cell>
          <cell r="AB26">
            <v>33013.35533332979</v>
          </cell>
          <cell r="AC26">
            <v>164375.93590000001</v>
          </cell>
          <cell r="AD26">
            <v>61725.764100000008</v>
          </cell>
          <cell r="AE26">
            <v>226101.7</v>
          </cell>
          <cell r="AG26">
            <v>386417.65352478094</v>
          </cell>
          <cell r="AH26">
            <v>338926.92390658538</v>
          </cell>
          <cell r="AI26">
            <v>47490.729618195575</v>
          </cell>
          <cell r="AJ26">
            <v>377248.71138999995</v>
          </cell>
          <cell r="AK26">
            <v>141662.85861000002</v>
          </cell>
          <cell r="AL26">
            <v>518911.57</v>
          </cell>
          <cell r="AN26">
            <v>451500.33575425384</v>
          </cell>
          <cell r="AO26">
            <v>396010.94449005602</v>
          </cell>
          <cell r="AP26">
            <v>55489.391264197795</v>
          </cell>
          <cell r="AQ26">
            <v>0</v>
          </cell>
          <cell r="AR26">
            <v>0</v>
          </cell>
          <cell r="AS26"/>
          <cell r="AU26">
            <v>353101.96095994982</v>
          </cell>
          <cell r="AV26">
            <v>309705.72995797201</v>
          </cell>
          <cell r="AW26">
            <v>43396.231001977831</v>
          </cell>
          <cell r="AX26">
            <v>0</v>
          </cell>
          <cell r="AY26">
            <v>0</v>
          </cell>
          <cell r="AZ26"/>
          <cell r="BB26">
            <v>288019.27873047785</v>
          </cell>
          <cell r="BC26">
            <v>252621.70937450213</v>
          </cell>
          <cell r="BD26">
            <v>35397.569355975727</v>
          </cell>
          <cell r="BE26">
            <v>0</v>
          </cell>
          <cell r="BF26">
            <v>0</v>
          </cell>
          <cell r="BG26"/>
          <cell r="BI26">
            <v>404671.0183959498</v>
          </cell>
          <cell r="BJ26">
            <v>354936.95023508754</v>
          </cell>
          <cell r="BK26">
            <v>49734.068160862225</v>
          </cell>
          <cell r="BL26">
            <v>0</v>
          </cell>
          <cell r="BM26">
            <v>0</v>
          </cell>
          <cell r="BN26"/>
          <cell r="BP26">
            <v>503201.92402029067</v>
          </cell>
          <cell r="BQ26">
            <v>441358.40755819692</v>
          </cell>
          <cell r="BR26">
            <v>61843.516462093721</v>
          </cell>
          <cell r="BS26">
            <v>0</v>
          </cell>
          <cell r="BT26">
            <v>0</v>
          </cell>
          <cell r="BU26"/>
          <cell r="BW26">
            <v>462787.69115942577</v>
          </cell>
          <cell r="BX26">
            <v>405911.08391593234</v>
          </cell>
          <cell r="BY26">
            <v>56876.607243493425</v>
          </cell>
          <cell r="BZ26">
            <v>0</v>
          </cell>
          <cell r="CA26">
            <v>0</v>
          </cell>
          <cell r="CB26"/>
          <cell r="CD26">
            <v>485767.93437029066</v>
          </cell>
          <cell r="CE26">
            <v>426067.05523618194</v>
          </cell>
          <cell r="CF26">
            <v>59700.87913410872</v>
          </cell>
          <cell r="CG26">
            <v>0</v>
          </cell>
          <cell r="CH26">
            <v>0</v>
          </cell>
          <cell r="CI26"/>
          <cell r="CK26">
            <v>349716.56880859466</v>
          </cell>
          <cell r="CL26">
            <v>306736.40250201838</v>
          </cell>
          <cell r="CM26">
            <v>42980.166306576284</v>
          </cell>
          <cell r="CN26">
            <v>0</v>
          </cell>
          <cell r="CO26">
            <v>0</v>
          </cell>
          <cell r="CP26"/>
        </row>
        <row r="27">
          <cell r="L27">
            <v>5568.1590432000003</v>
          </cell>
          <cell r="M27">
            <v>4883.8322967907206</v>
          </cell>
          <cell r="N27">
            <v>684.32674640927996</v>
          </cell>
          <cell r="O27">
            <v>21913.924650000001</v>
          </cell>
          <cell r="P27">
            <v>8229.0253500000017</v>
          </cell>
          <cell r="Q27">
            <v>30142.95</v>
          </cell>
          <cell r="S27">
            <v>20101.435785599999</v>
          </cell>
          <cell r="T27">
            <v>17630.969327549759</v>
          </cell>
          <cell r="U27">
            <v>2470.4664580502399</v>
          </cell>
          <cell r="V27">
            <v>20386.613969999999</v>
          </cell>
          <cell r="W27">
            <v>7655.4960300000012</v>
          </cell>
          <cell r="X27">
            <v>28042.11</v>
          </cell>
          <cell r="Z27">
            <v>20101.435785599999</v>
          </cell>
          <cell r="AA27">
            <v>17630.969327549759</v>
          </cell>
          <cell r="AB27">
            <v>2470.4664580502399</v>
          </cell>
          <cell r="AC27">
            <v>34236.610999999997</v>
          </cell>
          <cell r="AD27">
            <v>12856.389000000001</v>
          </cell>
          <cell r="AE27">
            <v>47093</v>
          </cell>
          <cell r="AG27">
            <v>21322.81983</v>
          </cell>
          <cell r="AH27">
            <v>18702.245272893</v>
          </cell>
          <cell r="AI27">
            <v>2620.5745571070001</v>
          </cell>
          <cell r="AJ27">
            <v>15569.439269999999</v>
          </cell>
          <cell r="AK27">
            <v>5846.5707300000004</v>
          </cell>
          <cell r="AL27">
            <v>21416.01</v>
          </cell>
          <cell r="AN27">
            <v>8352.5586299999995</v>
          </cell>
          <cell r="AO27">
            <v>7326.0291743729995</v>
          </cell>
          <cell r="AP27">
            <v>1026.5294556269998</v>
          </cell>
          <cell r="AQ27">
            <v>0</v>
          </cell>
          <cell r="AR27">
            <v>0</v>
          </cell>
          <cell r="AS27"/>
          <cell r="AU27">
            <v>26890.978873200002</v>
          </cell>
          <cell r="AV27">
            <v>23586.077569683723</v>
          </cell>
          <cell r="AW27">
            <v>3304.9013035162802</v>
          </cell>
          <cell r="AX27">
            <v>0</v>
          </cell>
          <cell r="AY27">
            <v>0</v>
          </cell>
          <cell r="AZ27"/>
          <cell r="BB27">
            <v>13920.717673200001</v>
          </cell>
          <cell r="BC27">
            <v>12209.86147116372</v>
          </cell>
          <cell r="BD27">
            <v>1710.8562020362799</v>
          </cell>
          <cell r="BE27">
            <v>0</v>
          </cell>
          <cell r="BF27">
            <v>0</v>
          </cell>
          <cell r="BG27"/>
          <cell r="BI27">
            <v>26890.978873200002</v>
          </cell>
          <cell r="BJ27">
            <v>23586.077569683723</v>
          </cell>
          <cell r="BK27">
            <v>3304.9013035162802</v>
          </cell>
          <cell r="BL27">
            <v>0</v>
          </cell>
          <cell r="BM27">
            <v>0</v>
          </cell>
          <cell r="BN27"/>
          <cell r="BP27">
            <v>26890.978873200002</v>
          </cell>
          <cell r="BQ27">
            <v>23586.077569683723</v>
          </cell>
          <cell r="BR27">
            <v>3304.9013035162802</v>
          </cell>
          <cell r="BS27">
            <v>0</v>
          </cell>
          <cell r="BT27">
            <v>0</v>
          </cell>
          <cell r="BU27"/>
          <cell r="BW27">
            <v>20766.0474231999</v>
          </cell>
          <cell r="BX27">
            <v>18213.900194888633</v>
          </cell>
          <cell r="BY27">
            <v>2552.1472283112676</v>
          </cell>
          <cell r="BZ27">
            <v>0</v>
          </cell>
          <cell r="CA27">
            <v>0</v>
          </cell>
          <cell r="CB27"/>
          <cell r="CD27">
            <v>15197.88838</v>
          </cell>
          <cell r="CE27">
            <v>13330.067898098001</v>
          </cell>
          <cell r="CF27">
            <v>1867.820481902</v>
          </cell>
          <cell r="CG27">
            <v>0</v>
          </cell>
          <cell r="CH27">
            <v>0</v>
          </cell>
          <cell r="CI27"/>
          <cell r="CK27">
            <v>15197.88838</v>
          </cell>
          <cell r="CL27">
            <v>13330.067898098001</v>
          </cell>
          <cell r="CM27">
            <v>1867.820481902</v>
          </cell>
          <cell r="CN27">
            <v>0</v>
          </cell>
          <cell r="CO27">
            <v>0</v>
          </cell>
          <cell r="CP27"/>
        </row>
        <row r="28">
          <cell r="L28">
            <v>17596.727459999998</v>
          </cell>
          <cell r="M28">
            <v>15434.089655165999</v>
          </cell>
          <cell r="N28">
            <v>2162.6378048339998</v>
          </cell>
          <cell r="O28">
            <v>24249.572089999998</v>
          </cell>
          <cell r="P28">
            <v>9106.0979100000004</v>
          </cell>
          <cell r="Q28">
            <v>33355.67</v>
          </cell>
          <cell r="S28">
            <v>17596.727459999998</v>
          </cell>
          <cell r="T28">
            <v>15434.089655165999</v>
          </cell>
          <cell r="U28">
            <v>2162.6378048339998</v>
          </cell>
          <cell r="V28">
            <v>16764.3292</v>
          </cell>
          <cell r="W28">
            <v>6295.2708000000002</v>
          </cell>
          <cell r="X28">
            <v>23059.599999999999</v>
          </cell>
          <cell r="Z28">
            <v>23462.30328</v>
          </cell>
          <cell r="AA28">
            <v>20578.786206887999</v>
          </cell>
          <cell r="AB28">
            <v>2883.5170731119997</v>
          </cell>
          <cell r="AC28">
            <v>6453.1646099999998</v>
          </cell>
          <cell r="AD28">
            <v>2423.2653900000005</v>
          </cell>
          <cell r="AE28">
            <v>8876.43</v>
          </cell>
          <cell r="AG28">
            <v>23996.888370000001</v>
          </cell>
          <cell r="AH28">
            <v>21047.670789327</v>
          </cell>
          <cell r="AI28">
            <v>2949.2175806730002</v>
          </cell>
          <cell r="AJ28">
            <v>11267.8457</v>
          </cell>
          <cell r="AK28">
            <v>4231.2543000000005</v>
          </cell>
          <cell r="AL28">
            <v>15499.1</v>
          </cell>
          <cell r="AN28">
            <v>20529.515370000001</v>
          </cell>
          <cell r="AO28">
            <v>18006.437931027001</v>
          </cell>
          <cell r="AP28">
            <v>2523.077438973</v>
          </cell>
          <cell r="AQ28">
            <v>0</v>
          </cell>
          <cell r="AR28">
            <v>0</v>
          </cell>
          <cell r="AS28"/>
          <cell r="AU28">
            <v>18131.312549999999</v>
          </cell>
          <cell r="AV28">
            <v>15902.974237604998</v>
          </cell>
          <cell r="AW28">
            <v>2228.3383123949998</v>
          </cell>
          <cell r="AX28">
            <v>0</v>
          </cell>
          <cell r="AY28">
            <v>0</v>
          </cell>
          <cell r="AZ28"/>
          <cell r="BB28">
            <v>14663.939549999999</v>
          </cell>
          <cell r="BC28">
            <v>12861.741379305</v>
          </cell>
          <cell r="BD28">
            <v>1802.1981706949998</v>
          </cell>
          <cell r="BE28">
            <v>0</v>
          </cell>
          <cell r="BF28">
            <v>0</v>
          </cell>
          <cell r="BG28"/>
          <cell r="BI28">
            <v>23996.888370000001</v>
          </cell>
          <cell r="BJ28">
            <v>21047.670789327</v>
          </cell>
          <cell r="BK28">
            <v>2949.2175806730002</v>
          </cell>
          <cell r="BL28">
            <v>0</v>
          </cell>
          <cell r="BM28">
            <v>0</v>
          </cell>
          <cell r="BN28"/>
          <cell r="BP28">
            <v>23996.888370000001</v>
          </cell>
          <cell r="BQ28">
            <v>21047.670789327</v>
          </cell>
          <cell r="BR28">
            <v>2949.2175806730002</v>
          </cell>
          <cell r="BS28">
            <v>0</v>
          </cell>
          <cell r="BT28">
            <v>0</v>
          </cell>
          <cell r="BU28"/>
          <cell r="BW28">
            <v>22158.456719999998</v>
          </cell>
          <cell r="BX28">
            <v>19435.182389112</v>
          </cell>
          <cell r="BY28">
            <v>2723.2743308879999</v>
          </cell>
          <cell r="BZ28">
            <v>0</v>
          </cell>
          <cell r="CA28">
            <v>0</v>
          </cell>
          <cell r="CB28"/>
          <cell r="CD28">
            <v>16292.8809</v>
          </cell>
          <cell r="CE28">
            <v>14290.485837390001</v>
          </cell>
          <cell r="CF28">
            <v>2002.39506261</v>
          </cell>
          <cell r="CG28">
            <v>0</v>
          </cell>
          <cell r="CH28">
            <v>0</v>
          </cell>
          <cell r="CI28"/>
          <cell r="CK28">
            <v>16292.8809</v>
          </cell>
          <cell r="CL28">
            <v>14290.485837390001</v>
          </cell>
          <cell r="CM28">
            <v>2002.39506261</v>
          </cell>
          <cell r="CN28">
            <v>0</v>
          </cell>
          <cell r="CO28">
            <v>0</v>
          </cell>
          <cell r="CP28"/>
        </row>
        <row r="29">
          <cell r="L29">
            <v>40256.113333333335</v>
          </cell>
          <cell r="M29">
            <v>35308.637004666671</v>
          </cell>
          <cell r="N29">
            <v>4947.4763286666666</v>
          </cell>
          <cell r="O29">
            <v>0</v>
          </cell>
          <cell r="P29">
            <v>0</v>
          </cell>
          <cell r="Q29"/>
          <cell r="S29">
            <v>52105.910333333333</v>
          </cell>
          <cell r="T29">
            <v>45702.093953366668</v>
          </cell>
          <cell r="U29">
            <v>6403.8163799666663</v>
          </cell>
          <cell r="V29">
            <v>0</v>
          </cell>
          <cell r="W29">
            <v>0</v>
          </cell>
          <cell r="X29"/>
          <cell r="Z29">
            <v>40256.113333333335</v>
          </cell>
          <cell r="AA29">
            <v>35308.637004666671</v>
          </cell>
          <cell r="AB29">
            <v>4947.4763286666666</v>
          </cell>
          <cell r="AC29">
            <v>0</v>
          </cell>
          <cell r="AD29">
            <v>0</v>
          </cell>
          <cell r="AE29"/>
          <cell r="AG29">
            <v>52105.910333333333</v>
          </cell>
          <cell r="AH29">
            <v>45702.093953366668</v>
          </cell>
          <cell r="AI29">
            <v>6403.8163799666663</v>
          </cell>
          <cell r="AJ29">
            <v>0</v>
          </cell>
          <cell r="AK29">
            <v>0</v>
          </cell>
          <cell r="AL29"/>
          <cell r="AN29">
            <v>40256.113333333335</v>
          </cell>
          <cell r="AO29">
            <v>35308.637004666671</v>
          </cell>
          <cell r="AP29">
            <v>4947.4763286666666</v>
          </cell>
          <cell r="AQ29">
            <v>0</v>
          </cell>
          <cell r="AR29">
            <v>0</v>
          </cell>
          <cell r="AS29"/>
          <cell r="AU29">
            <v>52105.910333333333</v>
          </cell>
          <cell r="AV29">
            <v>45702.093953366668</v>
          </cell>
          <cell r="AW29">
            <v>6403.8163799666663</v>
          </cell>
          <cell r="AX29">
            <v>0</v>
          </cell>
          <cell r="AY29">
            <v>0</v>
          </cell>
          <cell r="AZ29"/>
          <cell r="BB29">
            <v>40256.113333333335</v>
          </cell>
          <cell r="BC29">
            <v>35308.637004666671</v>
          </cell>
          <cell r="BD29">
            <v>4947.4763286666666</v>
          </cell>
          <cell r="BE29">
            <v>0</v>
          </cell>
          <cell r="BF29">
            <v>0</v>
          </cell>
          <cell r="BG29"/>
          <cell r="BI29">
            <v>52105.910333333333</v>
          </cell>
          <cell r="BJ29">
            <v>45702.093953366668</v>
          </cell>
          <cell r="BK29">
            <v>6403.8163799666663</v>
          </cell>
          <cell r="BL29">
            <v>0</v>
          </cell>
          <cell r="BM29">
            <v>0</v>
          </cell>
          <cell r="BN29"/>
          <cell r="BP29">
            <v>40256.113333333335</v>
          </cell>
          <cell r="BQ29">
            <v>35308.637004666671</v>
          </cell>
          <cell r="BR29">
            <v>4947.4763286666666</v>
          </cell>
          <cell r="BS29">
            <v>0</v>
          </cell>
          <cell r="BT29">
            <v>0</v>
          </cell>
          <cell r="BU29"/>
          <cell r="BW29">
            <v>52105.910333333333</v>
          </cell>
          <cell r="BX29">
            <v>45702.093953366668</v>
          </cell>
          <cell r="BY29">
            <v>6403.8163799666663</v>
          </cell>
          <cell r="BZ29">
            <v>0</v>
          </cell>
          <cell r="CA29">
            <v>0</v>
          </cell>
          <cell r="CB29"/>
          <cell r="CD29">
            <v>40256.113333333335</v>
          </cell>
          <cell r="CE29">
            <v>35308.637004666671</v>
          </cell>
          <cell r="CF29">
            <v>4947.4763286666666</v>
          </cell>
          <cell r="CG29">
            <v>0</v>
          </cell>
          <cell r="CH29">
            <v>0</v>
          </cell>
          <cell r="CI29"/>
          <cell r="CK29">
            <v>52105.910333333333</v>
          </cell>
          <cell r="CL29">
            <v>45702.093953366668</v>
          </cell>
          <cell r="CM29">
            <v>6403.8163799666663</v>
          </cell>
          <cell r="CN29">
            <v>0</v>
          </cell>
          <cell r="CO29">
            <v>0</v>
          </cell>
          <cell r="CP29"/>
        </row>
        <row r="30">
          <cell r="L30">
            <v>19166.666666666668</v>
          </cell>
          <cell r="M30">
            <v>16811.083333333336</v>
          </cell>
          <cell r="N30">
            <v>2355.5833333333335</v>
          </cell>
          <cell r="O30">
            <v>24284.591679999998</v>
          </cell>
          <cell r="P30">
            <v>9119.2483200000006</v>
          </cell>
          <cell r="Q30">
            <v>33403.839999999997</v>
          </cell>
          <cell r="S30">
            <v>19166.666666666668</v>
          </cell>
          <cell r="T30">
            <v>16811.083333333336</v>
          </cell>
          <cell r="U30">
            <v>2355.5833333333335</v>
          </cell>
          <cell r="V30">
            <v>0</v>
          </cell>
          <cell r="W30">
            <v>0</v>
          </cell>
          <cell r="X30"/>
          <cell r="Z30">
            <v>19166.666666666668</v>
          </cell>
          <cell r="AA30">
            <v>16811.083333333336</v>
          </cell>
          <cell r="AB30">
            <v>2355.5833333333335</v>
          </cell>
          <cell r="AC30">
            <v>727</v>
          </cell>
          <cell r="AD30">
            <v>273</v>
          </cell>
          <cell r="AE30">
            <v>1000</v>
          </cell>
          <cell r="AG30">
            <v>19166.666666666668</v>
          </cell>
          <cell r="AH30">
            <v>16811.083333333336</v>
          </cell>
          <cell r="AI30">
            <v>2355.5833333333335</v>
          </cell>
          <cell r="AJ30">
            <v>0</v>
          </cell>
          <cell r="AK30">
            <v>0</v>
          </cell>
          <cell r="AL30"/>
          <cell r="AN30">
            <v>19166.666666666668</v>
          </cell>
          <cell r="AO30">
            <v>16811.083333333336</v>
          </cell>
          <cell r="AP30">
            <v>2355.5833333333335</v>
          </cell>
          <cell r="AQ30">
            <v>0</v>
          </cell>
          <cell r="AR30">
            <v>0</v>
          </cell>
          <cell r="AS30"/>
          <cell r="AU30">
            <v>19166.666666666668</v>
          </cell>
          <cell r="AV30">
            <v>16811.083333333336</v>
          </cell>
          <cell r="AW30">
            <v>2355.5833333333335</v>
          </cell>
          <cell r="AX30">
            <v>0</v>
          </cell>
          <cell r="AY30">
            <v>0</v>
          </cell>
          <cell r="AZ30"/>
          <cell r="BB30">
            <v>19166.666666666668</v>
          </cell>
          <cell r="BC30">
            <v>16811.083333333336</v>
          </cell>
          <cell r="BD30">
            <v>2355.5833333333335</v>
          </cell>
          <cell r="BE30">
            <v>0</v>
          </cell>
          <cell r="BF30">
            <v>0</v>
          </cell>
          <cell r="BG30"/>
          <cell r="BI30">
            <v>19166.666666666668</v>
          </cell>
          <cell r="BJ30">
            <v>16811.083333333336</v>
          </cell>
          <cell r="BK30">
            <v>2355.5833333333335</v>
          </cell>
          <cell r="BL30">
            <v>0</v>
          </cell>
          <cell r="BM30">
            <v>0</v>
          </cell>
          <cell r="BN30"/>
          <cell r="BP30">
            <v>19166.666666666668</v>
          </cell>
          <cell r="BQ30">
            <v>16811.083333333336</v>
          </cell>
          <cell r="BR30">
            <v>2355.5833333333335</v>
          </cell>
          <cell r="BS30">
            <v>0</v>
          </cell>
          <cell r="BT30">
            <v>0</v>
          </cell>
          <cell r="BU30"/>
          <cell r="BW30">
            <v>19166.666666666668</v>
          </cell>
          <cell r="BX30">
            <v>16811.083333333336</v>
          </cell>
          <cell r="BY30">
            <v>2355.5833333333335</v>
          </cell>
          <cell r="BZ30">
            <v>0</v>
          </cell>
          <cell r="CA30">
            <v>0</v>
          </cell>
          <cell r="CB30"/>
          <cell r="CD30">
            <v>19166.666666666668</v>
          </cell>
          <cell r="CE30">
            <v>16811.083333333336</v>
          </cell>
          <cell r="CF30">
            <v>2355.5833333333335</v>
          </cell>
          <cell r="CG30">
            <v>0</v>
          </cell>
          <cell r="CH30">
            <v>0</v>
          </cell>
          <cell r="CI30"/>
          <cell r="CK30">
            <v>19166.666666666668</v>
          </cell>
          <cell r="CL30">
            <v>16811.083333333336</v>
          </cell>
          <cell r="CM30">
            <v>2355.5833333333335</v>
          </cell>
          <cell r="CN30">
            <v>0</v>
          </cell>
          <cell r="CO30">
            <v>0</v>
          </cell>
          <cell r="CP30"/>
        </row>
        <row r="31">
          <cell r="L31">
            <v>16666.666666666668</v>
          </cell>
          <cell r="M31">
            <v>14618.333333333334</v>
          </cell>
          <cell r="N31">
            <v>2048.3333333333335</v>
          </cell>
          <cell r="O31">
            <v>21070.902719999998</v>
          </cell>
          <cell r="P31">
            <v>7912.4572800000005</v>
          </cell>
          <cell r="Q31">
            <v>28983.360000000001</v>
          </cell>
          <cell r="S31">
            <v>16666.666666666668</v>
          </cell>
          <cell r="T31">
            <v>14618.333333333334</v>
          </cell>
          <cell r="U31">
            <v>2048.3333333333335</v>
          </cell>
          <cell r="V31">
            <v>61271.203769999993</v>
          </cell>
          <cell r="W31">
            <v>23008.306230000002</v>
          </cell>
          <cell r="X31">
            <v>84279.51</v>
          </cell>
          <cell r="Z31">
            <v>16666.666666666668</v>
          </cell>
          <cell r="AA31">
            <v>14618.333333333334</v>
          </cell>
          <cell r="AB31">
            <v>2048.3333333333335</v>
          </cell>
          <cell r="AC31">
            <v>47614.639630000005</v>
          </cell>
          <cell r="AD31">
            <v>17880.050370000001</v>
          </cell>
          <cell r="AE31">
            <v>65494.69</v>
          </cell>
          <cell r="AG31">
            <v>16666.666666666668</v>
          </cell>
          <cell r="AH31">
            <v>14618.333333333334</v>
          </cell>
          <cell r="AI31">
            <v>2048.3333333333335</v>
          </cell>
          <cell r="AJ31">
            <v>40379.651949999999</v>
          </cell>
          <cell r="AK31">
            <v>15163.198050000001</v>
          </cell>
          <cell r="AL31">
            <v>55542.85</v>
          </cell>
          <cell r="AN31">
            <v>16666.666666666668</v>
          </cell>
          <cell r="AO31">
            <v>14618.333333333334</v>
          </cell>
          <cell r="AP31">
            <v>2048.3333333333335</v>
          </cell>
          <cell r="AQ31">
            <v>0</v>
          </cell>
          <cell r="AR31">
            <v>0</v>
          </cell>
          <cell r="AS31"/>
          <cell r="AU31">
            <v>16666.666666666668</v>
          </cell>
          <cell r="AV31">
            <v>14618.333333333334</v>
          </cell>
          <cell r="AW31">
            <v>2048.3333333333335</v>
          </cell>
          <cell r="AX31">
            <v>0</v>
          </cell>
          <cell r="AY31">
            <v>0</v>
          </cell>
          <cell r="AZ31"/>
          <cell r="BB31">
            <v>16666.666666666668</v>
          </cell>
          <cell r="BC31">
            <v>14618.333333333334</v>
          </cell>
          <cell r="BD31">
            <v>2048.3333333333335</v>
          </cell>
          <cell r="BE31">
            <v>0</v>
          </cell>
          <cell r="BF31">
            <v>0</v>
          </cell>
          <cell r="BG31"/>
          <cell r="BI31">
            <v>16666.666666666668</v>
          </cell>
          <cell r="BJ31">
            <v>14618.333333333334</v>
          </cell>
          <cell r="BK31">
            <v>2048.3333333333335</v>
          </cell>
          <cell r="BL31">
            <v>0</v>
          </cell>
          <cell r="BM31">
            <v>0</v>
          </cell>
          <cell r="BN31"/>
          <cell r="BP31">
            <v>16666.666666666668</v>
          </cell>
          <cell r="BQ31">
            <v>14618.333333333334</v>
          </cell>
          <cell r="BR31">
            <v>2048.3333333333335</v>
          </cell>
          <cell r="BS31">
            <v>0</v>
          </cell>
          <cell r="BT31">
            <v>0</v>
          </cell>
          <cell r="BU31"/>
          <cell r="BW31">
            <v>16666.666666666668</v>
          </cell>
          <cell r="BX31">
            <v>14618.333333333334</v>
          </cell>
          <cell r="BY31">
            <v>2048.3333333333335</v>
          </cell>
          <cell r="BZ31">
            <v>0</v>
          </cell>
          <cell r="CA31">
            <v>0</v>
          </cell>
          <cell r="CB31"/>
          <cell r="CD31">
            <v>16666.666666666668</v>
          </cell>
          <cell r="CE31">
            <v>14618.333333333334</v>
          </cell>
          <cell r="CF31">
            <v>2048.3333333333335</v>
          </cell>
          <cell r="CG31">
            <v>0</v>
          </cell>
          <cell r="CH31">
            <v>0</v>
          </cell>
          <cell r="CI31"/>
          <cell r="CK31">
            <v>16666.666666666668</v>
          </cell>
          <cell r="CL31">
            <v>14618.333333333334</v>
          </cell>
          <cell r="CM31">
            <v>2048.3333333333335</v>
          </cell>
          <cell r="CN31">
            <v>0</v>
          </cell>
          <cell r="CO31">
            <v>0</v>
          </cell>
          <cell r="CP31"/>
        </row>
        <row r="32">
          <cell r="L32">
            <v>590347.82400000002</v>
          </cell>
          <cell r="M32">
            <v>517794.07643040002</v>
          </cell>
          <cell r="N32">
            <v>72553.747569600004</v>
          </cell>
          <cell r="O32">
            <v>142623.97230999992</v>
          </cell>
          <cell r="P32">
            <v>53557.55768999998</v>
          </cell>
          <cell r="Q32">
            <v>196181.52999999991</v>
          </cell>
          <cell r="S32">
            <v>552958.56000000006</v>
          </cell>
          <cell r="T32">
            <v>484999.95297600003</v>
          </cell>
          <cell r="U32">
            <v>67958.607023999997</v>
          </cell>
          <cell r="V32">
            <v>391480.44157999998</v>
          </cell>
          <cell r="W32">
            <v>147007.09842000002</v>
          </cell>
          <cell r="X32">
            <v>538487.54</v>
          </cell>
          <cell r="Z32">
            <v>552958.56000000006</v>
          </cell>
          <cell r="AA32">
            <v>484999.95297600003</v>
          </cell>
          <cell r="AB32">
            <v>67958.607023999997</v>
          </cell>
          <cell r="AC32">
            <v>493205.48038000002</v>
          </cell>
          <cell r="AD32">
            <v>185206.45962000004</v>
          </cell>
          <cell r="AE32">
            <v>678411.94000000006</v>
          </cell>
          <cell r="AG32">
            <v>552958.56000000006</v>
          </cell>
          <cell r="AH32">
            <v>484999.95297600003</v>
          </cell>
          <cell r="AI32">
            <v>67958.607023999997</v>
          </cell>
          <cell r="AJ32">
            <v>412998.64558999997</v>
          </cell>
          <cell r="AK32">
            <v>155087.52440999998</v>
          </cell>
          <cell r="AL32">
            <v>568086.16999999993</v>
          </cell>
          <cell r="AN32">
            <v>552958.56000000006</v>
          </cell>
          <cell r="AO32">
            <v>484999.95297600003</v>
          </cell>
          <cell r="AP32">
            <v>67958.607023999997</v>
          </cell>
          <cell r="AQ32">
            <v>0</v>
          </cell>
          <cell r="AR32">
            <v>0</v>
          </cell>
          <cell r="AS32"/>
          <cell r="AU32">
            <v>596958.56000000006</v>
          </cell>
          <cell r="AV32">
            <v>523592.35297600005</v>
          </cell>
          <cell r="AW32">
            <v>73366.207024000003</v>
          </cell>
          <cell r="AX32">
            <v>0</v>
          </cell>
          <cell r="AY32">
            <v>0</v>
          </cell>
          <cell r="AZ32"/>
          <cell r="BB32">
            <v>358755.408</v>
          </cell>
          <cell r="BC32">
            <v>314664.3683568</v>
          </cell>
          <cell r="BD32">
            <v>44091.039643199998</v>
          </cell>
          <cell r="BE32">
            <v>0</v>
          </cell>
          <cell r="BF32">
            <v>0</v>
          </cell>
          <cell r="BG32"/>
          <cell r="BI32">
            <v>418880</v>
          </cell>
          <cell r="BJ32">
            <v>367399.64799999999</v>
          </cell>
          <cell r="BK32">
            <v>51480.351999999999</v>
          </cell>
          <cell r="BL32">
            <v>0</v>
          </cell>
          <cell r="BM32">
            <v>0</v>
          </cell>
          <cell r="BN32"/>
          <cell r="BP32">
            <v>6160</v>
          </cell>
          <cell r="BQ32">
            <v>5402.9359999999997</v>
          </cell>
          <cell r="BR32">
            <v>757.06399999999996</v>
          </cell>
          <cell r="BS32">
            <v>0</v>
          </cell>
          <cell r="BT32">
            <v>0</v>
          </cell>
          <cell r="BU32"/>
          <cell r="BW32">
            <v>6160</v>
          </cell>
          <cell r="BX32">
            <v>5402.9359999999997</v>
          </cell>
          <cell r="BY32">
            <v>757.06399999999996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367346.93877551024</v>
          </cell>
          <cell r="M33">
            <v>322200</v>
          </cell>
          <cell r="N33">
            <v>45146.938775510207</v>
          </cell>
          <cell r="O33">
            <v>227221.49452000001</v>
          </cell>
          <cell r="P33">
            <v>85325.265480000002</v>
          </cell>
          <cell r="Q33">
            <v>312546.76</v>
          </cell>
          <cell r="S33">
            <v>408163.26530612248</v>
          </cell>
          <cell r="T33">
            <v>358000.00000000006</v>
          </cell>
          <cell r="U33">
            <v>50163.265306122448</v>
          </cell>
          <cell r="V33">
            <v>79860.971809999988</v>
          </cell>
          <cell r="W33">
            <v>29989.058190000003</v>
          </cell>
          <cell r="X33">
            <v>109850.03</v>
          </cell>
          <cell r="Z33">
            <v>408163.26530612248</v>
          </cell>
          <cell r="AA33">
            <v>358000.00000000006</v>
          </cell>
          <cell r="AB33">
            <v>50163.265306122448</v>
          </cell>
          <cell r="AC33">
            <v>457671.33432000002</v>
          </cell>
          <cell r="AD33">
            <v>171862.82568000001</v>
          </cell>
          <cell r="AE33">
            <v>629534.16</v>
          </cell>
          <cell r="AG33">
            <v>408163.26530612248</v>
          </cell>
          <cell r="AH33">
            <v>358000.00000000006</v>
          </cell>
          <cell r="AI33">
            <v>50163.265306122448</v>
          </cell>
          <cell r="AJ33">
            <v>391010.21797999996</v>
          </cell>
          <cell r="AK33">
            <v>146830.52202</v>
          </cell>
          <cell r="AL33">
            <v>537840.74</v>
          </cell>
          <cell r="AN33">
            <v>408163.26530612248</v>
          </cell>
          <cell r="AO33">
            <v>358000.00000000006</v>
          </cell>
          <cell r="AP33">
            <v>50163.265306122448</v>
          </cell>
          <cell r="AQ33">
            <v>0</v>
          </cell>
          <cell r="AR33">
            <v>0</v>
          </cell>
          <cell r="AS33"/>
          <cell r="AU33">
            <v>408163.26530612248</v>
          </cell>
          <cell r="AV33">
            <v>358000.00000000006</v>
          </cell>
          <cell r="AW33">
            <v>50163.265306122448</v>
          </cell>
          <cell r="AX33">
            <v>0</v>
          </cell>
          <cell r="AY33">
            <v>0</v>
          </cell>
          <cell r="AZ33"/>
          <cell r="BB33">
            <v>122448.97959183673</v>
          </cell>
          <cell r="BC33">
            <v>107400</v>
          </cell>
          <cell r="BD33">
            <v>15048.979591836734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482848.9</v>
          </cell>
          <cell r="M34">
            <v>423506.77019000001</v>
          </cell>
          <cell r="N34">
            <v>59342.129809999999</v>
          </cell>
          <cell r="O34">
            <v>611121.11452000006</v>
          </cell>
          <cell r="P34">
            <v>229485.64548000001</v>
          </cell>
          <cell r="Q34">
            <v>840606.76</v>
          </cell>
          <cell r="S34">
            <v>364453.06000000006</v>
          </cell>
          <cell r="T34">
            <v>319661.77892600006</v>
          </cell>
          <cell r="U34">
            <v>44791.281074000006</v>
          </cell>
          <cell r="V34">
            <v>30644.860229999998</v>
          </cell>
          <cell r="W34">
            <v>11507.62977</v>
          </cell>
          <cell r="X34">
            <v>42152.49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25000</v>
          </cell>
          <cell r="BC34">
            <v>21927.5</v>
          </cell>
          <cell r="BD34">
            <v>3072.5</v>
          </cell>
          <cell r="BE34">
            <v>0</v>
          </cell>
          <cell r="BF34">
            <v>0</v>
          </cell>
          <cell r="BG34"/>
          <cell r="BI34">
            <v>50000</v>
          </cell>
          <cell r="BJ34">
            <v>43855</v>
          </cell>
          <cell r="BK34">
            <v>6145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183673.46938775512</v>
          </cell>
          <cell r="M35">
            <v>161100</v>
          </cell>
          <cell r="N35">
            <v>22573.469387755104</v>
          </cell>
          <cell r="O35">
            <v>170864.03285999998</v>
          </cell>
          <cell r="P35">
            <v>64162.147140000001</v>
          </cell>
          <cell r="Q35">
            <v>235026.18</v>
          </cell>
          <cell r="S35">
            <v>134693.87755102041</v>
          </cell>
          <cell r="T35">
            <v>118140</v>
          </cell>
          <cell r="U35">
            <v>16553.877551020407</v>
          </cell>
          <cell r="V35">
            <v>5205.5453699999998</v>
          </cell>
          <cell r="W35">
            <v>1954.7646300000004</v>
          </cell>
          <cell r="X35">
            <v>7160.31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29166.666666666668</v>
          </cell>
          <cell r="M36">
            <v>25582.083333333336</v>
          </cell>
          <cell r="N36">
            <v>3584.5833333333335</v>
          </cell>
          <cell r="O36">
            <v>36908.197870000004</v>
          </cell>
          <cell r="P36">
            <v>13859.612130000003</v>
          </cell>
          <cell r="Q36">
            <v>50767.810000000005</v>
          </cell>
          <cell r="S36">
            <v>29166.666666666668</v>
          </cell>
          <cell r="T36">
            <v>25582.083333333336</v>
          </cell>
          <cell r="U36">
            <v>3584.5833333333335</v>
          </cell>
          <cell r="V36">
            <v>27199.032900000002</v>
          </cell>
          <cell r="W36">
            <v>10213.667100000002</v>
          </cell>
          <cell r="X36">
            <v>37412.700000000004</v>
          </cell>
          <cell r="Z36">
            <v>29166.666666666668</v>
          </cell>
          <cell r="AA36">
            <v>25582.083333333336</v>
          </cell>
          <cell r="AB36">
            <v>3584.5833333333335</v>
          </cell>
          <cell r="AC36">
            <v>22244.942290000006</v>
          </cell>
          <cell r="AD36">
            <v>8353.3277100000032</v>
          </cell>
          <cell r="AE36">
            <v>30598.270000000008</v>
          </cell>
          <cell r="AG36">
            <v>29166.666666666668</v>
          </cell>
          <cell r="AH36">
            <v>25582.083333333336</v>
          </cell>
          <cell r="AI36">
            <v>3584.5833333333335</v>
          </cell>
          <cell r="AJ36">
            <v>34619.311069999996</v>
          </cell>
          <cell r="AK36">
            <v>13000.09893</v>
          </cell>
          <cell r="AL36">
            <v>47619.409999999996</v>
          </cell>
          <cell r="AN36">
            <v>29166.666666666668</v>
          </cell>
          <cell r="AO36">
            <v>25582.083333333336</v>
          </cell>
          <cell r="AP36">
            <v>3584.5833333333335</v>
          </cell>
          <cell r="AQ36">
            <v>0</v>
          </cell>
          <cell r="AR36">
            <v>0</v>
          </cell>
          <cell r="AS36"/>
          <cell r="AU36">
            <v>29166.666666666668</v>
          </cell>
          <cell r="AV36">
            <v>25582.083333333336</v>
          </cell>
          <cell r="AW36">
            <v>3584.5833333333335</v>
          </cell>
          <cell r="AX36">
            <v>0</v>
          </cell>
          <cell r="AY36">
            <v>0</v>
          </cell>
          <cell r="AZ36"/>
          <cell r="BB36">
            <v>29166.666666666668</v>
          </cell>
          <cell r="BC36">
            <v>25582.083333333336</v>
          </cell>
          <cell r="BD36">
            <v>3584.5833333333335</v>
          </cell>
          <cell r="BE36">
            <v>0</v>
          </cell>
          <cell r="BF36">
            <v>0</v>
          </cell>
          <cell r="BG36"/>
          <cell r="BI36">
            <v>29166.666666666668</v>
          </cell>
          <cell r="BJ36">
            <v>25582.083333333336</v>
          </cell>
          <cell r="BK36">
            <v>3584.5833333333335</v>
          </cell>
          <cell r="BL36">
            <v>0</v>
          </cell>
          <cell r="BM36">
            <v>0</v>
          </cell>
          <cell r="BN36"/>
          <cell r="BP36">
            <v>29166.666666666668</v>
          </cell>
          <cell r="BQ36">
            <v>25582.083333333336</v>
          </cell>
          <cell r="BR36">
            <v>3584.5833333333335</v>
          </cell>
          <cell r="BS36">
            <v>0</v>
          </cell>
          <cell r="BT36">
            <v>0</v>
          </cell>
          <cell r="BU36"/>
          <cell r="BW36">
            <v>29166.666666666668</v>
          </cell>
          <cell r="BX36">
            <v>25582.083333333336</v>
          </cell>
          <cell r="BY36">
            <v>3584.5833333333335</v>
          </cell>
          <cell r="BZ36">
            <v>0</v>
          </cell>
          <cell r="CA36">
            <v>0</v>
          </cell>
          <cell r="CB36"/>
          <cell r="CD36">
            <v>29166.666666666668</v>
          </cell>
          <cell r="CE36">
            <v>25582.083333333336</v>
          </cell>
          <cell r="CF36">
            <v>3584.5833333333335</v>
          </cell>
          <cell r="CG36">
            <v>0</v>
          </cell>
          <cell r="CH36">
            <v>0</v>
          </cell>
          <cell r="CI36"/>
          <cell r="CK36">
            <v>29166.666666666668</v>
          </cell>
          <cell r="CL36">
            <v>25582.083333333336</v>
          </cell>
          <cell r="CM36">
            <v>3584.5833333333335</v>
          </cell>
          <cell r="CN36">
            <v>0</v>
          </cell>
          <cell r="CO36">
            <v>0</v>
          </cell>
          <cell r="CP36"/>
        </row>
        <row r="37">
          <cell r="L37">
            <v>20833.333333333332</v>
          </cell>
          <cell r="M37">
            <v>18272.916666666664</v>
          </cell>
          <cell r="N37">
            <v>2560.4166666666665</v>
          </cell>
          <cell r="O37">
            <v>28573.113789999996</v>
          </cell>
          <cell r="P37">
            <v>10729.656209999999</v>
          </cell>
          <cell r="Q37">
            <v>39302.769999999997</v>
          </cell>
          <cell r="S37">
            <v>20833.333333333332</v>
          </cell>
          <cell r="T37">
            <v>18272.916666666664</v>
          </cell>
          <cell r="U37">
            <v>2560.4166666666665</v>
          </cell>
          <cell r="V37">
            <v>22366.838380000008</v>
          </cell>
          <cell r="W37">
            <v>8399.1016200000031</v>
          </cell>
          <cell r="X37">
            <v>30765.94000000001</v>
          </cell>
          <cell r="Z37">
            <v>20833.333333333332</v>
          </cell>
          <cell r="AA37">
            <v>18272.916666666664</v>
          </cell>
          <cell r="AB37">
            <v>2560.4166666666665</v>
          </cell>
          <cell r="AC37">
            <v>27782.544910000001</v>
          </cell>
          <cell r="AD37">
            <v>10432.785090000001</v>
          </cell>
          <cell r="AE37">
            <v>38215.33</v>
          </cell>
          <cell r="AG37">
            <v>20833.333333333332</v>
          </cell>
          <cell r="AH37">
            <v>18272.916666666664</v>
          </cell>
          <cell r="AI37">
            <v>2560.4166666666665</v>
          </cell>
          <cell r="AJ37">
            <v>26448.463560000004</v>
          </cell>
          <cell r="AK37">
            <v>9931.8164400000023</v>
          </cell>
          <cell r="AL37">
            <v>36380.280000000006</v>
          </cell>
          <cell r="AN37">
            <v>20833.333333333332</v>
          </cell>
          <cell r="AO37">
            <v>18272.916666666664</v>
          </cell>
          <cell r="AP37">
            <v>2560.4166666666665</v>
          </cell>
          <cell r="AQ37">
            <v>0</v>
          </cell>
          <cell r="AR37">
            <v>0</v>
          </cell>
          <cell r="AS37"/>
          <cell r="AU37">
            <v>20833.333333333332</v>
          </cell>
          <cell r="AV37">
            <v>18272.916666666664</v>
          </cell>
          <cell r="AW37">
            <v>2560.4166666666665</v>
          </cell>
          <cell r="AX37">
            <v>0</v>
          </cell>
          <cell r="AY37">
            <v>0</v>
          </cell>
          <cell r="AZ37"/>
          <cell r="BB37">
            <v>20833.333333333332</v>
          </cell>
          <cell r="BC37">
            <v>18272.916666666664</v>
          </cell>
          <cell r="BD37">
            <v>2560.4166666666665</v>
          </cell>
          <cell r="BE37">
            <v>0</v>
          </cell>
          <cell r="BF37">
            <v>0</v>
          </cell>
          <cell r="BG37"/>
          <cell r="BI37">
            <v>20833.333333333332</v>
          </cell>
          <cell r="BJ37">
            <v>18272.916666666664</v>
          </cell>
          <cell r="BK37">
            <v>2560.4166666666665</v>
          </cell>
          <cell r="BL37">
            <v>0</v>
          </cell>
          <cell r="BM37">
            <v>0</v>
          </cell>
          <cell r="BN37"/>
          <cell r="BP37">
            <v>20833.333333333332</v>
          </cell>
          <cell r="BQ37">
            <v>18272.916666666664</v>
          </cell>
          <cell r="BR37">
            <v>2560.4166666666665</v>
          </cell>
          <cell r="BS37">
            <v>0</v>
          </cell>
          <cell r="BT37">
            <v>0</v>
          </cell>
          <cell r="BU37"/>
          <cell r="BW37">
            <v>20833.333333333332</v>
          </cell>
          <cell r="BX37">
            <v>18272.916666666664</v>
          </cell>
          <cell r="BY37">
            <v>2560.4166666666665</v>
          </cell>
          <cell r="BZ37">
            <v>0</v>
          </cell>
          <cell r="CA37">
            <v>0</v>
          </cell>
          <cell r="CB37"/>
          <cell r="CD37">
            <v>20833.333333333332</v>
          </cell>
          <cell r="CE37">
            <v>18272.916666666664</v>
          </cell>
          <cell r="CF37">
            <v>2560.4166666666665</v>
          </cell>
          <cell r="CG37">
            <v>0</v>
          </cell>
          <cell r="CH37">
            <v>0</v>
          </cell>
          <cell r="CI37"/>
          <cell r="CK37">
            <v>20833.333333333332</v>
          </cell>
          <cell r="CL37">
            <v>18272.916666666664</v>
          </cell>
          <cell r="CM37">
            <v>2560.4166666666665</v>
          </cell>
          <cell r="CN37">
            <v>0</v>
          </cell>
          <cell r="CO37">
            <v>0</v>
          </cell>
          <cell r="CP37"/>
        </row>
        <row r="38">
          <cell r="L38">
            <v>2500</v>
          </cell>
          <cell r="M38">
            <v>2192.75</v>
          </cell>
          <cell r="N38">
            <v>307.25</v>
          </cell>
          <cell r="O38">
            <v>21575.229889999999</v>
          </cell>
          <cell r="P38">
            <v>8101.8401100000001</v>
          </cell>
          <cell r="Q38">
            <v>29677.07</v>
          </cell>
          <cell r="S38">
            <v>2500</v>
          </cell>
          <cell r="T38">
            <v>2192.75</v>
          </cell>
          <cell r="U38">
            <v>307.25</v>
          </cell>
          <cell r="V38">
            <v>10669.1612</v>
          </cell>
          <cell r="W38">
            <v>4006.4388000000004</v>
          </cell>
          <cell r="X38">
            <v>14675.6</v>
          </cell>
          <cell r="Z38">
            <v>2500</v>
          </cell>
          <cell r="AA38">
            <v>2192.75</v>
          </cell>
          <cell r="AB38">
            <v>307.25</v>
          </cell>
          <cell r="AC38">
            <v>11376.437689999999</v>
          </cell>
          <cell r="AD38">
            <v>4272.0323100000005</v>
          </cell>
          <cell r="AE38">
            <v>15648.47</v>
          </cell>
          <cell r="AG38">
            <v>2500</v>
          </cell>
          <cell r="AH38">
            <v>2192.75</v>
          </cell>
          <cell r="AI38">
            <v>307.25</v>
          </cell>
          <cell r="AJ38">
            <v>8901.7078799999999</v>
          </cell>
          <cell r="AK38">
            <v>3342.7321200000006</v>
          </cell>
          <cell r="AL38">
            <v>12244.44</v>
          </cell>
          <cell r="AN38">
            <v>2500</v>
          </cell>
          <cell r="AO38">
            <v>2192.75</v>
          </cell>
          <cell r="AP38">
            <v>307.25</v>
          </cell>
          <cell r="AQ38">
            <v>0</v>
          </cell>
          <cell r="AR38">
            <v>0</v>
          </cell>
          <cell r="AS38"/>
          <cell r="AU38">
            <v>2500</v>
          </cell>
          <cell r="AV38">
            <v>2192.75</v>
          </cell>
          <cell r="AW38">
            <v>307.25</v>
          </cell>
          <cell r="AX38">
            <v>0</v>
          </cell>
          <cell r="AY38">
            <v>0</v>
          </cell>
          <cell r="AZ38"/>
          <cell r="BB38">
            <v>2500</v>
          </cell>
          <cell r="BC38">
            <v>2192.75</v>
          </cell>
          <cell r="BD38">
            <v>307.25</v>
          </cell>
          <cell r="BE38">
            <v>0</v>
          </cell>
          <cell r="BF38">
            <v>0</v>
          </cell>
          <cell r="BG38"/>
          <cell r="BI38">
            <v>2500</v>
          </cell>
          <cell r="BJ38">
            <v>2192.75</v>
          </cell>
          <cell r="BK38">
            <v>307.25</v>
          </cell>
          <cell r="BL38">
            <v>0</v>
          </cell>
          <cell r="BM38">
            <v>0</v>
          </cell>
          <cell r="BN38"/>
          <cell r="BP38">
            <v>2500</v>
          </cell>
          <cell r="BQ38">
            <v>2192.75</v>
          </cell>
          <cell r="BR38">
            <v>307.25</v>
          </cell>
          <cell r="BS38">
            <v>0</v>
          </cell>
          <cell r="BT38">
            <v>0</v>
          </cell>
          <cell r="BU38"/>
          <cell r="BW38">
            <v>2500</v>
          </cell>
          <cell r="BX38">
            <v>2192.75</v>
          </cell>
          <cell r="BY38">
            <v>307.25</v>
          </cell>
          <cell r="BZ38">
            <v>0</v>
          </cell>
          <cell r="CA38">
            <v>0</v>
          </cell>
          <cell r="CB38"/>
          <cell r="CD38">
            <v>2500</v>
          </cell>
          <cell r="CE38">
            <v>2192.75</v>
          </cell>
          <cell r="CF38">
            <v>307.25</v>
          </cell>
          <cell r="CG38">
            <v>0</v>
          </cell>
          <cell r="CH38">
            <v>0</v>
          </cell>
          <cell r="CI38"/>
          <cell r="CK38">
            <v>2500</v>
          </cell>
          <cell r="CL38">
            <v>2192.75</v>
          </cell>
          <cell r="CM38">
            <v>307.25</v>
          </cell>
          <cell r="CN38">
            <v>0</v>
          </cell>
          <cell r="CO38">
            <v>0</v>
          </cell>
          <cell r="CP38"/>
        </row>
        <row r="39">
          <cell r="L39">
            <v>1250</v>
          </cell>
          <cell r="M39">
            <v>1096.375</v>
          </cell>
          <cell r="N39">
            <v>153.625</v>
          </cell>
          <cell r="O39">
            <v>508.14391999999998</v>
          </cell>
          <cell r="P39">
            <v>190.81608000000003</v>
          </cell>
          <cell r="Q39">
            <v>698.96</v>
          </cell>
          <cell r="S39">
            <v>1250</v>
          </cell>
          <cell r="T39">
            <v>1096.375</v>
          </cell>
          <cell r="U39">
            <v>153.625</v>
          </cell>
          <cell r="V39">
            <v>1075.96</v>
          </cell>
          <cell r="W39">
            <v>404.04</v>
          </cell>
          <cell r="X39">
            <v>1480</v>
          </cell>
          <cell r="Z39">
            <v>1250</v>
          </cell>
          <cell r="AA39">
            <v>1096.375</v>
          </cell>
          <cell r="AB39">
            <v>153.625</v>
          </cell>
          <cell r="AC39">
            <v>5668.3099500000008</v>
          </cell>
          <cell r="AD39">
            <v>2128.5400500000001</v>
          </cell>
          <cell r="AE39">
            <v>7796.85</v>
          </cell>
          <cell r="AG39">
            <v>1250</v>
          </cell>
          <cell r="AH39">
            <v>1096.375</v>
          </cell>
          <cell r="AI39">
            <v>153.625</v>
          </cell>
          <cell r="AJ39">
            <v>2698.0423999999998</v>
          </cell>
          <cell r="AK39">
            <v>1013.1576</v>
          </cell>
          <cell r="AL39">
            <v>3711.2</v>
          </cell>
          <cell r="AN39">
            <v>1250</v>
          </cell>
          <cell r="AO39">
            <v>1096.375</v>
          </cell>
          <cell r="AP39">
            <v>153.625</v>
          </cell>
          <cell r="AQ39">
            <v>0</v>
          </cell>
          <cell r="AR39">
            <v>0</v>
          </cell>
          <cell r="AS39"/>
          <cell r="AU39">
            <v>1250</v>
          </cell>
          <cell r="AV39">
            <v>1096.375</v>
          </cell>
          <cell r="AW39">
            <v>153.625</v>
          </cell>
          <cell r="AX39">
            <v>0</v>
          </cell>
          <cell r="AY39">
            <v>0</v>
          </cell>
          <cell r="AZ39"/>
          <cell r="BB39">
            <v>1250</v>
          </cell>
          <cell r="BC39">
            <v>1096.375</v>
          </cell>
          <cell r="BD39">
            <v>153.625</v>
          </cell>
          <cell r="BE39">
            <v>0</v>
          </cell>
          <cell r="BF39">
            <v>0</v>
          </cell>
          <cell r="BG39"/>
          <cell r="BI39">
            <v>1250</v>
          </cell>
          <cell r="BJ39">
            <v>1096.375</v>
          </cell>
          <cell r="BK39">
            <v>153.625</v>
          </cell>
          <cell r="BL39">
            <v>0</v>
          </cell>
          <cell r="BM39">
            <v>0</v>
          </cell>
          <cell r="BN39"/>
          <cell r="BP39">
            <v>1250</v>
          </cell>
          <cell r="BQ39">
            <v>1096.375</v>
          </cell>
          <cell r="BR39">
            <v>153.625</v>
          </cell>
          <cell r="BS39">
            <v>0</v>
          </cell>
          <cell r="BT39">
            <v>0</v>
          </cell>
          <cell r="BU39"/>
          <cell r="BW39">
            <v>1250</v>
          </cell>
          <cell r="BX39">
            <v>1096.375</v>
          </cell>
          <cell r="BY39">
            <v>153.625</v>
          </cell>
          <cell r="BZ39">
            <v>0</v>
          </cell>
          <cell r="CA39">
            <v>0</v>
          </cell>
          <cell r="CB39"/>
          <cell r="CD39">
            <v>1250</v>
          </cell>
          <cell r="CE39">
            <v>1096.375</v>
          </cell>
          <cell r="CF39">
            <v>153.625</v>
          </cell>
          <cell r="CG39">
            <v>0</v>
          </cell>
          <cell r="CH39">
            <v>0</v>
          </cell>
          <cell r="CI39"/>
          <cell r="CK39">
            <v>1250</v>
          </cell>
          <cell r="CL39">
            <v>1096.375</v>
          </cell>
          <cell r="CM39">
            <v>153.625</v>
          </cell>
          <cell r="CN39">
            <v>0</v>
          </cell>
          <cell r="CO39">
            <v>0</v>
          </cell>
          <cell r="CP39"/>
        </row>
        <row r="40">
          <cell r="L40">
            <v>7916.666666666667</v>
          </cell>
          <cell r="M40">
            <v>6943.7083333333339</v>
          </cell>
          <cell r="N40">
            <v>972.95833333333337</v>
          </cell>
          <cell r="O40">
            <v>3305.4872500000001</v>
          </cell>
          <cell r="P40">
            <v>1241.2627500000001</v>
          </cell>
          <cell r="Q40">
            <v>4546.75</v>
          </cell>
          <cell r="S40">
            <v>7916.666666666667</v>
          </cell>
          <cell r="T40">
            <v>6943.7083333333339</v>
          </cell>
          <cell r="U40">
            <v>972.95833333333337</v>
          </cell>
          <cell r="V40">
            <v>7384.1608100000003</v>
          </cell>
          <cell r="W40">
            <v>2772.8691900000003</v>
          </cell>
          <cell r="X40">
            <v>10157.030000000001</v>
          </cell>
          <cell r="Z40">
            <v>7916.666666666667</v>
          </cell>
          <cell r="AA40">
            <v>6943.7083333333339</v>
          </cell>
          <cell r="AB40">
            <v>972.95833333333337</v>
          </cell>
          <cell r="AC40">
            <v>6026.6409800000001</v>
          </cell>
          <cell r="AD40">
            <v>2263.0990200000001</v>
          </cell>
          <cell r="AE40">
            <v>8289.74</v>
          </cell>
          <cell r="AG40">
            <v>7916.666666666667</v>
          </cell>
          <cell r="AH40">
            <v>6943.7083333333339</v>
          </cell>
          <cell r="AI40">
            <v>972.95833333333337</v>
          </cell>
          <cell r="AJ40">
            <v>7220.9202299999997</v>
          </cell>
          <cell r="AK40">
            <v>2711.5697700000001</v>
          </cell>
          <cell r="AL40">
            <v>9932.49</v>
          </cell>
          <cell r="AN40">
            <v>7916.666666666667</v>
          </cell>
          <cell r="AO40">
            <v>6943.7083333333339</v>
          </cell>
          <cell r="AP40">
            <v>972.95833333333337</v>
          </cell>
          <cell r="AQ40">
            <v>0</v>
          </cell>
          <cell r="AR40">
            <v>0</v>
          </cell>
          <cell r="AS40"/>
          <cell r="AU40">
            <v>7916.666666666667</v>
          </cell>
          <cell r="AV40">
            <v>6943.7083333333339</v>
          </cell>
          <cell r="AW40">
            <v>972.95833333333337</v>
          </cell>
          <cell r="AX40">
            <v>0</v>
          </cell>
          <cell r="AY40">
            <v>0</v>
          </cell>
          <cell r="AZ40"/>
          <cell r="BB40">
            <v>7916.666666666667</v>
          </cell>
          <cell r="BC40">
            <v>6943.7083333333339</v>
          </cell>
          <cell r="BD40">
            <v>972.95833333333337</v>
          </cell>
          <cell r="BE40">
            <v>0</v>
          </cell>
          <cell r="BF40">
            <v>0</v>
          </cell>
          <cell r="BG40"/>
          <cell r="BI40">
            <v>7916.666666666667</v>
          </cell>
          <cell r="BJ40">
            <v>6943.7083333333339</v>
          </cell>
          <cell r="BK40">
            <v>972.95833333333337</v>
          </cell>
          <cell r="BL40">
            <v>0</v>
          </cell>
          <cell r="BM40">
            <v>0</v>
          </cell>
          <cell r="BN40"/>
          <cell r="BP40">
            <v>7916.666666666667</v>
          </cell>
          <cell r="BQ40">
            <v>6943.7083333333339</v>
          </cell>
          <cell r="BR40">
            <v>972.95833333333337</v>
          </cell>
          <cell r="BS40">
            <v>0</v>
          </cell>
          <cell r="BT40">
            <v>0</v>
          </cell>
          <cell r="BU40"/>
          <cell r="BW40">
            <v>7916.666666666667</v>
          </cell>
          <cell r="BX40">
            <v>6943.7083333333339</v>
          </cell>
          <cell r="BY40">
            <v>972.95833333333337</v>
          </cell>
          <cell r="BZ40">
            <v>0</v>
          </cell>
          <cell r="CA40">
            <v>0</v>
          </cell>
          <cell r="CB40"/>
          <cell r="CD40">
            <v>7916.666666666667</v>
          </cell>
          <cell r="CE40">
            <v>6943.7083333333339</v>
          </cell>
          <cell r="CF40">
            <v>972.95833333333337</v>
          </cell>
          <cell r="CG40">
            <v>0</v>
          </cell>
          <cell r="CH40">
            <v>0</v>
          </cell>
          <cell r="CI40"/>
          <cell r="CK40">
            <v>7916.666666666667</v>
          </cell>
          <cell r="CL40">
            <v>6943.7083333333339</v>
          </cell>
          <cell r="CM40">
            <v>972.95833333333337</v>
          </cell>
          <cell r="CN40">
            <v>0</v>
          </cell>
          <cell r="CO40">
            <v>0</v>
          </cell>
          <cell r="CP40"/>
        </row>
        <row r="41">
          <cell r="L41">
            <v>46250</v>
          </cell>
          <cell r="M41">
            <v>40565.875</v>
          </cell>
          <cell r="N41">
            <v>5684.125</v>
          </cell>
          <cell r="O41">
            <v>33623.75</v>
          </cell>
          <cell r="P41">
            <v>12626.250000000002</v>
          </cell>
          <cell r="Q41">
            <v>46250</v>
          </cell>
          <cell r="S41">
            <v>46250</v>
          </cell>
          <cell r="T41">
            <v>40565.875</v>
          </cell>
          <cell r="U41">
            <v>5684.125</v>
          </cell>
          <cell r="V41">
            <v>33623.75</v>
          </cell>
          <cell r="W41">
            <v>12626.250000000002</v>
          </cell>
          <cell r="X41">
            <v>46250</v>
          </cell>
          <cell r="Z41">
            <v>46250</v>
          </cell>
          <cell r="AA41">
            <v>40565.875</v>
          </cell>
          <cell r="AB41">
            <v>5684.125</v>
          </cell>
          <cell r="AC41">
            <v>33623.75</v>
          </cell>
          <cell r="AD41">
            <v>12626.250000000002</v>
          </cell>
          <cell r="AE41">
            <v>46250</v>
          </cell>
          <cell r="AG41">
            <v>46250</v>
          </cell>
          <cell r="AH41">
            <v>40565.875</v>
          </cell>
          <cell r="AI41">
            <v>5684.125</v>
          </cell>
          <cell r="AJ41">
            <v>33623.75</v>
          </cell>
          <cell r="AK41">
            <v>12626.250000000002</v>
          </cell>
          <cell r="AL41">
            <v>46250</v>
          </cell>
          <cell r="AN41">
            <v>46250</v>
          </cell>
          <cell r="AO41">
            <v>40565.875</v>
          </cell>
          <cell r="AP41">
            <v>5684.125</v>
          </cell>
          <cell r="AQ41">
            <v>0</v>
          </cell>
          <cell r="AR41">
            <v>0</v>
          </cell>
          <cell r="AS41"/>
          <cell r="AU41">
            <v>46250</v>
          </cell>
          <cell r="AV41">
            <v>40565.875</v>
          </cell>
          <cell r="AW41">
            <v>5684.125</v>
          </cell>
          <cell r="AX41">
            <v>0</v>
          </cell>
          <cell r="AY41">
            <v>0</v>
          </cell>
          <cell r="AZ41"/>
          <cell r="BB41">
            <v>46250</v>
          </cell>
          <cell r="BC41">
            <v>40565.875</v>
          </cell>
          <cell r="BD41">
            <v>5684.125</v>
          </cell>
          <cell r="BE41">
            <v>0</v>
          </cell>
          <cell r="BF41">
            <v>0</v>
          </cell>
          <cell r="BG41"/>
          <cell r="BI41">
            <v>46250</v>
          </cell>
          <cell r="BJ41">
            <v>40565.875</v>
          </cell>
          <cell r="BK41">
            <v>5684.125</v>
          </cell>
          <cell r="BL41">
            <v>0</v>
          </cell>
          <cell r="BM41">
            <v>0</v>
          </cell>
          <cell r="BN41"/>
          <cell r="BP41">
            <v>46250</v>
          </cell>
          <cell r="BQ41">
            <v>40565.875</v>
          </cell>
          <cell r="BR41">
            <v>5684.125</v>
          </cell>
          <cell r="BS41">
            <v>0</v>
          </cell>
          <cell r="BT41">
            <v>0</v>
          </cell>
          <cell r="BU41"/>
          <cell r="BW41">
            <v>46250</v>
          </cell>
          <cell r="BX41">
            <v>40565.875</v>
          </cell>
          <cell r="BY41">
            <v>5684.125</v>
          </cell>
          <cell r="BZ41">
            <v>0</v>
          </cell>
          <cell r="CA41">
            <v>0</v>
          </cell>
          <cell r="CB41"/>
          <cell r="CD41">
            <v>46250</v>
          </cell>
          <cell r="CE41">
            <v>40565.875</v>
          </cell>
          <cell r="CF41">
            <v>5684.125</v>
          </cell>
          <cell r="CG41">
            <v>0</v>
          </cell>
          <cell r="CH41">
            <v>0</v>
          </cell>
          <cell r="CI41"/>
          <cell r="CK41">
            <v>46250</v>
          </cell>
          <cell r="CL41">
            <v>40565.875</v>
          </cell>
          <cell r="CM41">
            <v>5684.125</v>
          </cell>
          <cell r="CN41">
            <v>0</v>
          </cell>
          <cell r="CO41">
            <v>0</v>
          </cell>
          <cell r="CP41"/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/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/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/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/>
        </row>
        <row r="43">
          <cell r="L43">
            <v>10044.000000000002</v>
          </cell>
          <cell r="M43">
            <v>8809.5924000000014</v>
          </cell>
          <cell r="N43">
            <v>1234.4076000000002</v>
          </cell>
          <cell r="O43">
            <v>8788.7829700000002</v>
          </cell>
          <cell r="P43">
            <v>3300.3270300000004</v>
          </cell>
          <cell r="Q43">
            <v>12089.11</v>
          </cell>
          <cell r="S43">
            <v>10044.000000000002</v>
          </cell>
          <cell r="T43">
            <v>8809.5924000000014</v>
          </cell>
          <cell r="U43">
            <v>1234.4076000000002</v>
          </cell>
          <cell r="V43">
            <v>7525.2933199999998</v>
          </cell>
          <cell r="W43">
            <v>2825.8666800000001</v>
          </cell>
          <cell r="X43">
            <v>10351.16</v>
          </cell>
          <cell r="Z43">
            <v>10044.000000000002</v>
          </cell>
          <cell r="AA43">
            <v>8809.5924000000014</v>
          </cell>
          <cell r="AB43">
            <v>1234.4076000000002</v>
          </cell>
          <cell r="AC43">
            <v>7858.899080000001</v>
          </cell>
          <cell r="AD43">
            <v>2951.1409200000003</v>
          </cell>
          <cell r="AE43">
            <v>10810.04</v>
          </cell>
          <cell r="AG43">
            <v>10044.000000000002</v>
          </cell>
          <cell r="AH43">
            <v>8809.5924000000014</v>
          </cell>
          <cell r="AI43">
            <v>1234.4076000000002</v>
          </cell>
          <cell r="AJ43">
            <v>8640.1696300000003</v>
          </cell>
          <cell r="AK43">
            <v>3244.5203700000002</v>
          </cell>
          <cell r="AL43">
            <v>11884.69</v>
          </cell>
          <cell r="AN43">
            <v>10044.000000000002</v>
          </cell>
          <cell r="AO43">
            <v>8809.5924000000014</v>
          </cell>
          <cell r="AP43">
            <v>1234.4076000000002</v>
          </cell>
          <cell r="AQ43">
            <v>0</v>
          </cell>
          <cell r="AR43">
            <v>0</v>
          </cell>
          <cell r="AS43"/>
          <cell r="AU43">
            <v>10044.000000000002</v>
          </cell>
          <cell r="AV43">
            <v>8809.5924000000014</v>
          </cell>
          <cell r="AW43">
            <v>1234.4076000000002</v>
          </cell>
          <cell r="AX43">
            <v>0</v>
          </cell>
          <cell r="AY43">
            <v>0</v>
          </cell>
          <cell r="AZ43"/>
          <cell r="BB43">
            <v>10044.000000000002</v>
          </cell>
          <cell r="BC43">
            <v>8809.5924000000014</v>
          </cell>
          <cell r="BD43">
            <v>1234.4076000000002</v>
          </cell>
          <cell r="BE43">
            <v>0</v>
          </cell>
          <cell r="BF43">
            <v>0</v>
          </cell>
          <cell r="BG43"/>
          <cell r="BI43">
            <v>10044.000000000002</v>
          </cell>
          <cell r="BJ43">
            <v>8809.5924000000014</v>
          </cell>
          <cell r="BK43">
            <v>1234.4076000000002</v>
          </cell>
          <cell r="BL43">
            <v>0</v>
          </cell>
          <cell r="BM43">
            <v>0</v>
          </cell>
          <cell r="BN43"/>
          <cell r="BP43">
            <v>10044.000000000002</v>
          </cell>
          <cell r="BQ43">
            <v>8809.5924000000014</v>
          </cell>
          <cell r="BR43">
            <v>1234.4076000000002</v>
          </cell>
          <cell r="BS43">
            <v>0</v>
          </cell>
          <cell r="BT43">
            <v>0</v>
          </cell>
          <cell r="BU43"/>
          <cell r="BW43">
            <v>10044.000000000002</v>
          </cell>
          <cell r="BX43">
            <v>8809.5924000000014</v>
          </cell>
          <cell r="BY43">
            <v>1234.4076000000002</v>
          </cell>
          <cell r="BZ43">
            <v>0</v>
          </cell>
          <cell r="CA43">
            <v>0</v>
          </cell>
          <cell r="CB43"/>
          <cell r="CD43">
            <v>10044.000000000002</v>
          </cell>
          <cell r="CE43">
            <v>8809.5924000000014</v>
          </cell>
          <cell r="CF43">
            <v>1234.4076000000002</v>
          </cell>
          <cell r="CG43">
            <v>0</v>
          </cell>
          <cell r="CH43">
            <v>0</v>
          </cell>
          <cell r="CI43"/>
          <cell r="CK43">
            <v>10044.000000000002</v>
          </cell>
          <cell r="CL43">
            <v>8809.5924000000014</v>
          </cell>
          <cell r="CM43">
            <v>1234.4076000000002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5833.333333333333</v>
          </cell>
          <cell r="M48">
            <v>5116.4166666666661</v>
          </cell>
          <cell r="N48">
            <v>716.91666666666663</v>
          </cell>
          <cell r="O48">
            <v>4650.7353199999998</v>
          </cell>
          <cell r="P48">
            <v>1746.4246800000001</v>
          </cell>
          <cell r="Q48">
            <v>6397.16</v>
          </cell>
          <cell r="S48">
            <v>5833.333333333333</v>
          </cell>
          <cell r="T48">
            <v>5116.4166666666661</v>
          </cell>
          <cell r="U48">
            <v>716.91666666666663</v>
          </cell>
          <cell r="V48">
            <v>6367.6621399999995</v>
          </cell>
          <cell r="W48">
            <v>2391.1578600000003</v>
          </cell>
          <cell r="X48">
            <v>8758.82</v>
          </cell>
          <cell r="Z48">
            <v>5833.333333333333</v>
          </cell>
          <cell r="AA48">
            <v>5116.4166666666661</v>
          </cell>
          <cell r="AB48">
            <v>716.91666666666663</v>
          </cell>
          <cell r="AC48">
            <v>3991.9788099999996</v>
          </cell>
          <cell r="AD48">
            <v>1499.0511900000001</v>
          </cell>
          <cell r="AE48">
            <v>5491.03</v>
          </cell>
          <cell r="AG48">
            <v>5833.333333333333</v>
          </cell>
          <cell r="AH48">
            <v>5116.4166666666661</v>
          </cell>
          <cell r="AI48">
            <v>716.91666666666663</v>
          </cell>
          <cell r="AJ48">
            <v>1976.0441599999999</v>
          </cell>
          <cell r="AK48">
            <v>742.03584000000001</v>
          </cell>
          <cell r="AL48">
            <v>2718.08</v>
          </cell>
          <cell r="AN48">
            <v>5833.333333333333</v>
          </cell>
          <cell r="AO48">
            <v>5116.4166666666661</v>
          </cell>
          <cell r="AP48">
            <v>716.91666666666663</v>
          </cell>
          <cell r="AQ48">
            <v>0</v>
          </cell>
          <cell r="AR48">
            <v>0</v>
          </cell>
          <cell r="AS48"/>
          <cell r="AU48">
            <v>5833.333333333333</v>
          </cell>
          <cell r="AV48">
            <v>5116.4166666666661</v>
          </cell>
          <cell r="AW48">
            <v>716.91666666666663</v>
          </cell>
          <cell r="AX48">
            <v>0</v>
          </cell>
          <cell r="AY48">
            <v>0</v>
          </cell>
          <cell r="AZ48"/>
          <cell r="BB48">
            <v>5833.333333333333</v>
          </cell>
          <cell r="BC48">
            <v>5116.4166666666661</v>
          </cell>
          <cell r="BD48">
            <v>716.91666666666663</v>
          </cell>
          <cell r="BE48">
            <v>0</v>
          </cell>
          <cell r="BF48">
            <v>0</v>
          </cell>
          <cell r="BG48"/>
          <cell r="BI48">
            <v>5833.333333333333</v>
          </cell>
          <cell r="BJ48">
            <v>5116.4166666666661</v>
          </cell>
          <cell r="BK48">
            <v>716.91666666666663</v>
          </cell>
          <cell r="BL48">
            <v>0</v>
          </cell>
          <cell r="BM48">
            <v>0</v>
          </cell>
          <cell r="BN48"/>
          <cell r="BP48">
            <v>5833.333333333333</v>
          </cell>
          <cell r="BQ48">
            <v>5116.4166666666661</v>
          </cell>
          <cell r="BR48">
            <v>716.91666666666663</v>
          </cell>
          <cell r="BS48">
            <v>0</v>
          </cell>
          <cell r="BT48">
            <v>0</v>
          </cell>
          <cell r="BU48"/>
          <cell r="BW48">
            <v>5833.333333333333</v>
          </cell>
          <cell r="BX48">
            <v>5116.4166666666661</v>
          </cell>
          <cell r="BY48">
            <v>716.91666666666663</v>
          </cell>
          <cell r="BZ48">
            <v>0</v>
          </cell>
          <cell r="CA48">
            <v>0</v>
          </cell>
          <cell r="CB48"/>
          <cell r="CD48">
            <v>5833.333333333333</v>
          </cell>
          <cell r="CE48">
            <v>5116.4166666666661</v>
          </cell>
          <cell r="CF48">
            <v>716.91666666666663</v>
          </cell>
          <cell r="CG48">
            <v>0</v>
          </cell>
          <cell r="CH48">
            <v>0</v>
          </cell>
          <cell r="CI48"/>
          <cell r="CK48">
            <v>5833.333333333333</v>
          </cell>
          <cell r="CL48">
            <v>5116.4166666666661</v>
          </cell>
          <cell r="CM48">
            <v>716.91666666666663</v>
          </cell>
          <cell r="CN48">
            <v>0</v>
          </cell>
          <cell r="CO48">
            <v>0</v>
          </cell>
          <cell r="CP48"/>
        </row>
        <row r="49">
          <cell r="L49">
            <v>13125</v>
          </cell>
          <cell r="M49">
            <v>11511.9375</v>
          </cell>
          <cell r="N49">
            <v>1613.0625</v>
          </cell>
          <cell r="O49">
            <v>15546.88773</v>
          </cell>
          <cell r="P49">
            <v>5838.1022700000012</v>
          </cell>
          <cell r="Q49">
            <v>21384.99</v>
          </cell>
          <cell r="S49">
            <v>13125</v>
          </cell>
          <cell r="T49">
            <v>11511.9375</v>
          </cell>
          <cell r="U49">
            <v>1613.0625</v>
          </cell>
          <cell r="V49">
            <v>11423.07474</v>
          </cell>
          <cell r="W49">
            <v>4289.5452599999999</v>
          </cell>
          <cell r="X49">
            <v>15712.619999999999</v>
          </cell>
          <cell r="Z49">
            <v>13125</v>
          </cell>
          <cell r="AA49">
            <v>11511.9375</v>
          </cell>
          <cell r="AB49">
            <v>1613.0625</v>
          </cell>
          <cell r="AC49">
            <v>10087.931969999998</v>
          </cell>
          <cell r="AD49">
            <v>3788.17803</v>
          </cell>
          <cell r="AE49">
            <v>13876.109999999999</v>
          </cell>
          <cell r="AG49">
            <v>13125</v>
          </cell>
          <cell r="AH49">
            <v>11511.9375</v>
          </cell>
          <cell r="AI49">
            <v>1613.0625</v>
          </cell>
          <cell r="AJ49">
            <v>10467.026119999999</v>
          </cell>
          <cell r="AK49">
            <v>3930.5338799999995</v>
          </cell>
          <cell r="AL49">
            <v>14397.559999999998</v>
          </cell>
          <cell r="AN49">
            <v>13125</v>
          </cell>
          <cell r="AO49">
            <v>11511.9375</v>
          </cell>
          <cell r="AP49">
            <v>1613.0625</v>
          </cell>
          <cell r="AQ49">
            <v>0</v>
          </cell>
          <cell r="AR49">
            <v>0</v>
          </cell>
          <cell r="AS49"/>
          <cell r="AU49">
            <v>13125</v>
          </cell>
          <cell r="AV49">
            <v>11511.9375</v>
          </cell>
          <cell r="AW49">
            <v>1613.0625</v>
          </cell>
          <cell r="AX49">
            <v>0</v>
          </cell>
          <cell r="AY49">
            <v>0</v>
          </cell>
          <cell r="AZ49"/>
          <cell r="BB49">
            <v>13125</v>
          </cell>
          <cell r="BC49">
            <v>11511.9375</v>
          </cell>
          <cell r="BD49">
            <v>1613.0625</v>
          </cell>
          <cell r="BE49">
            <v>0</v>
          </cell>
          <cell r="BF49">
            <v>0</v>
          </cell>
          <cell r="BG49"/>
          <cell r="BI49">
            <v>13125</v>
          </cell>
          <cell r="BJ49">
            <v>11511.9375</v>
          </cell>
          <cell r="BK49">
            <v>1613.0625</v>
          </cell>
          <cell r="BL49">
            <v>0</v>
          </cell>
          <cell r="BM49">
            <v>0</v>
          </cell>
          <cell r="BN49"/>
          <cell r="BP49">
            <v>13125</v>
          </cell>
          <cell r="BQ49">
            <v>11511.9375</v>
          </cell>
          <cell r="BR49">
            <v>1613.0625</v>
          </cell>
          <cell r="BS49">
            <v>0</v>
          </cell>
          <cell r="BT49">
            <v>0</v>
          </cell>
          <cell r="BU49"/>
          <cell r="BW49">
            <v>13125</v>
          </cell>
          <cell r="BX49">
            <v>11511.9375</v>
          </cell>
          <cell r="BY49">
            <v>1613.0625</v>
          </cell>
          <cell r="BZ49">
            <v>0</v>
          </cell>
          <cell r="CA49">
            <v>0</v>
          </cell>
          <cell r="CB49"/>
          <cell r="CD49">
            <v>13125</v>
          </cell>
          <cell r="CE49">
            <v>11511.9375</v>
          </cell>
          <cell r="CF49">
            <v>1613.0625</v>
          </cell>
          <cell r="CG49">
            <v>0</v>
          </cell>
          <cell r="CH49">
            <v>0</v>
          </cell>
          <cell r="CI49"/>
          <cell r="CK49">
            <v>13125</v>
          </cell>
          <cell r="CL49">
            <v>11511.9375</v>
          </cell>
          <cell r="CM49">
            <v>1613.0625</v>
          </cell>
          <cell r="CN49">
            <v>0</v>
          </cell>
          <cell r="CO49">
            <v>0</v>
          </cell>
          <cell r="CP49"/>
        </row>
        <row r="50">
          <cell r="L50">
            <v>1195.1500000000001</v>
          </cell>
          <cell r="M50">
            <v>1048.266065</v>
          </cell>
          <cell r="N50">
            <v>146.88393500000001</v>
          </cell>
          <cell r="O50">
            <v>812.32071999999994</v>
          </cell>
          <cell r="P50">
            <v>305.03928000000002</v>
          </cell>
          <cell r="Q50">
            <v>1117.3599999999999</v>
          </cell>
          <cell r="S50">
            <v>1195.1500000000001</v>
          </cell>
          <cell r="T50">
            <v>1048.266065</v>
          </cell>
          <cell r="U50">
            <v>146.88393500000001</v>
          </cell>
          <cell r="V50">
            <v>940.71618999999998</v>
          </cell>
          <cell r="W50">
            <v>353.25381000000004</v>
          </cell>
          <cell r="X50">
            <v>1293.97</v>
          </cell>
          <cell r="Z50">
            <v>1195.1500000000001</v>
          </cell>
          <cell r="AA50">
            <v>1048.266065</v>
          </cell>
          <cell r="AB50">
            <v>146.88393500000001</v>
          </cell>
          <cell r="AC50">
            <v>1658.9194899999998</v>
          </cell>
          <cell r="AD50">
            <v>622.95051000000001</v>
          </cell>
          <cell r="AE50">
            <v>2281.87</v>
          </cell>
          <cell r="AG50">
            <v>1195.1500000000001</v>
          </cell>
          <cell r="AH50">
            <v>1048.266065</v>
          </cell>
          <cell r="AI50">
            <v>146.88393500000001</v>
          </cell>
          <cell r="AJ50">
            <v>768.22090000000003</v>
          </cell>
          <cell r="AK50">
            <v>288.47910000000002</v>
          </cell>
          <cell r="AL50">
            <v>1056.7</v>
          </cell>
          <cell r="AN50">
            <v>1195.1500000000001</v>
          </cell>
          <cell r="AO50">
            <v>1048.266065</v>
          </cell>
          <cell r="AP50">
            <v>146.88393500000001</v>
          </cell>
          <cell r="AQ50">
            <v>0</v>
          </cell>
          <cell r="AR50">
            <v>0</v>
          </cell>
          <cell r="AS50"/>
          <cell r="AU50">
            <v>1195.1500000000001</v>
          </cell>
          <cell r="AV50">
            <v>1048.266065</v>
          </cell>
          <cell r="AW50">
            <v>146.88393500000001</v>
          </cell>
          <cell r="AX50">
            <v>0</v>
          </cell>
          <cell r="AY50">
            <v>0</v>
          </cell>
          <cell r="AZ50"/>
          <cell r="BB50">
            <v>1195.1500000000001</v>
          </cell>
          <cell r="BC50">
            <v>1048.266065</v>
          </cell>
          <cell r="BD50">
            <v>146.88393500000001</v>
          </cell>
          <cell r="BE50">
            <v>0</v>
          </cell>
          <cell r="BF50">
            <v>0</v>
          </cell>
          <cell r="BG50"/>
          <cell r="BI50">
            <v>1195.1500000000001</v>
          </cell>
          <cell r="BJ50">
            <v>1048.266065</v>
          </cell>
          <cell r="BK50">
            <v>146.88393500000001</v>
          </cell>
          <cell r="BL50">
            <v>0</v>
          </cell>
          <cell r="BM50">
            <v>0</v>
          </cell>
          <cell r="BN50"/>
          <cell r="BP50">
            <v>1195.1500000000001</v>
          </cell>
          <cell r="BQ50">
            <v>1048.266065</v>
          </cell>
          <cell r="BR50">
            <v>146.88393500000001</v>
          </cell>
          <cell r="BS50">
            <v>0</v>
          </cell>
          <cell r="BT50">
            <v>0</v>
          </cell>
          <cell r="BU50"/>
          <cell r="BW50">
            <v>1195.1500000000001</v>
          </cell>
          <cell r="BX50">
            <v>1048.266065</v>
          </cell>
          <cell r="BY50">
            <v>146.88393500000001</v>
          </cell>
          <cell r="BZ50">
            <v>0</v>
          </cell>
          <cell r="CA50">
            <v>0</v>
          </cell>
          <cell r="CB50"/>
          <cell r="CD50">
            <v>1195.1500000000001</v>
          </cell>
          <cell r="CE50">
            <v>1048.266065</v>
          </cell>
          <cell r="CF50">
            <v>146.88393500000001</v>
          </cell>
          <cell r="CG50">
            <v>0</v>
          </cell>
          <cell r="CH50">
            <v>0</v>
          </cell>
          <cell r="CI50"/>
          <cell r="CK50">
            <v>1195.1500000000001</v>
          </cell>
          <cell r="CL50">
            <v>1048.266065</v>
          </cell>
          <cell r="CM50">
            <v>146.88393500000001</v>
          </cell>
          <cell r="CN50">
            <v>0</v>
          </cell>
          <cell r="CO50">
            <v>0</v>
          </cell>
          <cell r="CP50"/>
        </row>
        <row r="51">
          <cell r="L51">
            <v>898.290525</v>
          </cell>
          <cell r="M51">
            <v>787.89061947749997</v>
          </cell>
          <cell r="N51">
            <v>110.39990552249999</v>
          </cell>
          <cell r="O51">
            <v>703.99045000000001</v>
          </cell>
          <cell r="P51">
            <v>264.35955000000001</v>
          </cell>
          <cell r="Q51">
            <v>968.35</v>
          </cell>
          <cell r="S51">
            <v>898.290525</v>
          </cell>
          <cell r="T51">
            <v>787.89061947749997</v>
          </cell>
          <cell r="U51">
            <v>110.39990552249999</v>
          </cell>
          <cell r="V51">
            <v>629.97457999999995</v>
          </cell>
          <cell r="W51">
            <v>236.56542000000002</v>
          </cell>
          <cell r="X51">
            <v>866.54</v>
          </cell>
          <cell r="Z51">
            <v>898.290525</v>
          </cell>
          <cell r="AA51">
            <v>787.89061947749997</v>
          </cell>
          <cell r="AB51">
            <v>110.39990552249999</v>
          </cell>
          <cell r="AC51">
            <v>585.92565000000002</v>
          </cell>
          <cell r="AD51">
            <v>220.02435000000003</v>
          </cell>
          <cell r="AE51">
            <v>805.95</v>
          </cell>
          <cell r="AG51">
            <v>898.290525</v>
          </cell>
          <cell r="AH51">
            <v>787.89061947749997</v>
          </cell>
          <cell r="AI51">
            <v>110.39990552249999</v>
          </cell>
          <cell r="AJ51">
            <v>781.40140999999994</v>
          </cell>
          <cell r="AK51">
            <v>293.42858999999999</v>
          </cell>
          <cell r="AL51">
            <v>1074.83</v>
          </cell>
          <cell r="AN51">
            <v>898.290525</v>
          </cell>
          <cell r="AO51">
            <v>787.89061947749997</v>
          </cell>
          <cell r="AP51">
            <v>110.39990552249999</v>
          </cell>
          <cell r="AQ51">
            <v>0</v>
          </cell>
          <cell r="AR51">
            <v>0</v>
          </cell>
          <cell r="AS51"/>
          <cell r="AU51">
            <v>898.290525</v>
          </cell>
          <cell r="AV51">
            <v>787.89061947749997</v>
          </cell>
          <cell r="AW51">
            <v>110.39990552249999</v>
          </cell>
          <cell r="AX51">
            <v>0</v>
          </cell>
          <cell r="AY51">
            <v>0</v>
          </cell>
          <cell r="AZ51"/>
          <cell r="BB51">
            <v>898.290525</v>
          </cell>
          <cell r="BC51">
            <v>787.89061947749997</v>
          </cell>
          <cell r="BD51">
            <v>110.39990552249999</v>
          </cell>
          <cell r="BE51">
            <v>0</v>
          </cell>
          <cell r="BF51">
            <v>0</v>
          </cell>
          <cell r="BG51"/>
          <cell r="BI51">
            <v>898.290525</v>
          </cell>
          <cell r="BJ51">
            <v>787.89061947749997</v>
          </cell>
          <cell r="BK51">
            <v>110.39990552249999</v>
          </cell>
          <cell r="BL51">
            <v>0</v>
          </cell>
          <cell r="BM51">
            <v>0</v>
          </cell>
          <cell r="BN51"/>
          <cell r="BP51">
            <v>898.290525</v>
          </cell>
          <cell r="BQ51">
            <v>787.89061947749997</v>
          </cell>
          <cell r="BR51">
            <v>110.39990552249999</v>
          </cell>
          <cell r="BS51">
            <v>0</v>
          </cell>
          <cell r="BT51">
            <v>0</v>
          </cell>
          <cell r="BU51"/>
          <cell r="BW51">
            <v>898.290525</v>
          </cell>
          <cell r="BX51">
            <v>787.89061947749997</v>
          </cell>
          <cell r="BY51">
            <v>110.39990552249999</v>
          </cell>
          <cell r="BZ51">
            <v>0</v>
          </cell>
          <cell r="CA51">
            <v>0</v>
          </cell>
          <cell r="CB51"/>
          <cell r="CD51">
            <v>898.290525</v>
          </cell>
          <cell r="CE51">
            <v>787.89061947749997</v>
          </cell>
          <cell r="CF51">
            <v>110.39990552249999</v>
          </cell>
          <cell r="CG51">
            <v>0</v>
          </cell>
          <cell r="CH51">
            <v>0</v>
          </cell>
          <cell r="CI51"/>
          <cell r="CK51">
            <v>898.290525</v>
          </cell>
          <cell r="CL51">
            <v>787.89061947749997</v>
          </cell>
          <cell r="CM51">
            <v>110.39990552249999</v>
          </cell>
          <cell r="CN51">
            <v>0</v>
          </cell>
          <cell r="CO51">
            <v>0</v>
          </cell>
          <cell r="CP51"/>
        </row>
        <row r="52">
          <cell r="L52">
            <v>3333.3333333333335</v>
          </cell>
          <cell r="M52">
            <v>2923.666666666667</v>
          </cell>
          <cell r="N52">
            <v>409.66666666666669</v>
          </cell>
          <cell r="O52">
            <v>15880.398980000002</v>
          </cell>
          <cell r="P52">
            <v>5963.3410200000008</v>
          </cell>
          <cell r="Q52">
            <v>21843.74</v>
          </cell>
          <cell r="S52">
            <v>3333.3333333333335</v>
          </cell>
          <cell r="T52">
            <v>2923.666666666667</v>
          </cell>
          <cell r="U52">
            <v>409.66666666666669</v>
          </cell>
          <cell r="V52">
            <v>37623.456819999999</v>
          </cell>
          <cell r="W52">
            <v>14128.203180000002</v>
          </cell>
          <cell r="X52">
            <v>51751.66</v>
          </cell>
          <cell r="Z52">
            <v>3333.3333333333335</v>
          </cell>
          <cell r="AA52">
            <v>2923.666666666667</v>
          </cell>
          <cell r="AB52">
            <v>409.66666666666669</v>
          </cell>
          <cell r="AC52">
            <v>25018.46183</v>
          </cell>
          <cell r="AD52">
            <v>9394.8281700000007</v>
          </cell>
          <cell r="AE52">
            <v>34413.29</v>
          </cell>
          <cell r="AG52">
            <v>3333.3333333333335</v>
          </cell>
          <cell r="AH52">
            <v>2923.666666666667</v>
          </cell>
          <cell r="AI52">
            <v>409.66666666666669</v>
          </cell>
          <cell r="AJ52">
            <v>9045.87925</v>
          </cell>
          <cell r="AK52">
            <v>3396.87075</v>
          </cell>
          <cell r="AL52">
            <v>12442.75</v>
          </cell>
          <cell r="AN52">
            <v>3333.3333333333335</v>
          </cell>
          <cell r="AO52">
            <v>2923.666666666667</v>
          </cell>
          <cell r="AP52">
            <v>409.66666666666669</v>
          </cell>
          <cell r="AQ52">
            <v>0</v>
          </cell>
          <cell r="AR52">
            <v>0</v>
          </cell>
          <cell r="AS52"/>
          <cell r="AU52">
            <v>3333.3333333333335</v>
          </cell>
          <cell r="AV52">
            <v>2923.666666666667</v>
          </cell>
          <cell r="AW52">
            <v>409.66666666666669</v>
          </cell>
          <cell r="AX52">
            <v>0</v>
          </cell>
          <cell r="AY52">
            <v>0</v>
          </cell>
          <cell r="AZ52"/>
          <cell r="BB52">
            <v>3333.3333333333335</v>
          </cell>
          <cell r="BC52">
            <v>2923.666666666667</v>
          </cell>
          <cell r="BD52">
            <v>409.66666666666669</v>
          </cell>
          <cell r="BE52">
            <v>0</v>
          </cell>
          <cell r="BF52">
            <v>0</v>
          </cell>
          <cell r="BG52"/>
          <cell r="BI52">
            <v>3333.3333333333335</v>
          </cell>
          <cell r="BJ52">
            <v>2923.666666666667</v>
          </cell>
          <cell r="BK52">
            <v>409.66666666666669</v>
          </cell>
          <cell r="BL52">
            <v>0</v>
          </cell>
          <cell r="BM52">
            <v>0</v>
          </cell>
          <cell r="BN52"/>
          <cell r="BP52">
            <v>3333.3333333333335</v>
          </cell>
          <cell r="BQ52">
            <v>2923.666666666667</v>
          </cell>
          <cell r="BR52">
            <v>409.66666666666669</v>
          </cell>
          <cell r="BS52">
            <v>0</v>
          </cell>
          <cell r="BT52">
            <v>0</v>
          </cell>
          <cell r="BU52"/>
          <cell r="BW52">
            <v>3333.3333333333335</v>
          </cell>
          <cell r="BX52">
            <v>2923.666666666667</v>
          </cell>
          <cell r="BY52">
            <v>409.66666666666669</v>
          </cell>
          <cell r="BZ52">
            <v>0</v>
          </cell>
          <cell r="CA52">
            <v>0</v>
          </cell>
          <cell r="CB52"/>
          <cell r="CD52">
            <v>3333.3333333333335</v>
          </cell>
          <cell r="CE52">
            <v>2923.666666666667</v>
          </cell>
          <cell r="CF52">
            <v>409.66666666666669</v>
          </cell>
          <cell r="CG52">
            <v>0</v>
          </cell>
          <cell r="CH52">
            <v>0</v>
          </cell>
          <cell r="CI52"/>
          <cell r="CK52">
            <v>3333.3333333333335</v>
          </cell>
          <cell r="CL52">
            <v>2923.666666666667</v>
          </cell>
          <cell r="CM52">
            <v>409.66666666666669</v>
          </cell>
          <cell r="CN52">
            <v>0</v>
          </cell>
          <cell r="CO52">
            <v>0</v>
          </cell>
          <cell r="CP52"/>
        </row>
        <row r="53">
          <cell r="L53">
            <v>5000</v>
          </cell>
          <cell r="M53">
            <v>4385.5</v>
          </cell>
          <cell r="N53">
            <v>614.5</v>
          </cell>
          <cell r="O53">
            <v>0</v>
          </cell>
          <cell r="P53">
            <v>0</v>
          </cell>
          <cell r="Q53"/>
          <cell r="S53">
            <v>5000</v>
          </cell>
          <cell r="T53">
            <v>4385.5</v>
          </cell>
          <cell r="U53">
            <v>614.5</v>
          </cell>
          <cell r="V53">
            <v>20191.530790000001</v>
          </cell>
          <cell r="W53">
            <v>7582.2392100000006</v>
          </cell>
          <cell r="X53">
            <v>27773.77</v>
          </cell>
          <cell r="Z53">
            <v>5000</v>
          </cell>
          <cell r="AA53">
            <v>4385.5</v>
          </cell>
          <cell r="AB53">
            <v>614.5</v>
          </cell>
          <cell r="AC53">
            <v>1411.1360799999998</v>
          </cell>
          <cell r="AD53">
            <v>529.90392000000008</v>
          </cell>
          <cell r="AE53">
            <v>1941.04</v>
          </cell>
          <cell r="AG53">
            <v>5000</v>
          </cell>
          <cell r="AH53">
            <v>4385.5</v>
          </cell>
          <cell r="AI53">
            <v>614.5</v>
          </cell>
          <cell r="AJ53">
            <v>208.73624000000001</v>
          </cell>
          <cell r="AK53">
            <v>78.383760000000009</v>
          </cell>
          <cell r="AL53">
            <v>287.12</v>
          </cell>
          <cell r="AN53">
            <v>5000</v>
          </cell>
          <cell r="AO53">
            <v>4385.5</v>
          </cell>
          <cell r="AP53">
            <v>614.5</v>
          </cell>
          <cell r="AQ53">
            <v>0</v>
          </cell>
          <cell r="AR53">
            <v>0</v>
          </cell>
          <cell r="AS53"/>
          <cell r="AU53">
            <v>5000</v>
          </cell>
          <cell r="AV53">
            <v>4385.5</v>
          </cell>
          <cell r="AW53">
            <v>614.5</v>
          </cell>
          <cell r="AX53">
            <v>0</v>
          </cell>
          <cell r="AY53">
            <v>0</v>
          </cell>
          <cell r="AZ53"/>
          <cell r="BB53">
            <v>5000</v>
          </cell>
          <cell r="BC53">
            <v>4385.5</v>
          </cell>
          <cell r="BD53">
            <v>614.5</v>
          </cell>
          <cell r="BE53">
            <v>0</v>
          </cell>
          <cell r="BF53">
            <v>0</v>
          </cell>
          <cell r="BG53"/>
          <cell r="BI53">
            <v>5000</v>
          </cell>
          <cell r="BJ53">
            <v>4385.5</v>
          </cell>
          <cell r="BK53">
            <v>614.5</v>
          </cell>
          <cell r="BL53">
            <v>0</v>
          </cell>
          <cell r="BM53">
            <v>0</v>
          </cell>
          <cell r="BN53"/>
          <cell r="BP53">
            <v>5000</v>
          </cell>
          <cell r="BQ53">
            <v>4385.5</v>
          </cell>
          <cell r="BR53">
            <v>614.5</v>
          </cell>
          <cell r="BS53">
            <v>0</v>
          </cell>
          <cell r="BT53">
            <v>0</v>
          </cell>
          <cell r="BU53"/>
          <cell r="BW53">
            <v>5000</v>
          </cell>
          <cell r="BX53">
            <v>4385.5</v>
          </cell>
          <cell r="BY53">
            <v>614.5</v>
          </cell>
          <cell r="BZ53">
            <v>0</v>
          </cell>
          <cell r="CA53">
            <v>0</v>
          </cell>
          <cell r="CB53"/>
          <cell r="CD53">
            <v>5000</v>
          </cell>
          <cell r="CE53">
            <v>4385.5</v>
          </cell>
          <cell r="CF53">
            <v>614.5</v>
          </cell>
          <cell r="CG53">
            <v>0</v>
          </cell>
          <cell r="CH53">
            <v>0</v>
          </cell>
          <cell r="CI53"/>
          <cell r="CK53">
            <v>5000</v>
          </cell>
          <cell r="CL53">
            <v>4385.5</v>
          </cell>
          <cell r="CM53">
            <v>614.5</v>
          </cell>
          <cell r="CN53">
            <v>0</v>
          </cell>
          <cell r="CO53">
            <v>0</v>
          </cell>
          <cell r="CP53"/>
        </row>
        <row r="54">
          <cell r="L54">
            <v>52466.574999999997</v>
          </cell>
          <cell r="M54">
            <v>46018.4329325</v>
          </cell>
          <cell r="N54">
            <v>6448.142067499999</v>
          </cell>
          <cell r="O54">
            <v>13256.990400000001</v>
          </cell>
          <cell r="P54">
            <v>4978.2096000000001</v>
          </cell>
          <cell r="Q54">
            <v>18235.2</v>
          </cell>
          <cell r="S54">
            <v>52466.574999999997</v>
          </cell>
          <cell r="T54">
            <v>46018.4329325</v>
          </cell>
          <cell r="U54">
            <v>6448.142067499999</v>
          </cell>
          <cell r="V54">
            <v>49923.831539999992</v>
          </cell>
          <cell r="W54">
            <v>18747.188459999998</v>
          </cell>
          <cell r="X54">
            <v>68671.01999999999</v>
          </cell>
          <cell r="Z54">
            <v>52466.574999999997</v>
          </cell>
          <cell r="AA54">
            <v>46018.4329325</v>
          </cell>
          <cell r="AB54">
            <v>6448.142067499999</v>
          </cell>
          <cell r="AC54">
            <v>40461.606660000049</v>
          </cell>
          <cell r="AD54">
            <v>15193.973340000022</v>
          </cell>
          <cell r="AE54">
            <v>55655.580000000075</v>
          </cell>
          <cell r="AG54">
            <v>52466.574999999997</v>
          </cell>
          <cell r="AH54">
            <v>46018.4329325</v>
          </cell>
          <cell r="AI54">
            <v>6448.142067499999</v>
          </cell>
          <cell r="AJ54">
            <v>103792.02338999987</v>
          </cell>
          <cell r="AK54">
            <v>38975.546609999954</v>
          </cell>
          <cell r="AL54">
            <v>142767.56999999983</v>
          </cell>
          <cell r="AN54">
            <v>52466.574999999997</v>
          </cell>
          <cell r="AO54">
            <v>46018.4329325</v>
          </cell>
          <cell r="AP54">
            <v>6448.142067499999</v>
          </cell>
          <cell r="AQ54">
            <v>0</v>
          </cell>
          <cell r="AR54">
            <v>0</v>
          </cell>
          <cell r="AS54"/>
          <cell r="AU54">
            <v>52466.574999999997</v>
          </cell>
          <cell r="AV54">
            <v>46018.4329325</v>
          </cell>
          <cell r="AW54">
            <v>6448.142067499999</v>
          </cell>
          <cell r="AX54">
            <v>0</v>
          </cell>
          <cell r="AY54">
            <v>0</v>
          </cell>
          <cell r="AZ54"/>
          <cell r="BB54">
            <v>52466.574999999997</v>
          </cell>
          <cell r="BC54">
            <v>46018.4329325</v>
          </cell>
          <cell r="BD54">
            <v>6448.142067499999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-31567.863321799308</v>
          </cell>
          <cell r="M56">
            <v>-27688.172919550172</v>
          </cell>
          <cell r="N56">
            <v>-3879.6904022491349</v>
          </cell>
          <cell r="O56">
            <v>0</v>
          </cell>
          <cell r="P56">
            <v>0</v>
          </cell>
          <cell r="Q56"/>
          <cell r="S56">
            <v>-31567.863321799308</v>
          </cell>
          <cell r="T56">
            <v>-27688.172919550172</v>
          </cell>
          <cell r="U56">
            <v>-3879.6904022491349</v>
          </cell>
          <cell r="V56">
            <v>-60108.36</v>
          </cell>
          <cell r="W56">
            <v>-22571.640000000003</v>
          </cell>
          <cell r="X56">
            <v>-82680</v>
          </cell>
          <cell r="Z56">
            <v>-31567.863321799308</v>
          </cell>
          <cell r="AA56">
            <v>-27688.172919550172</v>
          </cell>
          <cell r="AB56">
            <v>-3879.6904022491349</v>
          </cell>
          <cell r="AC56">
            <v>458.94782999999995</v>
          </cell>
          <cell r="AD56">
            <v>172.34217000000001</v>
          </cell>
          <cell r="AE56">
            <v>631.29</v>
          </cell>
          <cell r="AG56">
            <v>-31567.863321799308</v>
          </cell>
          <cell r="AH56">
            <v>-27688.172919550172</v>
          </cell>
          <cell r="AI56">
            <v>-3879.6904022491349</v>
          </cell>
          <cell r="AJ56">
            <v>-40302.720809999999</v>
          </cell>
          <cell r="AK56">
            <v>-15134.30919</v>
          </cell>
          <cell r="AL56">
            <v>-55437.03</v>
          </cell>
          <cell r="AN56">
            <v>-31567.863321799308</v>
          </cell>
          <cell r="AO56">
            <v>-27688.172919550172</v>
          </cell>
          <cell r="AP56">
            <v>-3879.6904022491349</v>
          </cell>
          <cell r="AQ56">
            <v>0</v>
          </cell>
          <cell r="AR56">
            <v>0</v>
          </cell>
          <cell r="AS56"/>
          <cell r="AU56">
            <v>-31567.863321799308</v>
          </cell>
          <cell r="AV56">
            <v>-27688.172919550172</v>
          </cell>
          <cell r="AW56">
            <v>-3879.6904022491349</v>
          </cell>
          <cell r="AX56">
            <v>0</v>
          </cell>
          <cell r="AY56">
            <v>0</v>
          </cell>
          <cell r="AZ56"/>
          <cell r="BB56">
            <v>-31567.863321799308</v>
          </cell>
          <cell r="BC56">
            <v>-27688.172919550172</v>
          </cell>
          <cell r="BD56">
            <v>-3879.6904022491349</v>
          </cell>
          <cell r="BE56">
            <v>0</v>
          </cell>
          <cell r="BF56">
            <v>0</v>
          </cell>
          <cell r="BG56"/>
          <cell r="BI56">
            <v>-31567.863321799308</v>
          </cell>
          <cell r="BJ56">
            <v>-27688.172919550172</v>
          </cell>
          <cell r="BK56">
            <v>-3879.6904022491349</v>
          </cell>
          <cell r="BL56">
            <v>0</v>
          </cell>
          <cell r="BM56">
            <v>0</v>
          </cell>
          <cell r="BN56"/>
          <cell r="BP56">
            <v>-31567.863321799308</v>
          </cell>
          <cell r="BQ56">
            <v>-27688.172919550172</v>
          </cell>
          <cell r="BR56">
            <v>-3879.6904022491349</v>
          </cell>
          <cell r="BS56">
            <v>0</v>
          </cell>
          <cell r="BT56">
            <v>0</v>
          </cell>
          <cell r="BU56"/>
          <cell r="BW56">
            <v>-31567.863321799308</v>
          </cell>
          <cell r="BX56">
            <v>-27688.172919550172</v>
          </cell>
          <cell r="BY56">
            <v>-3879.6904022491349</v>
          </cell>
          <cell r="BZ56">
            <v>0</v>
          </cell>
          <cell r="CA56">
            <v>0</v>
          </cell>
          <cell r="CB56"/>
          <cell r="CD56">
            <v>-31567.863321799308</v>
          </cell>
          <cell r="CE56">
            <v>-27688.172919550172</v>
          </cell>
          <cell r="CF56">
            <v>-3879.6904022491349</v>
          </cell>
          <cell r="CG56">
            <v>0</v>
          </cell>
          <cell r="CH56">
            <v>0</v>
          </cell>
          <cell r="CI56"/>
          <cell r="CK56">
            <v>-31567.863321799308</v>
          </cell>
          <cell r="CL56">
            <v>-27688.172919550172</v>
          </cell>
          <cell r="CM56">
            <v>-3879.6904022491349</v>
          </cell>
          <cell r="CN56">
            <v>0</v>
          </cell>
          <cell r="CO56">
            <v>0</v>
          </cell>
          <cell r="CP56"/>
        </row>
        <row r="57">
          <cell r="L57">
            <v>-10522.621107266436</v>
          </cell>
          <cell r="M57">
            <v>-9229.3909731833901</v>
          </cell>
          <cell r="N57">
            <v>-1293.230134083045</v>
          </cell>
          <cell r="O57">
            <v>-28860.787689999997</v>
          </cell>
          <cell r="P57">
            <v>-10837.682310000002</v>
          </cell>
          <cell r="Q57">
            <v>-39698.47</v>
          </cell>
          <cell r="S57">
            <v>-10522.621107266436</v>
          </cell>
          <cell r="T57">
            <v>-9229.3909731833901</v>
          </cell>
          <cell r="U57">
            <v>-1293.230134083045</v>
          </cell>
          <cell r="V57">
            <v>-4264.2112299999999</v>
          </cell>
          <cell r="W57">
            <v>-1601.2787700000001</v>
          </cell>
          <cell r="X57">
            <v>-5865.49</v>
          </cell>
          <cell r="Z57">
            <v>-10522.621107266436</v>
          </cell>
          <cell r="AA57">
            <v>-9229.3909731833901</v>
          </cell>
          <cell r="AB57">
            <v>-1293.230134083045</v>
          </cell>
          <cell r="AC57">
            <v>-18748.363089999999</v>
          </cell>
          <cell r="AD57">
            <v>-7040.3069100000002</v>
          </cell>
          <cell r="AE57">
            <v>-25788.67</v>
          </cell>
          <cell r="AG57">
            <v>-10522.621107266436</v>
          </cell>
          <cell r="AH57">
            <v>-9229.3909731833901</v>
          </cell>
          <cell r="AI57">
            <v>-1293.230134083045</v>
          </cell>
          <cell r="AJ57">
            <v>0</v>
          </cell>
          <cell r="AK57">
            <v>0</v>
          </cell>
          <cell r="AL57"/>
          <cell r="AN57">
            <v>-10522.621107266436</v>
          </cell>
          <cell r="AO57">
            <v>-9229.3909731833901</v>
          </cell>
          <cell r="AP57">
            <v>-1293.230134083045</v>
          </cell>
          <cell r="AQ57">
            <v>0</v>
          </cell>
          <cell r="AR57">
            <v>0</v>
          </cell>
          <cell r="AS57"/>
          <cell r="AU57">
            <v>-10522.621107266436</v>
          </cell>
          <cell r="AV57">
            <v>-9229.3909731833901</v>
          </cell>
          <cell r="AW57">
            <v>-1293.230134083045</v>
          </cell>
          <cell r="AX57">
            <v>0</v>
          </cell>
          <cell r="AY57">
            <v>0</v>
          </cell>
          <cell r="AZ57"/>
          <cell r="BB57">
            <v>-10522.621107266436</v>
          </cell>
          <cell r="BC57">
            <v>-9229.3909731833901</v>
          </cell>
          <cell r="BD57">
            <v>-1293.230134083045</v>
          </cell>
          <cell r="BE57">
            <v>0</v>
          </cell>
          <cell r="BF57">
            <v>0</v>
          </cell>
          <cell r="BG57"/>
          <cell r="BI57">
            <v>-10522.621107266436</v>
          </cell>
          <cell r="BJ57">
            <v>-9229.3909731833901</v>
          </cell>
          <cell r="BK57">
            <v>-1293.230134083045</v>
          </cell>
          <cell r="BL57">
            <v>0</v>
          </cell>
          <cell r="BM57">
            <v>0</v>
          </cell>
          <cell r="BN57"/>
          <cell r="BP57">
            <v>-10522.621107266436</v>
          </cell>
          <cell r="BQ57">
            <v>-9229.3909731833901</v>
          </cell>
          <cell r="BR57">
            <v>-1293.230134083045</v>
          </cell>
          <cell r="BS57">
            <v>0</v>
          </cell>
          <cell r="BT57">
            <v>0</v>
          </cell>
          <cell r="BU57"/>
          <cell r="BW57">
            <v>-10522.621107266436</v>
          </cell>
          <cell r="BX57">
            <v>-9229.3909731833901</v>
          </cell>
          <cell r="BY57">
            <v>-1293.230134083045</v>
          </cell>
          <cell r="BZ57">
            <v>0</v>
          </cell>
          <cell r="CA57">
            <v>0</v>
          </cell>
          <cell r="CB57"/>
          <cell r="CD57">
            <v>-10522.621107266436</v>
          </cell>
          <cell r="CE57">
            <v>-9229.3909731833901</v>
          </cell>
          <cell r="CF57">
            <v>-1293.230134083045</v>
          </cell>
          <cell r="CG57">
            <v>0</v>
          </cell>
          <cell r="CH57">
            <v>0</v>
          </cell>
          <cell r="CI57"/>
          <cell r="CK57">
            <v>-10522.621107266436</v>
          </cell>
          <cell r="CL57">
            <v>-9229.3909731833901</v>
          </cell>
          <cell r="CM57">
            <v>-1293.230134083045</v>
          </cell>
          <cell r="CN57">
            <v>0</v>
          </cell>
          <cell r="CO57">
            <v>0</v>
          </cell>
          <cell r="CP57"/>
        </row>
      </sheetData>
      <sheetData sheetId="5">
        <row r="4">
          <cell r="L4">
            <v>106904.80177999998</v>
          </cell>
          <cell r="M4">
            <v>93766.201641237989</v>
          </cell>
          <cell r="N4">
            <v>13138.600138761996</v>
          </cell>
          <cell r="O4">
            <v>83472.43626799999</v>
          </cell>
          <cell r="P4">
            <v>15008.493731999999</v>
          </cell>
          <cell r="Q4">
            <v>98480.93</v>
          </cell>
          <cell r="S4">
            <v>167165.80177999998</v>
          </cell>
          <cell r="T4">
            <v>146621.12474123799</v>
          </cell>
          <cell r="U4">
            <v>20544.677038761998</v>
          </cell>
          <cell r="V4">
            <v>105420.43647200003</v>
          </cell>
          <cell r="W4">
            <v>18954.783528000007</v>
          </cell>
          <cell r="X4">
            <v>124375.22000000003</v>
          </cell>
          <cell r="Z4">
            <v>106904.80177999998</v>
          </cell>
          <cell r="AA4">
            <v>93766.201641237989</v>
          </cell>
          <cell r="AB4">
            <v>13138.600138761996</v>
          </cell>
          <cell r="AC4">
            <v>81364.929723999987</v>
          </cell>
          <cell r="AD4">
            <v>14629.560276</v>
          </cell>
          <cell r="AE4">
            <v>95994.489999999991</v>
          </cell>
          <cell r="AG4">
            <v>106904.80177999998</v>
          </cell>
          <cell r="AH4">
            <v>93766.201641237989</v>
          </cell>
          <cell r="AI4">
            <v>13138.600138761996</v>
          </cell>
          <cell r="AJ4">
            <v>134686.61507600002</v>
          </cell>
          <cell r="AK4">
            <v>24216.894924000004</v>
          </cell>
          <cell r="AL4">
            <v>158903.51</v>
          </cell>
          <cell r="AN4">
            <v>106904.80177999998</v>
          </cell>
          <cell r="AO4">
            <v>93766.201641237989</v>
          </cell>
          <cell r="AP4">
            <v>13138.600138761996</v>
          </cell>
          <cell r="AQ4">
            <v>0</v>
          </cell>
          <cell r="AR4">
            <v>0</v>
          </cell>
          <cell r="AS4"/>
          <cell r="AU4">
            <v>106904.80177999998</v>
          </cell>
          <cell r="AV4">
            <v>93766.201641237989</v>
          </cell>
          <cell r="AW4">
            <v>13138.600138761996</v>
          </cell>
          <cell r="AX4">
            <v>0</v>
          </cell>
          <cell r="AY4">
            <v>0</v>
          </cell>
          <cell r="AZ4"/>
          <cell r="BB4">
            <v>106904.80177999998</v>
          </cell>
          <cell r="BC4">
            <v>93766.201641237989</v>
          </cell>
          <cell r="BD4">
            <v>13138.600138761996</v>
          </cell>
          <cell r="BE4">
            <v>0</v>
          </cell>
          <cell r="BF4">
            <v>0</v>
          </cell>
          <cell r="BG4"/>
          <cell r="BI4">
            <v>115457.18592239999</v>
          </cell>
          <cell r="BJ4">
            <v>101267.49777253703</v>
          </cell>
          <cell r="BK4">
            <v>14189.688149862959</v>
          </cell>
          <cell r="BL4">
            <v>0</v>
          </cell>
          <cell r="BM4">
            <v>0</v>
          </cell>
          <cell r="BN4"/>
          <cell r="BP4">
            <v>115457.18592239999</v>
          </cell>
          <cell r="BQ4">
            <v>101267.49777253703</v>
          </cell>
          <cell r="BR4">
            <v>14189.688149862959</v>
          </cell>
          <cell r="BS4">
            <v>0</v>
          </cell>
          <cell r="BT4">
            <v>0</v>
          </cell>
          <cell r="BU4"/>
          <cell r="BW4">
            <v>115457.18592239999</v>
          </cell>
          <cell r="BX4">
            <v>101267.49777253703</v>
          </cell>
          <cell r="BY4">
            <v>14189.688149862959</v>
          </cell>
          <cell r="BZ4">
            <v>0</v>
          </cell>
          <cell r="CA4">
            <v>0</v>
          </cell>
          <cell r="CB4"/>
          <cell r="CD4">
            <v>115457.18592239999</v>
          </cell>
          <cell r="CE4">
            <v>101267.49777253703</v>
          </cell>
          <cell r="CF4">
            <v>14189.688149862959</v>
          </cell>
          <cell r="CG4">
            <v>0</v>
          </cell>
          <cell r="CH4">
            <v>0</v>
          </cell>
          <cell r="CI4"/>
          <cell r="CK4">
            <v>115457.18592239999</v>
          </cell>
          <cell r="CL4">
            <v>101267.49777253703</v>
          </cell>
          <cell r="CM4">
            <v>14189.688149862959</v>
          </cell>
          <cell r="CN4">
            <v>0</v>
          </cell>
          <cell r="CO4">
            <v>0</v>
          </cell>
          <cell r="CP4"/>
        </row>
        <row r="5">
          <cell r="L5">
            <v>7250</v>
          </cell>
          <cell r="M5">
            <v>6358.9750000000004</v>
          </cell>
          <cell r="N5">
            <v>891.02499999999998</v>
          </cell>
          <cell r="O5">
            <v>8642.0109360000006</v>
          </cell>
          <cell r="P5">
            <v>1553.8490640000002</v>
          </cell>
          <cell r="Q5">
            <v>10195.86</v>
          </cell>
          <cell r="S5">
            <v>7250</v>
          </cell>
          <cell r="T5">
            <v>6358.9750000000004</v>
          </cell>
          <cell r="U5">
            <v>891.02499999999998</v>
          </cell>
          <cell r="V5">
            <v>7567.0422360000002</v>
          </cell>
          <cell r="W5">
            <v>1360.5677640000001</v>
          </cell>
          <cell r="X5">
            <v>8927.61</v>
          </cell>
          <cell r="Z5">
            <v>7250</v>
          </cell>
          <cell r="AA5">
            <v>6358.9750000000004</v>
          </cell>
          <cell r="AB5">
            <v>891.02499999999998</v>
          </cell>
          <cell r="AC5">
            <v>7440.5972680000004</v>
          </cell>
          <cell r="AD5">
            <v>1337.8327320000001</v>
          </cell>
          <cell r="AE5">
            <v>8778.43</v>
          </cell>
          <cell r="AG5">
            <v>7250</v>
          </cell>
          <cell r="AH5">
            <v>6358.9750000000004</v>
          </cell>
          <cell r="AI5">
            <v>891.02499999999998</v>
          </cell>
          <cell r="AJ5">
            <v>7292.7758280000007</v>
          </cell>
          <cell r="AK5">
            <v>1311.2541720000002</v>
          </cell>
          <cell r="AL5">
            <v>8604.0300000000007</v>
          </cell>
          <cell r="AN5">
            <v>7250</v>
          </cell>
          <cell r="AO5">
            <v>6358.9750000000004</v>
          </cell>
          <cell r="AP5">
            <v>891.02499999999998</v>
          </cell>
          <cell r="AQ5">
            <v>0</v>
          </cell>
          <cell r="AR5">
            <v>0</v>
          </cell>
          <cell r="AS5"/>
          <cell r="AU5">
            <v>7250</v>
          </cell>
          <cell r="AV5">
            <v>6358.9750000000004</v>
          </cell>
          <cell r="AW5">
            <v>891.02499999999998</v>
          </cell>
          <cell r="AX5">
            <v>0</v>
          </cell>
          <cell r="AY5">
            <v>0</v>
          </cell>
          <cell r="AZ5"/>
          <cell r="BB5">
            <v>7250</v>
          </cell>
          <cell r="BC5">
            <v>6358.9750000000004</v>
          </cell>
          <cell r="BD5">
            <v>891.02499999999998</v>
          </cell>
          <cell r="BE5">
            <v>0</v>
          </cell>
          <cell r="BF5">
            <v>0</v>
          </cell>
          <cell r="BG5"/>
          <cell r="BI5">
            <v>7250</v>
          </cell>
          <cell r="BJ5">
            <v>6358.9750000000004</v>
          </cell>
          <cell r="BK5">
            <v>891.02499999999998</v>
          </cell>
          <cell r="BL5">
            <v>0</v>
          </cell>
          <cell r="BM5">
            <v>0</v>
          </cell>
          <cell r="BN5"/>
          <cell r="BP5">
            <v>7250</v>
          </cell>
          <cell r="BQ5">
            <v>6358.9750000000004</v>
          </cell>
          <cell r="BR5">
            <v>891.02499999999998</v>
          </cell>
          <cell r="BS5">
            <v>0</v>
          </cell>
          <cell r="BT5">
            <v>0</v>
          </cell>
          <cell r="BU5"/>
          <cell r="BW5">
            <v>7250</v>
          </cell>
          <cell r="BX5">
            <v>6358.9750000000004</v>
          </cell>
          <cell r="BY5">
            <v>891.02499999999998</v>
          </cell>
          <cell r="BZ5">
            <v>0</v>
          </cell>
          <cell r="CA5">
            <v>0</v>
          </cell>
          <cell r="CB5"/>
          <cell r="CD5">
            <v>7250</v>
          </cell>
          <cell r="CE5">
            <v>6358.9750000000004</v>
          </cell>
          <cell r="CF5">
            <v>891.02499999999998</v>
          </cell>
          <cell r="CG5">
            <v>0</v>
          </cell>
          <cell r="CH5">
            <v>0</v>
          </cell>
          <cell r="CI5"/>
          <cell r="CK5">
            <v>7250</v>
          </cell>
          <cell r="CL5">
            <v>6358.9750000000004</v>
          </cell>
          <cell r="CM5">
            <v>891.02499999999998</v>
          </cell>
          <cell r="CN5">
            <v>0</v>
          </cell>
          <cell r="CO5">
            <v>0</v>
          </cell>
          <cell r="CP5"/>
        </row>
        <row r="6">
          <cell r="L6">
            <v>13604.286039299997</v>
          </cell>
          <cell r="M6">
            <v>11932.319285070027</v>
          </cell>
          <cell r="N6">
            <v>1671.9667542299696</v>
          </cell>
          <cell r="O6">
            <v>11302.61886</v>
          </cell>
          <cell r="P6">
            <v>2032.2311400000001</v>
          </cell>
          <cell r="Q6">
            <v>13334.85</v>
          </cell>
          <cell r="S6">
            <v>13604.286039299997</v>
          </cell>
          <cell r="T6">
            <v>11932.319285070027</v>
          </cell>
          <cell r="U6">
            <v>1671.9667542299696</v>
          </cell>
          <cell r="V6">
            <v>11199.092995999999</v>
          </cell>
          <cell r="W6">
            <v>2013.617004</v>
          </cell>
          <cell r="X6">
            <v>13212.71</v>
          </cell>
          <cell r="Z6">
            <v>13604.286039299997</v>
          </cell>
          <cell r="AA6">
            <v>11932.319285070027</v>
          </cell>
          <cell r="AB6">
            <v>1671.9667542299696</v>
          </cell>
          <cell r="AC6">
            <v>12079.817204000001</v>
          </cell>
          <cell r="AD6">
            <v>2171.972796</v>
          </cell>
          <cell r="AE6">
            <v>14251.79</v>
          </cell>
          <cell r="AG6">
            <v>13604.286039299997</v>
          </cell>
          <cell r="AH6">
            <v>11932.319285070027</v>
          </cell>
          <cell r="AI6">
            <v>1671.9667542299696</v>
          </cell>
          <cell r="AJ6">
            <v>11905.126844</v>
          </cell>
          <cell r="AK6">
            <v>2140.5631560000002</v>
          </cell>
          <cell r="AL6">
            <v>14045.69</v>
          </cell>
          <cell r="AN6">
            <v>13604.286039299997</v>
          </cell>
          <cell r="AO6">
            <v>11932.319285070027</v>
          </cell>
          <cell r="AP6">
            <v>1671.9667542299696</v>
          </cell>
          <cell r="AQ6">
            <v>0</v>
          </cell>
          <cell r="AR6">
            <v>0</v>
          </cell>
          <cell r="AS6"/>
          <cell r="AU6">
            <v>13604.286039299997</v>
          </cell>
          <cell r="AV6">
            <v>11932.319285070027</v>
          </cell>
          <cell r="AW6">
            <v>1671.9667542299696</v>
          </cell>
          <cell r="AX6">
            <v>0</v>
          </cell>
          <cell r="AY6">
            <v>0</v>
          </cell>
          <cell r="AZ6"/>
          <cell r="BB6">
            <v>13604.286039299997</v>
          </cell>
          <cell r="BC6">
            <v>11932.319285070027</v>
          </cell>
          <cell r="BD6">
            <v>1671.9667542299696</v>
          </cell>
          <cell r="BE6">
            <v>0</v>
          </cell>
          <cell r="BF6">
            <v>0</v>
          </cell>
          <cell r="BG6"/>
          <cell r="BI6">
            <v>14628.712922443998</v>
          </cell>
          <cell r="BJ6">
            <v>12830.844104275631</v>
          </cell>
          <cell r="BK6">
            <v>1797.8688181683672</v>
          </cell>
          <cell r="BL6">
            <v>0</v>
          </cell>
          <cell r="BM6">
            <v>0</v>
          </cell>
          <cell r="BN6"/>
          <cell r="BP6">
            <v>14628.712922443998</v>
          </cell>
          <cell r="BQ6">
            <v>12830.844104275631</v>
          </cell>
          <cell r="BR6">
            <v>1797.8688181683672</v>
          </cell>
          <cell r="BS6">
            <v>0</v>
          </cell>
          <cell r="BT6">
            <v>0</v>
          </cell>
          <cell r="BU6"/>
          <cell r="BW6">
            <v>14628.712922443998</v>
          </cell>
          <cell r="BX6">
            <v>12830.844104275631</v>
          </cell>
          <cell r="BY6">
            <v>1797.8688181683672</v>
          </cell>
          <cell r="BZ6">
            <v>0</v>
          </cell>
          <cell r="CA6">
            <v>0</v>
          </cell>
          <cell r="CB6"/>
          <cell r="CD6">
            <v>14628.712922443998</v>
          </cell>
          <cell r="CE6">
            <v>12830.844104275631</v>
          </cell>
          <cell r="CF6">
            <v>1797.8688181683672</v>
          </cell>
          <cell r="CG6">
            <v>0</v>
          </cell>
          <cell r="CH6">
            <v>0</v>
          </cell>
          <cell r="CI6"/>
          <cell r="CK6">
            <v>14628.712922443998</v>
          </cell>
          <cell r="CL6">
            <v>12830.844104275631</v>
          </cell>
          <cell r="CM6">
            <v>1797.8688181683672</v>
          </cell>
          <cell r="CN6">
            <v>0</v>
          </cell>
          <cell r="CO6">
            <v>0</v>
          </cell>
          <cell r="CP6"/>
        </row>
        <row r="7">
          <cell r="L7">
            <v>10555.049513249996</v>
          </cell>
          <cell r="M7">
            <v>9257.8339280715718</v>
          </cell>
          <cell r="N7">
            <v>1297.2155851784246</v>
          </cell>
          <cell r="O7">
            <v>7790.757779999999</v>
          </cell>
          <cell r="P7">
            <v>1400.79222</v>
          </cell>
          <cell r="Q7">
            <v>9191.5499999999993</v>
          </cell>
          <cell r="S7">
            <v>10555.049513249996</v>
          </cell>
          <cell r="T7">
            <v>9257.8339280715718</v>
          </cell>
          <cell r="U7">
            <v>1297.2155851784246</v>
          </cell>
          <cell r="V7">
            <v>7806.7350399999996</v>
          </cell>
          <cell r="W7">
            <v>1403.6649600000001</v>
          </cell>
          <cell r="X7">
            <v>9210.4</v>
          </cell>
          <cell r="Z7">
            <v>10555.049513249996</v>
          </cell>
          <cell r="AA7">
            <v>9257.8339280715718</v>
          </cell>
          <cell r="AB7">
            <v>1297.2155851784246</v>
          </cell>
          <cell r="AC7">
            <v>8253.6999479999995</v>
          </cell>
          <cell r="AD7">
            <v>1484.0300520000001</v>
          </cell>
          <cell r="AE7">
            <v>9737.73</v>
          </cell>
          <cell r="AG7">
            <v>10555.049513249996</v>
          </cell>
          <cell r="AH7">
            <v>9257.8339280715718</v>
          </cell>
          <cell r="AI7">
            <v>1297.2155851784246</v>
          </cell>
          <cell r="AJ7">
            <v>8080.6369799999993</v>
          </cell>
          <cell r="AK7">
            <v>1452.91302</v>
          </cell>
          <cell r="AL7">
            <v>9533.5499999999993</v>
          </cell>
          <cell r="AN7">
            <v>10555.049513249996</v>
          </cell>
          <cell r="AO7">
            <v>9257.8339280715718</v>
          </cell>
          <cell r="AP7">
            <v>1297.2155851784246</v>
          </cell>
          <cell r="AQ7">
            <v>0</v>
          </cell>
          <cell r="AR7">
            <v>0</v>
          </cell>
          <cell r="AS7"/>
          <cell r="AU7">
            <v>10555.049513249996</v>
          </cell>
          <cell r="AV7">
            <v>9257.8339280715718</v>
          </cell>
          <cell r="AW7">
            <v>1297.2155851784246</v>
          </cell>
          <cell r="AX7">
            <v>0</v>
          </cell>
          <cell r="AY7">
            <v>0</v>
          </cell>
          <cell r="AZ7"/>
          <cell r="BB7">
            <v>10555.049513249996</v>
          </cell>
          <cell r="BC7">
            <v>9257.8339280715718</v>
          </cell>
          <cell r="BD7">
            <v>1297.2155851784246</v>
          </cell>
          <cell r="BE7">
            <v>0</v>
          </cell>
          <cell r="BF7">
            <v>0</v>
          </cell>
          <cell r="BG7"/>
          <cell r="BI7">
            <v>11349.863474309997</v>
          </cell>
          <cell r="BJ7">
            <v>9954.9652533172994</v>
          </cell>
          <cell r="BK7">
            <v>1394.8982209926987</v>
          </cell>
          <cell r="BL7">
            <v>0</v>
          </cell>
          <cell r="BM7">
            <v>0</v>
          </cell>
          <cell r="BN7"/>
          <cell r="BP7">
            <v>11349.863474309997</v>
          </cell>
          <cell r="BQ7">
            <v>9954.9652533172994</v>
          </cell>
          <cell r="BR7">
            <v>1394.8982209926987</v>
          </cell>
          <cell r="BS7">
            <v>0</v>
          </cell>
          <cell r="BT7">
            <v>0</v>
          </cell>
          <cell r="BU7"/>
          <cell r="BW7">
            <v>11349.863474309997</v>
          </cell>
          <cell r="BX7">
            <v>9954.9652533172994</v>
          </cell>
          <cell r="BY7">
            <v>1394.8982209926987</v>
          </cell>
          <cell r="BZ7">
            <v>0</v>
          </cell>
          <cell r="CA7">
            <v>0</v>
          </cell>
          <cell r="CB7"/>
          <cell r="CD7">
            <v>11349.863474309997</v>
          </cell>
          <cell r="CE7">
            <v>9954.9652533172994</v>
          </cell>
          <cell r="CF7">
            <v>1394.8982209926987</v>
          </cell>
          <cell r="CG7">
            <v>0</v>
          </cell>
          <cell r="CH7">
            <v>0</v>
          </cell>
          <cell r="CI7"/>
          <cell r="CK7">
            <v>11349.863474309997</v>
          </cell>
          <cell r="CL7">
            <v>9954.9652533172994</v>
          </cell>
          <cell r="CM7">
            <v>1394.8982209926987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127249.00634594599</v>
          </cell>
          <cell r="BC8">
            <v>111610.10346602924</v>
          </cell>
          <cell r="BD8">
            <v>15638.902879916763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13233.933424799998</v>
          </cell>
          <cell r="M9">
            <v>11607.483006892078</v>
          </cell>
          <cell r="N9">
            <v>1626.4504179079197</v>
          </cell>
          <cell r="O9">
            <v>7600.6156719999999</v>
          </cell>
          <cell r="P9">
            <v>1366.6043279999999</v>
          </cell>
          <cell r="Q9">
            <v>8967.2199999999993</v>
          </cell>
          <cell r="S9">
            <v>13233.933424799998</v>
          </cell>
          <cell r="T9">
            <v>11607.483006892078</v>
          </cell>
          <cell r="U9">
            <v>1626.4504179079197</v>
          </cell>
          <cell r="V9">
            <v>7153.371056</v>
          </cell>
          <cell r="W9">
            <v>1286.188944</v>
          </cell>
          <cell r="X9">
            <v>8439.56</v>
          </cell>
          <cell r="Z9">
            <v>13233.933424799998</v>
          </cell>
          <cell r="AA9">
            <v>11607.483006892078</v>
          </cell>
          <cell r="AB9">
            <v>1626.4504179079197</v>
          </cell>
          <cell r="AC9">
            <v>13056.362591999999</v>
          </cell>
          <cell r="AD9">
            <v>2347.5574080000001</v>
          </cell>
          <cell r="AE9">
            <v>15403.92</v>
          </cell>
          <cell r="AG9">
            <v>13233.933424799998</v>
          </cell>
          <cell r="AH9">
            <v>11607.483006892078</v>
          </cell>
          <cell r="AI9">
            <v>1626.4504179079197</v>
          </cell>
          <cell r="AJ9">
            <v>10652.246904</v>
          </cell>
          <cell r="AK9">
            <v>1915.2930960000003</v>
          </cell>
          <cell r="AL9">
            <v>12567.54</v>
          </cell>
          <cell r="AN9">
            <v>13233.933424799998</v>
          </cell>
          <cell r="AO9">
            <v>11607.483006892078</v>
          </cell>
          <cell r="AP9">
            <v>1626.4504179079197</v>
          </cell>
          <cell r="AQ9">
            <v>0</v>
          </cell>
          <cell r="AR9">
            <v>0</v>
          </cell>
          <cell r="AS9"/>
          <cell r="AU9">
            <v>13233.933424799998</v>
          </cell>
          <cell r="AV9">
            <v>11607.483006892078</v>
          </cell>
          <cell r="AW9">
            <v>1626.4504179079197</v>
          </cell>
          <cell r="AX9">
            <v>0</v>
          </cell>
          <cell r="AY9">
            <v>0</v>
          </cell>
          <cell r="AZ9"/>
          <cell r="BB9">
            <v>13233.933424799998</v>
          </cell>
          <cell r="BC9">
            <v>11607.483006892078</v>
          </cell>
          <cell r="BD9">
            <v>1626.4504179079197</v>
          </cell>
          <cell r="BE9">
            <v>0</v>
          </cell>
          <cell r="BF9">
            <v>0</v>
          </cell>
          <cell r="BG9"/>
          <cell r="BI9">
            <v>14230.472098784001</v>
          </cell>
          <cell r="BJ9">
            <v>12481.547077843446</v>
          </cell>
          <cell r="BK9">
            <v>1748.9250209405536</v>
          </cell>
          <cell r="BL9">
            <v>0</v>
          </cell>
          <cell r="BM9">
            <v>0</v>
          </cell>
          <cell r="BN9"/>
          <cell r="BP9">
            <v>14230.472098784001</v>
          </cell>
          <cell r="BQ9">
            <v>12481.547077843446</v>
          </cell>
          <cell r="BR9">
            <v>1748.9250209405536</v>
          </cell>
          <cell r="BS9">
            <v>0</v>
          </cell>
          <cell r="BT9">
            <v>0</v>
          </cell>
          <cell r="BU9"/>
          <cell r="BW9">
            <v>14230.472098784001</v>
          </cell>
          <cell r="BX9">
            <v>12481.547077843446</v>
          </cell>
          <cell r="BY9">
            <v>1748.9250209405536</v>
          </cell>
          <cell r="BZ9">
            <v>0</v>
          </cell>
          <cell r="CA9">
            <v>0</v>
          </cell>
          <cell r="CB9"/>
          <cell r="CD9">
            <v>14230.472098784001</v>
          </cell>
          <cell r="CE9">
            <v>12481.547077843446</v>
          </cell>
          <cell r="CF9">
            <v>1748.9250209405536</v>
          </cell>
          <cell r="CG9">
            <v>0</v>
          </cell>
          <cell r="CH9">
            <v>0</v>
          </cell>
          <cell r="CI9"/>
          <cell r="CK9">
            <v>14230.472098784001</v>
          </cell>
          <cell r="CL9">
            <v>12481.547077843446</v>
          </cell>
          <cell r="CM9">
            <v>1748.9250209405536</v>
          </cell>
          <cell r="CN9">
            <v>0</v>
          </cell>
          <cell r="CO9">
            <v>0</v>
          </cell>
          <cell r="CP9"/>
        </row>
        <row r="10">
          <cell r="L10">
            <v>8000</v>
          </cell>
          <cell r="M10">
            <v>7016.8</v>
          </cell>
          <cell r="N10">
            <v>983.19999999999993</v>
          </cell>
          <cell r="O10">
            <v>27756.221583999999</v>
          </cell>
          <cell r="P10">
            <v>4990.6184160000003</v>
          </cell>
          <cell r="Q10">
            <v>32746.84</v>
          </cell>
          <cell r="S10">
            <v>8000</v>
          </cell>
          <cell r="T10">
            <v>7016.8</v>
          </cell>
          <cell r="U10">
            <v>983.19999999999993</v>
          </cell>
          <cell r="V10">
            <v>11267.765547999999</v>
          </cell>
          <cell r="W10">
            <v>2025.9644519999999</v>
          </cell>
          <cell r="X10">
            <v>13293.73</v>
          </cell>
          <cell r="Z10">
            <v>8000</v>
          </cell>
          <cell r="AA10">
            <v>7016.8</v>
          </cell>
          <cell r="AB10">
            <v>983.19999999999993</v>
          </cell>
          <cell r="AC10">
            <v>14978.202355999998</v>
          </cell>
          <cell r="AD10">
            <v>2693.1076439999997</v>
          </cell>
          <cell r="AE10">
            <v>17671.309999999998</v>
          </cell>
          <cell r="AG10">
            <v>8000</v>
          </cell>
          <cell r="AH10">
            <v>7016.8</v>
          </cell>
          <cell r="AI10">
            <v>983.19999999999993</v>
          </cell>
          <cell r="AJ10">
            <v>13810.972395999999</v>
          </cell>
          <cell r="AK10">
            <v>2483.2376039999999</v>
          </cell>
          <cell r="AL10">
            <v>16294.21</v>
          </cell>
          <cell r="AN10">
            <v>8000</v>
          </cell>
          <cell r="AO10">
            <v>7016.8</v>
          </cell>
          <cell r="AP10">
            <v>983.19999999999993</v>
          </cell>
          <cell r="AQ10">
            <v>0</v>
          </cell>
          <cell r="AR10">
            <v>0</v>
          </cell>
          <cell r="AS10"/>
          <cell r="AU10">
            <v>8000</v>
          </cell>
          <cell r="AV10">
            <v>7016.8</v>
          </cell>
          <cell r="AW10">
            <v>983.19999999999993</v>
          </cell>
          <cell r="AX10">
            <v>0</v>
          </cell>
          <cell r="AY10">
            <v>0</v>
          </cell>
          <cell r="AZ10"/>
          <cell r="BB10">
            <v>8000</v>
          </cell>
          <cell r="BC10">
            <v>7016.8</v>
          </cell>
          <cell r="BD10">
            <v>983.19999999999993</v>
          </cell>
          <cell r="BE10">
            <v>0</v>
          </cell>
          <cell r="BF10">
            <v>0</v>
          </cell>
          <cell r="BG10"/>
          <cell r="BI10">
            <v>8000</v>
          </cell>
          <cell r="BJ10">
            <v>7016.8</v>
          </cell>
          <cell r="BK10">
            <v>983.19999999999993</v>
          </cell>
          <cell r="BL10">
            <v>0</v>
          </cell>
          <cell r="BM10">
            <v>0</v>
          </cell>
          <cell r="BN10"/>
          <cell r="BP10">
            <v>8000</v>
          </cell>
          <cell r="BQ10">
            <v>7016.8</v>
          </cell>
          <cell r="BR10">
            <v>983.19999999999993</v>
          </cell>
          <cell r="BS10">
            <v>0</v>
          </cell>
          <cell r="BT10">
            <v>0</v>
          </cell>
          <cell r="BU10"/>
          <cell r="BW10">
            <v>8000</v>
          </cell>
          <cell r="BX10">
            <v>7016.8</v>
          </cell>
          <cell r="BY10">
            <v>983.19999999999993</v>
          </cell>
          <cell r="BZ10">
            <v>0</v>
          </cell>
          <cell r="CA10">
            <v>0</v>
          </cell>
          <cell r="CB10"/>
          <cell r="CD10">
            <v>8000</v>
          </cell>
          <cell r="CE10">
            <v>7016.8</v>
          </cell>
          <cell r="CF10">
            <v>983.19999999999993</v>
          </cell>
          <cell r="CG10">
            <v>0</v>
          </cell>
          <cell r="CH10">
            <v>0</v>
          </cell>
          <cell r="CI10"/>
          <cell r="CK10">
            <v>8000</v>
          </cell>
          <cell r="CL10">
            <v>7016.8</v>
          </cell>
          <cell r="CM10">
            <v>983.19999999999993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/>
          <cell r="AG11">
            <v>0</v>
          </cell>
          <cell r="AH11">
            <v>0</v>
          </cell>
          <cell r="AI11">
            <v>0</v>
          </cell>
          <cell r="AJ11">
            <v>3600.2911880000001</v>
          </cell>
          <cell r="AK11">
            <v>647.33881200000008</v>
          </cell>
          <cell r="AL11">
            <v>4247.63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2453.7172399999999</v>
          </cell>
          <cell r="P12">
            <v>441.18276000000003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0</v>
          </cell>
          <cell r="W12">
            <v>0</v>
          </cell>
          <cell r="X12"/>
          <cell r="Z12">
            <v>3105</v>
          </cell>
          <cell r="AA12">
            <v>2723.3955000000001</v>
          </cell>
          <cell r="AB12">
            <v>381.60449999999997</v>
          </cell>
          <cell r="AC12">
            <v>5084.4557399999994</v>
          </cell>
          <cell r="AD12">
            <v>914.19425999999999</v>
          </cell>
          <cell r="AE12">
            <v>5998.65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2629.8908999999999</v>
          </cell>
          <cell r="AK12">
            <v>472.85910000000001</v>
          </cell>
          <cell r="AL12">
            <v>3102.75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0</v>
          </cell>
          <cell r="M13">
            <v>0</v>
          </cell>
          <cell r="N13">
            <v>0</v>
          </cell>
          <cell r="O13">
            <v>8476</v>
          </cell>
          <cell r="P13">
            <v>1524</v>
          </cell>
          <cell r="Q13">
            <v>10000</v>
          </cell>
          <cell r="S13">
            <v>0</v>
          </cell>
          <cell r="T13">
            <v>0</v>
          </cell>
          <cell r="U13">
            <v>0</v>
          </cell>
          <cell r="V13">
            <v>3390.4</v>
          </cell>
          <cell r="W13">
            <v>609.6</v>
          </cell>
          <cell r="X13">
            <v>4000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/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/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/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/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/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/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/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/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/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/>
        </row>
        <row r="14">
          <cell r="L14">
            <v>6422.73</v>
          </cell>
          <cell r="M14">
            <v>5633.376483</v>
          </cell>
          <cell r="N14">
            <v>789.3535169999999</v>
          </cell>
          <cell r="O14">
            <v>4173.5739240000003</v>
          </cell>
          <cell r="P14">
            <v>750.41607599999998</v>
          </cell>
          <cell r="Q14">
            <v>4923.99</v>
          </cell>
          <cell r="S14">
            <v>6422.73</v>
          </cell>
          <cell r="T14">
            <v>5633.376483</v>
          </cell>
          <cell r="U14">
            <v>789.3535169999999</v>
          </cell>
          <cell r="V14">
            <v>11931.080355999999</v>
          </cell>
          <cell r="W14">
            <v>2145.229644</v>
          </cell>
          <cell r="X14">
            <v>14076.31</v>
          </cell>
          <cell r="Z14">
            <v>6422.73</v>
          </cell>
          <cell r="AA14">
            <v>5633.376483</v>
          </cell>
          <cell r="AB14">
            <v>789.3535169999999</v>
          </cell>
          <cell r="AC14">
            <v>5456.4589040000001</v>
          </cell>
          <cell r="AD14">
            <v>981.081096</v>
          </cell>
          <cell r="AE14">
            <v>6437.54</v>
          </cell>
          <cell r="AG14">
            <v>6422.73</v>
          </cell>
          <cell r="AH14">
            <v>5633.376483</v>
          </cell>
          <cell r="AI14">
            <v>789.3535169999999</v>
          </cell>
          <cell r="AJ14">
            <v>5158.9513040000002</v>
          </cell>
          <cell r="AK14">
            <v>927.58869600000003</v>
          </cell>
          <cell r="AL14">
            <v>6086.54</v>
          </cell>
          <cell r="AN14">
            <v>6422.73</v>
          </cell>
          <cell r="AO14">
            <v>5633.376483</v>
          </cell>
          <cell r="AP14">
            <v>789.3535169999999</v>
          </cell>
          <cell r="AQ14">
            <v>0</v>
          </cell>
          <cell r="AR14">
            <v>0</v>
          </cell>
          <cell r="AS14"/>
          <cell r="AU14">
            <v>6422.73</v>
          </cell>
          <cell r="AV14">
            <v>5633.376483</v>
          </cell>
          <cell r="AW14">
            <v>789.3535169999999</v>
          </cell>
          <cell r="AX14">
            <v>0</v>
          </cell>
          <cell r="AY14">
            <v>0</v>
          </cell>
          <cell r="AZ14"/>
          <cell r="BB14">
            <v>6422.73</v>
          </cell>
          <cell r="BC14">
            <v>5633.376483</v>
          </cell>
          <cell r="BD14">
            <v>789.3535169999999</v>
          </cell>
          <cell r="BE14">
            <v>0</v>
          </cell>
          <cell r="BF14">
            <v>0</v>
          </cell>
          <cell r="BG14"/>
          <cell r="BI14">
            <v>6422.73</v>
          </cell>
          <cell r="BJ14">
            <v>5633.376483</v>
          </cell>
          <cell r="BK14">
            <v>789.3535169999999</v>
          </cell>
          <cell r="BL14">
            <v>0</v>
          </cell>
          <cell r="BM14">
            <v>0</v>
          </cell>
          <cell r="BN14"/>
          <cell r="BP14">
            <v>6422.73</v>
          </cell>
          <cell r="BQ14">
            <v>5633.376483</v>
          </cell>
          <cell r="BR14">
            <v>789.3535169999999</v>
          </cell>
          <cell r="BS14">
            <v>0</v>
          </cell>
          <cell r="BT14">
            <v>0</v>
          </cell>
          <cell r="BU14"/>
          <cell r="BW14">
            <v>6422.73</v>
          </cell>
          <cell r="BX14">
            <v>5633.376483</v>
          </cell>
          <cell r="BY14">
            <v>789.3535169999999</v>
          </cell>
          <cell r="BZ14">
            <v>0</v>
          </cell>
          <cell r="CA14">
            <v>0</v>
          </cell>
          <cell r="CB14"/>
          <cell r="CD14">
            <v>6422.73</v>
          </cell>
          <cell r="CE14">
            <v>5633.376483</v>
          </cell>
          <cell r="CF14">
            <v>789.3535169999999</v>
          </cell>
          <cell r="CG14">
            <v>0</v>
          </cell>
          <cell r="CH14">
            <v>0</v>
          </cell>
          <cell r="CI14"/>
          <cell r="CK14">
            <v>6422.73</v>
          </cell>
          <cell r="CL14">
            <v>5633.376483</v>
          </cell>
          <cell r="CM14">
            <v>789.3535169999999</v>
          </cell>
          <cell r="CN14">
            <v>0</v>
          </cell>
          <cell r="CO14">
            <v>0</v>
          </cell>
          <cell r="CP14"/>
        </row>
        <row r="15">
          <cell r="L15">
            <v>13338.6</v>
          </cell>
          <cell r="M15">
            <v>11699.28606</v>
          </cell>
          <cell r="N15">
            <v>1639.31394</v>
          </cell>
          <cell r="O15">
            <v>10135.677083999999</v>
          </cell>
          <cell r="P15">
            <v>1822.4129159999998</v>
          </cell>
          <cell r="Q15">
            <v>11958.089999999998</v>
          </cell>
          <cell r="S15">
            <v>13338.6</v>
          </cell>
          <cell r="T15">
            <v>11699.28606</v>
          </cell>
          <cell r="U15">
            <v>1639.31394</v>
          </cell>
          <cell r="V15">
            <v>10097.763936000001</v>
          </cell>
          <cell r="W15">
            <v>1815.5960640000001</v>
          </cell>
          <cell r="X15">
            <v>11913.36</v>
          </cell>
          <cell r="Z15">
            <v>13338.6</v>
          </cell>
          <cell r="AA15">
            <v>11699.28606</v>
          </cell>
          <cell r="AB15">
            <v>1639.31394</v>
          </cell>
          <cell r="AC15">
            <v>15127.880039999998</v>
          </cell>
          <cell r="AD15">
            <v>2720.0199599999996</v>
          </cell>
          <cell r="AE15">
            <v>17847.899999999998</v>
          </cell>
          <cell r="AG15">
            <v>13338.6</v>
          </cell>
          <cell r="AH15">
            <v>11699.28606</v>
          </cell>
          <cell r="AI15">
            <v>1639.31394</v>
          </cell>
          <cell r="AJ15">
            <v>18253.345707999997</v>
          </cell>
          <cell r="AK15">
            <v>3281.9842920000001</v>
          </cell>
          <cell r="AL15">
            <v>21535.329999999998</v>
          </cell>
          <cell r="AN15">
            <v>13338.6</v>
          </cell>
          <cell r="AO15">
            <v>11699.28606</v>
          </cell>
          <cell r="AP15">
            <v>1639.31394</v>
          </cell>
          <cell r="AQ15">
            <v>0</v>
          </cell>
          <cell r="AR15">
            <v>0</v>
          </cell>
          <cell r="AS15"/>
          <cell r="AU15">
            <v>13338.6</v>
          </cell>
          <cell r="AV15">
            <v>11699.28606</v>
          </cell>
          <cell r="AW15">
            <v>1639.31394</v>
          </cell>
          <cell r="AX15">
            <v>0</v>
          </cell>
          <cell r="AY15">
            <v>0</v>
          </cell>
          <cell r="AZ15"/>
          <cell r="BB15">
            <v>14379.2</v>
          </cell>
          <cell r="BC15">
            <v>12611.99632</v>
          </cell>
          <cell r="BD15">
            <v>1767.2036800000001</v>
          </cell>
          <cell r="BE15">
            <v>0</v>
          </cell>
          <cell r="BF15">
            <v>0</v>
          </cell>
          <cell r="BG15"/>
          <cell r="BI15">
            <v>13338.6</v>
          </cell>
          <cell r="BJ15">
            <v>11699.28606</v>
          </cell>
          <cell r="BK15">
            <v>1639.31394</v>
          </cell>
          <cell r="BL15">
            <v>0</v>
          </cell>
          <cell r="BM15">
            <v>0</v>
          </cell>
          <cell r="BN15"/>
          <cell r="BP15">
            <v>13338.6</v>
          </cell>
          <cell r="BQ15">
            <v>11699.28606</v>
          </cell>
          <cell r="BR15">
            <v>1639.31394</v>
          </cell>
          <cell r="BS15">
            <v>0</v>
          </cell>
          <cell r="BT15">
            <v>0</v>
          </cell>
          <cell r="BU15"/>
          <cell r="BW15">
            <v>13338.6</v>
          </cell>
          <cell r="BX15">
            <v>11699.28606</v>
          </cell>
          <cell r="BY15">
            <v>1639.31394</v>
          </cell>
          <cell r="BZ15">
            <v>0</v>
          </cell>
          <cell r="CA15">
            <v>0</v>
          </cell>
          <cell r="CB15"/>
          <cell r="CD15">
            <v>13338.6</v>
          </cell>
          <cell r="CE15">
            <v>11699.28606</v>
          </cell>
          <cell r="CF15">
            <v>1639.31394</v>
          </cell>
          <cell r="CG15">
            <v>0</v>
          </cell>
          <cell r="CH15">
            <v>0</v>
          </cell>
          <cell r="CI15"/>
          <cell r="CK15">
            <v>13338.6</v>
          </cell>
          <cell r="CL15">
            <v>11699.28606</v>
          </cell>
          <cell r="CM15">
            <v>1639.31394</v>
          </cell>
          <cell r="CN15">
            <v>0</v>
          </cell>
          <cell r="CO15">
            <v>0</v>
          </cell>
          <cell r="CP15"/>
        </row>
        <row r="16">
          <cell r="L16">
            <v>700</v>
          </cell>
          <cell r="M16">
            <v>613.97</v>
          </cell>
          <cell r="N16">
            <v>86.03</v>
          </cell>
          <cell r="O16">
            <v>686.22543599999995</v>
          </cell>
          <cell r="P16">
            <v>123.38456400000001</v>
          </cell>
          <cell r="Q16">
            <v>809.61</v>
          </cell>
          <cell r="S16">
            <v>700</v>
          </cell>
          <cell r="T16">
            <v>613.97</v>
          </cell>
          <cell r="U16">
            <v>86.03</v>
          </cell>
          <cell r="V16">
            <v>798.56633999999997</v>
          </cell>
          <cell r="W16">
            <v>143.58366000000001</v>
          </cell>
          <cell r="X16">
            <v>942.15</v>
          </cell>
          <cell r="Z16">
            <v>700</v>
          </cell>
          <cell r="AA16">
            <v>613.97</v>
          </cell>
          <cell r="AB16">
            <v>86.03</v>
          </cell>
          <cell r="AC16">
            <v>2374.0852199999999</v>
          </cell>
          <cell r="AD16">
            <v>426.86478</v>
          </cell>
          <cell r="AE16">
            <v>2800.95</v>
          </cell>
          <cell r="AG16">
            <v>700</v>
          </cell>
          <cell r="AH16">
            <v>613.97</v>
          </cell>
          <cell r="AI16">
            <v>86.03</v>
          </cell>
          <cell r="AJ16">
            <v>994.20937200000003</v>
          </cell>
          <cell r="AK16">
            <v>178.76062800000003</v>
          </cell>
          <cell r="AL16">
            <v>1172.97</v>
          </cell>
          <cell r="AN16">
            <v>700</v>
          </cell>
          <cell r="AO16">
            <v>613.97</v>
          </cell>
          <cell r="AP16">
            <v>86.03</v>
          </cell>
          <cell r="AQ16">
            <v>0</v>
          </cell>
          <cell r="AR16">
            <v>0</v>
          </cell>
          <cell r="AS16"/>
          <cell r="AU16">
            <v>700</v>
          </cell>
          <cell r="AV16">
            <v>613.97</v>
          </cell>
          <cell r="AW16">
            <v>86.03</v>
          </cell>
          <cell r="AX16">
            <v>0</v>
          </cell>
          <cell r="AY16">
            <v>0</v>
          </cell>
          <cell r="AZ16"/>
          <cell r="BB16">
            <v>700</v>
          </cell>
          <cell r="BC16">
            <v>613.97</v>
          </cell>
          <cell r="BD16">
            <v>86.03</v>
          </cell>
          <cell r="BE16">
            <v>0</v>
          </cell>
          <cell r="BF16">
            <v>0</v>
          </cell>
          <cell r="BG16"/>
          <cell r="BI16">
            <v>700</v>
          </cell>
          <cell r="BJ16">
            <v>613.97</v>
          </cell>
          <cell r="BK16">
            <v>86.03</v>
          </cell>
          <cell r="BL16">
            <v>0</v>
          </cell>
          <cell r="BM16">
            <v>0</v>
          </cell>
          <cell r="BN16"/>
          <cell r="BP16">
            <v>700</v>
          </cell>
          <cell r="BQ16">
            <v>613.97</v>
          </cell>
          <cell r="BR16">
            <v>86.03</v>
          </cell>
          <cell r="BS16">
            <v>0</v>
          </cell>
          <cell r="BT16">
            <v>0</v>
          </cell>
          <cell r="BU16"/>
          <cell r="BW16">
            <v>700</v>
          </cell>
          <cell r="BX16">
            <v>613.97</v>
          </cell>
          <cell r="BY16">
            <v>86.03</v>
          </cell>
          <cell r="BZ16">
            <v>0</v>
          </cell>
          <cell r="CA16">
            <v>0</v>
          </cell>
          <cell r="CB16"/>
          <cell r="CD16">
            <v>700</v>
          </cell>
          <cell r="CE16">
            <v>613.97</v>
          </cell>
          <cell r="CF16">
            <v>86.03</v>
          </cell>
          <cell r="CG16">
            <v>0</v>
          </cell>
          <cell r="CH16">
            <v>0</v>
          </cell>
          <cell r="CI16"/>
          <cell r="CK16">
            <v>700</v>
          </cell>
          <cell r="CL16">
            <v>613.97</v>
          </cell>
          <cell r="CM16">
            <v>86.03</v>
          </cell>
          <cell r="CN16">
            <v>0</v>
          </cell>
          <cell r="CO16">
            <v>0</v>
          </cell>
          <cell r="CP16"/>
        </row>
        <row r="17">
          <cell r="L17">
            <v>60102</v>
          </cell>
          <cell r="M17">
            <v>52715.464200000002</v>
          </cell>
          <cell r="N17">
            <v>7386.5357999999997</v>
          </cell>
          <cell r="O17">
            <v>30810.310855999996</v>
          </cell>
          <cell r="P17">
            <v>5539.7491440000003</v>
          </cell>
          <cell r="Q17">
            <v>36350.06</v>
          </cell>
          <cell r="S17">
            <v>60102</v>
          </cell>
          <cell r="T17">
            <v>52715.464200000002</v>
          </cell>
          <cell r="U17">
            <v>7386.5357999999997</v>
          </cell>
          <cell r="V17">
            <v>37432.084144</v>
          </cell>
          <cell r="W17">
            <v>6730.355856000001</v>
          </cell>
          <cell r="X17">
            <v>44162.44</v>
          </cell>
          <cell r="Z17">
            <v>60102</v>
          </cell>
          <cell r="AA17">
            <v>52715.464200000002</v>
          </cell>
          <cell r="AB17">
            <v>7386.5357999999997</v>
          </cell>
          <cell r="AC17">
            <v>38743.440008000005</v>
          </cell>
          <cell r="AD17">
            <v>6966.1399920000003</v>
          </cell>
          <cell r="AE17">
            <v>45709.58</v>
          </cell>
          <cell r="AG17">
            <v>60102</v>
          </cell>
          <cell r="AH17">
            <v>52715.464200000002</v>
          </cell>
          <cell r="AI17">
            <v>7386.5357999999997</v>
          </cell>
          <cell r="AJ17">
            <v>101327.562544</v>
          </cell>
          <cell r="AK17">
            <v>18218.877456000002</v>
          </cell>
          <cell r="AL17">
            <v>119546.44</v>
          </cell>
          <cell r="AN17">
            <v>60102</v>
          </cell>
          <cell r="AO17">
            <v>52715.464200000002</v>
          </cell>
          <cell r="AP17">
            <v>7386.5357999999997</v>
          </cell>
          <cell r="AQ17">
            <v>0</v>
          </cell>
          <cell r="AR17">
            <v>0</v>
          </cell>
          <cell r="AS17"/>
          <cell r="AU17">
            <v>60102</v>
          </cell>
          <cell r="AV17">
            <v>52715.464200000002</v>
          </cell>
          <cell r="AW17">
            <v>7386.5357999999997</v>
          </cell>
          <cell r="AX17">
            <v>0</v>
          </cell>
          <cell r="AY17">
            <v>0</v>
          </cell>
          <cell r="AZ17"/>
          <cell r="BB17">
            <v>60102</v>
          </cell>
          <cell r="BC17">
            <v>52715.464200000002</v>
          </cell>
          <cell r="BD17">
            <v>7386.5357999999997</v>
          </cell>
          <cell r="BE17">
            <v>0</v>
          </cell>
          <cell r="BF17">
            <v>0</v>
          </cell>
          <cell r="BG17"/>
          <cell r="BI17">
            <v>60102</v>
          </cell>
          <cell r="BJ17">
            <v>52715.464200000002</v>
          </cell>
          <cell r="BK17">
            <v>7386.5357999999997</v>
          </cell>
          <cell r="BL17">
            <v>0</v>
          </cell>
          <cell r="BM17">
            <v>0</v>
          </cell>
          <cell r="BN17"/>
          <cell r="BP17">
            <v>60102</v>
          </cell>
          <cell r="BQ17">
            <v>52715.464200000002</v>
          </cell>
          <cell r="BR17">
            <v>7386.5357999999997</v>
          </cell>
          <cell r="BS17">
            <v>0</v>
          </cell>
          <cell r="BT17">
            <v>0</v>
          </cell>
          <cell r="BU17"/>
          <cell r="BW17">
            <v>60102</v>
          </cell>
          <cell r="BX17">
            <v>52715.464200000002</v>
          </cell>
          <cell r="BY17">
            <v>7386.5357999999997</v>
          </cell>
          <cell r="BZ17">
            <v>0</v>
          </cell>
          <cell r="CA17">
            <v>0</v>
          </cell>
          <cell r="CB17"/>
          <cell r="CD17">
            <v>60102</v>
          </cell>
          <cell r="CE17">
            <v>52715.464200000002</v>
          </cell>
          <cell r="CF17">
            <v>7386.5357999999997</v>
          </cell>
          <cell r="CG17">
            <v>0</v>
          </cell>
          <cell r="CH17">
            <v>0</v>
          </cell>
          <cell r="CI17"/>
          <cell r="CK17">
            <v>60102</v>
          </cell>
          <cell r="CL17">
            <v>52715.464200000002</v>
          </cell>
          <cell r="CM17">
            <v>7386.5357999999997</v>
          </cell>
          <cell r="CN17">
            <v>0</v>
          </cell>
          <cell r="CO17">
            <v>0</v>
          </cell>
          <cell r="CP17"/>
        </row>
        <row r="18">
          <cell r="L18">
            <v>9340.3333333333339</v>
          </cell>
          <cell r="M18">
            <v>8192.406366666668</v>
          </cell>
          <cell r="N18">
            <v>1147.9269666666667</v>
          </cell>
          <cell r="O18">
            <v>14186.899947999998</v>
          </cell>
          <cell r="P18">
            <v>2550.8300520000003</v>
          </cell>
          <cell r="Q18">
            <v>16737.73</v>
          </cell>
          <cell r="S18">
            <v>9340.3333333333339</v>
          </cell>
          <cell r="T18">
            <v>8192.406366666668</v>
          </cell>
          <cell r="U18">
            <v>1147.9269666666667</v>
          </cell>
          <cell r="V18">
            <v>24785.909095999999</v>
          </cell>
          <cell r="W18">
            <v>4456.5509039999997</v>
          </cell>
          <cell r="X18">
            <v>29242.46</v>
          </cell>
          <cell r="Z18">
            <v>9340.3333333333339</v>
          </cell>
          <cell r="AA18">
            <v>8192.406366666668</v>
          </cell>
          <cell r="AB18">
            <v>1147.9269666666667</v>
          </cell>
          <cell r="AC18">
            <v>0</v>
          </cell>
          <cell r="AD18">
            <v>0</v>
          </cell>
          <cell r="AE18"/>
          <cell r="AG18">
            <v>9340.3333333333339</v>
          </cell>
          <cell r="AH18">
            <v>8192.406366666668</v>
          </cell>
          <cell r="AI18">
            <v>1147.9269666666667</v>
          </cell>
          <cell r="AJ18">
            <v>0</v>
          </cell>
          <cell r="AK18">
            <v>0</v>
          </cell>
          <cell r="AL18"/>
          <cell r="AN18">
            <v>9340.3333333333339</v>
          </cell>
          <cell r="AO18">
            <v>8192.406366666668</v>
          </cell>
          <cell r="AP18">
            <v>1147.9269666666667</v>
          </cell>
          <cell r="AQ18">
            <v>0</v>
          </cell>
          <cell r="AR18">
            <v>0</v>
          </cell>
          <cell r="AS18"/>
          <cell r="AU18">
            <v>9340.3333333333339</v>
          </cell>
          <cell r="AV18">
            <v>8192.406366666668</v>
          </cell>
          <cell r="AW18">
            <v>1147.9269666666667</v>
          </cell>
          <cell r="AX18">
            <v>0</v>
          </cell>
          <cell r="AY18">
            <v>0</v>
          </cell>
          <cell r="AZ18"/>
          <cell r="BB18">
            <v>9340.3333333333339</v>
          </cell>
          <cell r="BC18">
            <v>8192.406366666668</v>
          </cell>
          <cell r="BD18">
            <v>1147.9269666666667</v>
          </cell>
          <cell r="BE18">
            <v>0</v>
          </cell>
          <cell r="BF18">
            <v>0</v>
          </cell>
          <cell r="BG18"/>
          <cell r="BI18">
            <v>9340.3333333333339</v>
          </cell>
          <cell r="BJ18">
            <v>8192.406366666668</v>
          </cell>
          <cell r="BK18">
            <v>1147.9269666666667</v>
          </cell>
          <cell r="BL18">
            <v>0</v>
          </cell>
          <cell r="BM18">
            <v>0</v>
          </cell>
          <cell r="BN18"/>
          <cell r="BP18">
            <v>9340.3333333333339</v>
          </cell>
          <cell r="BQ18">
            <v>8192.406366666668</v>
          </cell>
          <cell r="BR18">
            <v>1147.9269666666667</v>
          </cell>
          <cell r="BS18">
            <v>0</v>
          </cell>
          <cell r="BT18">
            <v>0</v>
          </cell>
          <cell r="BU18"/>
          <cell r="BW18">
            <v>9340.3333333333339</v>
          </cell>
          <cell r="BX18">
            <v>8192.406366666668</v>
          </cell>
          <cell r="BY18">
            <v>1147.9269666666667</v>
          </cell>
          <cell r="BZ18">
            <v>0</v>
          </cell>
          <cell r="CA18">
            <v>0</v>
          </cell>
          <cell r="CB18"/>
          <cell r="CD18">
            <v>9340.3333333333339</v>
          </cell>
          <cell r="CE18">
            <v>8192.406366666668</v>
          </cell>
          <cell r="CF18">
            <v>1147.9269666666667</v>
          </cell>
          <cell r="CG18">
            <v>0</v>
          </cell>
          <cell r="CH18">
            <v>0</v>
          </cell>
          <cell r="CI18"/>
          <cell r="CK18">
            <v>9340.3333333333339</v>
          </cell>
          <cell r="CL18">
            <v>8192.406366666668</v>
          </cell>
          <cell r="CM18">
            <v>1147.9269666666667</v>
          </cell>
          <cell r="CN18">
            <v>0</v>
          </cell>
          <cell r="CO18">
            <v>0</v>
          </cell>
          <cell r="CP18"/>
        </row>
        <row r="19">
          <cell r="L19">
            <v>2916.6666666666665</v>
          </cell>
          <cell r="M19">
            <v>2558.208333333333</v>
          </cell>
          <cell r="N19">
            <v>358.45833333333331</v>
          </cell>
          <cell r="O19">
            <v>3847.7141039999997</v>
          </cell>
          <cell r="P19">
            <v>691.82589600000006</v>
          </cell>
          <cell r="Q19">
            <v>4539.54</v>
          </cell>
          <cell r="S19">
            <v>2916.6666666666665</v>
          </cell>
          <cell r="T19">
            <v>2558.208333333333</v>
          </cell>
          <cell r="U19">
            <v>358.45833333333331</v>
          </cell>
          <cell r="V19">
            <v>2110.8545639999998</v>
          </cell>
          <cell r="W19">
            <v>379.535436</v>
          </cell>
          <cell r="X19">
            <v>2490.39</v>
          </cell>
          <cell r="Z19">
            <v>2916.6666666666665</v>
          </cell>
          <cell r="AA19">
            <v>2558.208333333333</v>
          </cell>
          <cell r="AB19">
            <v>358.45833333333331</v>
          </cell>
          <cell r="AC19">
            <v>516.1884</v>
          </cell>
          <cell r="AD19">
            <v>92.811599999999999</v>
          </cell>
          <cell r="AE19">
            <v>609</v>
          </cell>
          <cell r="AG19">
            <v>2916.6666666666665</v>
          </cell>
          <cell r="AH19">
            <v>2558.208333333333</v>
          </cell>
          <cell r="AI19">
            <v>358.45833333333331</v>
          </cell>
          <cell r="AJ19">
            <v>4763.410288</v>
          </cell>
          <cell r="AK19">
            <v>856.46971200000007</v>
          </cell>
          <cell r="AL19">
            <v>5619.88</v>
          </cell>
          <cell r="AN19">
            <v>2916.6666666666665</v>
          </cell>
          <cell r="AO19">
            <v>2558.208333333333</v>
          </cell>
          <cell r="AP19">
            <v>358.45833333333331</v>
          </cell>
          <cell r="AQ19">
            <v>0</v>
          </cell>
          <cell r="AR19">
            <v>0</v>
          </cell>
          <cell r="AS19"/>
          <cell r="AU19">
            <v>2916.6666666666665</v>
          </cell>
          <cell r="AV19">
            <v>2558.208333333333</v>
          </cell>
          <cell r="AW19">
            <v>358.45833333333331</v>
          </cell>
          <cell r="AX19">
            <v>0</v>
          </cell>
          <cell r="AY19">
            <v>0</v>
          </cell>
          <cell r="AZ19"/>
          <cell r="BB19">
            <v>2916.6666666666665</v>
          </cell>
          <cell r="BC19">
            <v>2558.208333333333</v>
          </cell>
          <cell r="BD19">
            <v>358.45833333333331</v>
          </cell>
          <cell r="BE19">
            <v>0</v>
          </cell>
          <cell r="BF19">
            <v>0</v>
          </cell>
          <cell r="BG19"/>
          <cell r="BI19">
            <v>2916.6666666666665</v>
          </cell>
          <cell r="BJ19">
            <v>2558.208333333333</v>
          </cell>
          <cell r="BK19">
            <v>358.45833333333331</v>
          </cell>
          <cell r="BL19">
            <v>0</v>
          </cell>
          <cell r="BM19">
            <v>0</v>
          </cell>
          <cell r="BN19"/>
          <cell r="BP19">
            <v>2916.6666666666665</v>
          </cell>
          <cell r="BQ19">
            <v>2558.208333333333</v>
          </cell>
          <cell r="BR19">
            <v>358.45833333333331</v>
          </cell>
          <cell r="BS19">
            <v>0</v>
          </cell>
          <cell r="BT19">
            <v>0</v>
          </cell>
          <cell r="BU19"/>
          <cell r="BW19">
            <v>2916.6666666666665</v>
          </cell>
          <cell r="BX19">
            <v>2558.208333333333</v>
          </cell>
          <cell r="BY19">
            <v>358.45833333333331</v>
          </cell>
          <cell r="BZ19">
            <v>0</v>
          </cell>
          <cell r="CA19">
            <v>0</v>
          </cell>
          <cell r="CB19"/>
          <cell r="CD19">
            <v>2916.6666666666665</v>
          </cell>
          <cell r="CE19">
            <v>2558.208333333333</v>
          </cell>
          <cell r="CF19">
            <v>358.45833333333331</v>
          </cell>
          <cell r="CG19">
            <v>0</v>
          </cell>
          <cell r="CH19">
            <v>0</v>
          </cell>
          <cell r="CI19"/>
          <cell r="CK19">
            <v>2916.6666666666665</v>
          </cell>
          <cell r="CL19">
            <v>2558.208333333333</v>
          </cell>
          <cell r="CM19">
            <v>358.45833333333331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19388.256679999999</v>
          </cell>
          <cell r="P20">
            <v>3486.0433200000002</v>
          </cell>
          <cell r="Q20">
            <v>22874.3</v>
          </cell>
          <cell r="S20">
            <v>0</v>
          </cell>
          <cell r="T20">
            <v>0</v>
          </cell>
          <cell r="U20">
            <v>0</v>
          </cell>
          <cell r="V20">
            <v>3104.7672760000019</v>
          </cell>
          <cell r="W20">
            <v>558.24272400000029</v>
          </cell>
          <cell r="X20">
            <v>3663.010000000002</v>
          </cell>
          <cell r="Z20">
            <v>508072.99254857103</v>
          </cell>
          <cell r="AA20">
            <v>445630.82176435163</v>
          </cell>
          <cell r="AB20">
            <v>62442.170784219379</v>
          </cell>
          <cell r="AC20">
            <v>245451.72048799999</v>
          </cell>
          <cell r="AD20">
            <v>44132.659512000006</v>
          </cell>
          <cell r="AE20">
            <v>289584.38</v>
          </cell>
          <cell r="AG20">
            <v>0</v>
          </cell>
          <cell r="AH20">
            <v>0</v>
          </cell>
          <cell r="AI20">
            <v>0</v>
          </cell>
          <cell r="AJ20">
            <v>53304.690971999997</v>
          </cell>
          <cell r="AK20">
            <v>9584.2790280000008</v>
          </cell>
          <cell r="AL20">
            <v>62888.97</v>
          </cell>
          <cell r="AN20">
            <v>13140.573119999999</v>
          </cell>
          <cell r="AO20">
            <v>11525.596683551999</v>
          </cell>
          <cell r="AP20">
            <v>1614.9764364479997</v>
          </cell>
          <cell r="AQ20">
            <v>0</v>
          </cell>
          <cell r="AR20">
            <v>0</v>
          </cell>
          <cell r="AS20"/>
          <cell r="AU20">
            <v>13140.573119999999</v>
          </cell>
          <cell r="AV20">
            <v>11525.596683551999</v>
          </cell>
          <cell r="AW20">
            <v>1614.9764364479997</v>
          </cell>
          <cell r="AX20">
            <v>0</v>
          </cell>
          <cell r="AY20">
            <v>0</v>
          </cell>
          <cell r="AZ20"/>
          <cell r="BB20">
            <v>239828.57311999999</v>
          </cell>
          <cell r="BC20">
            <v>210353.641483552</v>
          </cell>
          <cell r="BD20">
            <v>29474.931636447996</v>
          </cell>
          <cell r="BE20">
            <v>0</v>
          </cell>
          <cell r="BF20">
            <v>0</v>
          </cell>
          <cell r="BG20"/>
          <cell r="BI20">
            <v>34738.565668571398</v>
          </cell>
          <cell r="BJ20">
            <v>30469.195947903972</v>
          </cell>
          <cell r="BK20">
            <v>4269.3697206674251</v>
          </cell>
          <cell r="BL20">
            <v>0</v>
          </cell>
          <cell r="BM20">
            <v>0</v>
          </cell>
          <cell r="BN20"/>
          <cell r="BP20">
            <v>242105.57311999999</v>
          </cell>
          <cell r="BQ20">
            <v>212350.79818355199</v>
          </cell>
          <cell r="BR20">
            <v>29754.774936447997</v>
          </cell>
          <cell r="BS20">
            <v>0</v>
          </cell>
          <cell r="BT20">
            <v>0</v>
          </cell>
          <cell r="BU20"/>
          <cell r="BW20">
            <v>13140.573119999999</v>
          </cell>
          <cell r="BX20">
            <v>11525.596683551999</v>
          </cell>
          <cell r="BY20">
            <v>1614.9764364479997</v>
          </cell>
          <cell r="BZ20">
            <v>0</v>
          </cell>
          <cell r="CA20">
            <v>0</v>
          </cell>
          <cell r="CB20"/>
          <cell r="CD20">
            <v>13140.573119999999</v>
          </cell>
          <cell r="CE20">
            <v>11525.596683551999</v>
          </cell>
          <cell r="CF20">
            <v>1614.9764364479997</v>
          </cell>
          <cell r="CG20">
            <v>0</v>
          </cell>
          <cell r="CH20">
            <v>0</v>
          </cell>
          <cell r="CI20"/>
          <cell r="CK20">
            <v>13140.573119999999</v>
          </cell>
          <cell r="CL20">
            <v>11525.596683551999</v>
          </cell>
          <cell r="CM20">
            <v>1614.9764364479997</v>
          </cell>
          <cell r="CN20">
            <v>0</v>
          </cell>
          <cell r="CO20">
            <v>0</v>
          </cell>
          <cell r="CP20"/>
        </row>
        <row r="21">
          <cell r="L21">
            <v>73616.804999999993</v>
          </cell>
          <cell r="M21">
            <v>64569.299665499995</v>
          </cell>
          <cell r="N21">
            <v>9047.5053344999997</v>
          </cell>
          <cell r="O21">
            <v>20161.013599999998</v>
          </cell>
          <cell r="P21">
            <v>3624.9864000000002</v>
          </cell>
          <cell r="Q21">
            <v>23786</v>
          </cell>
          <cell r="S21">
            <v>0</v>
          </cell>
          <cell r="T21">
            <v>0</v>
          </cell>
          <cell r="U21">
            <v>0</v>
          </cell>
          <cell r="V21">
            <v>7962.3544000000002</v>
          </cell>
          <cell r="W21">
            <v>1431.6456000000001</v>
          </cell>
          <cell r="X21">
            <v>9394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/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27732.015999999901</v>
          </cell>
          <cell r="M22">
            <v>24323.751233599913</v>
          </cell>
          <cell r="N22">
            <v>3408.2647663999878</v>
          </cell>
          <cell r="O22">
            <v>31792.891155999998</v>
          </cell>
          <cell r="P22">
            <v>5716.4188439999998</v>
          </cell>
          <cell r="Q22">
            <v>37509.31</v>
          </cell>
          <cell r="S22">
            <v>27732.015999999901</v>
          </cell>
          <cell r="T22">
            <v>24323.751233599913</v>
          </cell>
          <cell r="U22">
            <v>3408.2647663999878</v>
          </cell>
          <cell r="V22">
            <v>53374.516259999997</v>
          </cell>
          <cell r="W22">
            <v>9596.83374</v>
          </cell>
          <cell r="X22">
            <v>62971.35</v>
          </cell>
          <cell r="Z22">
            <v>27732.015999999901</v>
          </cell>
          <cell r="AA22">
            <v>24323.751233599913</v>
          </cell>
          <cell r="AB22">
            <v>3408.2647663999878</v>
          </cell>
          <cell r="AC22">
            <v>10458.36688</v>
          </cell>
          <cell r="AD22">
            <v>1880.4331199999999</v>
          </cell>
          <cell r="AE22">
            <v>12338.8</v>
          </cell>
          <cell r="AG22">
            <v>27732.015999999901</v>
          </cell>
          <cell r="AH22">
            <v>24323.751233599913</v>
          </cell>
          <cell r="AI22">
            <v>3408.2647663999878</v>
          </cell>
          <cell r="AJ22">
            <v>7319.3311360000007</v>
          </cell>
          <cell r="AK22">
            <v>1316.0288640000001</v>
          </cell>
          <cell r="AL22">
            <v>8635.36</v>
          </cell>
          <cell r="AN22">
            <v>27732.015999999901</v>
          </cell>
          <cell r="AO22">
            <v>24323.751233599913</v>
          </cell>
          <cell r="AP22">
            <v>3408.2647663999878</v>
          </cell>
          <cell r="AQ22">
            <v>0</v>
          </cell>
          <cell r="AR22">
            <v>0</v>
          </cell>
          <cell r="AS22"/>
          <cell r="AU22">
            <v>27732.015999999901</v>
          </cell>
          <cell r="AV22">
            <v>24323.751233599913</v>
          </cell>
          <cell r="AW22">
            <v>3408.2647663999878</v>
          </cell>
          <cell r="AX22">
            <v>0</v>
          </cell>
          <cell r="AY22">
            <v>0</v>
          </cell>
          <cell r="AZ22"/>
          <cell r="BB22">
            <v>27732.015999999901</v>
          </cell>
          <cell r="BC22">
            <v>24323.751233599913</v>
          </cell>
          <cell r="BD22">
            <v>3408.2647663999878</v>
          </cell>
          <cell r="BE22">
            <v>0</v>
          </cell>
          <cell r="BF22">
            <v>0</v>
          </cell>
          <cell r="BG22"/>
          <cell r="BI22">
            <v>27732.015999999901</v>
          </cell>
          <cell r="BJ22">
            <v>24323.751233599913</v>
          </cell>
          <cell r="BK22">
            <v>3408.2647663999878</v>
          </cell>
          <cell r="BL22">
            <v>0</v>
          </cell>
          <cell r="BM22">
            <v>0</v>
          </cell>
          <cell r="BN22"/>
          <cell r="BP22">
            <v>27732.015999999901</v>
          </cell>
          <cell r="BQ22">
            <v>24323.751233599913</v>
          </cell>
          <cell r="BR22">
            <v>3408.2647663999878</v>
          </cell>
          <cell r="BS22">
            <v>0</v>
          </cell>
          <cell r="BT22">
            <v>0</v>
          </cell>
          <cell r="BU22"/>
          <cell r="BW22">
            <v>27732.015999999901</v>
          </cell>
          <cell r="BX22">
            <v>24323.751233599913</v>
          </cell>
          <cell r="BY22">
            <v>3408.2647663999878</v>
          </cell>
          <cell r="BZ22">
            <v>0</v>
          </cell>
          <cell r="CA22">
            <v>0</v>
          </cell>
          <cell r="CB22"/>
          <cell r="CD22">
            <v>27732.015999999901</v>
          </cell>
          <cell r="CE22">
            <v>24323.751233599913</v>
          </cell>
          <cell r="CF22">
            <v>3408.2647663999878</v>
          </cell>
          <cell r="CG22">
            <v>0</v>
          </cell>
          <cell r="CH22">
            <v>0</v>
          </cell>
          <cell r="CI22"/>
          <cell r="CK22">
            <v>27732.015999999901</v>
          </cell>
          <cell r="CL22">
            <v>24323.751233599913</v>
          </cell>
          <cell r="CM22">
            <v>3408.2647663999878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24454.744072269103</v>
          </cell>
          <cell r="M24">
            <v>21449.256025787232</v>
          </cell>
          <cell r="N24">
            <v>3005.4880464818725</v>
          </cell>
          <cell r="O24">
            <v>26826.717995999999</v>
          </cell>
          <cell r="P24">
            <v>4823.4920039999997</v>
          </cell>
          <cell r="Q24">
            <v>31650.21</v>
          </cell>
          <cell r="S24">
            <v>24454.744072269103</v>
          </cell>
          <cell r="T24">
            <v>21449.256025787232</v>
          </cell>
          <cell r="U24">
            <v>3005.4880464818725</v>
          </cell>
          <cell r="V24">
            <v>45940.920167999997</v>
          </cell>
          <cell r="W24">
            <v>8260.2598319999997</v>
          </cell>
          <cell r="X24">
            <v>54201.18</v>
          </cell>
          <cell r="Z24">
            <v>24454.744072269103</v>
          </cell>
          <cell r="AA24">
            <v>21449.256025787232</v>
          </cell>
          <cell r="AB24">
            <v>3005.4880464818725</v>
          </cell>
          <cell r="AC24">
            <v>3041.3244159999999</v>
          </cell>
          <cell r="AD24">
            <v>546.83558400000004</v>
          </cell>
          <cell r="AE24">
            <v>3588.16</v>
          </cell>
          <cell r="AG24">
            <v>24454.744072269103</v>
          </cell>
          <cell r="AH24">
            <v>21449.256025787232</v>
          </cell>
          <cell r="AI24">
            <v>3005.4880464818725</v>
          </cell>
          <cell r="AJ24">
            <v>18350.243340000001</v>
          </cell>
          <cell r="AK24">
            <v>3299.4066600000006</v>
          </cell>
          <cell r="AL24">
            <v>21649.65</v>
          </cell>
          <cell r="AN24">
            <v>24454.744072269103</v>
          </cell>
          <cell r="AO24">
            <v>21449.256025787232</v>
          </cell>
          <cell r="AP24">
            <v>3005.4880464818725</v>
          </cell>
          <cell r="AQ24">
            <v>0</v>
          </cell>
          <cell r="AR24">
            <v>0</v>
          </cell>
          <cell r="AS24"/>
          <cell r="AU24">
            <v>24454.744072269103</v>
          </cell>
          <cell r="AV24">
            <v>21449.256025787232</v>
          </cell>
          <cell r="AW24">
            <v>3005.4880464818725</v>
          </cell>
          <cell r="AX24">
            <v>0</v>
          </cell>
          <cell r="AY24">
            <v>0</v>
          </cell>
          <cell r="AZ24"/>
          <cell r="BB24">
            <v>20205.870595149099</v>
          </cell>
          <cell r="BC24">
            <v>17722.569099005275</v>
          </cell>
          <cell r="BD24">
            <v>2483.3014961438244</v>
          </cell>
          <cell r="BE24">
            <v>0</v>
          </cell>
          <cell r="BF24">
            <v>0</v>
          </cell>
          <cell r="BG24"/>
          <cell r="BI24">
            <v>24454.744072269103</v>
          </cell>
          <cell r="BJ24">
            <v>21449.256025787232</v>
          </cell>
          <cell r="BK24">
            <v>3005.4880464818725</v>
          </cell>
          <cell r="BL24">
            <v>0</v>
          </cell>
          <cell r="BM24">
            <v>0</v>
          </cell>
          <cell r="BN24"/>
          <cell r="BP24">
            <v>24454.744072269103</v>
          </cell>
          <cell r="BQ24">
            <v>21449.256025787232</v>
          </cell>
          <cell r="BR24">
            <v>3005.4880464818725</v>
          </cell>
          <cell r="BS24">
            <v>0</v>
          </cell>
          <cell r="BT24">
            <v>0</v>
          </cell>
          <cell r="BU24"/>
          <cell r="BW24">
            <v>24454.744072269103</v>
          </cell>
          <cell r="BX24">
            <v>21449.256025787232</v>
          </cell>
          <cell r="BY24">
            <v>3005.4880464818725</v>
          </cell>
          <cell r="BZ24">
            <v>0</v>
          </cell>
          <cell r="CA24">
            <v>0</v>
          </cell>
          <cell r="CB24"/>
          <cell r="CD24">
            <v>24454.744072269103</v>
          </cell>
          <cell r="CE24">
            <v>21449.256025787232</v>
          </cell>
          <cell r="CF24">
            <v>3005.4880464818725</v>
          </cell>
          <cell r="CG24">
            <v>0</v>
          </cell>
          <cell r="CH24">
            <v>0</v>
          </cell>
          <cell r="CI24"/>
          <cell r="CK24">
            <v>24454.744072269103</v>
          </cell>
          <cell r="CL24">
            <v>21449.256025787232</v>
          </cell>
          <cell r="CM24">
            <v>3005.4880464818725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15207.6392</v>
          </cell>
          <cell r="P25">
            <v>2734.3607999999999</v>
          </cell>
          <cell r="Q25">
            <v>17942</v>
          </cell>
          <cell r="S25">
            <v>0</v>
          </cell>
          <cell r="T25">
            <v>0</v>
          </cell>
          <cell r="U25">
            <v>0</v>
          </cell>
          <cell r="V25">
            <v>26279.999043999997</v>
          </cell>
          <cell r="W25">
            <v>4725.1909560000004</v>
          </cell>
          <cell r="X25">
            <v>31005.19</v>
          </cell>
          <cell r="Z25">
            <v>87906.524159999899</v>
          </cell>
          <cell r="AA25">
            <v>77102.812340735909</v>
          </cell>
          <cell r="AB25">
            <v>10803.711819263986</v>
          </cell>
          <cell r="AC25">
            <v>47078.373940000005</v>
          </cell>
          <cell r="AD25">
            <v>8464.7760600000001</v>
          </cell>
          <cell r="AE25">
            <v>55543.15</v>
          </cell>
          <cell r="AG25">
            <v>116948.215751999</v>
          </cell>
          <cell r="AH25">
            <v>102575.28003607833</v>
          </cell>
          <cell r="AI25">
            <v>14372.935715920676</v>
          </cell>
          <cell r="AJ25">
            <v>181057.82786000002</v>
          </cell>
          <cell r="AK25">
            <v>32554.522140000001</v>
          </cell>
          <cell r="AL25">
            <v>213612.35</v>
          </cell>
          <cell r="AN25">
            <v>116948.215751999</v>
          </cell>
          <cell r="AO25">
            <v>102575.28003607833</v>
          </cell>
          <cell r="AP25">
            <v>14372.935715920676</v>
          </cell>
          <cell r="AQ25">
            <v>0</v>
          </cell>
          <cell r="AR25">
            <v>0</v>
          </cell>
          <cell r="AS25"/>
          <cell r="AU25">
            <v>121784.398295999</v>
          </cell>
          <cell r="AV25">
            <v>106817.09574542072</v>
          </cell>
          <cell r="AW25">
            <v>14967.302550578275</v>
          </cell>
          <cell r="AX25">
            <v>0</v>
          </cell>
          <cell r="AY25">
            <v>0</v>
          </cell>
          <cell r="AZ25"/>
          <cell r="BB25">
            <v>41993.285495999997</v>
          </cell>
          <cell r="BC25">
            <v>36832.310708541598</v>
          </cell>
          <cell r="BD25">
            <v>5160.9747874583991</v>
          </cell>
          <cell r="BE25">
            <v>0</v>
          </cell>
          <cell r="BF25">
            <v>0</v>
          </cell>
          <cell r="BG25"/>
          <cell r="BI25">
            <v>41993.285495999997</v>
          </cell>
          <cell r="BJ25">
            <v>36832.310708541598</v>
          </cell>
          <cell r="BK25">
            <v>5160.9747874583991</v>
          </cell>
          <cell r="BL25">
            <v>0</v>
          </cell>
          <cell r="BM25">
            <v>0</v>
          </cell>
          <cell r="BN25"/>
          <cell r="BP25">
            <v>41993.285495999997</v>
          </cell>
          <cell r="BQ25">
            <v>36832.310708541598</v>
          </cell>
          <cell r="BR25">
            <v>5160.9747874583991</v>
          </cell>
          <cell r="BS25">
            <v>0</v>
          </cell>
          <cell r="BT25">
            <v>0</v>
          </cell>
          <cell r="BU25"/>
          <cell r="BW25">
            <v>31589.033874000001</v>
          </cell>
          <cell r="BX25">
            <v>27706.741610885401</v>
          </cell>
          <cell r="BY25">
            <v>3882.2922631145998</v>
          </cell>
          <cell r="BZ25">
            <v>0</v>
          </cell>
          <cell r="CA25">
            <v>0</v>
          </cell>
          <cell r="CB25"/>
          <cell r="CD25">
            <v>20750.619659999898</v>
          </cell>
          <cell r="CE25">
            <v>18200.36850378591</v>
          </cell>
          <cell r="CF25">
            <v>2550.2511562139875</v>
          </cell>
          <cell r="CG25">
            <v>0</v>
          </cell>
          <cell r="CH25">
            <v>0</v>
          </cell>
          <cell r="CI25"/>
          <cell r="CK25">
            <v>20750.619659999898</v>
          </cell>
          <cell r="CL25">
            <v>18200.36850378591</v>
          </cell>
          <cell r="CM25">
            <v>2550.2511562139875</v>
          </cell>
          <cell r="CN25">
            <v>0</v>
          </cell>
          <cell r="CO25">
            <v>0</v>
          </cell>
          <cell r="CP25"/>
        </row>
        <row r="26">
          <cell r="L26">
            <v>110134.9057818624</v>
          </cell>
          <cell r="M26">
            <v>96599.325861271514</v>
          </cell>
          <cell r="N26">
            <v>13535.579920590888</v>
          </cell>
          <cell r="O26">
            <v>137919.32757200001</v>
          </cell>
          <cell r="P26">
            <v>24798.142428000003</v>
          </cell>
          <cell r="Q26">
            <v>162717.47</v>
          </cell>
          <cell r="S26">
            <v>216555.53336586154</v>
          </cell>
          <cell r="T26">
            <v>189940.85831519717</v>
          </cell>
          <cell r="U26">
            <v>26614.675050664384</v>
          </cell>
          <cell r="V26">
            <v>202203.82046799999</v>
          </cell>
          <cell r="W26">
            <v>36356.609532000002</v>
          </cell>
          <cell r="X26">
            <v>238560.43</v>
          </cell>
          <cell r="Z26">
            <v>329801.34367357357</v>
          </cell>
          <cell r="AA26">
            <v>289268.75853609137</v>
          </cell>
          <cell r="AB26">
            <v>40532.585137482194</v>
          </cell>
          <cell r="AC26">
            <v>277615.91129999998</v>
          </cell>
          <cell r="AD26">
            <v>49915.8387</v>
          </cell>
          <cell r="AE26">
            <v>327531.75</v>
          </cell>
          <cell r="AG26">
            <v>321800.36351101351</v>
          </cell>
          <cell r="AH26">
            <v>282251.09883550997</v>
          </cell>
          <cell r="AI26">
            <v>39549.26467550356</v>
          </cell>
          <cell r="AJ26">
            <v>331180.595096</v>
          </cell>
          <cell r="AK26">
            <v>59546.864904000009</v>
          </cell>
          <cell r="AL26">
            <v>390727.46</v>
          </cell>
          <cell r="AN26">
            <v>368780.91560586152</v>
          </cell>
          <cell r="AO26">
            <v>323457.74107790116</v>
          </cell>
          <cell r="AP26">
            <v>45323.174527960378</v>
          </cell>
          <cell r="AQ26">
            <v>0</v>
          </cell>
          <cell r="AR26">
            <v>0</v>
          </cell>
          <cell r="AS26"/>
          <cell r="AU26">
            <v>286876.52868157439</v>
          </cell>
          <cell r="AV26">
            <v>251619.4033066089</v>
          </cell>
          <cell r="AW26">
            <v>35257.125374965493</v>
          </cell>
          <cell r="AX26">
            <v>0</v>
          </cell>
          <cell r="AY26">
            <v>0</v>
          </cell>
          <cell r="AZ26"/>
          <cell r="BB26">
            <v>239895.9765867255</v>
          </cell>
          <cell r="BC26">
            <v>210412.76106421693</v>
          </cell>
          <cell r="BD26">
            <v>29483.215522508563</v>
          </cell>
          <cell r="BE26">
            <v>0</v>
          </cell>
          <cell r="BF26">
            <v>0</v>
          </cell>
          <cell r="BG26"/>
          <cell r="BI26">
            <v>329801.34367357357</v>
          </cell>
          <cell r="BJ26">
            <v>289268.75853609137</v>
          </cell>
          <cell r="BK26">
            <v>40532.585137482194</v>
          </cell>
          <cell r="BL26">
            <v>0</v>
          </cell>
          <cell r="BM26">
            <v>0</v>
          </cell>
          <cell r="BN26"/>
          <cell r="BP26">
            <v>411816.04600099201</v>
          </cell>
          <cell r="BQ26">
            <v>361203.85394747008</v>
          </cell>
          <cell r="BR26">
            <v>50612.192053521918</v>
          </cell>
          <cell r="BS26">
            <v>0</v>
          </cell>
          <cell r="BT26">
            <v>0</v>
          </cell>
          <cell r="BU26"/>
          <cell r="BW26">
            <v>386225.26349471917</v>
          </cell>
          <cell r="BX26">
            <v>338758.17861121817</v>
          </cell>
          <cell r="BY26">
            <v>47467.084883500982</v>
          </cell>
          <cell r="BZ26">
            <v>0</v>
          </cell>
          <cell r="CA26">
            <v>0</v>
          </cell>
          <cell r="CB26"/>
          <cell r="CD26">
            <v>289366.48013699113</v>
          </cell>
          <cell r="CE26">
            <v>253803.33972815491</v>
          </cell>
          <cell r="CF26">
            <v>35563.140408836211</v>
          </cell>
          <cell r="CG26">
            <v>0</v>
          </cell>
          <cell r="CH26">
            <v>0</v>
          </cell>
          <cell r="CI26"/>
          <cell r="CK26">
            <v>282541.29741327913</v>
          </cell>
          <cell r="CL26">
            <v>247816.97196118714</v>
          </cell>
          <cell r="CM26">
            <v>34724.325452092002</v>
          </cell>
          <cell r="CN26">
            <v>0</v>
          </cell>
          <cell r="CO26">
            <v>0</v>
          </cell>
          <cell r="CP26"/>
        </row>
        <row r="27">
          <cell r="L27">
            <v>4634.7986303999996</v>
          </cell>
          <cell r="M27">
            <v>4065.1818787238399</v>
          </cell>
          <cell r="N27">
            <v>569.61675167615988</v>
          </cell>
          <cell r="O27">
            <v>21034.372164</v>
          </cell>
          <cell r="P27">
            <v>3782.017836</v>
          </cell>
          <cell r="Q27">
            <v>24816.39</v>
          </cell>
          <cell r="S27">
            <v>16731.940723199899</v>
          </cell>
          <cell r="T27">
            <v>14675.585208318633</v>
          </cell>
          <cell r="U27">
            <v>2056.3555148812675</v>
          </cell>
          <cell r="V27">
            <v>17951.125452</v>
          </cell>
          <cell r="W27">
            <v>3227.6445480000002</v>
          </cell>
          <cell r="X27">
            <v>21178.77</v>
          </cell>
          <cell r="Z27">
            <v>16731.940723199899</v>
          </cell>
          <cell r="AA27">
            <v>14675.585208318633</v>
          </cell>
          <cell r="AB27">
            <v>2056.3555148812675</v>
          </cell>
          <cell r="AC27">
            <v>41399.428511999999</v>
          </cell>
          <cell r="AD27">
            <v>7443.6914880000004</v>
          </cell>
          <cell r="AE27">
            <v>48843.12</v>
          </cell>
          <cell r="AG27">
            <v>17748.590759999999</v>
          </cell>
          <cell r="AH27">
            <v>15567.288955595999</v>
          </cell>
          <cell r="AI27">
            <v>2181.301804404</v>
          </cell>
          <cell r="AJ27">
            <v>20840.119196</v>
          </cell>
          <cell r="AK27">
            <v>3747.0908039999999</v>
          </cell>
          <cell r="AL27">
            <v>24587.21</v>
          </cell>
          <cell r="AN27">
            <v>6952.4643599999999</v>
          </cell>
          <cell r="AO27">
            <v>6098.0064901559999</v>
          </cell>
          <cell r="AP27">
            <v>854.45786984400002</v>
          </cell>
          <cell r="AQ27">
            <v>0</v>
          </cell>
          <cell r="AR27">
            <v>0</v>
          </cell>
          <cell r="AS27"/>
          <cell r="AU27">
            <v>22383.389390399901</v>
          </cell>
          <cell r="AV27">
            <v>19632.470834319753</v>
          </cell>
          <cell r="AW27">
            <v>2750.9185560801479</v>
          </cell>
          <cell r="AX27">
            <v>0</v>
          </cell>
          <cell r="AY27">
            <v>0</v>
          </cell>
          <cell r="AZ27"/>
          <cell r="BB27">
            <v>11587.2629903999</v>
          </cell>
          <cell r="BC27">
            <v>10163.188368879753</v>
          </cell>
          <cell r="BD27">
            <v>1424.0746215201477</v>
          </cell>
          <cell r="BE27">
            <v>0</v>
          </cell>
          <cell r="BF27">
            <v>0</v>
          </cell>
          <cell r="BG27"/>
          <cell r="BI27">
            <v>22383.389390399901</v>
          </cell>
          <cell r="BJ27">
            <v>19632.470834319753</v>
          </cell>
          <cell r="BK27">
            <v>2750.9185560801479</v>
          </cell>
          <cell r="BL27">
            <v>0</v>
          </cell>
          <cell r="BM27">
            <v>0</v>
          </cell>
          <cell r="BN27"/>
          <cell r="BP27">
            <v>22383.389390399901</v>
          </cell>
          <cell r="BQ27">
            <v>19632.470834319753</v>
          </cell>
          <cell r="BR27">
            <v>2750.9185560801479</v>
          </cell>
          <cell r="BS27">
            <v>0</v>
          </cell>
          <cell r="BT27">
            <v>0</v>
          </cell>
          <cell r="BU27"/>
          <cell r="BW27">
            <v>17660.840600399901</v>
          </cell>
          <cell r="BX27">
            <v>15490.323290610753</v>
          </cell>
          <cell r="BY27">
            <v>2170.5173097891479</v>
          </cell>
          <cell r="BZ27">
            <v>0</v>
          </cell>
          <cell r="CA27">
            <v>0</v>
          </cell>
          <cell r="CB27"/>
          <cell r="CD27">
            <v>13026.04197</v>
          </cell>
          <cell r="CE27">
            <v>11425.141411887</v>
          </cell>
          <cell r="CF27">
            <v>1600.900558113</v>
          </cell>
          <cell r="CG27">
            <v>0</v>
          </cell>
          <cell r="CH27">
            <v>0</v>
          </cell>
          <cell r="CI27"/>
          <cell r="CK27">
            <v>13026.04197</v>
          </cell>
          <cell r="CL27">
            <v>11425.141411887</v>
          </cell>
          <cell r="CM27">
            <v>1600.900558113</v>
          </cell>
          <cell r="CN27">
            <v>0</v>
          </cell>
          <cell r="CO27">
            <v>0</v>
          </cell>
          <cell r="CP27"/>
        </row>
        <row r="28">
          <cell r="L28">
            <v>14647.083119999999</v>
          </cell>
          <cell r="M28">
            <v>12846.956604552</v>
          </cell>
          <cell r="N28">
            <v>1800.1265154479997</v>
          </cell>
          <cell r="O28">
            <v>12172.027608</v>
          </cell>
          <cell r="P28">
            <v>2188.5523920000001</v>
          </cell>
          <cell r="Q28">
            <v>14360.58</v>
          </cell>
          <cell r="S28">
            <v>14647.083119999999</v>
          </cell>
          <cell r="T28">
            <v>12846.956604552</v>
          </cell>
          <cell r="U28">
            <v>1800.1265154479997</v>
          </cell>
          <cell r="V28">
            <v>14367.430272000001</v>
          </cell>
          <cell r="W28">
            <v>2583.2897280000002</v>
          </cell>
          <cell r="X28">
            <v>16950.72</v>
          </cell>
          <cell r="Z28">
            <v>19529.444159999999</v>
          </cell>
          <cell r="AA28">
            <v>17129.275472736001</v>
          </cell>
          <cell r="AB28">
            <v>2400.1686872639998</v>
          </cell>
          <cell r="AC28">
            <v>15409.401904</v>
          </cell>
          <cell r="AD28">
            <v>2770.6380960000001</v>
          </cell>
          <cell r="AE28">
            <v>18180.04</v>
          </cell>
          <cell r="AG28">
            <v>19974.41964</v>
          </cell>
          <cell r="AH28">
            <v>17519.563466243999</v>
          </cell>
          <cell r="AI28">
            <v>2454.8561737559999</v>
          </cell>
          <cell r="AJ28">
            <v>9919.6746999999996</v>
          </cell>
          <cell r="AK28">
            <v>1783.5753000000002</v>
          </cell>
          <cell r="AL28">
            <v>11703.25</v>
          </cell>
          <cell r="AN28">
            <v>17088.263639999899</v>
          </cell>
          <cell r="AO28">
            <v>14988.116038643911</v>
          </cell>
          <cell r="AP28">
            <v>2100.1476013559877</v>
          </cell>
          <cell r="AQ28">
            <v>0</v>
          </cell>
          <cell r="AR28">
            <v>0</v>
          </cell>
          <cell r="AS28"/>
          <cell r="AU28">
            <v>15092.0586</v>
          </cell>
          <cell r="AV28">
            <v>13237.24459806</v>
          </cell>
          <cell r="AW28">
            <v>1854.81400194</v>
          </cell>
          <cell r="AX28">
            <v>0</v>
          </cell>
          <cell r="AY28">
            <v>0</v>
          </cell>
          <cell r="AZ28"/>
          <cell r="BB28">
            <v>12205.902599999999</v>
          </cell>
          <cell r="BC28">
            <v>10705.797170459999</v>
          </cell>
          <cell r="BD28">
            <v>1500.1054295399999</v>
          </cell>
          <cell r="BE28">
            <v>0</v>
          </cell>
          <cell r="BF28">
            <v>0</v>
          </cell>
          <cell r="BG28"/>
          <cell r="BI28">
            <v>19974.41964</v>
          </cell>
          <cell r="BJ28">
            <v>17519.563466243999</v>
          </cell>
          <cell r="BK28">
            <v>2454.8561737559999</v>
          </cell>
          <cell r="BL28">
            <v>0</v>
          </cell>
          <cell r="BM28">
            <v>0</v>
          </cell>
          <cell r="BN28"/>
          <cell r="BP28">
            <v>19974.41964</v>
          </cell>
          <cell r="BQ28">
            <v>17519.563466243999</v>
          </cell>
          <cell r="BR28">
            <v>2454.8561737559999</v>
          </cell>
          <cell r="BS28">
            <v>0</v>
          </cell>
          <cell r="BT28">
            <v>0</v>
          </cell>
          <cell r="BU28"/>
          <cell r="BW28">
            <v>18556.92081</v>
          </cell>
          <cell r="BX28">
            <v>16276.275242451</v>
          </cell>
          <cell r="BY28">
            <v>2280.6455675489997</v>
          </cell>
          <cell r="BZ28">
            <v>0</v>
          </cell>
          <cell r="CA28">
            <v>0</v>
          </cell>
          <cell r="CB28"/>
          <cell r="CD28">
            <v>13674.55977</v>
          </cell>
          <cell r="CE28">
            <v>11993.956374267</v>
          </cell>
          <cell r="CF28">
            <v>1680.6033957329998</v>
          </cell>
          <cell r="CG28">
            <v>0</v>
          </cell>
          <cell r="CH28">
            <v>0</v>
          </cell>
          <cell r="CI28"/>
          <cell r="CK28">
            <v>13674.55977</v>
          </cell>
          <cell r="CL28">
            <v>11993.956374267</v>
          </cell>
          <cell r="CM28">
            <v>1680.6033957329998</v>
          </cell>
          <cell r="CN28">
            <v>0</v>
          </cell>
          <cell r="CO28">
            <v>0</v>
          </cell>
          <cell r="CP28"/>
        </row>
        <row r="29">
          <cell r="L29">
            <v>29030.078333333233</v>
          </cell>
          <cell r="M29">
            <v>25462.281706166577</v>
          </cell>
          <cell r="N29">
            <v>3567.7966271666542</v>
          </cell>
          <cell r="O29">
            <v>0</v>
          </cell>
          <cell r="P29">
            <v>0</v>
          </cell>
          <cell r="Q29"/>
          <cell r="S29">
            <v>43351.432333333236</v>
          </cell>
          <cell r="T29">
            <v>38023.541299566583</v>
          </cell>
          <cell r="U29">
            <v>5327.8910337666548</v>
          </cell>
          <cell r="V29">
            <v>0</v>
          </cell>
          <cell r="W29">
            <v>0</v>
          </cell>
          <cell r="X29"/>
          <cell r="Z29">
            <v>29030.078333333233</v>
          </cell>
          <cell r="AA29">
            <v>25462.281706166577</v>
          </cell>
          <cell r="AB29">
            <v>3567.7966271666542</v>
          </cell>
          <cell r="AC29">
            <v>0</v>
          </cell>
          <cell r="AD29">
            <v>0</v>
          </cell>
          <cell r="AE29"/>
          <cell r="AG29">
            <v>43351.432333333236</v>
          </cell>
          <cell r="AH29">
            <v>38023.541299566583</v>
          </cell>
          <cell r="AI29">
            <v>5327.8910337666548</v>
          </cell>
          <cell r="AJ29">
            <v>0</v>
          </cell>
          <cell r="AK29">
            <v>0</v>
          </cell>
          <cell r="AL29"/>
          <cell r="AN29">
            <v>29030.078333333233</v>
          </cell>
          <cell r="AO29">
            <v>25462.281706166577</v>
          </cell>
          <cell r="AP29">
            <v>3567.7966271666542</v>
          </cell>
          <cell r="AQ29">
            <v>0</v>
          </cell>
          <cell r="AR29">
            <v>0</v>
          </cell>
          <cell r="AS29"/>
          <cell r="AU29">
            <v>43351.432333333236</v>
          </cell>
          <cell r="AV29">
            <v>38023.541299566583</v>
          </cell>
          <cell r="AW29">
            <v>5327.8910337666548</v>
          </cell>
          <cell r="AX29">
            <v>0</v>
          </cell>
          <cell r="AY29">
            <v>0</v>
          </cell>
          <cell r="AZ29"/>
          <cell r="BB29">
            <v>29030.078333333233</v>
          </cell>
          <cell r="BC29">
            <v>25462.281706166577</v>
          </cell>
          <cell r="BD29">
            <v>3567.7966271666542</v>
          </cell>
          <cell r="BE29">
            <v>0</v>
          </cell>
          <cell r="BF29">
            <v>0</v>
          </cell>
          <cell r="BG29"/>
          <cell r="BI29">
            <v>43351.432333333236</v>
          </cell>
          <cell r="BJ29">
            <v>38023.541299566583</v>
          </cell>
          <cell r="BK29">
            <v>5327.8910337666548</v>
          </cell>
          <cell r="BL29">
            <v>0</v>
          </cell>
          <cell r="BM29">
            <v>0</v>
          </cell>
          <cell r="BN29"/>
          <cell r="BP29">
            <v>29030.078333333233</v>
          </cell>
          <cell r="BQ29">
            <v>25462.281706166577</v>
          </cell>
          <cell r="BR29">
            <v>3567.7966271666542</v>
          </cell>
          <cell r="BS29">
            <v>0</v>
          </cell>
          <cell r="BT29">
            <v>0</v>
          </cell>
          <cell r="BU29"/>
          <cell r="BW29">
            <v>43351.432333333236</v>
          </cell>
          <cell r="BX29">
            <v>38023.541299566583</v>
          </cell>
          <cell r="BY29">
            <v>5327.8910337666548</v>
          </cell>
          <cell r="BZ29">
            <v>0</v>
          </cell>
          <cell r="CA29">
            <v>0</v>
          </cell>
          <cell r="CB29"/>
          <cell r="CD29">
            <v>29030.078333333233</v>
          </cell>
          <cell r="CE29">
            <v>25462.281706166577</v>
          </cell>
          <cell r="CF29">
            <v>3567.7966271666542</v>
          </cell>
          <cell r="CG29">
            <v>0</v>
          </cell>
          <cell r="CH29">
            <v>0</v>
          </cell>
          <cell r="CI29"/>
          <cell r="CK29">
            <v>43351.432333333236</v>
          </cell>
          <cell r="CL29">
            <v>38023.541299566583</v>
          </cell>
          <cell r="CM29">
            <v>5327.8910337666548</v>
          </cell>
          <cell r="CN29">
            <v>0</v>
          </cell>
          <cell r="CO29">
            <v>0</v>
          </cell>
          <cell r="CP29"/>
        </row>
        <row r="30">
          <cell r="L30">
            <v>10833.333333333334</v>
          </cell>
          <cell r="M30">
            <v>9501.9166666666679</v>
          </cell>
          <cell r="N30">
            <v>1331.4166666666667</v>
          </cell>
          <cell r="O30">
            <v>0</v>
          </cell>
          <cell r="P30">
            <v>0</v>
          </cell>
          <cell r="Q30"/>
          <cell r="S30">
            <v>10833.333333333334</v>
          </cell>
          <cell r="T30">
            <v>9501.9166666666679</v>
          </cell>
          <cell r="U30">
            <v>1331.4166666666667</v>
          </cell>
          <cell r="V30">
            <v>0</v>
          </cell>
          <cell r="W30">
            <v>0</v>
          </cell>
          <cell r="X30"/>
          <cell r="Z30">
            <v>10833.333333333334</v>
          </cell>
          <cell r="AA30">
            <v>9501.9166666666679</v>
          </cell>
          <cell r="AB30">
            <v>1331.4166666666667</v>
          </cell>
          <cell r="AC30">
            <v>0</v>
          </cell>
          <cell r="AD30">
            <v>0</v>
          </cell>
          <cell r="AE30"/>
          <cell r="AG30">
            <v>10833.333333333334</v>
          </cell>
          <cell r="AH30">
            <v>9501.9166666666679</v>
          </cell>
          <cell r="AI30">
            <v>1331.4166666666667</v>
          </cell>
          <cell r="AJ30">
            <v>508.56</v>
          </cell>
          <cell r="AK30">
            <v>91.44</v>
          </cell>
          <cell r="AL30">
            <v>600</v>
          </cell>
          <cell r="AN30">
            <v>10833.333333333334</v>
          </cell>
          <cell r="AO30">
            <v>9501.9166666666679</v>
          </cell>
          <cell r="AP30">
            <v>1331.4166666666667</v>
          </cell>
          <cell r="AQ30">
            <v>0</v>
          </cell>
          <cell r="AR30">
            <v>0</v>
          </cell>
          <cell r="AS30"/>
          <cell r="AU30">
            <v>10833.333333333334</v>
          </cell>
          <cell r="AV30">
            <v>9501.9166666666679</v>
          </cell>
          <cell r="AW30">
            <v>1331.4166666666667</v>
          </cell>
          <cell r="AX30">
            <v>0</v>
          </cell>
          <cell r="AY30">
            <v>0</v>
          </cell>
          <cell r="AZ30"/>
          <cell r="BB30">
            <v>10833.333333333334</v>
          </cell>
          <cell r="BC30">
            <v>9501.9166666666679</v>
          </cell>
          <cell r="BD30">
            <v>1331.4166666666667</v>
          </cell>
          <cell r="BE30">
            <v>0</v>
          </cell>
          <cell r="BF30">
            <v>0</v>
          </cell>
          <cell r="BG30"/>
          <cell r="BI30">
            <v>10833.333333333334</v>
          </cell>
          <cell r="BJ30">
            <v>9501.9166666666679</v>
          </cell>
          <cell r="BK30">
            <v>1331.4166666666667</v>
          </cell>
          <cell r="BL30">
            <v>0</v>
          </cell>
          <cell r="BM30">
            <v>0</v>
          </cell>
          <cell r="BN30"/>
          <cell r="BP30">
            <v>10833.333333333334</v>
          </cell>
          <cell r="BQ30">
            <v>9501.9166666666679</v>
          </cell>
          <cell r="BR30">
            <v>1331.4166666666667</v>
          </cell>
          <cell r="BS30">
            <v>0</v>
          </cell>
          <cell r="BT30">
            <v>0</v>
          </cell>
          <cell r="BU30"/>
          <cell r="BW30">
            <v>10833.333333333334</v>
          </cell>
          <cell r="BX30">
            <v>9501.9166666666679</v>
          </cell>
          <cell r="BY30">
            <v>1331.4166666666667</v>
          </cell>
          <cell r="BZ30">
            <v>0</v>
          </cell>
          <cell r="CA30">
            <v>0</v>
          </cell>
          <cell r="CB30"/>
          <cell r="CD30">
            <v>10833.333333333334</v>
          </cell>
          <cell r="CE30">
            <v>9501.9166666666679</v>
          </cell>
          <cell r="CF30">
            <v>1331.4166666666667</v>
          </cell>
          <cell r="CG30">
            <v>0</v>
          </cell>
          <cell r="CH30">
            <v>0</v>
          </cell>
          <cell r="CI30"/>
          <cell r="CK30">
            <v>10833.333333333334</v>
          </cell>
          <cell r="CL30">
            <v>9501.9166666666679</v>
          </cell>
          <cell r="CM30">
            <v>1331.4166666666667</v>
          </cell>
          <cell r="CN30">
            <v>0</v>
          </cell>
          <cell r="CO30">
            <v>0</v>
          </cell>
          <cell r="CP30"/>
        </row>
        <row r="31">
          <cell r="L31">
            <v>5833.333333333333</v>
          </cell>
          <cell r="M31">
            <v>5116.4166666666661</v>
          </cell>
          <cell r="N31">
            <v>716.91666666666663</v>
          </cell>
          <cell r="O31">
            <v>53000.258480000004</v>
          </cell>
          <cell r="P31">
            <v>9529.5415200000007</v>
          </cell>
          <cell r="Q31">
            <v>62529.8</v>
          </cell>
          <cell r="S31">
            <v>5833.333333333333</v>
          </cell>
          <cell r="T31">
            <v>5116.4166666666661</v>
          </cell>
          <cell r="U31">
            <v>716.91666666666663</v>
          </cell>
          <cell r="V31">
            <v>8531.6025599999994</v>
          </cell>
          <cell r="W31">
            <v>1533.9974400000001</v>
          </cell>
          <cell r="X31">
            <v>10065.6</v>
          </cell>
          <cell r="Z31">
            <v>5833.333333333333</v>
          </cell>
          <cell r="AA31">
            <v>5116.4166666666661</v>
          </cell>
          <cell r="AB31">
            <v>716.91666666666663</v>
          </cell>
          <cell r="AC31">
            <v>3368.633632</v>
          </cell>
          <cell r="AD31">
            <v>605.68636800000002</v>
          </cell>
          <cell r="AE31">
            <v>3974.32</v>
          </cell>
          <cell r="AG31">
            <v>5833.333333333333</v>
          </cell>
          <cell r="AH31">
            <v>5116.4166666666661</v>
          </cell>
          <cell r="AI31">
            <v>716.91666666666663</v>
          </cell>
          <cell r="AJ31">
            <v>50267.468939999999</v>
          </cell>
          <cell r="AK31">
            <v>9038.1810600000008</v>
          </cell>
          <cell r="AL31">
            <v>59305.65</v>
          </cell>
          <cell r="AN31">
            <v>5833.333333333333</v>
          </cell>
          <cell r="AO31">
            <v>5116.4166666666661</v>
          </cell>
          <cell r="AP31">
            <v>716.91666666666663</v>
          </cell>
          <cell r="AQ31">
            <v>0</v>
          </cell>
          <cell r="AR31">
            <v>0</v>
          </cell>
          <cell r="AS31"/>
          <cell r="AU31">
            <v>5833.333333333333</v>
          </cell>
          <cell r="AV31">
            <v>5116.4166666666661</v>
          </cell>
          <cell r="AW31">
            <v>716.91666666666663</v>
          </cell>
          <cell r="AX31">
            <v>0</v>
          </cell>
          <cell r="AY31">
            <v>0</v>
          </cell>
          <cell r="AZ31"/>
          <cell r="BB31">
            <v>5833.333333333333</v>
          </cell>
          <cell r="BC31">
            <v>5116.4166666666661</v>
          </cell>
          <cell r="BD31">
            <v>716.91666666666663</v>
          </cell>
          <cell r="BE31">
            <v>0</v>
          </cell>
          <cell r="BF31">
            <v>0</v>
          </cell>
          <cell r="BG31"/>
          <cell r="BI31">
            <v>5833.333333333333</v>
          </cell>
          <cell r="BJ31">
            <v>5116.4166666666661</v>
          </cell>
          <cell r="BK31">
            <v>716.91666666666663</v>
          </cell>
          <cell r="BL31">
            <v>0</v>
          </cell>
          <cell r="BM31">
            <v>0</v>
          </cell>
          <cell r="BN31"/>
          <cell r="BP31">
            <v>5833.333333333333</v>
          </cell>
          <cell r="BQ31">
            <v>5116.4166666666661</v>
          </cell>
          <cell r="BR31">
            <v>716.91666666666663</v>
          </cell>
          <cell r="BS31">
            <v>0</v>
          </cell>
          <cell r="BT31">
            <v>0</v>
          </cell>
          <cell r="BU31"/>
          <cell r="BW31">
            <v>5833.333333333333</v>
          </cell>
          <cell r="BX31">
            <v>5116.4166666666661</v>
          </cell>
          <cell r="BY31">
            <v>716.91666666666663</v>
          </cell>
          <cell r="BZ31">
            <v>0</v>
          </cell>
          <cell r="CA31">
            <v>0</v>
          </cell>
          <cell r="CB31"/>
          <cell r="CD31">
            <v>5833.333333333333</v>
          </cell>
          <cell r="CE31">
            <v>5116.4166666666661</v>
          </cell>
          <cell r="CF31">
            <v>716.91666666666663</v>
          </cell>
          <cell r="CG31">
            <v>0</v>
          </cell>
          <cell r="CH31">
            <v>0</v>
          </cell>
          <cell r="CI31"/>
          <cell r="CK31">
            <v>5833.333333333333</v>
          </cell>
          <cell r="CL31">
            <v>5116.4166666666661</v>
          </cell>
          <cell r="CM31">
            <v>716.91666666666663</v>
          </cell>
          <cell r="CN31">
            <v>0</v>
          </cell>
          <cell r="CO31">
            <v>0</v>
          </cell>
          <cell r="CP31"/>
        </row>
        <row r="32">
          <cell r="L32">
            <v>675081.52799999993</v>
          </cell>
          <cell r="M32">
            <v>592114.00820879999</v>
          </cell>
          <cell r="N32">
            <v>82967.519791199986</v>
          </cell>
          <cell r="O32">
            <v>986444.19478799985</v>
          </cell>
          <cell r="P32">
            <v>177364.43521199998</v>
          </cell>
          <cell r="Q32">
            <v>1163808.6299999999</v>
          </cell>
          <cell r="S32">
            <v>717943.77599999995</v>
          </cell>
          <cell r="T32">
            <v>629708.48592959996</v>
          </cell>
          <cell r="U32">
            <v>88235.290070399991</v>
          </cell>
          <cell r="V32">
            <v>469380.67321600002</v>
          </cell>
          <cell r="W32">
            <v>84395.486784000008</v>
          </cell>
          <cell r="X32">
            <v>553776.16</v>
          </cell>
          <cell r="Z32">
            <v>688551.77599999995</v>
          </cell>
          <cell r="AA32">
            <v>603928.76272959996</v>
          </cell>
          <cell r="AB32">
            <v>84623.013270399984</v>
          </cell>
          <cell r="AC32">
            <v>566749.65557599999</v>
          </cell>
          <cell r="AD32">
            <v>101902.604424</v>
          </cell>
          <cell r="AE32">
            <v>668652.26</v>
          </cell>
          <cell r="AG32">
            <v>650711.77599999995</v>
          </cell>
          <cell r="AH32">
            <v>570739.29872959992</v>
          </cell>
          <cell r="AI32">
            <v>79972.477270399992</v>
          </cell>
          <cell r="AJ32">
            <v>470433.80774000002</v>
          </cell>
          <cell r="AK32">
            <v>84584.842260000005</v>
          </cell>
          <cell r="AL32">
            <v>555018.65</v>
          </cell>
          <cell r="AN32">
            <v>693574.02399999998</v>
          </cell>
          <cell r="AO32">
            <v>608333.77645040001</v>
          </cell>
          <cell r="AP32">
            <v>85240.247549599997</v>
          </cell>
          <cell r="AQ32">
            <v>0</v>
          </cell>
          <cell r="AR32">
            <v>0</v>
          </cell>
          <cell r="AS32"/>
          <cell r="AU32">
            <v>795289.52799999993</v>
          </cell>
          <cell r="AV32">
            <v>697548.4450087999</v>
          </cell>
          <cell r="AW32">
            <v>97741.08299119999</v>
          </cell>
          <cell r="AX32">
            <v>0</v>
          </cell>
          <cell r="AY32">
            <v>0</v>
          </cell>
          <cell r="AZ32"/>
          <cell r="BB32">
            <v>830125.03199999989</v>
          </cell>
          <cell r="BC32">
            <v>728102.66556719993</v>
          </cell>
          <cell r="BD32">
            <v>102022.36643279999</v>
          </cell>
          <cell r="BE32">
            <v>0</v>
          </cell>
          <cell r="BF32">
            <v>0</v>
          </cell>
          <cell r="BG32"/>
          <cell r="BI32">
            <v>139920</v>
          </cell>
          <cell r="BJ32">
            <v>122723.83199999999</v>
          </cell>
          <cell r="BK32">
            <v>17196.167999999998</v>
          </cell>
          <cell r="BL32">
            <v>0</v>
          </cell>
          <cell r="BM32">
            <v>0</v>
          </cell>
          <cell r="BN32"/>
          <cell r="BP32">
            <v>34320</v>
          </cell>
          <cell r="BQ32">
            <v>30102.072</v>
          </cell>
          <cell r="BR32">
            <v>4217.9279999999999</v>
          </cell>
          <cell r="BS32">
            <v>0</v>
          </cell>
          <cell r="BT32">
            <v>0</v>
          </cell>
          <cell r="BU32"/>
          <cell r="BW32">
            <v>7920</v>
          </cell>
          <cell r="BX32">
            <v>6946.6319999999996</v>
          </cell>
          <cell r="BY32">
            <v>973.36799999999994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457959.18367346941</v>
          </cell>
          <cell r="M33">
            <v>401676</v>
          </cell>
          <cell r="N33">
            <v>56283.183673469386</v>
          </cell>
          <cell r="O33">
            <v>651780.50615600008</v>
          </cell>
          <cell r="P33">
            <v>117191.30384400001</v>
          </cell>
          <cell r="Q33">
            <v>768971.81</v>
          </cell>
          <cell r="S33">
            <v>499591.8367346939</v>
          </cell>
          <cell r="T33">
            <v>438192</v>
          </cell>
          <cell r="U33">
            <v>61399.836734693876</v>
          </cell>
          <cell r="V33">
            <v>142540.11220799998</v>
          </cell>
          <cell r="W33">
            <v>25628.967791999999</v>
          </cell>
          <cell r="X33">
            <v>168169.08</v>
          </cell>
          <cell r="Z33">
            <v>499591.8367346939</v>
          </cell>
          <cell r="AA33">
            <v>438192</v>
          </cell>
          <cell r="AB33">
            <v>61399.836734693876</v>
          </cell>
          <cell r="AC33">
            <v>74607.794716000004</v>
          </cell>
          <cell r="AD33">
            <v>13414.615284000001</v>
          </cell>
          <cell r="AE33">
            <v>88022.41</v>
          </cell>
          <cell r="AG33">
            <v>499591.8367346939</v>
          </cell>
          <cell r="AH33">
            <v>438192</v>
          </cell>
          <cell r="AI33">
            <v>61399.836734693876</v>
          </cell>
          <cell r="AJ33">
            <v>17763.848232</v>
          </cell>
          <cell r="AK33">
            <v>3193.9717680000003</v>
          </cell>
          <cell r="AL33">
            <v>20957.82</v>
          </cell>
          <cell r="AN33">
            <v>541224.48979591834</v>
          </cell>
          <cell r="AO33">
            <v>474708</v>
          </cell>
          <cell r="AP33">
            <v>66516.489795918358</v>
          </cell>
          <cell r="AQ33">
            <v>0</v>
          </cell>
          <cell r="AR33">
            <v>0</v>
          </cell>
          <cell r="AS33"/>
          <cell r="AU33">
            <v>457959.18367346941</v>
          </cell>
          <cell r="AV33">
            <v>401676</v>
          </cell>
          <cell r="AW33">
            <v>56283.183673469386</v>
          </cell>
          <cell r="AX33">
            <v>0</v>
          </cell>
          <cell r="AY33">
            <v>0</v>
          </cell>
          <cell r="AZ33"/>
          <cell r="BB33">
            <v>374693.87755102041</v>
          </cell>
          <cell r="BC33">
            <v>328644</v>
          </cell>
          <cell r="BD33">
            <v>46049.877551020407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16666.666666666668</v>
          </cell>
          <cell r="M36">
            <v>14618.333333333334</v>
          </cell>
          <cell r="N36">
            <v>2048.3333333333335</v>
          </cell>
          <cell r="O36">
            <v>34692.852843999994</v>
          </cell>
          <cell r="P36">
            <v>6237.8371559999996</v>
          </cell>
          <cell r="Q36">
            <v>40930.689999999995</v>
          </cell>
          <cell r="S36">
            <v>16666.666666666668</v>
          </cell>
          <cell r="T36">
            <v>14618.333333333334</v>
          </cell>
          <cell r="U36">
            <v>2048.3333333333335</v>
          </cell>
          <cell r="V36">
            <v>24055.396560000001</v>
          </cell>
          <cell r="W36">
            <v>4325.2034400000002</v>
          </cell>
          <cell r="X36">
            <v>28380.600000000002</v>
          </cell>
          <cell r="Z36">
            <v>16666.666666666668</v>
          </cell>
          <cell r="AA36">
            <v>14618.333333333334</v>
          </cell>
          <cell r="AB36">
            <v>2048.3333333333335</v>
          </cell>
          <cell r="AC36">
            <v>32049.57155920002</v>
          </cell>
          <cell r="AD36">
            <v>5762.5704408000038</v>
          </cell>
          <cell r="AE36">
            <v>37812.142000000022</v>
          </cell>
          <cell r="AG36">
            <v>16666.666666666668</v>
          </cell>
          <cell r="AH36">
            <v>14618.333333333334</v>
          </cell>
          <cell r="AI36">
            <v>2048.3333333333335</v>
          </cell>
          <cell r="AJ36">
            <v>36863.836151999996</v>
          </cell>
          <cell r="AK36">
            <v>6628.1838479999997</v>
          </cell>
          <cell r="AL36">
            <v>43492.02</v>
          </cell>
          <cell r="AN36">
            <v>16666.666666666668</v>
          </cell>
          <cell r="AO36">
            <v>14618.333333333334</v>
          </cell>
          <cell r="AP36">
            <v>2048.3333333333335</v>
          </cell>
          <cell r="AQ36">
            <v>0</v>
          </cell>
          <cell r="AR36">
            <v>0</v>
          </cell>
          <cell r="AS36"/>
          <cell r="AU36">
            <v>16666.666666666668</v>
          </cell>
          <cell r="AV36">
            <v>14618.333333333334</v>
          </cell>
          <cell r="AW36">
            <v>2048.3333333333335</v>
          </cell>
          <cell r="AX36">
            <v>0</v>
          </cell>
          <cell r="AY36">
            <v>0</v>
          </cell>
          <cell r="AZ36"/>
          <cell r="BB36">
            <v>16666.666666666668</v>
          </cell>
          <cell r="BC36">
            <v>14618.333333333334</v>
          </cell>
          <cell r="BD36">
            <v>2048.3333333333335</v>
          </cell>
          <cell r="BE36">
            <v>0</v>
          </cell>
          <cell r="BF36">
            <v>0</v>
          </cell>
          <cell r="BG36"/>
          <cell r="BI36">
            <v>16666.666666666668</v>
          </cell>
          <cell r="BJ36">
            <v>14618.333333333334</v>
          </cell>
          <cell r="BK36">
            <v>2048.3333333333335</v>
          </cell>
          <cell r="BL36">
            <v>0</v>
          </cell>
          <cell r="BM36">
            <v>0</v>
          </cell>
          <cell r="BN36"/>
          <cell r="BP36">
            <v>16666.666666666668</v>
          </cell>
          <cell r="BQ36">
            <v>14618.333333333334</v>
          </cell>
          <cell r="BR36">
            <v>2048.3333333333335</v>
          </cell>
          <cell r="BS36">
            <v>0</v>
          </cell>
          <cell r="BT36">
            <v>0</v>
          </cell>
          <cell r="BU36"/>
          <cell r="BW36">
            <v>16666.666666666668</v>
          </cell>
          <cell r="BX36">
            <v>14618.333333333334</v>
          </cell>
          <cell r="BY36">
            <v>2048.3333333333335</v>
          </cell>
          <cell r="BZ36">
            <v>0</v>
          </cell>
          <cell r="CA36">
            <v>0</v>
          </cell>
          <cell r="CB36"/>
          <cell r="CD36">
            <v>16666.666666666668</v>
          </cell>
          <cell r="CE36">
            <v>14618.333333333334</v>
          </cell>
          <cell r="CF36">
            <v>2048.3333333333335</v>
          </cell>
          <cell r="CG36">
            <v>0</v>
          </cell>
          <cell r="CH36">
            <v>0</v>
          </cell>
          <cell r="CI36"/>
          <cell r="CK36">
            <v>16666.666666666668</v>
          </cell>
          <cell r="CL36">
            <v>14618.333333333334</v>
          </cell>
          <cell r="CM36">
            <v>2048.3333333333335</v>
          </cell>
          <cell r="CN36">
            <v>0</v>
          </cell>
          <cell r="CO36">
            <v>0</v>
          </cell>
          <cell r="CP36"/>
        </row>
        <row r="37">
          <cell r="L37">
            <v>16666.666666666668</v>
          </cell>
          <cell r="M37">
            <v>14618.333333333334</v>
          </cell>
          <cell r="N37">
            <v>2048.3333333333335</v>
          </cell>
          <cell r="O37">
            <v>21082.346324000009</v>
          </cell>
          <cell r="P37">
            <v>3790.643676000002</v>
          </cell>
          <cell r="Q37">
            <v>24872.990000000013</v>
          </cell>
          <cell r="S37">
            <v>16666.666666666668</v>
          </cell>
          <cell r="T37">
            <v>14618.333333333334</v>
          </cell>
          <cell r="U37">
            <v>2048.3333333333335</v>
          </cell>
          <cell r="V37">
            <v>23194.845231999996</v>
          </cell>
          <cell r="W37">
            <v>4170.474768</v>
          </cell>
          <cell r="X37">
            <v>27365.319999999996</v>
          </cell>
          <cell r="Z37">
            <v>16666.666666666668</v>
          </cell>
          <cell r="AA37">
            <v>14618.333333333334</v>
          </cell>
          <cell r="AB37">
            <v>2048.3333333333335</v>
          </cell>
          <cell r="AC37">
            <v>31755.603536799987</v>
          </cell>
          <cell r="AD37">
            <v>5709.7144631999981</v>
          </cell>
          <cell r="AE37">
            <v>37465.317999999985</v>
          </cell>
          <cell r="AG37">
            <v>16666.666666666668</v>
          </cell>
          <cell r="AH37">
            <v>14618.333333333334</v>
          </cell>
          <cell r="AI37">
            <v>2048.3333333333335</v>
          </cell>
          <cell r="AJ37">
            <v>38561.748472000007</v>
          </cell>
          <cell r="AK37">
            <v>6933.4715280000019</v>
          </cell>
          <cell r="AL37">
            <v>45495.220000000008</v>
          </cell>
          <cell r="AN37">
            <v>16666.666666666668</v>
          </cell>
          <cell r="AO37">
            <v>14618.333333333334</v>
          </cell>
          <cell r="AP37">
            <v>2048.3333333333335</v>
          </cell>
          <cell r="AQ37">
            <v>0</v>
          </cell>
          <cell r="AR37">
            <v>0</v>
          </cell>
          <cell r="AS37"/>
          <cell r="AU37">
            <v>16666.666666666668</v>
          </cell>
          <cell r="AV37">
            <v>14618.333333333334</v>
          </cell>
          <cell r="AW37">
            <v>2048.3333333333335</v>
          </cell>
          <cell r="AX37">
            <v>0</v>
          </cell>
          <cell r="AY37">
            <v>0</v>
          </cell>
          <cell r="AZ37"/>
          <cell r="BB37">
            <v>16666.666666666668</v>
          </cell>
          <cell r="BC37">
            <v>14618.333333333334</v>
          </cell>
          <cell r="BD37">
            <v>2048.3333333333335</v>
          </cell>
          <cell r="BE37">
            <v>0</v>
          </cell>
          <cell r="BF37">
            <v>0</v>
          </cell>
          <cell r="BG37"/>
          <cell r="BI37">
            <v>16666.666666666668</v>
          </cell>
          <cell r="BJ37">
            <v>14618.333333333334</v>
          </cell>
          <cell r="BK37">
            <v>2048.3333333333335</v>
          </cell>
          <cell r="BL37">
            <v>0</v>
          </cell>
          <cell r="BM37">
            <v>0</v>
          </cell>
          <cell r="BN37"/>
          <cell r="BP37">
            <v>16666.666666666668</v>
          </cell>
          <cell r="BQ37">
            <v>14618.333333333334</v>
          </cell>
          <cell r="BR37">
            <v>2048.3333333333335</v>
          </cell>
          <cell r="BS37">
            <v>0</v>
          </cell>
          <cell r="BT37">
            <v>0</v>
          </cell>
          <cell r="BU37"/>
          <cell r="BW37">
            <v>16666.666666666668</v>
          </cell>
          <cell r="BX37">
            <v>14618.333333333334</v>
          </cell>
          <cell r="BY37">
            <v>2048.3333333333335</v>
          </cell>
          <cell r="BZ37">
            <v>0</v>
          </cell>
          <cell r="CA37">
            <v>0</v>
          </cell>
          <cell r="CB37"/>
          <cell r="CD37">
            <v>16666.666666666668</v>
          </cell>
          <cell r="CE37">
            <v>14618.333333333334</v>
          </cell>
          <cell r="CF37">
            <v>2048.3333333333335</v>
          </cell>
          <cell r="CG37">
            <v>0</v>
          </cell>
          <cell r="CH37">
            <v>0</v>
          </cell>
          <cell r="CI37"/>
          <cell r="CK37">
            <v>16666.666666666668</v>
          </cell>
          <cell r="CL37">
            <v>14618.333333333334</v>
          </cell>
          <cell r="CM37">
            <v>2048.3333333333335</v>
          </cell>
          <cell r="CN37">
            <v>0</v>
          </cell>
          <cell r="CO37">
            <v>0</v>
          </cell>
          <cell r="CP37"/>
        </row>
        <row r="38">
          <cell r="L38">
            <v>2500</v>
          </cell>
          <cell r="M38">
            <v>2192.75</v>
          </cell>
          <cell r="N38">
            <v>307.25</v>
          </cell>
          <cell r="O38">
            <v>1188.2334880000001</v>
          </cell>
          <cell r="P38">
            <v>213.64651200000003</v>
          </cell>
          <cell r="Q38">
            <v>1401.88</v>
          </cell>
          <cell r="S38">
            <v>2500</v>
          </cell>
          <cell r="T38">
            <v>2192.75</v>
          </cell>
          <cell r="U38">
            <v>307.25</v>
          </cell>
          <cell r="V38">
            <v>8703.6314559999992</v>
          </cell>
          <cell r="W38">
            <v>1564.9285440000001</v>
          </cell>
          <cell r="X38">
            <v>10268.56</v>
          </cell>
          <cell r="Z38">
            <v>2500</v>
          </cell>
          <cell r="AA38">
            <v>2192.75</v>
          </cell>
          <cell r="AB38">
            <v>307.25</v>
          </cell>
          <cell r="AC38">
            <v>24168.059551999999</v>
          </cell>
          <cell r="AD38">
            <v>4345.4604480000007</v>
          </cell>
          <cell r="AE38">
            <v>28513.52</v>
          </cell>
          <cell r="AG38">
            <v>2500</v>
          </cell>
          <cell r="AH38">
            <v>2192.75</v>
          </cell>
          <cell r="AI38">
            <v>307.25</v>
          </cell>
          <cell r="AJ38">
            <v>3245.6807760000002</v>
          </cell>
          <cell r="AK38">
            <v>583.57922400000007</v>
          </cell>
          <cell r="AL38">
            <v>3829.26</v>
          </cell>
          <cell r="AN38">
            <v>2500</v>
          </cell>
          <cell r="AO38">
            <v>2192.75</v>
          </cell>
          <cell r="AP38">
            <v>307.25</v>
          </cell>
          <cell r="AQ38">
            <v>0</v>
          </cell>
          <cell r="AR38">
            <v>0</v>
          </cell>
          <cell r="AS38"/>
          <cell r="AU38">
            <v>2500</v>
          </cell>
          <cell r="AV38">
            <v>2192.75</v>
          </cell>
          <cell r="AW38">
            <v>307.25</v>
          </cell>
          <cell r="AX38">
            <v>0</v>
          </cell>
          <cell r="AY38">
            <v>0</v>
          </cell>
          <cell r="AZ38"/>
          <cell r="BB38">
            <v>2500</v>
          </cell>
          <cell r="BC38">
            <v>2192.75</v>
          </cell>
          <cell r="BD38">
            <v>307.25</v>
          </cell>
          <cell r="BE38">
            <v>0</v>
          </cell>
          <cell r="BF38">
            <v>0</v>
          </cell>
          <cell r="BG38"/>
          <cell r="BI38">
            <v>2500</v>
          </cell>
          <cell r="BJ38">
            <v>2192.75</v>
          </cell>
          <cell r="BK38">
            <v>307.25</v>
          </cell>
          <cell r="BL38">
            <v>0</v>
          </cell>
          <cell r="BM38">
            <v>0</v>
          </cell>
          <cell r="BN38"/>
          <cell r="BP38">
            <v>2500</v>
          </cell>
          <cell r="BQ38">
            <v>2192.75</v>
          </cell>
          <cell r="BR38">
            <v>307.25</v>
          </cell>
          <cell r="BS38">
            <v>0</v>
          </cell>
          <cell r="BT38">
            <v>0</v>
          </cell>
          <cell r="BU38"/>
          <cell r="BW38">
            <v>2500</v>
          </cell>
          <cell r="BX38">
            <v>2192.75</v>
          </cell>
          <cell r="BY38">
            <v>307.25</v>
          </cell>
          <cell r="BZ38">
            <v>0</v>
          </cell>
          <cell r="CA38">
            <v>0</v>
          </cell>
          <cell r="CB38"/>
          <cell r="CD38">
            <v>2500</v>
          </cell>
          <cell r="CE38">
            <v>2192.75</v>
          </cell>
          <cell r="CF38">
            <v>307.25</v>
          </cell>
          <cell r="CG38">
            <v>0</v>
          </cell>
          <cell r="CH38">
            <v>0</v>
          </cell>
          <cell r="CI38"/>
          <cell r="CK38">
            <v>2500</v>
          </cell>
          <cell r="CL38">
            <v>2192.75</v>
          </cell>
          <cell r="CM38">
            <v>307.25</v>
          </cell>
          <cell r="CN38">
            <v>0</v>
          </cell>
          <cell r="CO38">
            <v>0</v>
          </cell>
          <cell r="CP38"/>
        </row>
        <row r="39">
          <cell r="L39">
            <v>1000</v>
          </cell>
          <cell r="M39">
            <v>877.1</v>
          </cell>
          <cell r="N39">
            <v>122.89999999999999</v>
          </cell>
          <cell r="O39">
            <v>1497.7431039999999</v>
          </cell>
          <cell r="P39">
            <v>269.296896</v>
          </cell>
          <cell r="Q39">
            <v>1767.04</v>
          </cell>
          <cell r="S39">
            <v>1000</v>
          </cell>
          <cell r="T39">
            <v>877.1</v>
          </cell>
          <cell r="U39">
            <v>122.89999999999999</v>
          </cell>
          <cell r="V39">
            <v>0</v>
          </cell>
          <cell r="W39">
            <v>0</v>
          </cell>
          <cell r="X39"/>
          <cell r="Z39">
            <v>1000</v>
          </cell>
          <cell r="AA39">
            <v>877.1</v>
          </cell>
          <cell r="AB39">
            <v>122.89999999999999</v>
          </cell>
          <cell r="AC39">
            <v>0</v>
          </cell>
          <cell r="AD39">
            <v>0</v>
          </cell>
          <cell r="AE39"/>
          <cell r="AG39">
            <v>1000</v>
          </cell>
          <cell r="AH39">
            <v>877.1</v>
          </cell>
          <cell r="AI39">
            <v>122.89999999999999</v>
          </cell>
          <cell r="AJ39">
            <v>16209.587159999999</v>
          </cell>
          <cell r="AK39">
            <v>2914.5128399999999</v>
          </cell>
          <cell r="AL39">
            <v>19124.099999999999</v>
          </cell>
          <cell r="AN39">
            <v>1000</v>
          </cell>
          <cell r="AO39">
            <v>877.1</v>
          </cell>
          <cell r="AP39">
            <v>122.89999999999999</v>
          </cell>
          <cell r="AQ39">
            <v>0</v>
          </cell>
          <cell r="AR39">
            <v>0</v>
          </cell>
          <cell r="AS39"/>
          <cell r="AU39">
            <v>1000</v>
          </cell>
          <cell r="AV39">
            <v>877.1</v>
          </cell>
          <cell r="AW39">
            <v>122.89999999999999</v>
          </cell>
          <cell r="AX39">
            <v>0</v>
          </cell>
          <cell r="AY39">
            <v>0</v>
          </cell>
          <cell r="AZ39"/>
          <cell r="BB39">
            <v>1000</v>
          </cell>
          <cell r="BC39">
            <v>877.1</v>
          </cell>
          <cell r="BD39">
            <v>122.89999999999999</v>
          </cell>
          <cell r="BE39">
            <v>0</v>
          </cell>
          <cell r="BF39">
            <v>0</v>
          </cell>
          <cell r="BG39"/>
          <cell r="BI39">
            <v>1000</v>
          </cell>
          <cell r="BJ39">
            <v>877.1</v>
          </cell>
          <cell r="BK39">
            <v>122.89999999999999</v>
          </cell>
          <cell r="BL39">
            <v>0</v>
          </cell>
          <cell r="BM39">
            <v>0</v>
          </cell>
          <cell r="BN39"/>
          <cell r="BP39">
            <v>1000</v>
          </cell>
          <cell r="BQ39">
            <v>877.1</v>
          </cell>
          <cell r="BR39">
            <v>122.89999999999999</v>
          </cell>
          <cell r="BS39">
            <v>0</v>
          </cell>
          <cell r="BT39">
            <v>0</v>
          </cell>
          <cell r="BU39"/>
          <cell r="BW39">
            <v>1000</v>
          </cell>
          <cell r="BX39">
            <v>877.1</v>
          </cell>
          <cell r="BY39">
            <v>122.89999999999999</v>
          </cell>
          <cell r="BZ39">
            <v>0</v>
          </cell>
          <cell r="CA39">
            <v>0</v>
          </cell>
          <cell r="CB39"/>
          <cell r="CD39">
            <v>1000</v>
          </cell>
          <cell r="CE39">
            <v>877.1</v>
          </cell>
          <cell r="CF39">
            <v>122.89999999999999</v>
          </cell>
          <cell r="CG39">
            <v>0</v>
          </cell>
          <cell r="CH39">
            <v>0</v>
          </cell>
          <cell r="CI39"/>
          <cell r="CK39">
            <v>1000</v>
          </cell>
          <cell r="CL39">
            <v>877.1</v>
          </cell>
          <cell r="CM39">
            <v>122.89999999999999</v>
          </cell>
          <cell r="CN39">
            <v>0</v>
          </cell>
          <cell r="CO39">
            <v>0</v>
          </cell>
          <cell r="CP39"/>
        </row>
        <row r="40">
          <cell r="L40">
            <v>6666.666666666667</v>
          </cell>
          <cell r="M40">
            <v>5847.3333333333339</v>
          </cell>
          <cell r="N40">
            <v>819.33333333333337</v>
          </cell>
          <cell r="O40">
            <v>3805.0120159999997</v>
          </cell>
          <cell r="P40">
            <v>684.14798400000006</v>
          </cell>
          <cell r="Q40">
            <v>4489.16</v>
          </cell>
          <cell r="S40">
            <v>6666.666666666667</v>
          </cell>
          <cell r="T40">
            <v>5847.3333333333339</v>
          </cell>
          <cell r="U40">
            <v>819.33333333333337</v>
          </cell>
          <cell r="V40">
            <v>4820.1316800000004</v>
          </cell>
          <cell r="W40">
            <v>866.66832000000011</v>
          </cell>
          <cell r="X40">
            <v>5686.8</v>
          </cell>
          <cell r="Z40">
            <v>6666.666666666667</v>
          </cell>
          <cell r="AA40">
            <v>5847.3333333333339</v>
          </cell>
          <cell r="AB40">
            <v>819.33333333333337</v>
          </cell>
          <cell r="AC40">
            <v>4237.4999159999998</v>
          </cell>
          <cell r="AD40">
            <v>761.91008399999998</v>
          </cell>
          <cell r="AE40">
            <v>4999.41</v>
          </cell>
          <cell r="AG40">
            <v>6666.666666666667</v>
          </cell>
          <cell r="AH40">
            <v>5847.3333333333339</v>
          </cell>
          <cell r="AI40">
            <v>819.33333333333337</v>
          </cell>
          <cell r="AJ40">
            <v>4237.4999159999998</v>
          </cell>
          <cell r="AK40">
            <v>761.91008399999998</v>
          </cell>
          <cell r="AL40">
            <v>4999.41</v>
          </cell>
          <cell r="AN40">
            <v>6666.666666666667</v>
          </cell>
          <cell r="AO40">
            <v>5847.3333333333339</v>
          </cell>
          <cell r="AP40">
            <v>819.33333333333337</v>
          </cell>
          <cell r="AQ40">
            <v>0</v>
          </cell>
          <cell r="AR40">
            <v>0</v>
          </cell>
          <cell r="AS40"/>
          <cell r="AU40">
            <v>6666.666666666667</v>
          </cell>
          <cell r="AV40">
            <v>5847.3333333333339</v>
          </cell>
          <cell r="AW40">
            <v>819.33333333333337</v>
          </cell>
          <cell r="AX40">
            <v>0</v>
          </cell>
          <cell r="AY40">
            <v>0</v>
          </cell>
          <cell r="AZ40"/>
          <cell r="BB40">
            <v>6666.666666666667</v>
          </cell>
          <cell r="BC40">
            <v>5847.3333333333339</v>
          </cell>
          <cell r="BD40">
            <v>819.33333333333337</v>
          </cell>
          <cell r="BE40">
            <v>0</v>
          </cell>
          <cell r="BF40">
            <v>0</v>
          </cell>
          <cell r="BG40"/>
          <cell r="BI40">
            <v>6666.666666666667</v>
          </cell>
          <cell r="BJ40">
            <v>5847.3333333333339</v>
          </cell>
          <cell r="BK40">
            <v>819.33333333333337</v>
          </cell>
          <cell r="BL40">
            <v>0</v>
          </cell>
          <cell r="BM40">
            <v>0</v>
          </cell>
          <cell r="BN40"/>
          <cell r="BP40">
            <v>6666.666666666667</v>
          </cell>
          <cell r="BQ40">
            <v>5847.3333333333339</v>
          </cell>
          <cell r="BR40">
            <v>819.33333333333337</v>
          </cell>
          <cell r="BS40">
            <v>0</v>
          </cell>
          <cell r="BT40">
            <v>0</v>
          </cell>
          <cell r="BU40"/>
          <cell r="BW40">
            <v>6666.666666666667</v>
          </cell>
          <cell r="BX40">
            <v>5847.3333333333339</v>
          </cell>
          <cell r="BY40">
            <v>819.33333333333337</v>
          </cell>
          <cell r="BZ40">
            <v>0</v>
          </cell>
          <cell r="CA40">
            <v>0</v>
          </cell>
          <cell r="CB40"/>
          <cell r="CD40">
            <v>6666.666666666667</v>
          </cell>
          <cell r="CE40">
            <v>5847.3333333333339</v>
          </cell>
          <cell r="CF40">
            <v>819.33333333333337</v>
          </cell>
          <cell r="CG40">
            <v>0</v>
          </cell>
          <cell r="CH40">
            <v>0</v>
          </cell>
          <cell r="CI40"/>
          <cell r="CK40">
            <v>6666.666666666667</v>
          </cell>
          <cell r="CL40">
            <v>5847.3333333333339</v>
          </cell>
          <cell r="CM40">
            <v>819.33333333333337</v>
          </cell>
          <cell r="CN40">
            <v>0</v>
          </cell>
          <cell r="CO40">
            <v>0</v>
          </cell>
          <cell r="CP40"/>
        </row>
        <row r="41">
          <cell r="L41">
            <v>24916.666666666668</v>
          </cell>
          <cell r="M41">
            <v>21854.408333333333</v>
          </cell>
          <cell r="N41">
            <v>3062.2583333333332</v>
          </cell>
          <cell r="O41">
            <v>21119.366666666669</v>
          </cell>
          <cell r="P41">
            <v>3797.3</v>
          </cell>
          <cell r="Q41">
            <v>24916.666666666668</v>
          </cell>
          <cell r="S41">
            <v>24916.666666666668</v>
          </cell>
          <cell r="T41">
            <v>21854.408333333333</v>
          </cell>
          <cell r="U41">
            <v>3062.2583333333332</v>
          </cell>
          <cell r="V41">
            <v>21119.366666666669</v>
          </cell>
          <cell r="W41">
            <v>3797.3</v>
          </cell>
          <cell r="X41">
            <v>24916.666666666668</v>
          </cell>
          <cell r="Z41">
            <v>24916.666666666668</v>
          </cell>
          <cell r="AA41">
            <v>21854.408333333333</v>
          </cell>
          <cell r="AB41">
            <v>3062.2583333333332</v>
          </cell>
          <cell r="AC41">
            <v>21119.366666666669</v>
          </cell>
          <cell r="AD41">
            <v>3797.3</v>
          </cell>
          <cell r="AE41">
            <v>24916.666666666668</v>
          </cell>
          <cell r="AG41">
            <v>24916.666666666668</v>
          </cell>
          <cell r="AH41">
            <v>21854.408333333333</v>
          </cell>
          <cell r="AI41">
            <v>3062.2583333333332</v>
          </cell>
          <cell r="AJ41">
            <v>21119.366666666669</v>
          </cell>
          <cell r="AK41">
            <v>3797.3</v>
          </cell>
          <cell r="AL41">
            <v>24916.666666666668</v>
          </cell>
          <cell r="AN41">
            <v>24916.666666666668</v>
          </cell>
          <cell r="AO41">
            <v>21854.408333333333</v>
          </cell>
          <cell r="AP41">
            <v>3062.2583333333332</v>
          </cell>
          <cell r="AQ41">
            <v>0</v>
          </cell>
          <cell r="AR41">
            <v>0</v>
          </cell>
          <cell r="AS41"/>
          <cell r="AU41">
            <v>24916.666666666668</v>
          </cell>
          <cell r="AV41">
            <v>21854.408333333333</v>
          </cell>
          <cell r="AW41">
            <v>3062.2583333333332</v>
          </cell>
          <cell r="AX41">
            <v>0</v>
          </cell>
          <cell r="AY41">
            <v>0</v>
          </cell>
          <cell r="AZ41"/>
          <cell r="BB41">
            <v>24916.666666666668</v>
          </cell>
          <cell r="BC41">
            <v>21854.408333333333</v>
          </cell>
          <cell r="BD41">
            <v>3062.2583333333332</v>
          </cell>
          <cell r="BE41">
            <v>0</v>
          </cell>
          <cell r="BF41">
            <v>0</v>
          </cell>
          <cell r="BG41"/>
          <cell r="BI41">
            <v>24916.666666666668</v>
          </cell>
          <cell r="BJ41">
            <v>21854.408333333333</v>
          </cell>
          <cell r="BK41">
            <v>3062.2583333333332</v>
          </cell>
          <cell r="BL41">
            <v>0</v>
          </cell>
          <cell r="BM41">
            <v>0</v>
          </cell>
          <cell r="BN41"/>
          <cell r="BP41">
            <v>24916.666666666668</v>
          </cell>
          <cell r="BQ41">
            <v>21854.408333333333</v>
          </cell>
          <cell r="BR41">
            <v>3062.2583333333332</v>
          </cell>
          <cell r="BS41">
            <v>0</v>
          </cell>
          <cell r="BT41">
            <v>0</v>
          </cell>
          <cell r="BU41"/>
          <cell r="BW41">
            <v>24916.666666666668</v>
          </cell>
          <cell r="BX41">
            <v>21854.408333333333</v>
          </cell>
          <cell r="BY41">
            <v>3062.2583333333332</v>
          </cell>
          <cell r="BZ41">
            <v>0</v>
          </cell>
          <cell r="CA41">
            <v>0</v>
          </cell>
          <cell r="CB41"/>
          <cell r="CD41">
            <v>24916.666666666668</v>
          </cell>
          <cell r="CE41">
            <v>21854.408333333333</v>
          </cell>
          <cell r="CF41">
            <v>3062.2583333333332</v>
          </cell>
          <cell r="CG41">
            <v>0</v>
          </cell>
          <cell r="CH41">
            <v>0</v>
          </cell>
          <cell r="CI41"/>
          <cell r="CK41">
            <v>24916.666666666668</v>
          </cell>
          <cell r="CL41">
            <v>21854.408333333333</v>
          </cell>
          <cell r="CM41">
            <v>3062.2583333333332</v>
          </cell>
          <cell r="CN41">
            <v>0</v>
          </cell>
          <cell r="CO41">
            <v>0</v>
          </cell>
          <cell r="CP41"/>
        </row>
        <row r="42">
          <cell r="L42">
            <v>720000</v>
          </cell>
          <cell r="M42">
            <v>631512</v>
          </cell>
          <cell r="N42">
            <v>88488</v>
          </cell>
          <cell r="O42">
            <v>101712</v>
          </cell>
          <cell r="P42">
            <v>18288</v>
          </cell>
          <cell r="Q42">
            <v>120000</v>
          </cell>
          <cell r="S42">
            <v>720000</v>
          </cell>
          <cell r="T42">
            <v>631512</v>
          </cell>
          <cell r="U42">
            <v>88488</v>
          </cell>
          <cell r="V42">
            <v>326706.30116799998</v>
          </cell>
          <cell r="W42">
            <v>58742.378832000002</v>
          </cell>
          <cell r="X42">
            <v>385448.68</v>
          </cell>
          <cell r="Z42">
            <v>0</v>
          </cell>
          <cell r="AA42">
            <v>0</v>
          </cell>
          <cell r="AB42">
            <v>0</v>
          </cell>
          <cell r="AC42">
            <v>415921.20200799999</v>
          </cell>
          <cell r="AD42">
            <v>74783.377992000009</v>
          </cell>
          <cell r="AE42">
            <v>490704.58</v>
          </cell>
          <cell r="AG42">
            <v>0</v>
          </cell>
          <cell r="AH42">
            <v>0</v>
          </cell>
          <cell r="AI42">
            <v>0</v>
          </cell>
          <cell r="AJ42">
            <v>126191.45083999999</v>
          </cell>
          <cell r="AK42">
            <v>22689.44916</v>
          </cell>
          <cell r="AL42">
            <v>148880.9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/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/>
        </row>
        <row r="43">
          <cell r="L43">
            <v>8362.25</v>
          </cell>
          <cell r="M43">
            <v>7334.5294750000003</v>
          </cell>
          <cell r="N43">
            <v>1027.720525</v>
          </cell>
          <cell r="O43">
            <v>8529.5598439999994</v>
          </cell>
          <cell r="P43">
            <v>1533.6301560000002</v>
          </cell>
          <cell r="Q43">
            <v>10063.19</v>
          </cell>
          <cell r="S43">
            <v>8362.25</v>
          </cell>
          <cell r="T43">
            <v>7334.5294750000003</v>
          </cell>
          <cell r="U43">
            <v>1027.720525</v>
          </cell>
          <cell r="V43">
            <v>7301.2094479999996</v>
          </cell>
          <cell r="W43">
            <v>1312.770552</v>
          </cell>
          <cell r="X43">
            <v>8613.98</v>
          </cell>
          <cell r="Z43">
            <v>8362.25</v>
          </cell>
          <cell r="AA43">
            <v>7334.5294750000003</v>
          </cell>
          <cell r="AB43">
            <v>1027.720525</v>
          </cell>
          <cell r="AC43">
            <v>7627.137076</v>
          </cell>
          <cell r="AD43">
            <v>1371.372924</v>
          </cell>
          <cell r="AE43">
            <v>8998.51</v>
          </cell>
          <cell r="AG43">
            <v>8362.25</v>
          </cell>
          <cell r="AH43">
            <v>7334.5294750000003</v>
          </cell>
          <cell r="AI43">
            <v>1027.720525</v>
          </cell>
          <cell r="AJ43">
            <v>8276.4834360000004</v>
          </cell>
          <cell r="AK43">
            <v>1488.1265640000001</v>
          </cell>
          <cell r="AL43">
            <v>9764.61</v>
          </cell>
          <cell r="AN43">
            <v>8362.25</v>
          </cell>
          <cell r="AO43">
            <v>7334.5294750000003</v>
          </cell>
          <cell r="AP43">
            <v>1027.720525</v>
          </cell>
          <cell r="AQ43">
            <v>0</v>
          </cell>
          <cell r="AR43">
            <v>0</v>
          </cell>
          <cell r="AS43"/>
          <cell r="AU43">
            <v>8362.25</v>
          </cell>
          <cell r="AV43">
            <v>7334.5294750000003</v>
          </cell>
          <cell r="AW43">
            <v>1027.720525</v>
          </cell>
          <cell r="AX43">
            <v>0</v>
          </cell>
          <cell r="AY43">
            <v>0</v>
          </cell>
          <cell r="AZ43"/>
          <cell r="BB43">
            <v>8362.25</v>
          </cell>
          <cell r="BC43">
            <v>7334.5294750000003</v>
          </cell>
          <cell r="BD43">
            <v>1027.720525</v>
          </cell>
          <cell r="BE43">
            <v>0</v>
          </cell>
          <cell r="BF43">
            <v>0</v>
          </cell>
          <cell r="BG43"/>
          <cell r="BI43">
            <v>8362.25</v>
          </cell>
          <cell r="BJ43">
            <v>7334.5294750000003</v>
          </cell>
          <cell r="BK43">
            <v>1027.720525</v>
          </cell>
          <cell r="BL43">
            <v>0</v>
          </cell>
          <cell r="BM43">
            <v>0</v>
          </cell>
          <cell r="BN43"/>
          <cell r="BP43">
            <v>8362.25</v>
          </cell>
          <cell r="BQ43">
            <v>7334.5294750000003</v>
          </cell>
          <cell r="BR43">
            <v>1027.720525</v>
          </cell>
          <cell r="BS43">
            <v>0</v>
          </cell>
          <cell r="BT43">
            <v>0</v>
          </cell>
          <cell r="BU43"/>
          <cell r="BW43">
            <v>8362.25</v>
          </cell>
          <cell r="BX43">
            <v>7334.5294750000003</v>
          </cell>
          <cell r="BY43">
            <v>1027.720525</v>
          </cell>
          <cell r="BZ43">
            <v>0</v>
          </cell>
          <cell r="CA43">
            <v>0</v>
          </cell>
          <cell r="CB43"/>
          <cell r="CD43">
            <v>8362.25</v>
          </cell>
          <cell r="CE43">
            <v>7334.5294750000003</v>
          </cell>
          <cell r="CF43">
            <v>1027.720525</v>
          </cell>
          <cell r="CG43">
            <v>0</v>
          </cell>
          <cell r="CH43">
            <v>0</v>
          </cell>
          <cell r="CI43"/>
          <cell r="CK43">
            <v>8362.25</v>
          </cell>
          <cell r="CL43">
            <v>7334.5294750000003</v>
          </cell>
          <cell r="CM43">
            <v>1027.720525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4166.666666666667</v>
          </cell>
          <cell r="M48">
            <v>3654.5833333333335</v>
          </cell>
          <cell r="N48">
            <v>512.08333333333337</v>
          </cell>
          <cell r="O48">
            <v>164.85820000000001</v>
          </cell>
          <cell r="P48">
            <v>29.6418</v>
          </cell>
          <cell r="Q48">
            <v>194.5</v>
          </cell>
          <cell r="S48">
            <v>4166.666666666667</v>
          </cell>
          <cell r="T48">
            <v>3654.5833333333335</v>
          </cell>
          <cell r="U48">
            <v>512.08333333333337</v>
          </cell>
          <cell r="V48">
            <v>2332.5951999999997</v>
          </cell>
          <cell r="W48">
            <v>419.40480000000002</v>
          </cell>
          <cell r="X48">
            <v>2752</v>
          </cell>
          <cell r="Z48">
            <v>4166.666666666667</v>
          </cell>
          <cell r="AA48">
            <v>3654.5833333333335</v>
          </cell>
          <cell r="AB48">
            <v>512.08333333333337</v>
          </cell>
          <cell r="AC48">
            <v>859.29687999999999</v>
          </cell>
          <cell r="AD48">
            <v>154.50312</v>
          </cell>
          <cell r="AE48">
            <v>1013.8</v>
          </cell>
          <cell r="AG48">
            <v>4166.666666666667</v>
          </cell>
          <cell r="AH48">
            <v>3654.5833333333335</v>
          </cell>
          <cell r="AI48">
            <v>512.08333333333337</v>
          </cell>
          <cell r="AJ48">
            <v>727.30860800000005</v>
          </cell>
          <cell r="AK48">
            <v>130.77139200000002</v>
          </cell>
          <cell r="AL48">
            <v>858.08</v>
          </cell>
          <cell r="AN48">
            <v>4166.666666666667</v>
          </cell>
          <cell r="AO48">
            <v>3654.5833333333335</v>
          </cell>
          <cell r="AP48">
            <v>512.08333333333337</v>
          </cell>
          <cell r="AQ48">
            <v>0</v>
          </cell>
          <cell r="AR48">
            <v>0</v>
          </cell>
          <cell r="AS48"/>
          <cell r="AU48">
            <v>4166.666666666667</v>
          </cell>
          <cell r="AV48">
            <v>3654.5833333333335</v>
          </cell>
          <cell r="AW48">
            <v>512.08333333333337</v>
          </cell>
          <cell r="AX48">
            <v>0</v>
          </cell>
          <cell r="AY48">
            <v>0</v>
          </cell>
          <cell r="AZ48"/>
          <cell r="BB48">
            <v>4166.666666666667</v>
          </cell>
          <cell r="BC48">
            <v>3654.5833333333335</v>
          </cell>
          <cell r="BD48">
            <v>512.08333333333337</v>
          </cell>
          <cell r="BE48">
            <v>0</v>
          </cell>
          <cell r="BF48">
            <v>0</v>
          </cell>
          <cell r="BG48"/>
          <cell r="BI48">
            <v>4166.666666666667</v>
          </cell>
          <cell r="BJ48">
            <v>3654.5833333333335</v>
          </cell>
          <cell r="BK48">
            <v>512.08333333333337</v>
          </cell>
          <cell r="BL48">
            <v>0</v>
          </cell>
          <cell r="BM48">
            <v>0</v>
          </cell>
          <cell r="BN48"/>
          <cell r="BP48">
            <v>4166.666666666667</v>
          </cell>
          <cell r="BQ48">
            <v>3654.5833333333335</v>
          </cell>
          <cell r="BR48">
            <v>512.08333333333337</v>
          </cell>
          <cell r="BS48">
            <v>0</v>
          </cell>
          <cell r="BT48">
            <v>0</v>
          </cell>
          <cell r="BU48"/>
          <cell r="BW48">
            <v>4166.666666666667</v>
          </cell>
          <cell r="BX48">
            <v>3654.5833333333335</v>
          </cell>
          <cell r="BY48">
            <v>512.08333333333337</v>
          </cell>
          <cell r="BZ48">
            <v>0</v>
          </cell>
          <cell r="CA48">
            <v>0</v>
          </cell>
          <cell r="CB48"/>
          <cell r="CD48">
            <v>4166.666666666667</v>
          </cell>
          <cell r="CE48">
            <v>3654.5833333333335</v>
          </cell>
          <cell r="CF48">
            <v>512.08333333333337</v>
          </cell>
          <cell r="CG48">
            <v>0</v>
          </cell>
          <cell r="CH48">
            <v>0</v>
          </cell>
          <cell r="CI48"/>
          <cell r="CK48">
            <v>4166.666666666667</v>
          </cell>
          <cell r="CL48">
            <v>3654.5833333333335</v>
          </cell>
          <cell r="CM48">
            <v>512.08333333333337</v>
          </cell>
          <cell r="CN48">
            <v>0</v>
          </cell>
          <cell r="CO48">
            <v>0</v>
          </cell>
          <cell r="CP48"/>
        </row>
        <row r="49">
          <cell r="L49">
            <v>16025</v>
          </cell>
          <cell r="M49">
            <v>14055.5275</v>
          </cell>
          <cell r="N49">
            <v>1969.4724999999999</v>
          </cell>
          <cell r="O49">
            <v>17451.422871999999</v>
          </cell>
          <cell r="P49">
            <v>3137.7971279999997</v>
          </cell>
          <cell r="Q49">
            <v>20589.219999999998</v>
          </cell>
          <cell r="S49">
            <v>16025</v>
          </cell>
          <cell r="T49">
            <v>14055.5275</v>
          </cell>
          <cell r="U49">
            <v>1969.4724999999999</v>
          </cell>
          <cell r="V49">
            <v>14166.811828000002</v>
          </cell>
          <cell r="W49">
            <v>2547.2181720000003</v>
          </cell>
          <cell r="X49">
            <v>16714.030000000002</v>
          </cell>
          <cell r="Z49">
            <v>16025</v>
          </cell>
          <cell r="AA49">
            <v>14055.5275</v>
          </cell>
          <cell r="AB49">
            <v>1969.4724999999999</v>
          </cell>
          <cell r="AC49">
            <v>12401.176267999999</v>
          </cell>
          <cell r="AD49">
            <v>2229.7537320000001</v>
          </cell>
          <cell r="AE49">
            <v>14630.93</v>
          </cell>
          <cell r="AG49">
            <v>16025</v>
          </cell>
          <cell r="AH49">
            <v>14055.5275</v>
          </cell>
          <cell r="AI49">
            <v>1969.4724999999999</v>
          </cell>
          <cell r="AJ49">
            <v>17120.146887999996</v>
          </cell>
          <cell r="AK49">
            <v>3078.2331119999999</v>
          </cell>
          <cell r="AL49">
            <v>20198.379999999997</v>
          </cell>
          <cell r="AN49">
            <v>16025</v>
          </cell>
          <cell r="AO49">
            <v>14055.5275</v>
          </cell>
          <cell r="AP49">
            <v>1969.4724999999999</v>
          </cell>
          <cell r="AQ49">
            <v>0</v>
          </cell>
          <cell r="AR49">
            <v>0</v>
          </cell>
          <cell r="AS49"/>
          <cell r="AU49">
            <v>16025</v>
          </cell>
          <cell r="AV49">
            <v>14055.5275</v>
          </cell>
          <cell r="AW49">
            <v>1969.4724999999999</v>
          </cell>
          <cell r="AX49">
            <v>0</v>
          </cell>
          <cell r="AY49">
            <v>0</v>
          </cell>
          <cell r="AZ49"/>
          <cell r="BB49">
            <v>16025</v>
          </cell>
          <cell r="BC49">
            <v>14055.5275</v>
          </cell>
          <cell r="BD49">
            <v>1969.4724999999999</v>
          </cell>
          <cell r="BE49">
            <v>0</v>
          </cell>
          <cell r="BF49">
            <v>0</v>
          </cell>
          <cell r="BG49"/>
          <cell r="BI49">
            <v>16025</v>
          </cell>
          <cell r="BJ49">
            <v>14055.5275</v>
          </cell>
          <cell r="BK49">
            <v>1969.4724999999999</v>
          </cell>
          <cell r="BL49">
            <v>0</v>
          </cell>
          <cell r="BM49">
            <v>0</v>
          </cell>
          <cell r="BN49"/>
          <cell r="BP49">
            <v>16025</v>
          </cell>
          <cell r="BQ49">
            <v>14055.5275</v>
          </cell>
          <cell r="BR49">
            <v>1969.4724999999999</v>
          </cell>
          <cell r="BS49">
            <v>0</v>
          </cell>
          <cell r="BT49">
            <v>0</v>
          </cell>
          <cell r="BU49"/>
          <cell r="BW49">
            <v>16025</v>
          </cell>
          <cell r="BX49">
            <v>14055.5275</v>
          </cell>
          <cell r="BY49">
            <v>1969.4724999999999</v>
          </cell>
          <cell r="BZ49">
            <v>0</v>
          </cell>
          <cell r="CA49">
            <v>0</v>
          </cell>
          <cell r="CB49"/>
          <cell r="CD49">
            <v>16025</v>
          </cell>
          <cell r="CE49">
            <v>14055.5275</v>
          </cell>
          <cell r="CF49">
            <v>1969.4724999999999</v>
          </cell>
          <cell r="CG49">
            <v>0</v>
          </cell>
          <cell r="CH49">
            <v>0</v>
          </cell>
          <cell r="CI49"/>
          <cell r="CK49">
            <v>16025</v>
          </cell>
          <cell r="CL49">
            <v>14055.5275</v>
          </cell>
          <cell r="CM49">
            <v>1969.4724999999999</v>
          </cell>
          <cell r="CN49">
            <v>0</v>
          </cell>
          <cell r="CO49">
            <v>0</v>
          </cell>
          <cell r="CP49"/>
        </row>
        <row r="50">
          <cell r="L50">
            <v>994.63333333333333</v>
          </cell>
          <cell r="M50">
            <v>872.39289666666662</v>
          </cell>
          <cell r="N50">
            <v>122.24043666666667</v>
          </cell>
          <cell r="O50">
            <v>788.242572</v>
          </cell>
          <cell r="P50">
            <v>141.727428</v>
          </cell>
          <cell r="Q50">
            <v>929.97</v>
          </cell>
          <cell r="S50">
            <v>994.63333333333333</v>
          </cell>
          <cell r="T50">
            <v>872.39289666666662</v>
          </cell>
          <cell r="U50">
            <v>122.24043666666667</v>
          </cell>
          <cell r="V50">
            <v>912.83977200000004</v>
          </cell>
          <cell r="W50">
            <v>164.13022800000002</v>
          </cell>
          <cell r="X50">
            <v>1076.97</v>
          </cell>
          <cell r="Z50">
            <v>994.63333333333333</v>
          </cell>
          <cell r="AA50">
            <v>872.39289666666662</v>
          </cell>
          <cell r="AB50">
            <v>122.24043666666667</v>
          </cell>
          <cell r="AC50">
            <v>1609.88906</v>
          </cell>
          <cell r="AD50">
            <v>289.46093999999999</v>
          </cell>
          <cell r="AE50">
            <v>1899.35</v>
          </cell>
          <cell r="AG50">
            <v>994.63333333333333</v>
          </cell>
          <cell r="AH50">
            <v>872.39289666666662</v>
          </cell>
          <cell r="AI50">
            <v>122.24043666666667</v>
          </cell>
          <cell r="AJ50">
            <v>745.44724799999995</v>
          </cell>
          <cell r="AK50">
            <v>134.03275200000002</v>
          </cell>
          <cell r="AL50">
            <v>879.48</v>
          </cell>
          <cell r="AN50">
            <v>994.63333333333333</v>
          </cell>
          <cell r="AO50">
            <v>872.39289666666662</v>
          </cell>
          <cell r="AP50">
            <v>122.24043666666667</v>
          </cell>
          <cell r="AQ50">
            <v>0</v>
          </cell>
          <cell r="AR50">
            <v>0</v>
          </cell>
          <cell r="AS50"/>
          <cell r="AU50">
            <v>994.63333333333333</v>
          </cell>
          <cell r="AV50">
            <v>872.39289666666662</v>
          </cell>
          <cell r="AW50">
            <v>122.24043666666667</v>
          </cell>
          <cell r="AX50">
            <v>0</v>
          </cell>
          <cell r="AY50">
            <v>0</v>
          </cell>
          <cell r="AZ50"/>
          <cell r="BB50">
            <v>994.63333333333333</v>
          </cell>
          <cell r="BC50">
            <v>872.39289666666662</v>
          </cell>
          <cell r="BD50">
            <v>122.24043666666667</v>
          </cell>
          <cell r="BE50">
            <v>0</v>
          </cell>
          <cell r="BF50">
            <v>0</v>
          </cell>
          <cell r="BG50"/>
          <cell r="BI50">
            <v>994.63333333333333</v>
          </cell>
          <cell r="BJ50">
            <v>872.39289666666662</v>
          </cell>
          <cell r="BK50">
            <v>122.24043666666667</v>
          </cell>
          <cell r="BL50">
            <v>0</v>
          </cell>
          <cell r="BM50">
            <v>0</v>
          </cell>
          <cell r="BN50"/>
          <cell r="BP50">
            <v>994.63333333333333</v>
          </cell>
          <cell r="BQ50">
            <v>872.39289666666662</v>
          </cell>
          <cell r="BR50">
            <v>122.24043666666667</v>
          </cell>
          <cell r="BS50">
            <v>0</v>
          </cell>
          <cell r="BT50">
            <v>0</v>
          </cell>
          <cell r="BU50"/>
          <cell r="BW50">
            <v>994.63333333333333</v>
          </cell>
          <cell r="BX50">
            <v>872.39289666666662</v>
          </cell>
          <cell r="BY50">
            <v>122.24043666666667</v>
          </cell>
          <cell r="BZ50">
            <v>0</v>
          </cell>
          <cell r="CA50">
            <v>0</v>
          </cell>
          <cell r="CB50"/>
          <cell r="CD50">
            <v>994.63333333333333</v>
          </cell>
          <cell r="CE50">
            <v>872.39289666666662</v>
          </cell>
          <cell r="CF50">
            <v>122.24043666666667</v>
          </cell>
          <cell r="CG50">
            <v>0</v>
          </cell>
          <cell r="CH50">
            <v>0</v>
          </cell>
          <cell r="CI50"/>
          <cell r="CK50">
            <v>994.63333333333333</v>
          </cell>
          <cell r="CL50">
            <v>872.39289666666662</v>
          </cell>
          <cell r="CM50">
            <v>122.24043666666667</v>
          </cell>
          <cell r="CN50">
            <v>0</v>
          </cell>
          <cell r="CO50">
            <v>0</v>
          </cell>
          <cell r="CP50"/>
        </row>
        <row r="51">
          <cell r="L51">
            <v>747.57954999999993</v>
          </cell>
          <cell r="M51">
            <v>655.7020233049999</v>
          </cell>
          <cell r="N51">
            <v>91.877526694999986</v>
          </cell>
          <cell r="O51">
            <v>627.58846799999992</v>
          </cell>
          <cell r="P51">
            <v>112.841532</v>
          </cell>
          <cell r="Q51">
            <v>740.43</v>
          </cell>
          <cell r="S51">
            <v>747.57954999999993</v>
          </cell>
          <cell r="T51">
            <v>655.7020233049999</v>
          </cell>
          <cell r="U51">
            <v>91.877526694999986</v>
          </cell>
          <cell r="V51">
            <v>611.24673999999993</v>
          </cell>
          <cell r="W51">
            <v>109.90326</v>
          </cell>
          <cell r="X51">
            <v>721.15</v>
          </cell>
          <cell r="Z51">
            <v>747.57954999999993</v>
          </cell>
          <cell r="AA51">
            <v>655.7020233049999</v>
          </cell>
          <cell r="AB51">
            <v>91.877526694999986</v>
          </cell>
          <cell r="AC51">
            <v>568.51074800000004</v>
          </cell>
          <cell r="AD51">
            <v>102.21925200000001</v>
          </cell>
          <cell r="AE51">
            <v>670.73</v>
          </cell>
          <cell r="AG51">
            <v>747.57954999999993</v>
          </cell>
          <cell r="AH51">
            <v>655.7020233049999</v>
          </cell>
          <cell r="AI51">
            <v>91.877526694999986</v>
          </cell>
          <cell r="AJ51">
            <v>758.18667600000003</v>
          </cell>
          <cell r="AK51">
            <v>136.32332400000001</v>
          </cell>
          <cell r="AL51">
            <v>894.51</v>
          </cell>
          <cell r="AN51">
            <v>747.57954999999993</v>
          </cell>
          <cell r="AO51">
            <v>655.7020233049999</v>
          </cell>
          <cell r="AP51">
            <v>91.877526694999986</v>
          </cell>
          <cell r="AQ51">
            <v>0</v>
          </cell>
          <cell r="AR51">
            <v>0</v>
          </cell>
          <cell r="AS51"/>
          <cell r="AU51">
            <v>747.57954999999993</v>
          </cell>
          <cell r="AV51">
            <v>655.7020233049999</v>
          </cell>
          <cell r="AW51">
            <v>91.877526694999986</v>
          </cell>
          <cell r="AX51">
            <v>0</v>
          </cell>
          <cell r="AY51">
            <v>0</v>
          </cell>
          <cell r="AZ51"/>
          <cell r="BB51">
            <v>747.57954999999993</v>
          </cell>
          <cell r="BC51">
            <v>655.7020233049999</v>
          </cell>
          <cell r="BD51">
            <v>91.877526694999986</v>
          </cell>
          <cell r="BE51">
            <v>0</v>
          </cell>
          <cell r="BF51">
            <v>0</v>
          </cell>
          <cell r="BG51"/>
          <cell r="BI51">
            <v>747.57954999999993</v>
          </cell>
          <cell r="BJ51">
            <v>655.7020233049999</v>
          </cell>
          <cell r="BK51">
            <v>91.877526694999986</v>
          </cell>
          <cell r="BL51">
            <v>0</v>
          </cell>
          <cell r="BM51">
            <v>0</v>
          </cell>
          <cell r="BN51"/>
          <cell r="BP51">
            <v>747.57954999999993</v>
          </cell>
          <cell r="BQ51">
            <v>655.7020233049999</v>
          </cell>
          <cell r="BR51">
            <v>91.877526694999986</v>
          </cell>
          <cell r="BS51">
            <v>0</v>
          </cell>
          <cell r="BT51">
            <v>0</v>
          </cell>
          <cell r="BU51"/>
          <cell r="BW51">
            <v>747.57954999999993</v>
          </cell>
          <cell r="BX51">
            <v>655.7020233049999</v>
          </cell>
          <cell r="BY51">
            <v>91.877526694999986</v>
          </cell>
          <cell r="BZ51">
            <v>0</v>
          </cell>
          <cell r="CA51">
            <v>0</v>
          </cell>
          <cell r="CB51"/>
          <cell r="CD51">
            <v>747.57954999999993</v>
          </cell>
          <cell r="CE51">
            <v>655.7020233049999</v>
          </cell>
          <cell r="CF51">
            <v>91.877526694999986</v>
          </cell>
          <cell r="CG51">
            <v>0</v>
          </cell>
          <cell r="CH51">
            <v>0</v>
          </cell>
          <cell r="CI51"/>
          <cell r="CK51">
            <v>747.57954999999993</v>
          </cell>
          <cell r="CL51">
            <v>655.7020233049999</v>
          </cell>
          <cell r="CM51">
            <v>91.877526694999986</v>
          </cell>
          <cell r="CN51">
            <v>0</v>
          </cell>
          <cell r="CO51">
            <v>0</v>
          </cell>
          <cell r="CP51"/>
        </row>
        <row r="52">
          <cell r="L52">
            <v>2500</v>
          </cell>
          <cell r="M52">
            <v>2192.75</v>
          </cell>
          <cell r="N52">
            <v>307.25</v>
          </cell>
          <cell r="O52">
            <v>6600.7528080000002</v>
          </cell>
          <cell r="P52">
            <v>1186.827192</v>
          </cell>
          <cell r="Q52">
            <v>7787.58</v>
          </cell>
          <cell r="S52">
            <v>2500</v>
          </cell>
          <cell r="T52">
            <v>2192.75</v>
          </cell>
          <cell r="U52">
            <v>307.25</v>
          </cell>
          <cell r="V52">
            <v>1117.43346</v>
          </cell>
          <cell r="W52">
            <v>200.91654</v>
          </cell>
          <cell r="X52">
            <v>1318.35</v>
          </cell>
          <cell r="Z52">
            <v>2500</v>
          </cell>
          <cell r="AA52">
            <v>2192.75</v>
          </cell>
          <cell r="AB52">
            <v>307.25</v>
          </cell>
          <cell r="AC52">
            <v>2846.1984199999997</v>
          </cell>
          <cell r="AD52">
            <v>511.75157999999999</v>
          </cell>
          <cell r="AE52">
            <v>3357.95</v>
          </cell>
          <cell r="AG52">
            <v>2500</v>
          </cell>
          <cell r="AH52">
            <v>2192.75</v>
          </cell>
          <cell r="AI52">
            <v>307.25</v>
          </cell>
          <cell r="AJ52">
            <v>1796.7933360000002</v>
          </cell>
          <cell r="AK52">
            <v>323.06666400000006</v>
          </cell>
          <cell r="AL52">
            <v>2119.86</v>
          </cell>
          <cell r="AN52">
            <v>2500</v>
          </cell>
          <cell r="AO52">
            <v>2192.75</v>
          </cell>
          <cell r="AP52">
            <v>307.25</v>
          </cell>
          <cell r="AQ52">
            <v>0</v>
          </cell>
          <cell r="AR52">
            <v>0</v>
          </cell>
          <cell r="AS52"/>
          <cell r="AU52">
            <v>2500</v>
          </cell>
          <cell r="AV52">
            <v>2192.75</v>
          </cell>
          <cell r="AW52">
            <v>307.25</v>
          </cell>
          <cell r="AX52">
            <v>0</v>
          </cell>
          <cell r="AY52">
            <v>0</v>
          </cell>
          <cell r="AZ52"/>
          <cell r="BB52">
            <v>2500</v>
          </cell>
          <cell r="BC52">
            <v>2192.75</v>
          </cell>
          <cell r="BD52">
            <v>307.25</v>
          </cell>
          <cell r="BE52">
            <v>0</v>
          </cell>
          <cell r="BF52">
            <v>0</v>
          </cell>
          <cell r="BG52"/>
          <cell r="BI52">
            <v>2500</v>
          </cell>
          <cell r="BJ52">
            <v>2192.75</v>
          </cell>
          <cell r="BK52">
            <v>307.25</v>
          </cell>
          <cell r="BL52">
            <v>0</v>
          </cell>
          <cell r="BM52">
            <v>0</v>
          </cell>
          <cell r="BN52"/>
          <cell r="BP52">
            <v>2500</v>
          </cell>
          <cell r="BQ52">
            <v>2192.75</v>
          </cell>
          <cell r="BR52">
            <v>307.25</v>
          </cell>
          <cell r="BS52">
            <v>0</v>
          </cell>
          <cell r="BT52">
            <v>0</v>
          </cell>
          <cell r="BU52"/>
          <cell r="BW52">
            <v>2500</v>
          </cell>
          <cell r="BX52">
            <v>2192.75</v>
          </cell>
          <cell r="BY52">
            <v>307.25</v>
          </cell>
          <cell r="BZ52">
            <v>0</v>
          </cell>
          <cell r="CA52">
            <v>0</v>
          </cell>
          <cell r="CB52"/>
          <cell r="CD52">
            <v>2500</v>
          </cell>
          <cell r="CE52">
            <v>2192.75</v>
          </cell>
          <cell r="CF52">
            <v>307.25</v>
          </cell>
          <cell r="CG52">
            <v>0</v>
          </cell>
          <cell r="CH52">
            <v>0</v>
          </cell>
          <cell r="CI52"/>
          <cell r="CK52">
            <v>2500</v>
          </cell>
          <cell r="CL52">
            <v>2192.75</v>
          </cell>
          <cell r="CM52">
            <v>307.25</v>
          </cell>
          <cell r="CN52">
            <v>0</v>
          </cell>
          <cell r="CO52">
            <v>0</v>
          </cell>
          <cell r="CP52"/>
        </row>
        <row r="53">
          <cell r="L53">
            <v>1000</v>
          </cell>
          <cell r="M53">
            <v>877.1</v>
          </cell>
          <cell r="N53">
            <v>122.89999999999999</v>
          </cell>
          <cell r="O53">
            <v>0</v>
          </cell>
          <cell r="P53">
            <v>0</v>
          </cell>
          <cell r="Q53"/>
          <cell r="S53">
            <v>1000</v>
          </cell>
          <cell r="T53">
            <v>877.1</v>
          </cell>
          <cell r="U53">
            <v>122.89999999999999</v>
          </cell>
          <cell r="V53">
            <v>790.85317999999995</v>
          </cell>
          <cell r="W53">
            <v>142.19682</v>
          </cell>
          <cell r="X53">
            <v>933.05</v>
          </cell>
          <cell r="Z53">
            <v>1000</v>
          </cell>
          <cell r="AA53">
            <v>877.1</v>
          </cell>
          <cell r="AB53">
            <v>122.89999999999999</v>
          </cell>
          <cell r="AC53">
            <v>263.55274400000002</v>
          </cell>
          <cell r="AD53">
            <v>47.387256000000001</v>
          </cell>
          <cell r="AE53">
            <v>310.94</v>
          </cell>
          <cell r="AG53">
            <v>1000</v>
          </cell>
          <cell r="AH53">
            <v>877.1</v>
          </cell>
          <cell r="AI53">
            <v>122.89999999999999</v>
          </cell>
          <cell r="AJ53">
            <v>114.426</v>
          </cell>
          <cell r="AK53">
            <v>20.574000000000002</v>
          </cell>
          <cell r="AL53">
            <v>135</v>
          </cell>
          <cell r="AN53">
            <v>1000</v>
          </cell>
          <cell r="AO53">
            <v>877.1</v>
          </cell>
          <cell r="AP53">
            <v>122.89999999999999</v>
          </cell>
          <cell r="AQ53">
            <v>0</v>
          </cell>
          <cell r="AR53">
            <v>0</v>
          </cell>
          <cell r="AS53"/>
          <cell r="AU53">
            <v>1000</v>
          </cell>
          <cell r="AV53">
            <v>877.1</v>
          </cell>
          <cell r="AW53">
            <v>122.89999999999999</v>
          </cell>
          <cell r="AX53">
            <v>0</v>
          </cell>
          <cell r="AY53">
            <v>0</v>
          </cell>
          <cell r="AZ53"/>
          <cell r="BB53">
            <v>1000</v>
          </cell>
          <cell r="BC53">
            <v>877.1</v>
          </cell>
          <cell r="BD53">
            <v>122.89999999999999</v>
          </cell>
          <cell r="BE53">
            <v>0</v>
          </cell>
          <cell r="BF53">
            <v>0</v>
          </cell>
          <cell r="BG53"/>
          <cell r="BI53">
            <v>1000</v>
          </cell>
          <cell r="BJ53">
            <v>877.1</v>
          </cell>
          <cell r="BK53">
            <v>122.89999999999999</v>
          </cell>
          <cell r="BL53">
            <v>0</v>
          </cell>
          <cell r="BM53">
            <v>0</v>
          </cell>
          <cell r="BN53"/>
          <cell r="BP53">
            <v>1000</v>
          </cell>
          <cell r="BQ53">
            <v>877.1</v>
          </cell>
          <cell r="BR53">
            <v>122.89999999999999</v>
          </cell>
          <cell r="BS53">
            <v>0</v>
          </cell>
          <cell r="BT53">
            <v>0</v>
          </cell>
          <cell r="BU53"/>
          <cell r="BW53">
            <v>1000</v>
          </cell>
          <cell r="BX53">
            <v>877.1</v>
          </cell>
          <cell r="BY53">
            <v>122.89999999999999</v>
          </cell>
          <cell r="BZ53">
            <v>0</v>
          </cell>
          <cell r="CA53">
            <v>0</v>
          </cell>
          <cell r="CB53"/>
          <cell r="CD53">
            <v>1000</v>
          </cell>
          <cell r="CE53">
            <v>877.1</v>
          </cell>
          <cell r="CF53">
            <v>122.89999999999999</v>
          </cell>
          <cell r="CG53">
            <v>0</v>
          </cell>
          <cell r="CH53">
            <v>0</v>
          </cell>
          <cell r="CI53"/>
          <cell r="CK53">
            <v>1000</v>
          </cell>
          <cell r="CL53">
            <v>877.1</v>
          </cell>
          <cell r="CM53">
            <v>122.89999999999999</v>
          </cell>
          <cell r="CN53">
            <v>0</v>
          </cell>
          <cell r="CO53">
            <v>0</v>
          </cell>
          <cell r="CP53"/>
        </row>
        <row r="54">
          <cell r="L54">
            <v>63142.857142857145</v>
          </cell>
          <cell r="M54">
            <v>55382.600000000006</v>
          </cell>
          <cell r="N54">
            <v>7760.2571428571428</v>
          </cell>
          <cell r="O54">
            <v>44796.600835999998</v>
          </cell>
          <cell r="P54">
            <v>8054.5091640000001</v>
          </cell>
          <cell r="Q54">
            <v>52851.11</v>
          </cell>
          <cell r="S54">
            <v>63142.857142857145</v>
          </cell>
          <cell r="T54">
            <v>55382.600000000006</v>
          </cell>
          <cell r="U54">
            <v>7760.2571428571428</v>
          </cell>
          <cell r="V54">
            <v>85892.452932</v>
          </cell>
          <cell r="W54">
            <v>15443.617068000001</v>
          </cell>
          <cell r="X54">
            <v>101336.07</v>
          </cell>
          <cell r="Z54">
            <v>63142.857142857145</v>
          </cell>
          <cell r="AA54">
            <v>55382.600000000006</v>
          </cell>
          <cell r="AB54">
            <v>7760.2571428571428</v>
          </cell>
          <cell r="AC54">
            <v>159869.38066320081</v>
          </cell>
          <cell r="AD54">
            <v>28744.801336800148</v>
          </cell>
          <cell r="AE54">
            <v>188614.18200000096</v>
          </cell>
          <cell r="AG54">
            <v>63142.857142857145</v>
          </cell>
          <cell r="AH54">
            <v>55382.600000000006</v>
          </cell>
          <cell r="AI54">
            <v>7760.2571428571428</v>
          </cell>
          <cell r="AJ54">
            <v>178832.77614800038</v>
          </cell>
          <cell r="AK54">
            <v>32154.453852000071</v>
          </cell>
          <cell r="AL54">
            <v>210987.23000000045</v>
          </cell>
          <cell r="AN54">
            <v>63142.857142857145</v>
          </cell>
          <cell r="AO54">
            <v>55382.600000000006</v>
          </cell>
          <cell r="AP54">
            <v>7760.2571428571428</v>
          </cell>
          <cell r="AQ54">
            <v>0</v>
          </cell>
          <cell r="AR54">
            <v>0</v>
          </cell>
          <cell r="AS54"/>
          <cell r="AU54">
            <v>63142.857142857145</v>
          </cell>
          <cell r="AV54">
            <v>55382.600000000006</v>
          </cell>
          <cell r="AW54">
            <v>7760.2571428571428</v>
          </cell>
          <cell r="AX54">
            <v>0</v>
          </cell>
          <cell r="AY54">
            <v>0</v>
          </cell>
          <cell r="AZ54"/>
          <cell r="BB54">
            <v>63142.857142857145</v>
          </cell>
          <cell r="BC54">
            <v>55382.600000000006</v>
          </cell>
          <cell r="BD54">
            <v>7760.2571428571428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-34602.076124567473</v>
          </cell>
          <cell r="M56">
            <v>-30349.48096885813</v>
          </cell>
          <cell r="N56">
            <v>-4252.5951557093422</v>
          </cell>
          <cell r="O56">
            <v>0</v>
          </cell>
          <cell r="P56">
            <v>0</v>
          </cell>
          <cell r="Q56"/>
          <cell r="S56">
            <v>-34602.076124567473</v>
          </cell>
          <cell r="T56">
            <v>-30349.48096885813</v>
          </cell>
          <cell r="U56">
            <v>-4252.5951557093422</v>
          </cell>
          <cell r="V56">
            <v>-63588.596344000005</v>
          </cell>
          <cell r="W56">
            <v>-11433.343656000001</v>
          </cell>
          <cell r="X56">
            <v>-75021.94</v>
          </cell>
          <cell r="Z56">
            <v>-34602.076124567473</v>
          </cell>
          <cell r="AA56">
            <v>-30349.48096885813</v>
          </cell>
          <cell r="AB56">
            <v>-4252.5951557093422</v>
          </cell>
          <cell r="AC56">
            <v>1285.198928</v>
          </cell>
          <cell r="AD56">
            <v>231.08107200000001</v>
          </cell>
          <cell r="AE56">
            <v>1516.28</v>
          </cell>
          <cell r="AG56">
            <v>-34602.076124567473</v>
          </cell>
          <cell r="AH56">
            <v>-30349.48096885813</v>
          </cell>
          <cell r="AI56">
            <v>-4252.5951557093422</v>
          </cell>
          <cell r="AJ56">
            <v>-50823.511491999998</v>
          </cell>
          <cell r="AK56">
            <v>-9138.1585080000004</v>
          </cell>
          <cell r="AL56">
            <v>-59961.67</v>
          </cell>
          <cell r="AN56">
            <v>-34602.076124567473</v>
          </cell>
          <cell r="AO56">
            <v>-30349.48096885813</v>
          </cell>
          <cell r="AP56">
            <v>-4252.5951557093422</v>
          </cell>
          <cell r="AQ56">
            <v>0</v>
          </cell>
          <cell r="AR56">
            <v>0</v>
          </cell>
          <cell r="AS56"/>
          <cell r="AU56">
            <v>-34602.076124567473</v>
          </cell>
          <cell r="AV56">
            <v>-30349.48096885813</v>
          </cell>
          <cell r="AW56">
            <v>-4252.5951557093422</v>
          </cell>
          <cell r="AX56">
            <v>0</v>
          </cell>
          <cell r="AY56">
            <v>0</v>
          </cell>
          <cell r="AZ56"/>
          <cell r="BB56">
            <v>-34602.076124567473</v>
          </cell>
          <cell r="BC56">
            <v>-30349.48096885813</v>
          </cell>
          <cell r="BD56">
            <v>-4252.5951557093422</v>
          </cell>
          <cell r="BE56">
            <v>0</v>
          </cell>
          <cell r="BF56">
            <v>0</v>
          </cell>
          <cell r="BG56"/>
          <cell r="BI56">
            <v>-34602.076124567473</v>
          </cell>
          <cell r="BJ56">
            <v>-30349.48096885813</v>
          </cell>
          <cell r="BK56">
            <v>-4252.5951557093422</v>
          </cell>
          <cell r="BL56">
            <v>0</v>
          </cell>
          <cell r="BM56">
            <v>0</v>
          </cell>
          <cell r="BN56"/>
          <cell r="BP56">
            <v>-34602.076124567473</v>
          </cell>
          <cell r="BQ56">
            <v>-30349.48096885813</v>
          </cell>
          <cell r="BR56">
            <v>-4252.5951557093422</v>
          </cell>
          <cell r="BS56">
            <v>0</v>
          </cell>
          <cell r="BT56">
            <v>0</v>
          </cell>
          <cell r="BU56"/>
          <cell r="BW56">
            <v>-34602.076124567473</v>
          </cell>
          <cell r="BX56">
            <v>-30349.48096885813</v>
          </cell>
          <cell r="BY56">
            <v>-4252.5951557093422</v>
          </cell>
          <cell r="BZ56">
            <v>0</v>
          </cell>
          <cell r="CA56">
            <v>0</v>
          </cell>
          <cell r="CB56"/>
          <cell r="CD56">
            <v>-34602.076124567473</v>
          </cell>
          <cell r="CE56">
            <v>-30349.48096885813</v>
          </cell>
          <cell r="CF56">
            <v>-4252.5951557093422</v>
          </cell>
          <cell r="CG56">
            <v>0</v>
          </cell>
          <cell r="CH56">
            <v>0</v>
          </cell>
          <cell r="CI56"/>
          <cell r="CK56">
            <v>-34602.076124567473</v>
          </cell>
          <cell r="CL56">
            <v>-30349.48096885813</v>
          </cell>
          <cell r="CM56">
            <v>-4252.5951557093422</v>
          </cell>
          <cell r="CN56">
            <v>0</v>
          </cell>
          <cell r="CO56">
            <v>0</v>
          </cell>
          <cell r="CP56"/>
        </row>
        <row r="57">
          <cell r="L57">
            <v>-11534.025374855824</v>
          </cell>
          <cell r="M57">
            <v>-10116.493656286044</v>
          </cell>
          <cell r="N57">
            <v>-1417.5317185697807</v>
          </cell>
          <cell r="O57">
            <v>-38546.754428</v>
          </cell>
          <cell r="P57">
            <v>-6930.7755720000005</v>
          </cell>
          <cell r="Q57">
            <v>-45477.53</v>
          </cell>
          <cell r="S57">
            <v>-11534.025374855824</v>
          </cell>
          <cell r="T57">
            <v>-10116.493656286044</v>
          </cell>
          <cell r="U57">
            <v>-1417.5317185697807</v>
          </cell>
          <cell r="V57">
            <v>-5695.3210600000002</v>
          </cell>
          <cell r="W57">
            <v>-1024.0289400000001</v>
          </cell>
          <cell r="X57">
            <v>-6719.35</v>
          </cell>
          <cell r="Z57">
            <v>-11534.025374855824</v>
          </cell>
          <cell r="AA57">
            <v>-10116.493656286044</v>
          </cell>
          <cell r="AB57">
            <v>-1417.5317185697807</v>
          </cell>
          <cell r="AC57">
            <v>-25040.502708</v>
          </cell>
          <cell r="AD57">
            <v>-4502.3272920000009</v>
          </cell>
          <cell r="AE57">
            <v>-29542.83</v>
          </cell>
          <cell r="AG57">
            <v>-11534.025374855824</v>
          </cell>
          <cell r="AH57">
            <v>-10116.493656286044</v>
          </cell>
          <cell r="AI57">
            <v>-1417.5317185697807</v>
          </cell>
          <cell r="AJ57">
            <v>0</v>
          </cell>
          <cell r="AK57">
            <v>0</v>
          </cell>
          <cell r="AL57"/>
          <cell r="AN57">
            <v>-11534.025374855824</v>
          </cell>
          <cell r="AO57">
            <v>-10116.493656286044</v>
          </cell>
          <cell r="AP57">
            <v>-1417.5317185697807</v>
          </cell>
          <cell r="AQ57">
            <v>0</v>
          </cell>
          <cell r="AR57">
            <v>0</v>
          </cell>
          <cell r="AS57"/>
          <cell r="AU57">
            <v>-11534.025374855824</v>
          </cell>
          <cell r="AV57">
            <v>-10116.493656286044</v>
          </cell>
          <cell r="AW57">
            <v>-1417.5317185697807</v>
          </cell>
          <cell r="AX57">
            <v>0</v>
          </cell>
          <cell r="AY57">
            <v>0</v>
          </cell>
          <cell r="AZ57"/>
          <cell r="BB57">
            <v>-11534.025374855824</v>
          </cell>
          <cell r="BC57">
            <v>-10116.493656286044</v>
          </cell>
          <cell r="BD57">
            <v>-1417.5317185697807</v>
          </cell>
          <cell r="BE57">
            <v>0</v>
          </cell>
          <cell r="BF57">
            <v>0</v>
          </cell>
          <cell r="BG57"/>
          <cell r="BI57">
            <v>-11534.025374855824</v>
          </cell>
          <cell r="BJ57">
            <v>-10116.493656286044</v>
          </cell>
          <cell r="BK57">
            <v>-1417.5317185697807</v>
          </cell>
          <cell r="BL57">
            <v>0</v>
          </cell>
          <cell r="BM57">
            <v>0</v>
          </cell>
          <cell r="BN57"/>
          <cell r="BP57">
            <v>-11534.025374855824</v>
          </cell>
          <cell r="BQ57">
            <v>-10116.493656286044</v>
          </cell>
          <cell r="BR57">
            <v>-1417.5317185697807</v>
          </cell>
          <cell r="BS57">
            <v>0</v>
          </cell>
          <cell r="BT57">
            <v>0</v>
          </cell>
          <cell r="BU57"/>
          <cell r="BW57">
            <v>-11534.025374855824</v>
          </cell>
          <cell r="BX57">
            <v>-10116.493656286044</v>
          </cell>
          <cell r="BY57">
            <v>-1417.5317185697807</v>
          </cell>
          <cell r="BZ57">
            <v>0</v>
          </cell>
          <cell r="CA57">
            <v>0</v>
          </cell>
          <cell r="CB57"/>
          <cell r="CD57">
            <v>-11534.025374855824</v>
          </cell>
          <cell r="CE57">
            <v>-10116.493656286044</v>
          </cell>
          <cell r="CF57">
            <v>-1417.5317185697807</v>
          </cell>
          <cell r="CG57">
            <v>0</v>
          </cell>
          <cell r="CH57">
            <v>0</v>
          </cell>
          <cell r="CI57"/>
          <cell r="CK57">
            <v>-11534.025374855824</v>
          </cell>
          <cell r="CL57">
            <v>-10116.493656286044</v>
          </cell>
          <cell r="CM57">
            <v>-1417.5317185697807</v>
          </cell>
          <cell r="CN57">
            <v>0</v>
          </cell>
          <cell r="CO57">
            <v>0</v>
          </cell>
          <cell r="CP57"/>
        </row>
      </sheetData>
      <sheetData sheetId="6">
        <row r="4">
          <cell r="L4">
            <v>92558.307887999996</v>
          </cell>
          <cell r="M4">
            <v>81182.891848564803</v>
          </cell>
          <cell r="N4">
            <v>11375.416039435198</v>
          </cell>
          <cell r="O4">
            <v>99783.024627999985</v>
          </cell>
          <cell r="P4">
            <v>2474.6353719999997</v>
          </cell>
          <cell r="Q4">
            <v>102257.65999999999</v>
          </cell>
          <cell r="S4">
            <v>144593.30788799998</v>
          </cell>
          <cell r="T4">
            <v>126822.79034856478</v>
          </cell>
          <cell r="U4">
            <v>17770.517539435197</v>
          </cell>
          <cell r="V4">
            <v>79414.712117999996</v>
          </cell>
          <cell r="W4">
            <v>1969.4978819999997</v>
          </cell>
          <cell r="X4">
            <v>81384.209999999992</v>
          </cell>
          <cell r="Z4">
            <v>92558.307887999996</v>
          </cell>
          <cell r="AA4">
            <v>81182.891848564803</v>
          </cell>
          <cell r="AB4">
            <v>11375.416039435198</v>
          </cell>
          <cell r="AC4">
            <v>112508.17872000001</v>
          </cell>
          <cell r="AD4">
            <v>2790.2212800000002</v>
          </cell>
          <cell r="AE4">
            <v>115298.40000000001</v>
          </cell>
          <cell r="AG4">
            <v>92558.307887999996</v>
          </cell>
          <cell r="AH4">
            <v>81182.891848564803</v>
          </cell>
          <cell r="AI4">
            <v>11375.416039435198</v>
          </cell>
          <cell r="AJ4">
            <v>82400.289314000009</v>
          </cell>
          <cell r="AK4">
            <v>2043.5406860000001</v>
          </cell>
          <cell r="AL4">
            <v>84443.83</v>
          </cell>
          <cell r="AN4">
            <v>92558.307887999996</v>
          </cell>
          <cell r="AO4">
            <v>81182.891848564803</v>
          </cell>
          <cell r="AP4">
            <v>11375.416039435198</v>
          </cell>
          <cell r="AQ4">
            <v>0</v>
          </cell>
          <cell r="AR4">
            <v>0</v>
          </cell>
          <cell r="AS4"/>
          <cell r="AU4">
            <v>92558.307887999996</v>
          </cell>
          <cell r="AV4">
            <v>81182.891848564803</v>
          </cell>
          <cell r="AW4">
            <v>11375.416039435198</v>
          </cell>
          <cell r="AX4">
            <v>0</v>
          </cell>
          <cell r="AY4">
            <v>0</v>
          </cell>
          <cell r="AZ4"/>
          <cell r="BB4">
            <v>92558.307887999996</v>
          </cell>
          <cell r="BC4">
            <v>81182.891848564803</v>
          </cell>
          <cell r="BD4">
            <v>11375.416039435198</v>
          </cell>
          <cell r="BE4">
            <v>0</v>
          </cell>
          <cell r="BF4">
            <v>0</v>
          </cell>
          <cell r="BG4"/>
          <cell r="BI4">
            <v>99962.972519040006</v>
          </cell>
          <cell r="BJ4">
            <v>87677.523196449984</v>
          </cell>
          <cell r="BK4">
            <v>12285.449322590017</v>
          </cell>
          <cell r="BL4">
            <v>0</v>
          </cell>
          <cell r="BM4">
            <v>0</v>
          </cell>
          <cell r="BN4"/>
          <cell r="BP4">
            <v>99962.972519040006</v>
          </cell>
          <cell r="BQ4">
            <v>87677.523196449984</v>
          </cell>
          <cell r="BR4">
            <v>12285.449322590017</v>
          </cell>
          <cell r="BS4">
            <v>0</v>
          </cell>
          <cell r="BT4">
            <v>0</v>
          </cell>
          <cell r="BU4"/>
          <cell r="BW4">
            <v>99962.972519040006</v>
          </cell>
          <cell r="BX4">
            <v>87677.523196449984</v>
          </cell>
          <cell r="BY4">
            <v>12285.449322590017</v>
          </cell>
          <cell r="BZ4">
            <v>0</v>
          </cell>
          <cell r="CA4">
            <v>0</v>
          </cell>
          <cell r="CB4"/>
          <cell r="CD4">
            <v>99962.972519040006</v>
          </cell>
          <cell r="CE4">
            <v>87677.523196449984</v>
          </cell>
          <cell r="CF4">
            <v>12285.449322590017</v>
          </cell>
          <cell r="CG4">
            <v>0</v>
          </cell>
          <cell r="CH4">
            <v>0</v>
          </cell>
          <cell r="CI4"/>
          <cell r="CK4">
            <v>99962.972519040006</v>
          </cell>
          <cell r="CL4">
            <v>87677.523196449984</v>
          </cell>
          <cell r="CM4">
            <v>12285.449322590017</v>
          </cell>
          <cell r="CN4">
            <v>0</v>
          </cell>
          <cell r="CO4">
            <v>0</v>
          </cell>
          <cell r="CP4"/>
        </row>
        <row r="5">
          <cell r="L5">
            <v>6666.666666666667</v>
          </cell>
          <cell r="M5">
            <v>5847.3333333333339</v>
          </cell>
          <cell r="N5">
            <v>819.33333333333337</v>
          </cell>
          <cell r="O5">
            <v>5006.3028679999998</v>
          </cell>
          <cell r="P5">
            <v>124.157132</v>
          </cell>
          <cell r="Q5">
            <v>5130.46</v>
          </cell>
          <cell r="S5">
            <v>6666.666666666667</v>
          </cell>
          <cell r="T5">
            <v>5847.3333333333339</v>
          </cell>
          <cell r="U5">
            <v>819.33333333333337</v>
          </cell>
          <cell r="V5">
            <v>3694.954522</v>
          </cell>
          <cell r="W5">
            <v>91.635478000000006</v>
          </cell>
          <cell r="X5">
            <v>3786.59</v>
          </cell>
          <cell r="Z5">
            <v>6666.666666666667</v>
          </cell>
          <cell r="AA5">
            <v>5847.3333333333339</v>
          </cell>
          <cell r="AB5">
            <v>819.33333333333337</v>
          </cell>
          <cell r="AC5">
            <v>7818.6267739999994</v>
          </cell>
          <cell r="AD5">
            <v>193.90322599999999</v>
          </cell>
          <cell r="AE5">
            <v>8012.53</v>
          </cell>
          <cell r="AG5">
            <v>6666.666666666667</v>
          </cell>
          <cell r="AH5">
            <v>5847.3333333333339</v>
          </cell>
          <cell r="AI5">
            <v>819.33333333333337</v>
          </cell>
          <cell r="AJ5">
            <v>5934.0642339999995</v>
          </cell>
          <cell r="AK5">
            <v>147.16576599999999</v>
          </cell>
          <cell r="AL5">
            <v>6081.23</v>
          </cell>
          <cell r="AN5">
            <v>6666.666666666667</v>
          </cell>
          <cell r="AO5">
            <v>5847.3333333333339</v>
          </cell>
          <cell r="AP5">
            <v>819.33333333333337</v>
          </cell>
          <cell r="AQ5">
            <v>0</v>
          </cell>
          <cell r="AR5">
            <v>0</v>
          </cell>
          <cell r="AS5"/>
          <cell r="AU5">
            <v>6666.666666666667</v>
          </cell>
          <cell r="AV5">
            <v>5847.3333333333339</v>
          </cell>
          <cell r="AW5">
            <v>819.33333333333337</v>
          </cell>
          <cell r="AX5">
            <v>0</v>
          </cell>
          <cell r="AY5">
            <v>0</v>
          </cell>
          <cell r="AZ5"/>
          <cell r="BB5">
            <v>6666.666666666667</v>
          </cell>
          <cell r="BC5">
            <v>5847.3333333333339</v>
          </cell>
          <cell r="BD5">
            <v>819.33333333333337</v>
          </cell>
          <cell r="BE5">
            <v>0</v>
          </cell>
          <cell r="BF5">
            <v>0</v>
          </cell>
          <cell r="BG5"/>
          <cell r="BI5">
            <v>6666.666666666667</v>
          </cell>
          <cell r="BJ5">
            <v>5847.3333333333339</v>
          </cell>
          <cell r="BK5">
            <v>819.33333333333337</v>
          </cell>
          <cell r="BL5">
            <v>0</v>
          </cell>
          <cell r="BM5">
            <v>0</v>
          </cell>
          <cell r="BN5"/>
          <cell r="BP5">
            <v>6666.666666666667</v>
          </cell>
          <cell r="BQ5">
            <v>5847.3333333333339</v>
          </cell>
          <cell r="BR5">
            <v>819.33333333333337</v>
          </cell>
          <cell r="BS5">
            <v>0</v>
          </cell>
          <cell r="BT5">
            <v>0</v>
          </cell>
          <cell r="BU5"/>
          <cell r="BW5">
            <v>6666.666666666667</v>
          </cell>
          <cell r="BX5">
            <v>5847.3333333333339</v>
          </cell>
          <cell r="BY5">
            <v>819.33333333333337</v>
          </cell>
          <cell r="BZ5">
            <v>0</v>
          </cell>
          <cell r="CA5">
            <v>0</v>
          </cell>
          <cell r="CB5"/>
          <cell r="CD5">
            <v>6666.666666666667</v>
          </cell>
          <cell r="CE5">
            <v>5847.3333333333339</v>
          </cell>
          <cell r="CF5">
            <v>819.33333333333337</v>
          </cell>
          <cell r="CG5">
            <v>0</v>
          </cell>
          <cell r="CH5">
            <v>0</v>
          </cell>
          <cell r="CI5"/>
          <cell r="CK5">
            <v>6666.666666666667</v>
          </cell>
          <cell r="CL5">
            <v>5847.3333333333339</v>
          </cell>
          <cell r="CM5">
            <v>819.33333333333337</v>
          </cell>
          <cell r="CN5">
            <v>0</v>
          </cell>
          <cell r="CO5">
            <v>0</v>
          </cell>
          <cell r="CP5"/>
        </row>
        <row r="6">
          <cell r="L6">
            <v>11821.542241946667</v>
          </cell>
          <cell r="M6">
            <v>10368.674700411422</v>
          </cell>
          <cell r="N6">
            <v>1452.8675415352452</v>
          </cell>
          <cell r="O6">
            <v>10863.610674000001</v>
          </cell>
          <cell r="P6">
            <v>269.41932600000001</v>
          </cell>
          <cell r="Q6">
            <v>11133.03</v>
          </cell>
          <cell r="S6">
            <v>11821.542241946667</v>
          </cell>
          <cell r="T6">
            <v>10368.674700411422</v>
          </cell>
          <cell r="U6">
            <v>1452.8675415352452</v>
          </cell>
          <cell r="V6">
            <v>10782.794918</v>
          </cell>
          <cell r="W6">
            <v>267.41508199999998</v>
          </cell>
          <cell r="X6">
            <v>11050.21</v>
          </cell>
          <cell r="Z6">
            <v>11821.542241946667</v>
          </cell>
          <cell r="AA6">
            <v>10368.674700411422</v>
          </cell>
          <cell r="AB6">
            <v>1452.8675415352452</v>
          </cell>
          <cell r="AC6">
            <v>12641.684160000001</v>
          </cell>
          <cell r="AD6">
            <v>313.51584000000003</v>
          </cell>
          <cell r="AE6">
            <v>12955.2</v>
          </cell>
          <cell r="AG6">
            <v>11821.542241946667</v>
          </cell>
          <cell r="AH6">
            <v>10368.674700411422</v>
          </cell>
          <cell r="AI6">
            <v>1452.8675415352452</v>
          </cell>
          <cell r="AJ6">
            <v>10298.124816</v>
          </cell>
          <cell r="AK6">
            <v>255.395184</v>
          </cell>
          <cell r="AL6">
            <v>10553.52</v>
          </cell>
          <cell r="AN6">
            <v>11821.542241946667</v>
          </cell>
          <cell r="AO6">
            <v>10368.674700411422</v>
          </cell>
          <cell r="AP6">
            <v>1452.8675415352452</v>
          </cell>
          <cell r="AQ6">
            <v>0</v>
          </cell>
          <cell r="AR6">
            <v>0</v>
          </cell>
          <cell r="AS6"/>
          <cell r="AU6">
            <v>11821.542241946667</v>
          </cell>
          <cell r="AV6">
            <v>10368.674700411422</v>
          </cell>
          <cell r="AW6">
            <v>1452.8675415352452</v>
          </cell>
          <cell r="AX6">
            <v>0</v>
          </cell>
          <cell r="AY6">
            <v>0</v>
          </cell>
          <cell r="AZ6"/>
          <cell r="BB6">
            <v>11821.542241946667</v>
          </cell>
          <cell r="BC6">
            <v>10368.674700411422</v>
          </cell>
          <cell r="BD6">
            <v>1452.8675415352452</v>
          </cell>
          <cell r="BE6">
            <v>0</v>
          </cell>
          <cell r="BF6">
            <v>0</v>
          </cell>
          <cell r="BG6"/>
          <cell r="BI6">
            <v>12708.492287969068</v>
          </cell>
          <cell r="BJ6">
            <v>11146.618585777669</v>
          </cell>
          <cell r="BK6">
            <v>1561.8737021913983</v>
          </cell>
          <cell r="BL6">
            <v>0</v>
          </cell>
          <cell r="BM6">
            <v>0</v>
          </cell>
          <cell r="BN6"/>
          <cell r="BP6">
            <v>12708.492287969068</v>
          </cell>
          <cell r="BQ6">
            <v>11146.618585777669</v>
          </cell>
          <cell r="BR6">
            <v>1561.8737021913983</v>
          </cell>
          <cell r="BS6">
            <v>0</v>
          </cell>
          <cell r="BT6">
            <v>0</v>
          </cell>
          <cell r="BU6"/>
          <cell r="BW6">
            <v>12708.492287969068</v>
          </cell>
          <cell r="BX6">
            <v>11146.618585777669</v>
          </cell>
          <cell r="BY6">
            <v>1561.8737021913983</v>
          </cell>
          <cell r="BZ6">
            <v>0</v>
          </cell>
          <cell r="CA6">
            <v>0</v>
          </cell>
          <cell r="CB6"/>
          <cell r="CD6">
            <v>12708.492287969068</v>
          </cell>
          <cell r="CE6">
            <v>11146.618585777669</v>
          </cell>
          <cell r="CF6">
            <v>1561.8737021913983</v>
          </cell>
          <cell r="CG6">
            <v>0</v>
          </cell>
          <cell r="CH6">
            <v>0</v>
          </cell>
          <cell r="CI6"/>
          <cell r="CK6">
            <v>12708.492287969068</v>
          </cell>
          <cell r="CL6">
            <v>11146.618585777669</v>
          </cell>
          <cell r="CM6">
            <v>1561.8737021913983</v>
          </cell>
          <cell r="CN6">
            <v>0</v>
          </cell>
          <cell r="CO6">
            <v>0</v>
          </cell>
          <cell r="CP6"/>
        </row>
        <row r="7">
          <cell r="L7">
            <v>9171.8862221999989</v>
          </cell>
          <cell r="M7">
            <v>8044.661405491619</v>
          </cell>
          <cell r="N7">
            <v>1127.2248167083799</v>
          </cell>
          <cell r="O7">
            <v>7279.7900140000002</v>
          </cell>
          <cell r="P7">
            <v>180.539986</v>
          </cell>
          <cell r="Q7">
            <v>7460.33</v>
          </cell>
          <cell r="S7">
            <v>9171.8862221999989</v>
          </cell>
          <cell r="T7">
            <v>8044.661405491619</v>
          </cell>
          <cell r="U7">
            <v>1127.2248167083799</v>
          </cell>
          <cell r="V7">
            <v>6948.8864760000006</v>
          </cell>
          <cell r="W7">
            <v>172.33352400000001</v>
          </cell>
          <cell r="X7">
            <v>7121.22</v>
          </cell>
          <cell r="Z7">
            <v>9171.8862221999989</v>
          </cell>
          <cell r="AA7">
            <v>8044.661405491619</v>
          </cell>
          <cell r="AB7">
            <v>1127.2248167083799</v>
          </cell>
          <cell r="AC7">
            <v>7122.7350040000001</v>
          </cell>
          <cell r="AD7">
            <v>176.64499599999999</v>
          </cell>
          <cell r="AE7">
            <v>7299.38</v>
          </cell>
          <cell r="AG7">
            <v>9171.8862221999989</v>
          </cell>
          <cell r="AH7">
            <v>8044.661405491619</v>
          </cell>
          <cell r="AI7">
            <v>1127.2248167083799</v>
          </cell>
          <cell r="AJ7">
            <v>6837.5574539999998</v>
          </cell>
          <cell r="AK7">
            <v>169.57254599999999</v>
          </cell>
          <cell r="AL7">
            <v>7007.13</v>
          </cell>
          <cell r="AN7">
            <v>9171.8862221999989</v>
          </cell>
          <cell r="AO7">
            <v>8044.661405491619</v>
          </cell>
          <cell r="AP7">
            <v>1127.2248167083799</v>
          </cell>
          <cell r="AQ7">
            <v>0</v>
          </cell>
          <cell r="AR7">
            <v>0</v>
          </cell>
          <cell r="AS7"/>
          <cell r="AU7">
            <v>9171.8862221999989</v>
          </cell>
          <cell r="AV7">
            <v>8044.661405491619</v>
          </cell>
          <cell r="AW7">
            <v>1127.2248167083799</v>
          </cell>
          <cell r="AX7">
            <v>0</v>
          </cell>
          <cell r="AY7">
            <v>0</v>
          </cell>
          <cell r="AZ7"/>
          <cell r="BB7">
            <v>9171.8862221999989</v>
          </cell>
          <cell r="BC7">
            <v>8044.661405491619</v>
          </cell>
          <cell r="BD7">
            <v>1127.2248167083799</v>
          </cell>
          <cell r="BE7">
            <v>0</v>
          </cell>
          <cell r="BF7">
            <v>0</v>
          </cell>
          <cell r="BG7"/>
          <cell r="BI7">
            <v>9860.0371199759993</v>
          </cell>
          <cell r="BJ7">
            <v>8648.2385579309484</v>
          </cell>
          <cell r="BK7">
            <v>1211.7985620450502</v>
          </cell>
          <cell r="BL7">
            <v>0</v>
          </cell>
          <cell r="BM7">
            <v>0</v>
          </cell>
          <cell r="BN7"/>
          <cell r="BP7">
            <v>9860.0371199759993</v>
          </cell>
          <cell r="BQ7">
            <v>8648.2385579309484</v>
          </cell>
          <cell r="BR7">
            <v>1211.7985620450502</v>
          </cell>
          <cell r="BS7">
            <v>0</v>
          </cell>
          <cell r="BT7">
            <v>0</v>
          </cell>
          <cell r="BU7"/>
          <cell r="BW7">
            <v>9860.0371199759993</v>
          </cell>
          <cell r="BX7">
            <v>8648.2385579309484</v>
          </cell>
          <cell r="BY7">
            <v>1211.7985620450502</v>
          </cell>
          <cell r="BZ7">
            <v>0</v>
          </cell>
          <cell r="CA7">
            <v>0</v>
          </cell>
          <cell r="CB7"/>
          <cell r="CD7">
            <v>9860.0371199759993</v>
          </cell>
          <cell r="CE7">
            <v>8648.2385579309484</v>
          </cell>
          <cell r="CF7">
            <v>1211.7985620450502</v>
          </cell>
          <cell r="CG7">
            <v>0</v>
          </cell>
          <cell r="CH7">
            <v>0</v>
          </cell>
          <cell r="CI7"/>
          <cell r="CK7">
            <v>9860.0371199759993</v>
          </cell>
          <cell r="CL7">
            <v>8648.2385579309484</v>
          </cell>
          <cell r="CM7">
            <v>1211.7985620450502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102185.64256599134</v>
          </cell>
          <cell r="BC8">
            <v>89627.027094631005</v>
          </cell>
          <cell r="BD8">
            <v>12558.615471360336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5749.8608363733338</v>
          </cell>
          <cell r="M9">
            <v>5043.2029395830514</v>
          </cell>
          <cell r="N9">
            <v>706.65789679028273</v>
          </cell>
          <cell r="O9">
            <v>5639.597068</v>
          </cell>
          <cell r="P9">
            <v>139.862932</v>
          </cell>
          <cell r="Q9">
            <v>5779.46</v>
          </cell>
          <cell r="S9">
            <v>5749.8608363733338</v>
          </cell>
          <cell r="T9">
            <v>5043.2029395830514</v>
          </cell>
          <cell r="U9">
            <v>706.65789679028273</v>
          </cell>
          <cell r="V9">
            <v>9766.1772039999996</v>
          </cell>
          <cell r="W9">
            <v>242.20279599999998</v>
          </cell>
          <cell r="X9">
            <v>10008.379999999999</v>
          </cell>
          <cell r="Z9">
            <v>5749.8608363733338</v>
          </cell>
          <cell r="AA9">
            <v>5043.2029395830514</v>
          </cell>
          <cell r="AB9">
            <v>706.65789679028273</v>
          </cell>
          <cell r="AC9">
            <v>0</v>
          </cell>
          <cell r="AD9">
            <v>0</v>
          </cell>
          <cell r="AE9"/>
          <cell r="AG9">
            <v>5749.8608363733338</v>
          </cell>
          <cell r="AH9">
            <v>5043.2029395830514</v>
          </cell>
          <cell r="AI9">
            <v>706.65789679028273</v>
          </cell>
          <cell r="AJ9">
            <v>3751.2484240000003</v>
          </cell>
          <cell r="AK9">
            <v>93.031576000000001</v>
          </cell>
          <cell r="AL9">
            <v>3844.28</v>
          </cell>
          <cell r="AN9">
            <v>5749.8608363733338</v>
          </cell>
          <cell r="AO9">
            <v>5043.2029395830514</v>
          </cell>
          <cell r="AP9">
            <v>706.65789679028273</v>
          </cell>
          <cell r="AQ9">
            <v>0</v>
          </cell>
          <cell r="AR9">
            <v>0</v>
          </cell>
          <cell r="AS9"/>
          <cell r="AU9">
            <v>5749.8608363733338</v>
          </cell>
          <cell r="AV9">
            <v>5043.2029395830514</v>
          </cell>
          <cell r="AW9">
            <v>706.65789679028273</v>
          </cell>
          <cell r="AX9">
            <v>0</v>
          </cell>
          <cell r="AY9">
            <v>0</v>
          </cell>
          <cell r="AZ9"/>
          <cell r="BB9">
            <v>5749.8608363733338</v>
          </cell>
          <cell r="BC9">
            <v>5043.2029395830514</v>
          </cell>
          <cell r="BD9">
            <v>706.65789679028273</v>
          </cell>
          <cell r="BE9">
            <v>0</v>
          </cell>
          <cell r="BF9">
            <v>0</v>
          </cell>
          <cell r="BG9"/>
          <cell r="BI9">
            <v>6181.263036616534</v>
          </cell>
          <cell r="BJ9">
            <v>5421.5858094163623</v>
          </cell>
          <cell r="BK9">
            <v>759.67722720017196</v>
          </cell>
          <cell r="BL9">
            <v>0</v>
          </cell>
          <cell r="BM9">
            <v>0</v>
          </cell>
          <cell r="BN9"/>
          <cell r="BP9">
            <v>6181.263036616534</v>
          </cell>
          <cell r="BQ9">
            <v>5421.5858094163623</v>
          </cell>
          <cell r="BR9">
            <v>759.67722720017196</v>
          </cell>
          <cell r="BS9">
            <v>0</v>
          </cell>
          <cell r="BT9">
            <v>0</v>
          </cell>
          <cell r="BU9"/>
          <cell r="BW9">
            <v>6181.263036616534</v>
          </cell>
          <cell r="BX9">
            <v>5421.5858094163623</v>
          </cell>
          <cell r="BY9">
            <v>759.67722720017196</v>
          </cell>
          <cell r="BZ9">
            <v>0</v>
          </cell>
          <cell r="CA9">
            <v>0</v>
          </cell>
          <cell r="CB9"/>
          <cell r="CD9">
            <v>6181.263036616534</v>
          </cell>
          <cell r="CE9">
            <v>5421.5858094163623</v>
          </cell>
          <cell r="CF9">
            <v>759.67722720017196</v>
          </cell>
          <cell r="CG9">
            <v>0</v>
          </cell>
          <cell r="CH9">
            <v>0</v>
          </cell>
          <cell r="CI9"/>
          <cell r="CK9">
            <v>6181.263036616534</v>
          </cell>
          <cell r="CL9">
            <v>5421.5858094163623</v>
          </cell>
          <cell r="CM9">
            <v>759.67722720017196</v>
          </cell>
          <cell r="CN9">
            <v>0</v>
          </cell>
          <cell r="CO9">
            <v>0</v>
          </cell>
          <cell r="CP9"/>
        </row>
        <row r="10">
          <cell r="L10">
            <v>10000</v>
          </cell>
          <cell r="M10">
            <v>8771</v>
          </cell>
          <cell r="N10">
            <v>1229</v>
          </cell>
          <cell r="O10">
            <v>10009.317289999999</v>
          </cell>
          <cell r="P10">
            <v>248.23270999999997</v>
          </cell>
          <cell r="Q10">
            <v>10257.549999999999</v>
          </cell>
          <cell r="S10">
            <v>10000</v>
          </cell>
          <cell r="T10">
            <v>8771</v>
          </cell>
          <cell r="U10">
            <v>1229</v>
          </cell>
          <cell r="V10">
            <v>8386.6204379999999</v>
          </cell>
          <cell r="W10">
            <v>207.98956200000001</v>
          </cell>
          <cell r="X10">
            <v>8594.61</v>
          </cell>
          <cell r="Z10">
            <v>10000</v>
          </cell>
          <cell r="AA10">
            <v>8771</v>
          </cell>
          <cell r="AB10">
            <v>1229</v>
          </cell>
          <cell r="AC10">
            <v>8044.0268160000005</v>
          </cell>
          <cell r="AD10">
            <v>199.49318400000001</v>
          </cell>
          <cell r="AE10">
            <v>8243.52</v>
          </cell>
          <cell r="AG10">
            <v>10000</v>
          </cell>
          <cell r="AH10">
            <v>8771</v>
          </cell>
          <cell r="AI10">
            <v>1229</v>
          </cell>
          <cell r="AJ10">
            <v>17545.245046000004</v>
          </cell>
          <cell r="AK10">
            <v>435.12495400000006</v>
          </cell>
          <cell r="AL10">
            <v>17980.370000000003</v>
          </cell>
          <cell r="AN10">
            <v>10000</v>
          </cell>
          <cell r="AO10">
            <v>8771</v>
          </cell>
          <cell r="AP10">
            <v>1229</v>
          </cell>
          <cell r="AQ10">
            <v>0</v>
          </cell>
          <cell r="AR10">
            <v>0</v>
          </cell>
          <cell r="AS10"/>
          <cell r="AU10">
            <v>10000</v>
          </cell>
          <cell r="AV10">
            <v>8771</v>
          </cell>
          <cell r="AW10">
            <v>1229</v>
          </cell>
          <cell r="AX10">
            <v>0</v>
          </cell>
          <cell r="AY10">
            <v>0</v>
          </cell>
          <cell r="AZ10"/>
          <cell r="BB10">
            <v>10000</v>
          </cell>
          <cell r="BC10">
            <v>8771</v>
          </cell>
          <cell r="BD10">
            <v>1229</v>
          </cell>
          <cell r="BE10">
            <v>0</v>
          </cell>
          <cell r="BF10">
            <v>0</v>
          </cell>
          <cell r="BG10"/>
          <cell r="BI10">
            <v>10000</v>
          </cell>
          <cell r="BJ10">
            <v>8771</v>
          </cell>
          <cell r="BK10">
            <v>1229</v>
          </cell>
          <cell r="BL10">
            <v>0</v>
          </cell>
          <cell r="BM10">
            <v>0</v>
          </cell>
          <cell r="BN10"/>
          <cell r="BP10">
            <v>10000</v>
          </cell>
          <cell r="BQ10">
            <v>8771</v>
          </cell>
          <cell r="BR10">
            <v>1229</v>
          </cell>
          <cell r="BS10">
            <v>0</v>
          </cell>
          <cell r="BT10">
            <v>0</v>
          </cell>
          <cell r="BU10"/>
          <cell r="BW10">
            <v>10000</v>
          </cell>
          <cell r="BX10">
            <v>8771</v>
          </cell>
          <cell r="BY10">
            <v>1229</v>
          </cell>
          <cell r="BZ10">
            <v>0</v>
          </cell>
          <cell r="CA10">
            <v>0</v>
          </cell>
          <cell r="CB10"/>
          <cell r="CD10">
            <v>10000</v>
          </cell>
          <cell r="CE10">
            <v>8771</v>
          </cell>
          <cell r="CF10">
            <v>1229</v>
          </cell>
          <cell r="CG10">
            <v>0</v>
          </cell>
          <cell r="CH10">
            <v>0</v>
          </cell>
          <cell r="CI10"/>
          <cell r="CK10">
            <v>10000</v>
          </cell>
          <cell r="CL10">
            <v>8771</v>
          </cell>
          <cell r="CM10">
            <v>1229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20120.137296000001</v>
          </cell>
          <cell r="W11">
            <v>498.98270399999996</v>
          </cell>
          <cell r="X11">
            <v>20619.12</v>
          </cell>
          <cell r="Z11">
            <v>0</v>
          </cell>
          <cell r="AA11">
            <v>0</v>
          </cell>
          <cell r="AB11">
            <v>0</v>
          </cell>
          <cell r="AC11">
            <v>39006.463314000001</v>
          </cell>
          <cell r="AD11">
            <v>967.36668599999996</v>
          </cell>
          <cell r="AE11">
            <v>39973.83</v>
          </cell>
          <cell r="AG11">
            <v>0</v>
          </cell>
          <cell r="AH11">
            <v>0</v>
          </cell>
          <cell r="AI11">
            <v>0</v>
          </cell>
          <cell r="AJ11">
            <v>2924.2774400000003</v>
          </cell>
          <cell r="AK11">
            <v>72.522559999999999</v>
          </cell>
          <cell r="AL11">
            <v>2996.8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2824.8434200000002</v>
          </cell>
          <cell r="P12">
            <v>70.056579999999997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0</v>
          </cell>
          <cell r="W12">
            <v>0</v>
          </cell>
          <cell r="X12"/>
          <cell r="Z12">
            <v>3105</v>
          </cell>
          <cell r="AA12">
            <v>2723.3955000000001</v>
          </cell>
          <cell r="AB12">
            <v>381.60449999999997</v>
          </cell>
          <cell r="AC12">
            <v>3027.66345</v>
          </cell>
          <cell r="AD12">
            <v>75.086550000000003</v>
          </cell>
          <cell r="AE12">
            <v>3102.75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3393.422564</v>
          </cell>
          <cell r="AK12">
            <v>84.15743599999999</v>
          </cell>
          <cell r="AL12">
            <v>3477.58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2000</v>
          </cell>
          <cell r="M13">
            <v>1754.2</v>
          </cell>
          <cell r="N13">
            <v>245.79999999999998</v>
          </cell>
          <cell r="O13">
            <v>0</v>
          </cell>
          <cell r="P13">
            <v>0</v>
          </cell>
          <cell r="Q13"/>
          <cell r="S13">
            <v>2000</v>
          </cell>
          <cell r="T13">
            <v>1754.2</v>
          </cell>
          <cell r="U13">
            <v>245.79999999999998</v>
          </cell>
          <cell r="V13">
            <v>3756.83</v>
          </cell>
          <cell r="W13">
            <v>93.17</v>
          </cell>
          <cell r="X13">
            <v>3850</v>
          </cell>
          <cell r="Z13">
            <v>2000</v>
          </cell>
          <cell r="AA13">
            <v>1754.2</v>
          </cell>
          <cell r="AB13">
            <v>245.79999999999998</v>
          </cell>
          <cell r="AC13">
            <v>3756.83</v>
          </cell>
          <cell r="AD13">
            <v>93.17</v>
          </cell>
          <cell r="AE13">
            <v>3850</v>
          </cell>
          <cell r="AG13">
            <v>2000</v>
          </cell>
          <cell r="AH13">
            <v>1754.2</v>
          </cell>
          <cell r="AI13">
            <v>245.79999999999998</v>
          </cell>
          <cell r="AJ13">
            <v>4195.9399999999996</v>
          </cell>
          <cell r="AK13">
            <v>104.06</v>
          </cell>
          <cell r="AL13">
            <v>4300</v>
          </cell>
          <cell r="AN13">
            <v>2000</v>
          </cell>
          <cell r="AO13">
            <v>1754.2</v>
          </cell>
          <cell r="AP13">
            <v>245.79999999999998</v>
          </cell>
          <cell r="AQ13">
            <v>0</v>
          </cell>
          <cell r="AR13">
            <v>0</v>
          </cell>
          <cell r="AS13"/>
          <cell r="AU13">
            <v>2000</v>
          </cell>
          <cell r="AV13">
            <v>1754.2</v>
          </cell>
          <cell r="AW13">
            <v>245.79999999999998</v>
          </cell>
          <cell r="AX13">
            <v>0</v>
          </cell>
          <cell r="AY13">
            <v>0</v>
          </cell>
          <cell r="AZ13"/>
          <cell r="BB13">
            <v>2000</v>
          </cell>
          <cell r="BC13">
            <v>1754.2</v>
          </cell>
          <cell r="BD13">
            <v>245.79999999999998</v>
          </cell>
          <cell r="BE13">
            <v>0</v>
          </cell>
          <cell r="BF13">
            <v>0</v>
          </cell>
          <cell r="BG13"/>
          <cell r="BI13">
            <v>2000</v>
          </cell>
          <cell r="BJ13">
            <v>1754.2</v>
          </cell>
          <cell r="BK13">
            <v>245.79999999999998</v>
          </cell>
          <cell r="BL13">
            <v>0</v>
          </cell>
          <cell r="BM13">
            <v>0</v>
          </cell>
          <cell r="BN13"/>
          <cell r="BP13">
            <v>2000</v>
          </cell>
          <cell r="BQ13">
            <v>1754.2</v>
          </cell>
          <cell r="BR13">
            <v>245.79999999999998</v>
          </cell>
          <cell r="BS13">
            <v>0</v>
          </cell>
          <cell r="BT13">
            <v>0</v>
          </cell>
          <cell r="BU13"/>
          <cell r="BW13">
            <v>2000</v>
          </cell>
          <cell r="BX13">
            <v>1754.2</v>
          </cell>
          <cell r="BY13">
            <v>245.79999999999998</v>
          </cell>
          <cell r="BZ13">
            <v>0</v>
          </cell>
          <cell r="CA13">
            <v>0</v>
          </cell>
          <cell r="CB13"/>
          <cell r="CD13">
            <v>2000</v>
          </cell>
          <cell r="CE13">
            <v>1754.2</v>
          </cell>
          <cell r="CF13">
            <v>245.79999999999998</v>
          </cell>
          <cell r="CG13">
            <v>0</v>
          </cell>
          <cell r="CH13">
            <v>0</v>
          </cell>
          <cell r="CI13"/>
          <cell r="CK13">
            <v>2000</v>
          </cell>
          <cell r="CL13">
            <v>1754.2</v>
          </cell>
          <cell r="CM13">
            <v>245.79999999999998</v>
          </cell>
          <cell r="CN13">
            <v>0</v>
          </cell>
          <cell r="CO13">
            <v>0</v>
          </cell>
          <cell r="CP13"/>
        </row>
        <row r="14">
          <cell r="L14">
            <v>4867.7299999999996</v>
          </cell>
          <cell r="M14">
            <v>4269.4859829999996</v>
          </cell>
          <cell r="N14">
            <v>598.24401699999987</v>
          </cell>
          <cell r="O14">
            <v>3734.0548279999998</v>
          </cell>
          <cell r="P14">
            <v>92.605171999999996</v>
          </cell>
          <cell r="Q14">
            <v>3826.66</v>
          </cell>
          <cell r="S14">
            <v>4867.7299999999996</v>
          </cell>
          <cell r="T14">
            <v>4269.4859829999996</v>
          </cell>
          <cell r="U14">
            <v>598.24401699999987</v>
          </cell>
          <cell r="V14">
            <v>4412.3334080000004</v>
          </cell>
          <cell r="W14">
            <v>109.426592</v>
          </cell>
          <cell r="X14">
            <v>4521.76</v>
          </cell>
          <cell r="Z14">
            <v>4867.7299999999996</v>
          </cell>
          <cell r="AA14">
            <v>4269.4859829999996</v>
          </cell>
          <cell r="AB14">
            <v>598.24401699999987</v>
          </cell>
          <cell r="AC14">
            <v>11694.738566</v>
          </cell>
          <cell r="AD14">
            <v>290.03143399999999</v>
          </cell>
          <cell r="AE14">
            <v>11984.77</v>
          </cell>
          <cell r="AG14">
            <v>4867.7299999999996</v>
          </cell>
          <cell r="AH14">
            <v>4269.4859829999996</v>
          </cell>
          <cell r="AI14">
            <v>598.24401699999987</v>
          </cell>
          <cell r="AJ14">
            <v>4070.5984900000003</v>
          </cell>
          <cell r="AK14">
            <v>100.95151</v>
          </cell>
          <cell r="AL14">
            <v>4171.55</v>
          </cell>
          <cell r="AN14">
            <v>4867.7299999999996</v>
          </cell>
          <cell r="AO14">
            <v>4269.4859829999996</v>
          </cell>
          <cell r="AP14">
            <v>598.24401699999987</v>
          </cell>
          <cell r="AQ14">
            <v>0</v>
          </cell>
          <cell r="AR14">
            <v>0</v>
          </cell>
          <cell r="AS14"/>
          <cell r="AU14">
            <v>4867.7299999999996</v>
          </cell>
          <cell r="AV14">
            <v>4269.4859829999996</v>
          </cell>
          <cell r="AW14">
            <v>598.24401699999987</v>
          </cell>
          <cell r="AX14">
            <v>0</v>
          </cell>
          <cell r="AY14">
            <v>0</v>
          </cell>
          <cell r="AZ14"/>
          <cell r="BB14">
            <v>4867.7299999999996</v>
          </cell>
          <cell r="BC14">
            <v>4269.4859829999996</v>
          </cell>
          <cell r="BD14">
            <v>598.24401699999987</v>
          </cell>
          <cell r="BE14">
            <v>0</v>
          </cell>
          <cell r="BF14">
            <v>0</v>
          </cell>
          <cell r="BG14"/>
          <cell r="BI14">
            <v>4867.7299999999996</v>
          </cell>
          <cell r="BJ14">
            <v>4269.4859829999996</v>
          </cell>
          <cell r="BK14">
            <v>598.24401699999987</v>
          </cell>
          <cell r="BL14">
            <v>0</v>
          </cell>
          <cell r="BM14">
            <v>0</v>
          </cell>
          <cell r="BN14"/>
          <cell r="BP14">
            <v>4867.7299999999996</v>
          </cell>
          <cell r="BQ14">
            <v>4269.4859829999996</v>
          </cell>
          <cell r="BR14">
            <v>598.24401699999987</v>
          </cell>
          <cell r="BS14">
            <v>0</v>
          </cell>
          <cell r="BT14">
            <v>0</v>
          </cell>
          <cell r="BU14"/>
          <cell r="BW14">
            <v>4867.7299999999996</v>
          </cell>
          <cell r="BX14">
            <v>4269.4859829999996</v>
          </cell>
          <cell r="BY14">
            <v>598.24401699999987</v>
          </cell>
          <cell r="BZ14">
            <v>0</v>
          </cell>
          <cell r="CA14">
            <v>0</v>
          </cell>
          <cell r="CB14"/>
          <cell r="CD14">
            <v>4867.7299999999996</v>
          </cell>
          <cell r="CE14">
            <v>4269.4859829999996</v>
          </cell>
          <cell r="CF14">
            <v>598.24401699999987</v>
          </cell>
          <cell r="CG14">
            <v>0</v>
          </cell>
          <cell r="CH14">
            <v>0</v>
          </cell>
          <cell r="CI14"/>
          <cell r="CK14">
            <v>4867.7299999999996</v>
          </cell>
          <cell r="CL14">
            <v>4269.4859829999996</v>
          </cell>
          <cell r="CM14">
            <v>598.24401699999987</v>
          </cell>
          <cell r="CN14">
            <v>0</v>
          </cell>
          <cell r="CO14">
            <v>0</v>
          </cell>
          <cell r="CP14"/>
        </row>
        <row r="15">
          <cell r="L15">
            <v>12393.899999999998</v>
          </cell>
          <cell r="M15">
            <v>10870.689689999997</v>
          </cell>
          <cell r="N15">
            <v>1523.2103099999997</v>
          </cell>
          <cell r="O15">
            <v>10838.444792000002</v>
          </cell>
          <cell r="P15">
            <v>268.79520800000006</v>
          </cell>
          <cell r="Q15">
            <v>11107.240000000002</v>
          </cell>
          <cell r="S15">
            <v>12393.899999999998</v>
          </cell>
          <cell r="T15">
            <v>10870.689689999997</v>
          </cell>
          <cell r="U15">
            <v>1523.2103099999997</v>
          </cell>
          <cell r="V15">
            <v>10797.910060000011</v>
          </cell>
          <cell r="W15">
            <v>267.78994000000029</v>
          </cell>
          <cell r="X15">
            <v>11065.700000000012</v>
          </cell>
          <cell r="Z15">
            <v>12393.899999999998</v>
          </cell>
          <cell r="AA15">
            <v>10870.689689999997</v>
          </cell>
          <cell r="AB15">
            <v>1523.2103099999997</v>
          </cell>
          <cell r="AC15">
            <v>16176.090308000003</v>
          </cell>
          <cell r="AD15">
            <v>401.16969200000005</v>
          </cell>
          <cell r="AE15">
            <v>16577.260000000002</v>
          </cell>
          <cell r="AG15">
            <v>12393.899999999998</v>
          </cell>
          <cell r="AH15">
            <v>10870.689689999997</v>
          </cell>
          <cell r="AI15">
            <v>1523.2103099999997</v>
          </cell>
          <cell r="AJ15">
            <v>19092.707717999998</v>
          </cell>
          <cell r="AK15">
            <v>473.50228199999998</v>
          </cell>
          <cell r="AL15">
            <v>19566.21</v>
          </cell>
          <cell r="AN15">
            <v>12393.899999999998</v>
          </cell>
          <cell r="AO15">
            <v>10870.689689999997</v>
          </cell>
          <cell r="AP15">
            <v>1523.2103099999997</v>
          </cell>
          <cell r="AQ15">
            <v>0</v>
          </cell>
          <cell r="AR15">
            <v>0</v>
          </cell>
          <cell r="AS15"/>
          <cell r="AU15">
            <v>12393.899999999998</v>
          </cell>
          <cell r="AV15">
            <v>10870.689689999997</v>
          </cell>
          <cell r="AW15">
            <v>1523.2103099999997</v>
          </cell>
          <cell r="AX15">
            <v>0</v>
          </cell>
          <cell r="AY15">
            <v>0</v>
          </cell>
          <cell r="AZ15"/>
          <cell r="BB15">
            <v>13360.799999999997</v>
          </cell>
          <cell r="BC15">
            <v>11718.757679999999</v>
          </cell>
          <cell r="BD15">
            <v>1642.0423199999996</v>
          </cell>
          <cell r="BE15">
            <v>0</v>
          </cell>
          <cell r="BF15">
            <v>0</v>
          </cell>
          <cell r="BG15"/>
          <cell r="BI15">
            <v>12393.899999999998</v>
          </cell>
          <cell r="BJ15">
            <v>10870.689689999997</v>
          </cell>
          <cell r="BK15">
            <v>1523.2103099999997</v>
          </cell>
          <cell r="BL15">
            <v>0</v>
          </cell>
          <cell r="BM15">
            <v>0</v>
          </cell>
          <cell r="BN15"/>
          <cell r="BP15">
            <v>12393.899999999998</v>
          </cell>
          <cell r="BQ15">
            <v>10870.689689999997</v>
          </cell>
          <cell r="BR15">
            <v>1523.2103099999997</v>
          </cell>
          <cell r="BS15">
            <v>0</v>
          </cell>
          <cell r="BT15">
            <v>0</v>
          </cell>
          <cell r="BU15"/>
          <cell r="BW15">
            <v>12393.899999999998</v>
          </cell>
          <cell r="BX15">
            <v>10870.689689999997</v>
          </cell>
          <cell r="BY15">
            <v>1523.2103099999997</v>
          </cell>
          <cell r="BZ15">
            <v>0</v>
          </cell>
          <cell r="CA15">
            <v>0</v>
          </cell>
          <cell r="CB15"/>
          <cell r="CD15">
            <v>12393.899999999998</v>
          </cell>
          <cell r="CE15">
            <v>10870.689689999997</v>
          </cell>
          <cell r="CF15">
            <v>1523.2103099999997</v>
          </cell>
          <cell r="CG15">
            <v>0</v>
          </cell>
          <cell r="CH15">
            <v>0</v>
          </cell>
          <cell r="CI15"/>
          <cell r="CK15">
            <v>12393.899999999998</v>
          </cell>
          <cell r="CL15">
            <v>10870.689689999997</v>
          </cell>
          <cell r="CM15">
            <v>1523.2103099999997</v>
          </cell>
          <cell r="CN15">
            <v>0</v>
          </cell>
          <cell r="CO15">
            <v>0</v>
          </cell>
          <cell r="CP15"/>
        </row>
        <row r="16">
          <cell r="L16">
            <v>16666.666666666668</v>
          </cell>
          <cell r="M16">
            <v>14618.333333333334</v>
          </cell>
          <cell r="N16">
            <v>2048.3333333333335</v>
          </cell>
          <cell r="O16">
            <v>22083.085849999999</v>
          </cell>
          <cell r="P16">
            <v>547.66414999999995</v>
          </cell>
          <cell r="Q16">
            <v>22630.75</v>
          </cell>
          <cell r="S16">
            <v>16666.666666666668</v>
          </cell>
          <cell r="T16">
            <v>14618.333333333334</v>
          </cell>
          <cell r="U16">
            <v>2048.3333333333335</v>
          </cell>
          <cell r="V16">
            <v>2707.074118</v>
          </cell>
          <cell r="W16">
            <v>67.135881999999995</v>
          </cell>
          <cell r="X16">
            <v>2774.21</v>
          </cell>
          <cell r="Z16">
            <v>16666.666666666668</v>
          </cell>
          <cell r="AA16">
            <v>14618.333333333334</v>
          </cell>
          <cell r="AB16">
            <v>2048.3333333333335</v>
          </cell>
          <cell r="AC16">
            <v>28390.461889999999</v>
          </cell>
          <cell r="AD16">
            <v>704.08810999999992</v>
          </cell>
          <cell r="AE16">
            <v>29094.55</v>
          </cell>
          <cell r="AG16">
            <v>16666.666666666668</v>
          </cell>
          <cell r="AH16">
            <v>14618.333333333334</v>
          </cell>
          <cell r="AI16">
            <v>2048.3333333333335</v>
          </cell>
          <cell r="AJ16">
            <v>19775.875056000001</v>
          </cell>
          <cell r="AK16">
            <v>490.44494399999996</v>
          </cell>
          <cell r="AL16">
            <v>20266.32</v>
          </cell>
          <cell r="AN16">
            <v>16666.666666666668</v>
          </cell>
          <cell r="AO16">
            <v>14618.333333333334</v>
          </cell>
          <cell r="AP16">
            <v>2048.3333333333335</v>
          </cell>
          <cell r="AQ16">
            <v>0</v>
          </cell>
          <cell r="AR16">
            <v>0</v>
          </cell>
          <cell r="AS16"/>
          <cell r="AU16">
            <v>16666.666666666668</v>
          </cell>
          <cell r="AV16">
            <v>14618.333333333334</v>
          </cell>
          <cell r="AW16">
            <v>2048.3333333333335</v>
          </cell>
          <cell r="AX16">
            <v>0</v>
          </cell>
          <cell r="AY16">
            <v>0</v>
          </cell>
          <cell r="AZ16"/>
          <cell r="BB16">
            <v>16666.666666666668</v>
          </cell>
          <cell r="BC16">
            <v>14618.333333333334</v>
          </cell>
          <cell r="BD16">
            <v>2048.3333333333335</v>
          </cell>
          <cell r="BE16">
            <v>0</v>
          </cell>
          <cell r="BF16">
            <v>0</v>
          </cell>
          <cell r="BG16"/>
          <cell r="BI16">
            <v>16666.666666666668</v>
          </cell>
          <cell r="BJ16">
            <v>14618.333333333334</v>
          </cell>
          <cell r="BK16">
            <v>2048.3333333333335</v>
          </cell>
          <cell r="BL16">
            <v>0</v>
          </cell>
          <cell r="BM16">
            <v>0</v>
          </cell>
          <cell r="BN16"/>
          <cell r="BP16">
            <v>16666.666666666668</v>
          </cell>
          <cell r="BQ16">
            <v>14618.333333333334</v>
          </cell>
          <cell r="BR16">
            <v>2048.3333333333335</v>
          </cell>
          <cell r="BS16">
            <v>0</v>
          </cell>
          <cell r="BT16">
            <v>0</v>
          </cell>
          <cell r="BU16"/>
          <cell r="BW16">
            <v>16666.666666666668</v>
          </cell>
          <cell r="BX16">
            <v>14618.333333333334</v>
          </cell>
          <cell r="BY16">
            <v>2048.3333333333335</v>
          </cell>
          <cell r="BZ16">
            <v>0</v>
          </cell>
          <cell r="CA16">
            <v>0</v>
          </cell>
          <cell r="CB16"/>
          <cell r="CD16">
            <v>16666.666666666668</v>
          </cell>
          <cell r="CE16">
            <v>14618.333333333334</v>
          </cell>
          <cell r="CF16">
            <v>2048.3333333333335</v>
          </cell>
          <cell r="CG16">
            <v>0</v>
          </cell>
          <cell r="CH16">
            <v>0</v>
          </cell>
          <cell r="CI16"/>
          <cell r="CK16">
            <v>16666.666666666668</v>
          </cell>
          <cell r="CL16">
            <v>14618.333333333334</v>
          </cell>
          <cell r="CM16">
            <v>2048.3333333333335</v>
          </cell>
          <cell r="CN16">
            <v>0</v>
          </cell>
          <cell r="CO16">
            <v>0</v>
          </cell>
          <cell r="CP16"/>
        </row>
        <row r="17">
          <cell r="L17">
            <v>53519.4</v>
          </cell>
          <cell r="M17">
            <v>46941.865740000001</v>
          </cell>
          <cell r="N17">
            <v>6577.5342600000004</v>
          </cell>
          <cell r="O17">
            <v>45137.795276000004</v>
          </cell>
          <cell r="P17">
            <v>1119.424724</v>
          </cell>
          <cell r="Q17">
            <v>46257.22</v>
          </cell>
          <cell r="S17">
            <v>53519.4</v>
          </cell>
          <cell r="T17">
            <v>46941.865740000001</v>
          </cell>
          <cell r="U17">
            <v>6577.5342600000004</v>
          </cell>
          <cell r="V17">
            <v>37583.581028000001</v>
          </cell>
          <cell r="W17">
            <v>932.07897200000002</v>
          </cell>
          <cell r="X17">
            <v>38515.660000000003</v>
          </cell>
          <cell r="Z17">
            <v>53519.4</v>
          </cell>
          <cell r="AA17">
            <v>46941.865740000001</v>
          </cell>
          <cell r="AB17">
            <v>6577.5342600000004</v>
          </cell>
          <cell r="AC17">
            <v>70808.722081999993</v>
          </cell>
          <cell r="AD17">
            <v>1756.0679179999997</v>
          </cell>
          <cell r="AE17">
            <v>72564.789999999994</v>
          </cell>
          <cell r="AG17">
            <v>53519.4</v>
          </cell>
          <cell r="AH17">
            <v>46941.865740000001</v>
          </cell>
          <cell r="AI17">
            <v>6577.5342600000004</v>
          </cell>
          <cell r="AJ17">
            <v>84957.275633999991</v>
          </cell>
          <cell r="AK17">
            <v>2106.9543659999999</v>
          </cell>
          <cell r="AL17">
            <v>87064.23</v>
          </cell>
          <cell r="AN17">
            <v>53519.4</v>
          </cell>
          <cell r="AO17">
            <v>46941.865740000001</v>
          </cell>
          <cell r="AP17">
            <v>6577.5342600000004</v>
          </cell>
          <cell r="AQ17">
            <v>0</v>
          </cell>
          <cell r="AR17">
            <v>0</v>
          </cell>
          <cell r="AS17"/>
          <cell r="AU17">
            <v>53519.4</v>
          </cell>
          <cell r="AV17">
            <v>46941.865740000001</v>
          </cell>
          <cell r="AW17">
            <v>6577.5342600000004</v>
          </cell>
          <cell r="AX17">
            <v>0</v>
          </cell>
          <cell r="AY17">
            <v>0</v>
          </cell>
          <cell r="AZ17"/>
          <cell r="BB17">
            <v>53519.4</v>
          </cell>
          <cell r="BC17">
            <v>46941.865740000001</v>
          </cell>
          <cell r="BD17">
            <v>6577.5342600000004</v>
          </cell>
          <cell r="BE17">
            <v>0</v>
          </cell>
          <cell r="BF17">
            <v>0</v>
          </cell>
          <cell r="BG17"/>
          <cell r="BI17">
            <v>53519.4</v>
          </cell>
          <cell r="BJ17">
            <v>46941.865740000001</v>
          </cell>
          <cell r="BK17">
            <v>6577.5342600000004</v>
          </cell>
          <cell r="BL17">
            <v>0</v>
          </cell>
          <cell r="BM17">
            <v>0</v>
          </cell>
          <cell r="BN17"/>
          <cell r="BP17">
            <v>53519.4</v>
          </cell>
          <cell r="BQ17">
            <v>46941.865740000001</v>
          </cell>
          <cell r="BR17">
            <v>6577.5342600000004</v>
          </cell>
          <cell r="BS17">
            <v>0</v>
          </cell>
          <cell r="BT17">
            <v>0</v>
          </cell>
          <cell r="BU17"/>
          <cell r="BW17">
            <v>53519.4</v>
          </cell>
          <cell r="BX17">
            <v>46941.865740000001</v>
          </cell>
          <cell r="BY17">
            <v>6577.5342600000004</v>
          </cell>
          <cell r="BZ17">
            <v>0</v>
          </cell>
          <cell r="CA17">
            <v>0</v>
          </cell>
          <cell r="CB17"/>
          <cell r="CD17">
            <v>53519.4</v>
          </cell>
          <cell r="CE17">
            <v>46941.865740000001</v>
          </cell>
          <cell r="CF17">
            <v>6577.5342600000004</v>
          </cell>
          <cell r="CG17">
            <v>0</v>
          </cell>
          <cell r="CH17">
            <v>0</v>
          </cell>
          <cell r="CI17"/>
          <cell r="CK17">
            <v>53519.4</v>
          </cell>
          <cell r="CL17">
            <v>46941.865740000001</v>
          </cell>
          <cell r="CM17">
            <v>6577.5342600000004</v>
          </cell>
          <cell r="CN17">
            <v>0</v>
          </cell>
          <cell r="CO17">
            <v>0</v>
          </cell>
          <cell r="CP17"/>
        </row>
        <row r="18">
          <cell r="L18">
            <v>10727.86</v>
          </cell>
          <cell r="M18">
            <v>9409.4060060000011</v>
          </cell>
          <cell r="N18">
            <v>1318.453994</v>
          </cell>
          <cell r="O18">
            <v>9868.1190299999998</v>
          </cell>
          <cell r="P18">
            <v>244.73097000000001</v>
          </cell>
          <cell r="Q18">
            <v>10112.85</v>
          </cell>
          <cell r="S18">
            <v>10727.86</v>
          </cell>
          <cell r="T18">
            <v>9409.4060060000011</v>
          </cell>
          <cell r="U18">
            <v>1318.453994</v>
          </cell>
          <cell r="V18">
            <v>2856.8984500000001</v>
          </cell>
          <cell r="W18">
            <v>70.851550000000003</v>
          </cell>
          <cell r="X18">
            <v>2927.75</v>
          </cell>
          <cell r="Z18">
            <v>10727.86</v>
          </cell>
          <cell r="AA18">
            <v>9409.4060060000011</v>
          </cell>
          <cell r="AB18">
            <v>1318.453994</v>
          </cell>
          <cell r="AC18">
            <v>30880.635183999999</v>
          </cell>
          <cell r="AD18">
            <v>765.84481599999992</v>
          </cell>
          <cell r="AE18">
            <v>31646.48</v>
          </cell>
          <cell r="AG18">
            <v>10727.86</v>
          </cell>
          <cell r="AH18">
            <v>9409.4060060000011</v>
          </cell>
          <cell r="AI18">
            <v>1318.453994</v>
          </cell>
          <cell r="AJ18">
            <v>0</v>
          </cell>
          <cell r="AK18">
            <v>0</v>
          </cell>
          <cell r="AL18"/>
          <cell r="AN18">
            <v>10727.86</v>
          </cell>
          <cell r="AO18">
            <v>9409.4060060000011</v>
          </cell>
          <cell r="AP18">
            <v>1318.453994</v>
          </cell>
          <cell r="AQ18">
            <v>0</v>
          </cell>
          <cell r="AR18">
            <v>0</v>
          </cell>
          <cell r="AS18"/>
          <cell r="AU18">
            <v>10727.86</v>
          </cell>
          <cell r="AV18">
            <v>9409.4060060000011</v>
          </cell>
          <cell r="AW18">
            <v>1318.453994</v>
          </cell>
          <cell r="AX18">
            <v>0</v>
          </cell>
          <cell r="AY18">
            <v>0</v>
          </cell>
          <cell r="AZ18"/>
          <cell r="BB18">
            <v>10727.86</v>
          </cell>
          <cell r="BC18">
            <v>9409.4060060000011</v>
          </cell>
          <cell r="BD18">
            <v>1318.453994</v>
          </cell>
          <cell r="BE18">
            <v>0</v>
          </cell>
          <cell r="BF18">
            <v>0</v>
          </cell>
          <cell r="BG18"/>
          <cell r="BI18">
            <v>10727.86</v>
          </cell>
          <cell r="BJ18">
            <v>9409.4060060000011</v>
          </cell>
          <cell r="BK18">
            <v>1318.453994</v>
          </cell>
          <cell r="BL18">
            <v>0</v>
          </cell>
          <cell r="BM18">
            <v>0</v>
          </cell>
          <cell r="BN18"/>
          <cell r="BP18">
            <v>10727.86</v>
          </cell>
          <cell r="BQ18">
            <v>9409.4060060000011</v>
          </cell>
          <cell r="BR18">
            <v>1318.453994</v>
          </cell>
          <cell r="BS18">
            <v>0</v>
          </cell>
          <cell r="BT18">
            <v>0</v>
          </cell>
          <cell r="BU18"/>
          <cell r="BW18">
            <v>10727.86</v>
          </cell>
          <cell r="BX18">
            <v>9409.4060060000011</v>
          </cell>
          <cell r="BY18">
            <v>1318.453994</v>
          </cell>
          <cell r="BZ18">
            <v>0</v>
          </cell>
          <cell r="CA18">
            <v>0</v>
          </cell>
          <cell r="CB18"/>
          <cell r="CD18">
            <v>10727.86</v>
          </cell>
          <cell r="CE18">
            <v>9409.4060060000011</v>
          </cell>
          <cell r="CF18">
            <v>1318.453994</v>
          </cell>
          <cell r="CG18">
            <v>0</v>
          </cell>
          <cell r="CH18">
            <v>0</v>
          </cell>
          <cell r="CI18"/>
          <cell r="CK18">
            <v>10727.86</v>
          </cell>
          <cell r="CL18">
            <v>9409.4060060000011</v>
          </cell>
          <cell r="CM18">
            <v>1318.453994</v>
          </cell>
          <cell r="CN18">
            <v>0</v>
          </cell>
          <cell r="CO18">
            <v>0</v>
          </cell>
          <cell r="CP18"/>
        </row>
        <row r="19">
          <cell r="L19">
            <v>2916.6666666666665</v>
          </cell>
          <cell r="M19">
            <v>2558.208333333333</v>
          </cell>
          <cell r="N19">
            <v>358.45833333333331</v>
          </cell>
          <cell r="O19">
            <v>3770.9107939999999</v>
          </cell>
          <cell r="P19">
            <v>93.519205999999997</v>
          </cell>
          <cell r="Q19">
            <v>3864.43</v>
          </cell>
          <cell r="S19">
            <v>2916.6666666666665</v>
          </cell>
          <cell r="T19">
            <v>2558.208333333333</v>
          </cell>
          <cell r="U19">
            <v>358.45833333333331</v>
          </cell>
          <cell r="V19">
            <v>2013.3388660000001</v>
          </cell>
          <cell r="W19">
            <v>49.931134</v>
          </cell>
          <cell r="X19">
            <v>2063.27</v>
          </cell>
          <cell r="Z19">
            <v>2916.6666666666665</v>
          </cell>
          <cell r="AA19">
            <v>2558.208333333333</v>
          </cell>
          <cell r="AB19">
            <v>358.45833333333331</v>
          </cell>
          <cell r="AC19">
            <v>6992.1241739999996</v>
          </cell>
          <cell r="AD19">
            <v>173.40582599999999</v>
          </cell>
          <cell r="AE19">
            <v>7165.53</v>
          </cell>
          <cell r="AG19">
            <v>2916.6666666666665</v>
          </cell>
          <cell r="AH19">
            <v>2558.208333333333</v>
          </cell>
          <cell r="AI19">
            <v>358.45833333333331</v>
          </cell>
          <cell r="AJ19">
            <v>3583.3327599999998</v>
          </cell>
          <cell r="AK19">
            <v>88.867239999999995</v>
          </cell>
          <cell r="AL19">
            <v>3672.2</v>
          </cell>
          <cell r="AN19">
            <v>2916.6666666666665</v>
          </cell>
          <cell r="AO19">
            <v>2558.208333333333</v>
          </cell>
          <cell r="AP19">
            <v>358.45833333333331</v>
          </cell>
          <cell r="AQ19">
            <v>0</v>
          </cell>
          <cell r="AR19">
            <v>0</v>
          </cell>
          <cell r="AS19"/>
          <cell r="AU19">
            <v>2916.6666666666665</v>
          </cell>
          <cell r="AV19">
            <v>2558.208333333333</v>
          </cell>
          <cell r="AW19">
            <v>358.45833333333331</v>
          </cell>
          <cell r="AX19">
            <v>0</v>
          </cell>
          <cell r="AY19">
            <v>0</v>
          </cell>
          <cell r="AZ19"/>
          <cell r="BB19">
            <v>2916.6666666666665</v>
          </cell>
          <cell r="BC19">
            <v>2558.208333333333</v>
          </cell>
          <cell r="BD19">
            <v>358.45833333333331</v>
          </cell>
          <cell r="BE19">
            <v>0</v>
          </cell>
          <cell r="BF19">
            <v>0</v>
          </cell>
          <cell r="BG19"/>
          <cell r="BI19">
            <v>2916.6666666666665</v>
          </cell>
          <cell r="BJ19">
            <v>2558.208333333333</v>
          </cell>
          <cell r="BK19">
            <v>358.45833333333331</v>
          </cell>
          <cell r="BL19">
            <v>0</v>
          </cell>
          <cell r="BM19">
            <v>0</v>
          </cell>
          <cell r="BN19"/>
          <cell r="BP19">
            <v>2916.6666666666665</v>
          </cell>
          <cell r="BQ19">
            <v>2558.208333333333</v>
          </cell>
          <cell r="BR19">
            <v>358.45833333333331</v>
          </cell>
          <cell r="BS19">
            <v>0</v>
          </cell>
          <cell r="BT19">
            <v>0</v>
          </cell>
          <cell r="BU19"/>
          <cell r="BW19">
            <v>2916.6666666666665</v>
          </cell>
          <cell r="BX19">
            <v>2558.208333333333</v>
          </cell>
          <cell r="BY19">
            <v>358.45833333333331</v>
          </cell>
          <cell r="BZ19">
            <v>0</v>
          </cell>
          <cell r="CA19">
            <v>0</v>
          </cell>
          <cell r="CB19"/>
          <cell r="CD19">
            <v>2916.6666666666665</v>
          </cell>
          <cell r="CE19">
            <v>2558.208333333333</v>
          </cell>
          <cell r="CF19">
            <v>358.45833333333331</v>
          </cell>
          <cell r="CG19">
            <v>0</v>
          </cell>
          <cell r="CH19">
            <v>0</v>
          </cell>
          <cell r="CI19"/>
          <cell r="CK19">
            <v>2916.6666666666665</v>
          </cell>
          <cell r="CL19">
            <v>2558.208333333333</v>
          </cell>
          <cell r="CM19">
            <v>358.45833333333331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275.91720800000002</v>
          </cell>
          <cell r="P20">
            <v>6.8427919999999993</v>
          </cell>
          <cell r="Q20">
            <v>282.76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/>
          <cell r="Z20">
            <v>542194.61516571406</v>
          </cell>
          <cell r="AA20">
            <v>475558.89696184779</v>
          </cell>
          <cell r="AB20">
            <v>66635.718203866258</v>
          </cell>
          <cell r="AC20">
            <v>116446.27332800001</v>
          </cell>
          <cell r="AD20">
            <v>2887.8866720000001</v>
          </cell>
          <cell r="AE20">
            <v>119334.16</v>
          </cell>
          <cell r="AG20">
            <v>0</v>
          </cell>
          <cell r="AH20">
            <v>0</v>
          </cell>
          <cell r="AI20">
            <v>0</v>
          </cell>
          <cell r="AJ20">
            <v>120465.68135</v>
          </cell>
          <cell r="AK20">
            <v>2987.5686499999997</v>
          </cell>
          <cell r="AL20">
            <v>123453.25</v>
          </cell>
          <cell r="AN20">
            <v>12202.96696</v>
          </cell>
          <cell r="AO20">
            <v>10703.222320616</v>
          </cell>
          <cell r="AP20">
            <v>1499.7446393839998</v>
          </cell>
          <cell r="AQ20">
            <v>0</v>
          </cell>
          <cell r="AR20">
            <v>0</v>
          </cell>
          <cell r="AS20"/>
          <cell r="AU20">
            <v>12202.96696</v>
          </cell>
          <cell r="AV20">
            <v>10703.222320616</v>
          </cell>
          <cell r="AW20">
            <v>1499.7446393839998</v>
          </cell>
          <cell r="AX20">
            <v>0</v>
          </cell>
          <cell r="AY20">
            <v>0</v>
          </cell>
          <cell r="AZ20"/>
          <cell r="BB20">
            <v>252046.96695999999</v>
          </cell>
          <cell r="BC20">
            <v>221070.39472061599</v>
          </cell>
          <cell r="BD20">
            <v>30976.572239383997</v>
          </cell>
          <cell r="BE20">
            <v>0</v>
          </cell>
          <cell r="BF20">
            <v>0</v>
          </cell>
          <cell r="BG20"/>
          <cell r="BI20">
            <v>33822.582125714202</v>
          </cell>
          <cell r="BJ20">
            <v>29665.786782463925</v>
          </cell>
          <cell r="BK20">
            <v>4156.7953432502754</v>
          </cell>
          <cell r="BL20">
            <v>0</v>
          </cell>
          <cell r="BM20">
            <v>0</v>
          </cell>
          <cell r="BN20"/>
          <cell r="BP20">
            <v>252046.96695999999</v>
          </cell>
          <cell r="BQ20">
            <v>221070.39472061599</v>
          </cell>
          <cell r="BR20">
            <v>30976.572239383997</v>
          </cell>
          <cell r="BS20">
            <v>0</v>
          </cell>
          <cell r="BT20">
            <v>0</v>
          </cell>
          <cell r="BU20"/>
          <cell r="BW20">
            <v>12202.96696</v>
          </cell>
          <cell r="BX20">
            <v>10703.222320616</v>
          </cell>
          <cell r="BY20">
            <v>1499.7446393839998</v>
          </cell>
          <cell r="BZ20">
            <v>0</v>
          </cell>
          <cell r="CA20">
            <v>0</v>
          </cell>
          <cell r="CB20"/>
          <cell r="CD20">
            <v>12202.96696</v>
          </cell>
          <cell r="CE20">
            <v>10703.222320616</v>
          </cell>
          <cell r="CF20">
            <v>1499.7446393839998</v>
          </cell>
          <cell r="CG20">
            <v>0</v>
          </cell>
          <cell r="CH20">
            <v>0</v>
          </cell>
          <cell r="CI20"/>
          <cell r="CK20">
            <v>12202.96696</v>
          </cell>
          <cell r="CL20">
            <v>10703.222320616</v>
          </cell>
          <cell r="CM20">
            <v>1499.7446393839998</v>
          </cell>
          <cell r="CN20">
            <v>0</v>
          </cell>
          <cell r="CO20">
            <v>0</v>
          </cell>
          <cell r="CP20"/>
        </row>
        <row r="21">
          <cell r="L21">
            <v>53003.49</v>
          </cell>
          <cell r="M21">
            <v>46489.361078999995</v>
          </cell>
          <cell r="N21">
            <v>6514.1289209999995</v>
          </cell>
          <cell r="O21">
            <v>0</v>
          </cell>
          <cell r="P21">
            <v>0</v>
          </cell>
          <cell r="Q21"/>
          <cell r="S21">
            <v>0</v>
          </cell>
          <cell r="T21">
            <v>0</v>
          </cell>
          <cell r="U21">
            <v>0</v>
          </cell>
          <cell r="V21">
            <v>11419.299499999999</v>
          </cell>
          <cell r="W21">
            <v>283.20049999999998</v>
          </cell>
          <cell r="X21">
            <v>11702.5</v>
          </cell>
          <cell r="Z21">
            <v>0</v>
          </cell>
          <cell r="AA21">
            <v>0</v>
          </cell>
          <cell r="AB21">
            <v>0</v>
          </cell>
          <cell r="AC21">
            <v>11196.582908</v>
          </cell>
          <cell r="AD21">
            <v>277.67709200000002</v>
          </cell>
          <cell r="AE21">
            <v>11474.26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23144.311333333339</v>
          </cell>
          <cell r="M22">
            <v>20299.875470466672</v>
          </cell>
          <cell r="N22">
            <v>2844.4358628666673</v>
          </cell>
          <cell r="O22">
            <v>55963.349750000001</v>
          </cell>
          <cell r="P22">
            <v>1387.9002499999999</v>
          </cell>
          <cell r="Q22">
            <v>57351.25</v>
          </cell>
          <cell r="S22">
            <v>23144.311333333339</v>
          </cell>
          <cell r="T22">
            <v>20299.875470466672</v>
          </cell>
          <cell r="U22">
            <v>2844.4358628666673</v>
          </cell>
          <cell r="V22">
            <v>37552.550587999998</v>
          </cell>
          <cell r="W22">
            <v>931.30941199999995</v>
          </cell>
          <cell r="X22">
            <v>38483.86</v>
          </cell>
          <cell r="Z22">
            <v>23144.311333333339</v>
          </cell>
          <cell r="AA22">
            <v>20299.875470466672</v>
          </cell>
          <cell r="AB22">
            <v>2844.4358628666673</v>
          </cell>
          <cell r="AC22">
            <v>11180.404144</v>
          </cell>
          <cell r="AD22">
            <v>277.27585599999998</v>
          </cell>
          <cell r="AE22">
            <v>11457.68</v>
          </cell>
          <cell r="AG22">
            <v>23144.311333333339</v>
          </cell>
          <cell r="AH22">
            <v>20299.875470466672</v>
          </cell>
          <cell r="AI22">
            <v>2844.4358628666673</v>
          </cell>
          <cell r="AJ22">
            <v>7662.9866739999998</v>
          </cell>
          <cell r="AK22">
            <v>190.04332599999998</v>
          </cell>
          <cell r="AL22">
            <v>7853.03</v>
          </cell>
          <cell r="AN22">
            <v>23144.311333333339</v>
          </cell>
          <cell r="AO22">
            <v>20299.875470466672</v>
          </cell>
          <cell r="AP22">
            <v>2844.4358628666673</v>
          </cell>
          <cell r="AQ22">
            <v>0</v>
          </cell>
          <cell r="AR22">
            <v>0</v>
          </cell>
          <cell r="AS22"/>
          <cell r="AU22">
            <v>23144.311333333339</v>
          </cell>
          <cell r="AV22">
            <v>20299.875470466672</v>
          </cell>
          <cell r="AW22">
            <v>2844.4358628666673</v>
          </cell>
          <cell r="AX22">
            <v>0</v>
          </cell>
          <cell r="AY22">
            <v>0</v>
          </cell>
          <cell r="AZ22"/>
          <cell r="BB22">
            <v>23144.311333333339</v>
          </cell>
          <cell r="BC22">
            <v>20299.875470466672</v>
          </cell>
          <cell r="BD22">
            <v>2844.4358628666673</v>
          </cell>
          <cell r="BE22">
            <v>0</v>
          </cell>
          <cell r="BF22">
            <v>0</v>
          </cell>
          <cell r="BG22"/>
          <cell r="BI22">
            <v>23144.311333333339</v>
          </cell>
          <cell r="BJ22">
            <v>20299.875470466672</v>
          </cell>
          <cell r="BK22">
            <v>2844.4358628666673</v>
          </cell>
          <cell r="BL22">
            <v>0</v>
          </cell>
          <cell r="BM22">
            <v>0</v>
          </cell>
          <cell r="BN22"/>
          <cell r="BP22">
            <v>23144.311333333339</v>
          </cell>
          <cell r="BQ22">
            <v>20299.875470466672</v>
          </cell>
          <cell r="BR22">
            <v>2844.4358628666673</v>
          </cell>
          <cell r="BS22">
            <v>0</v>
          </cell>
          <cell r="BT22">
            <v>0</v>
          </cell>
          <cell r="BU22"/>
          <cell r="BW22">
            <v>23144.311333333339</v>
          </cell>
          <cell r="BX22">
            <v>20299.875470466672</v>
          </cell>
          <cell r="BY22">
            <v>2844.4358628666673</v>
          </cell>
          <cell r="BZ22">
            <v>0</v>
          </cell>
          <cell r="CA22">
            <v>0</v>
          </cell>
          <cell r="CB22"/>
          <cell r="CD22">
            <v>23144.311333333339</v>
          </cell>
          <cell r="CE22">
            <v>20299.875470466672</v>
          </cell>
          <cell r="CF22">
            <v>2844.4358628666673</v>
          </cell>
          <cell r="CG22">
            <v>0</v>
          </cell>
          <cell r="CH22">
            <v>0</v>
          </cell>
          <cell r="CI22"/>
          <cell r="CK22">
            <v>23144.311333333339</v>
          </cell>
          <cell r="CL22">
            <v>20299.875470466672</v>
          </cell>
          <cell r="CM22">
            <v>2844.4358628666673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23236.260578670335</v>
          </cell>
          <cell r="M24">
            <v>20380.524153551753</v>
          </cell>
          <cell r="N24">
            <v>2855.7364251185841</v>
          </cell>
          <cell r="O24">
            <v>5010.3329220000005</v>
          </cell>
          <cell r="P24">
            <v>124.25707799999999</v>
          </cell>
          <cell r="Q24">
            <v>5134.59</v>
          </cell>
          <cell r="S24">
            <v>23236.260578670335</v>
          </cell>
          <cell r="T24">
            <v>20380.524153551753</v>
          </cell>
          <cell r="U24">
            <v>2855.7364251185841</v>
          </cell>
          <cell r="V24">
            <v>2642.0955960000001</v>
          </cell>
          <cell r="W24">
            <v>65.52440399999999</v>
          </cell>
          <cell r="X24">
            <v>2707.62</v>
          </cell>
          <cell r="Z24">
            <v>23236.260578670335</v>
          </cell>
          <cell r="AA24">
            <v>20380.524153551753</v>
          </cell>
          <cell r="AB24">
            <v>2855.7364251185841</v>
          </cell>
          <cell r="AC24">
            <v>6289.577448</v>
          </cell>
          <cell r="AD24">
            <v>155.982552</v>
          </cell>
          <cell r="AE24">
            <v>6445.56</v>
          </cell>
          <cell r="AG24">
            <v>23236.260578670335</v>
          </cell>
          <cell r="AH24">
            <v>20380.524153551753</v>
          </cell>
          <cell r="AI24">
            <v>2855.7364251185841</v>
          </cell>
          <cell r="AJ24">
            <v>9400.0277699999988</v>
          </cell>
          <cell r="AK24">
            <v>233.12222999999997</v>
          </cell>
          <cell r="AL24">
            <v>9633.15</v>
          </cell>
          <cell r="AN24">
            <v>23236.260578670335</v>
          </cell>
          <cell r="AO24">
            <v>20380.524153551753</v>
          </cell>
          <cell r="AP24">
            <v>2855.7364251185841</v>
          </cell>
          <cell r="AQ24">
            <v>0</v>
          </cell>
          <cell r="AR24">
            <v>0</v>
          </cell>
          <cell r="AS24"/>
          <cell r="AU24">
            <v>23236.260578670335</v>
          </cell>
          <cell r="AV24">
            <v>20380.524153551753</v>
          </cell>
          <cell r="AW24">
            <v>2855.7364251185841</v>
          </cell>
          <cell r="AX24">
            <v>0</v>
          </cell>
          <cell r="AY24">
            <v>0</v>
          </cell>
          <cell r="AZ24"/>
          <cell r="BB24">
            <v>18983.133383790337</v>
          </cell>
          <cell r="BC24">
            <v>16650.106290922504</v>
          </cell>
          <cell r="BD24">
            <v>2333.0270928678324</v>
          </cell>
          <cell r="BE24">
            <v>0</v>
          </cell>
          <cell r="BF24">
            <v>0</v>
          </cell>
          <cell r="BG24"/>
          <cell r="BI24">
            <v>23236.260578670335</v>
          </cell>
          <cell r="BJ24">
            <v>20380.524153551753</v>
          </cell>
          <cell r="BK24">
            <v>2855.7364251185841</v>
          </cell>
          <cell r="BL24">
            <v>0</v>
          </cell>
          <cell r="BM24">
            <v>0</v>
          </cell>
          <cell r="BN24"/>
          <cell r="BP24">
            <v>23236.260578670335</v>
          </cell>
          <cell r="BQ24">
            <v>20380.524153551753</v>
          </cell>
          <cell r="BR24">
            <v>2855.7364251185841</v>
          </cell>
          <cell r="BS24">
            <v>0</v>
          </cell>
          <cell r="BT24">
            <v>0</v>
          </cell>
          <cell r="BU24"/>
          <cell r="BW24">
            <v>23236.260578670335</v>
          </cell>
          <cell r="BX24">
            <v>20380.524153551753</v>
          </cell>
          <cell r="BY24">
            <v>2855.7364251185841</v>
          </cell>
          <cell r="BZ24">
            <v>0</v>
          </cell>
          <cell r="CA24">
            <v>0</v>
          </cell>
          <cell r="CB24"/>
          <cell r="CD24">
            <v>23236.260578670335</v>
          </cell>
          <cell r="CE24">
            <v>20380.524153551753</v>
          </cell>
          <cell r="CF24">
            <v>2855.7364251185841</v>
          </cell>
          <cell r="CG24">
            <v>0</v>
          </cell>
          <cell r="CH24">
            <v>0</v>
          </cell>
          <cell r="CI24"/>
          <cell r="CK24">
            <v>23236.260578670335</v>
          </cell>
          <cell r="CL24">
            <v>20380.524153551753</v>
          </cell>
          <cell r="CM24">
            <v>2855.7364251185841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11399.295599999999</v>
          </cell>
          <cell r="P25">
            <v>282.70439999999996</v>
          </cell>
          <cell r="Q25">
            <v>11682</v>
          </cell>
          <cell r="S25">
            <v>0</v>
          </cell>
          <cell r="T25">
            <v>0</v>
          </cell>
          <cell r="U25">
            <v>0</v>
          </cell>
          <cell r="V25">
            <v>15644.962367999999</v>
          </cell>
          <cell r="W25">
            <v>387.99763199999995</v>
          </cell>
          <cell r="X25">
            <v>16032.96</v>
          </cell>
          <cell r="Z25">
            <v>79862.475630000001</v>
          </cell>
          <cell r="AA25">
            <v>70047.377375073003</v>
          </cell>
          <cell r="AB25">
            <v>9815.0982549269993</v>
          </cell>
          <cell r="AC25">
            <v>45650.753819999998</v>
          </cell>
          <cell r="AD25">
            <v>1132.14618</v>
          </cell>
          <cell r="AE25">
            <v>46782.9</v>
          </cell>
          <cell r="AG25">
            <v>105060.242166</v>
          </cell>
          <cell r="AH25">
            <v>92148.338403798596</v>
          </cell>
          <cell r="AI25">
            <v>12911.903762201398</v>
          </cell>
          <cell r="AJ25">
            <v>195475.39807600001</v>
          </cell>
          <cell r="AK25">
            <v>4847.8219239999999</v>
          </cell>
          <cell r="AL25">
            <v>200323.22</v>
          </cell>
          <cell r="AN25">
            <v>105060.242166</v>
          </cell>
          <cell r="AO25">
            <v>92148.338403798596</v>
          </cell>
          <cell r="AP25">
            <v>12911.903762201398</v>
          </cell>
          <cell r="AQ25">
            <v>0</v>
          </cell>
          <cell r="AR25">
            <v>0</v>
          </cell>
          <cell r="AS25"/>
          <cell r="AU25">
            <v>109551.353418</v>
          </cell>
          <cell r="AV25">
            <v>96087.492082927798</v>
          </cell>
          <cell r="AW25">
            <v>13463.861335072199</v>
          </cell>
          <cell r="AX25">
            <v>0</v>
          </cell>
          <cell r="AY25">
            <v>0</v>
          </cell>
          <cell r="AZ25"/>
          <cell r="BB25">
            <v>35453.496017999998</v>
          </cell>
          <cell r="BC25">
            <v>31096.261357387797</v>
          </cell>
          <cell r="BD25">
            <v>4357.2346606121991</v>
          </cell>
          <cell r="BE25">
            <v>0</v>
          </cell>
          <cell r="BF25">
            <v>0</v>
          </cell>
          <cell r="BG25"/>
          <cell r="BI25">
            <v>35453.496017999998</v>
          </cell>
          <cell r="BJ25">
            <v>31096.261357387797</v>
          </cell>
          <cell r="BK25">
            <v>4357.2346606121991</v>
          </cell>
          <cell r="BL25">
            <v>0</v>
          </cell>
          <cell r="BM25">
            <v>0</v>
          </cell>
          <cell r="BN25"/>
          <cell r="BP25">
            <v>35453.496017999998</v>
          </cell>
          <cell r="BQ25">
            <v>31096.261357387797</v>
          </cell>
          <cell r="BR25">
            <v>4357.2346606121991</v>
          </cell>
          <cell r="BS25">
            <v>0</v>
          </cell>
          <cell r="BT25">
            <v>0</v>
          </cell>
          <cell r="BU25"/>
          <cell r="BW25">
            <v>25637.122823999998</v>
          </cell>
          <cell r="BX25">
            <v>22486.320428930398</v>
          </cell>
          <cell r="BY25">
            <v>3150.8023950695997</v>
          </cell>
          <cell r="BZ25">
            <v>0</v>
          </cell>
          <cell r="CA25">
            <v>0</v>
          </cell>
          <cell r="CB25"/>
          <cell r="CD25">
            <v>13933.626791999999</v>
          </cell>
          <cell r="CE25">
            <v>12221.1840592632</v>
          </cell>
          <cell r="CF25">
            <v>1712.4427327367998</v>
          </cell>
          <cell r="CG25">
            <v>0</v>
          </cell>
          <cell r="CH25">
            <v>0</v>
          </cell>
          <cell r="CI25"/>
          <cell r="CK25">
            <v>13933.626791999999</v>
          </cell>
          <cell r="CL25">
            <v>12221.1840592632</v>
          </cell>
          <cell r="CM25">
            <v>1712.4427327367998</v>
          </cell>
          <cell r="CN25">
            <v>0</v>
          </cell>
          <cell r="CO25">
            <v>0</v>
          </cell>
          <cell r="CP25"/>
        </row>
        <row r="26">
          <cell r="L26">
            <v>92394.492887725864</v>
          </cell>
          <cell r="M26">
            <v>81039.209711824355</v>
          </cell>
          <cell r="N26">
            <v>11355.283175901508</v>
          </cell>
          <cell r="O26">
            <v>169017.71300400002</v>
          </cell>
          <cell r="P26">
            <v>4191.6669959999999</v>
          </cell>
          <cell r="Q26">
            <v>173209.38</v>
          </cell>
          <cell r="S26">
            <v>191221.79595972586</v>
          </cell>
          <cell r="T26">
            <v>167720.63723627556</v>
          </cell>
          <cell r="U26">
            <v>23501.158723450306</v>
          </cell>
          <cell r="V26">
            <v>255054.74061200002</v>
          </cell>
          <cell r="W26">
            <v>6325.3993879999998</v>
          </cell>
          <cell r="X26">
            <v>261380.14</v>
          </cell>
          <cell r="Z26">
            <v>296387.29132462188</v>
          </cell>
          <cell r="AA26">
            <v>259961.29322082584</v>
          </cell>
          <cell r="AB26">
            <v>36425.998103796024</v>
          </cell>
          <cell r="AC26">
            <v>291640.24412599998</v>
          </cell>
          <cell r="AD26">
            <v>7232.7258739999988</v>
          </cell>
          <cell r="AE26">
            <v>298872.96999999997</v>
          </cell>
          <cell r="AG26">
            <v>296387.29132462188</v>
          </cell>
          <cell r="AH26">
            <v>259961.29322082584</v>
          </cell>
          <cell r="AI26">
            <v>36425.998103796024</v>
          </cell>
          <cell r="AJ26">
            <v>394776.215134</v>
          </cell>
          <cell r="AK26">
            <v>9790.5148659999995</v>
          </cell>
          <cell r="AL26">
            <v>404566.73</v>
          </cell>
          <cell r="AN26">
            <v>332585.59287972585</v>
          </cell>
          <cell r="AO26">
            <v>291710.82351480756</v>
          </cell>
          <cell r="AP26">
            <v>40874.769364918306</v>
          </cell>
          <cell r="AQ26">
            <v>0</v>
          </cell>
          <cell r="AR26">
            <v>0</v>
          </cell>
          <cell r="AS26"/>
          <cell r="AU26">
            <v>256525.24768862186</v>
          </cell>
          <cell r="AV26">
            <v>224998.29474769023</v>
          </cell>
          <cell r="AW26">
            <v>31526.952940931627</v>
          </cell>
          <cell r="AX26">
            <v>0</v>
          </cell>
          <cell r="AY26">
            <v>0</v>
          </cell>
          <cell r="AZ26"/>
          <cell r="BB26">
            <v>220326.94613351789</v>
          </cell>
          <cell r="BC26">
            <v>193248.76445370854</v>
          </cell>
          <cell r="BD26">
            <v>27078.18167980935</v>
          </cell>
          <cell r="BE26">
            <v>0</v>
          </cell>
          <cell r="BF26">
            <v>0</v>
          </cell>
          <cell r="BG26"/>
          <cell r="BI26">
            <v>296387.29132462188</v>
          </cell>
          <cell r="BJ26">
            <v>259961.29322082584</v>
          </cell>
          <cell r="BK26">
            <v>36425.998103796024</v>
          </cell>
          <cell r="BL26">
            <v>0</v>
          </cell>
          <cell r="BM26">
            <v>0</v>
          </cell>
          <cell r="BN26"/>
          <cell r="BP26">
            <v>372550.08069432259</v>
          </cell>
          <cell r="BQ26">
            <v>326763.67577699036</v>
          </cell>
          <cell r="BR26">
            <v>45786.404917332242</v>
          </cell>
          <cell r="BS26">
            <v>0</v>
          </cell>
          <cell r="BT26">
            <v>0</v>
          </cell>
          <cell r="BU26"/>
          <cell r="BW26">
            <v>257089.37914942662</v>
          </cell>
          <cell r="BX26">
            <v>225493.0944519621</v>
          </cell>
          <cell r="BY26">
            <v>31596.284697464529</v>
          </cell>
          <cell r="BZ26">
            <v>0</v>
          </cell>
          <cell r="CA26">
            <v>0</v>
          </cell>
          <cell r="CB26"/>
          <cell r="CD26">
            <v>350773.37893432262</v>
          </cell>
          <cell r="CE26">
            <v>307663.33066329436</v>
          </cell>
          <cell r="CF26">
            <v>43110.048271028252</v>
          </cell>
          <cell r="CG26">
            <v>0</v>
          </cell>
          <cell r="CH26">
            <v>0</v>
          </cell>
          <cell r="CI26"/>
          <cell r="CK26">
            <v>245607.88356942663</v>
          </cell>
          <cell r="CL26">
            <v>215422.67467874411</v>
          </cell>
          <cell r="CM26">
            <v>30185.20889068253</v>
          </cell>
          <cell r="CN26">
            <v>0</v>
          </cell>
          <cell r="CO26">
            <v>0</v>
          </cell>
          <cell r="CP26"/>
        </row>
        <row r="27">
          <cell r="L27">
            <v>5380.1206039999997</v>
          </cell>
          <cell r="M27">
            <v>4718.9037817684002</v>
          </cell>
          <cell r="N27">
            <v>661.21682223159996</v>
          </cell>
          <cell r="O27">
            <v>20396.005714000003</v>
          </cell>
          <cell r="P27">
            <v>505.82428600000003</v>
          </cell>
          <cell r="Q27">
            <v>20901.830000000002</v>
          </cell>
          <cell r="S27">
            <v>19422.604132</v>
          </cell>
          <cell r="T27">
            <v>17035.566084177201</v>
          </cell>
          <cell r="U27">
            <v>2387.0380478227999</v>
          </cell>
          <cell r="V27">
            <v>18799.021192</v>
          </cell>
          <cell r="W27">
            <v>466.21880800000002</v>
          </cell>
          <cell r="X27">
            <v>19265.240000000002</v>
          </cell>
          <cell r="Z27">
            <v>19422.604132</v>
          </cell>
          <cell r="AA27">
            <v>17035.566084177201</v>
          </cell>
          <cell r="AB27">
            <v>2387.0380478227999</v>
          </cell>
          <cell r="AC27">
            <v>23278.899476000002</v>
          </cell>
          <cell r="AD27">
            <v>577.32052399999998</v>
          </cell>
          <cell r="AE27">
            <v>23856.22</v>
          </cell>
          <cell r="AG27">
            <v>16482.193329999998</v>
          </cell>
          <cell r="AH27">
            <v>14456.531769742998</v>
          </cell>
          <cell r="AI27">
            <v>2025.6615602569998</v>
          </cell>
          <cell r="AJ27">
            <v>15571.308983999999</v>
          </cell>
          <cell r="AK27">
            <v>386.17101599999995</v>
          </cell>
          <cell r="AL27">
            <v>15957.48</v>
          </cell>
          <cell r="AN27">
            <v>6456.3921300000002</v>
          </cell>
          <cell r="AO27">
            <v>5662.9015372230006</v>
          </cell>
          <cell r="AP27">
            <v>793.49059277699996</v>
          </cell>
          <cell r="AQ27">
            <v>0</v>
          </cell>
          <cell r="AR27">
            <v>0</v>
          </cell>
          <cell r="AS27"/>
          <cell r="AU27">
            <v>21862.313934000002</v>
          </cell>
          <cell r="AV27">
            <v>19175.4355515114</v>
          </cell>
          <cell r="AW27">
            <v>2686.8783824886</v>
          </cell>
          <cell r="AX27">
            <v>0</v>
          </cell>
          <cell r="AY27">
            <v>0</v>
          </cell>
          <cell r="AZ27"/>
          <cell r="BB27">
            <v>11836.512734</v>
          </cell>
          <cell r="BC27">
            <v>10381.805318991399</v>
          </cell>
          <cell r="BD27">
            <v>1454.7074150086</v>
          </cell>
          <cell r="BE27">
            <v>0</v>
          </cell>
          <cell r="BF27">
            <v>0</v>
          </cell>
          <cell r="BG27"/>
          <cell r="BI27">
            <v>21862.313934000002</v>
          </cell>
          <cell r="BJ27">
            <v>19175.4355515114</v>
          </cell>
          <cell r="BK27">
            <v>2686.8783824886</v>
          </cell>
          <cell r="BL27">
            <v>0</v>
          </cell>
          <cell r="BM27">
            <v>0</v>
          </cell>
          <cell r="BN27"/>
          <cell r="BP27">
            <v>21862.313934000002</v>
          </cell>
          <cell r="BQ27">
            <v>19175.4355515114</v>
          </cell>
          <cell r="BR27">
            <v>2686.8783824886</v>
          </cell>
          <cell r="BS27">
            <v>0</v>
          </cell>
          <cell r="BT27">
            <v>0</v>
          </cell>
          <cell r="BU27"/>
          <cell r="BW27">
            <v>17345.701624000001</v>
          </cell>
          <cell r="BX27">
            <v>15213.914894410402</v>
          </cell>
          <cell r="BY27">
            <v>2131.7867295895999</v>
          </cell>
          <cell r="BZ27">
            <v>0</v>
          </cell>
          <cell r="CA27">
            <v>0</v>
          </cell>
          <cell r="CB27"/>
          <cell r="CD27">
            <v>11965.58102</v>
          </cell>
          <cell r="CE27">
            <v>10495.011112642</v>
          </cell>
          <cell r="CF27">
            <v>1470.5699073579999</v>
          </cell>
          <cell r="CG27">
            <v>0</v>
          </cell>
          <cell r="CH27">
            <v>0</v>
          </cell>
          <cell r="CI27"/>
          <cell r="CK27">
            <v>11965.58102</v>
          </cell>
          <cell r="CL27">
            <v>10495.011112642</v>
          </cell>
          <cell r="CM27">
            <v>1470.5699073579999</v>
          </cell>
          <cell r="CN27">
            <v>0</v>
          </cell>
          <cell r="CO27">
            <v>0</v>
          </cell>
          <cell r="CP27"/>
        </row>
        <row r="28">
          <cell r="L28">
            <v>13601.98446</v>
          </cell>
          <cell r="M28">
            <v>11930.300569866</v>
          </cell>
          <cell r="N28">
            <v>1671.683890134</v>
          </cell>
          <cell r="O28">
            <v>11290.591480000001</v>
          </cell>
          <cell r="P28">
            <v>280.00851999999998</v>
          </cell>
          <cell r="Q28">
            <v>11570.6</v>
          </cell>
          <cell r="S28">
            <v>13601.98446</v>
          </cell>
          <cell r="T28">
            <v>11930.300569866</v>
          </cell>
          <cell r="U28">
            <v>1671.683890134</v>
          </cell>
          <cell r="V28">
            <v>15348.465538</v>
          </cell>
          <cell r="W28">
            <v>380.64446199999998</v>
          </cell>
          <cell r="X28">
            <v>15729.11</v>
          </cell>
          <cell r="Z28">
            <v>18135.97928</v>
          </cell>
          <cell r="AA28">
            <v>15907.067426488</v>
          </cell>
          <cell r="AB28">
            <v>2228.9118535119997</v>
          </cell>
          <cell r="AC28">
            <v>11790.357207999999</v>
          </cell>
          <cell r="AD28">
            <v>292.40279199999998</v>
          </cell>
          <cell r="AE28">
            <v>12082.76</v>
          </cell>
          <cell r="AG28">
            <v>18549.204870000001</v>
          </cell>
          <cell r="AH28">
            <v>16269.507591477002</v>
          </cell>
          <cell r="AI28">
            <v>2279.697278523</v>
          </cell>
          <cell r="AJ28">
            <v>20005.578376000001</v>
          </cell>
          <cell r="AK28">
            <v>496.14162400000004</v>
          </cell>
          <cell r="AL28">
            <v>20501.72</v>
          </cell>
          <cell r="AN28">
            <v>15868.98187</v>
          </cell>
          <cell r="AO28">
            <v>13918.683998176999</v>
          </cell>
          <cell r="AP28">
            <v>1950.2978718229999</v>
          </cell>
          <cell r="AQ28">
            <v>0</v>
          </cell>
          <cell r="AR28">
            <v>0</v>
          </cell>
          <cell r="AS28"/>
          <cell r="AU28">
            <v>14015.21005</v>
          </cell>
          <cell r="AV28">
            <v>12292.740734855</v>
          </cell>
          <cell r="AW28">
            <v>1722.4693151449999</v>
          </cell>
          <cell r="AX28">
            <v>0</v>
          </cell>
          <cell r="AY28">
            <v>0</v>
          </cell>
          <cell r="AZ28"/>
          <cell r="BB28">
            <v>11334.98705</v>
          </cell>
          <cell r="BC28">
            <v>9941.917141554999</v>
          </cell>
          <cell r="BD28">
            <v>1393.069908445</v>
          </cell>
          <cell r="BE28">
            <v>0</v>
          </cell>
          <cell r="BF28">
            <v>0</v>
          </cell>
          <cell r="BG28"/>
          <cell r="BI28">
            <v>18549.204870000001</v>
          </cell>
          <cell r="BJ28">
            <v>16269.507591477002</v>
          </cell>
          <cell r="BK28">
            <v>2279.697278523</v>
          </cell>
          <cell r="BL28">
            <v>0</v>
          </cell>
          <cell r="BM28">
            <v>0</v>
          </cell>
          <cell r="BN28"/>
          <cell r="BP28">
            <v>18549.204870000001</v>
          </cell>
          <cell r="BQ28">
            <v>16269.507591477002</v>
          </cell>
          <cell r="BR28">
            <v>2279.697278523</v>
          </cell>
          <cell r="BS28">
            <v>0</v>
          </cell>
          <cell r="BT28">
            <v>0</v>
          </cell>
          <cell r="BU28"/>
          <cell r="BW28">
            <v>17193.519</v>
          </cell>
          <cell r="BX28">
            <v>15080.4355149</v>
          </cell>
          <cell r="BY28">
            <v>2113.0834851</v>
          </cell>
          <cell r="BZ28">
            <v>0</v>
          </cell>
          <cell r="CA28">
            <v>0</v>
          </cell>
          <cell r="CB28"/>
          <cell r="CD28">
            <v>12659.52418</v>
          </cell>
          <cell r="CE28">
            <v>11103.668658278</v>
          </cell>
          <cell r="CF28">
            <v>1555.855521722</v>
          </cell>
          <cell r="CG28">
            <v>0</v>
          </cell>
          <cell r="CH28">
            <v>0</v>
          </cell>
          <cell r="CI28"/>
          <cell r="CK28">
            <v>12659.52418</v>
          </cell>
          <cell r="CL28">
            <v>11103.668658278</v>
          </cell>
          <cell r="CM28">
            <v>1555.855521722</v>
          </cell>
          <cell r="CN28">
            <v>0</v>
          </cell>
          <cell r="CO28">
            <v>0</v>
          </cell>
          <cell r="CP28"/>
        </row>
        <row r="29">
          <cell r="L29">
            <v>21116.833333333332</v>
          </cell>
          <cell r="M29">
            <v>18521.574516666667</v>
          </cell>
          <cell r="N29">
            <v>2595.2588166666665</v>
          </cell>
          <cell r="O29">
            <v>0</v>
          </cell>
          <cell r="P29">
            <v>0</v>
          </cell>
          <cell r="Q29"/>
          <cell r="S29">
            <v>37987.896333333236</v>
          </cell>
          <cell r="T29">
            <v>33319.183873966584</v>
          </cell>
          <cell r="U29">
            <v>4668.7124593666549</v>
          </cell>
          <cell r="V29">
            <v>0</v>
          </cell>
          <cell r="W29">
            <v>0</v>
          </cell>
          <cell r="X29"/>
          <cell r="Z29">
            <v>21116.833333333332</v>
          </cell>
          <cell r="AA29">
            <v>18521.574516666667</v>
          </cell>
          <cell r="AB29">
            <v>2595.2588166666665</v>
          </cell>
          <cell r="AC29">
            <v>0</v>
          </cell>
          <cell r="AD29">
            <v>0</v>
          </cell>
          <cell r="AE29"/>
          <cell r="AG29">
            <v>37987.896333333236</v>
          </cell>
          <cell r="AH29">
            <v>33319.183873966584</v>
          </cell>
          <cell r="AI29">
            <v>4668.7124593666549</v>
          </cell>
          <cell r="AJ29">
            <v>0</v>
          </cell>
          <cell r="AK29">
            <v>0</v>
          </cell>
          <cell r="AL29"/>
          <cell r="AN29">
            <v>21116.833333333332</v>
          </cell>
          <cell r="AO29">
            <v>18521.574516666667</v>
          </cell>
          <cell r="AP29">
            <v>2595.2588166666665</v>
          </cell>
          <cell r="AQ29">
            <v>0</v>
          </cell>
          <cell r="AR29">
            <v>0</v>
          </cell>
          <cell r="AS29"/>
          <cell r="AU29">
            <v>37987.896333333236</v>
          </cell>
          <cell r="AV29">
            <v>33319.183873966584</v>
          </cell>
          <cell r="AW29">
            <v>4668.7124593666549</v>
          </cell>
          <cell r="AX29">
            <v>0</v>
          </cell>
          <cell r="AY29">
            <v>0</v>
          </cell>
          <cell r="AZ29"/>
          <cell r="BB29">
            <v>21116.833333333332</v>
          </cell>
          <cell r="BC29">
            <v>18521.574516666667</v>
          </cell>
          <cell r="BD29">
            <v>2595.2588166666665</v>
          </cell>
          <cell r="BE29">
            <v>0</v>
          </cell>
          <cell r="BF29">
            <v>0</v>
          </cell>
          <cell r="BG29"/>
          <cell r="BI29">
            <v>37987.896333333236</v>
          </cell>
          <cell r="BJ29">
            <v>33319.183873966584</v>
          </cell>
          <cell r="BK29">
            <v>4668.7124593666549</v>
          </cell>
          <cell r="BL29">
            <v>0</v>
          </cell>
          <cell r="BM29">
            <v>0</v>
          </cell>
          <cell r="BN29"/>
          <cell r="BP29">
            <v>21116.833333333332</v>
          </cell>
          <cell r="BQ29">
            <v>18521.574516666667</v>
          </cell>
          <cell r="BR29">
            <v>2595.2588166666665</v>
          </cell>
          <cell r="BS29">
            <v>0</v>
          </cell>
          <cell r="BT29">
            <v>0</v>
          </cell>
          <cell r="BU29"/>
          <cell r="BW29">
            <v>37987.896333333236</v>
          </cell>
          <cell r="BX29">
            <v>33319.183873966584</v>
          </cell>
          <cell r="BY29">
            <v>4668.7124593666549</v>
          </cell>
          <cell r="BZ29">
            <v>0</v>
          </cell>
          <cell r="CA29">
            <v>0</v>
          </cell>
          <cell r="CB29"/>
          <cell r="CD29">
            <v>21116.833333333332</v>
          </cell>
          <cell r="CE29">
            <v>18521.574516666667</v>
          </cell>
          <cell r="CF29">
            <v>2595.2588166666665</v>
          </cell>
          <cell r="CG29">
            <v>0</v>
          </cell>
          <cell r="CH29">
            <v>0</v>
          </cell>
          <cell r="CI29"/>
          <cell r="CK29">
            <v>37987.896333333236</v>
          </cell>
          <cell r="CL29">
            <v>33319.183873966584</v>
          </cell>
          <cell r="CM29">
            <v>4668.7124593666549</v>
          </cell>
          <cell r="CN29">
            <v>0</v>
          </cell>
          <cell r="CO29">
            <v>0</v>
          </cell>
          <cell r="CP29"/>
        </row>
        <row r="30">
          <cell r="L30">
            <v>8333.3333333333339</v>
          </cell>
          <cell r="M30">
            <v>7309.166666666667</v>
          </cell>
          <cell r="N30">
            <v>1024.1666666666667</v>
          </cell>
          <cell r="O30">
            <v>0</v>
          </cell>
          <cell r="P30">
            <v>0</v>
          </cell>
          <cell r="Q30"/>
          <cell r="S30">
            <v>8333.3333333333339</v>
          </cell>
          <cell r="T30">
            <v>7309.166666666667</v>
          </cell>
          <cell r="U30">
            <v>1024.1666666666667</v>
          </cell>
          <cell r="V30">
            <v>999.2192</v>
          </cell>
          <cell r="W30">
            <v>24.780799999999999</v>
          </cell>
          <cell r="X30">
            <v>1024</v>
          </cell>
          <cell r="Z30">
            <v>8333.3333333333339</v>
          </cell>
          <cell r="AA30">
            <v>7309.166666666667</v>
          </cell>
          <cell r="AB30">
            <v>1024.1666666666667</v>
          </cell>
          <cell r="AC30">
            <v>0</v>
          </cell>
          <cell r="AD30">
            <v>0</v>
          </cell>
          <cell r="AE30"/>
          <cell r="AG30">
            <v>8333.3333333333339</v>
          </cell>
          <cell r="AH30">
            <v>7309.166666666667</v>
          </cell>
          <cell r="AI30">
            <v>1024.1666666666667</v>
          </cell>
          <cell r="AJ30">
            <v>0</v>
          </cell>
          <cell r="AK30">
            <v>0</v>
          </cell>
          <cell r="AL30"/>
          <cell r="AN30">
            <v>8333.3333333333339</v>
          </cell>
          <cell r="AO30">
            <v>7309.166666666667</v>
          </cell>
          <cell r="AP30">
            <v>1024.1666666666667</v>
          </cell>
          <cell r="AQ30">
            <v>0</v>
          </cell>
          <cell r="AR30">
            <v>0</v>
          </cell>
          <cell r="AS30"/>
          <cell r="AU30">
            <v>8333.3333333333339</v>
          </cell>
          <cell r="AV30">
            <v>7309.166666666667</v>
          </cell>
          <cell r="AW30">
            <v>1024.1666666666667</v>
          </cell>
          <cell r="AX30">
            <v>0</v>
          </cell>
          <cell r="AY30">
            <v>0</v>
          </cell>
          <cell r="AZ30"/>
          <cell r="BB30">
            <v>8333.3333333333339</v>
          </cell>
          <cell r="BC30">
            <v>7309.166666666667</v>
          </cell>
          <cell r="BD30">
            <v>1024.1666666666667</v>
          </cell>
          <cell r="BE30">
            <v>0</v>
          </cell>
          <cell r="BF30">
            <v>0</v>
          </cell>
          <cell r="BG30"/>
          <cell r="BI30">
            <v>8333.3333333333339</v>
          </cell>
          <cell r="BJ30">
            <v>7309.166666666667</v>
          </cell>
          <cell r="BK30">
            <v>1024.1666666666667</v>
          </cell>
          <cell r="BL30">
            <v>0</v>
          </cell>
          <cell r="BM30">
            <v>0</v>
          </cell>
          <cell r="BN30"/>
          <cell r="BP30">
            <v>8333.3333333333339</v>
          </cell>
          <cell r="BQ30">
            <v>7309.166666666667</v>
          </cell>
          <cell r="BR30">
            <v>1024.1666666666667</v>
          </cell>
          <cell r="BS30">
            <v>0</v>
          </cell>
          <cell r="BT30">
            <v>0</v>
          </cell>
          <cell r="BU30"/>
          <cell r="BW30">
            <v>8333.3333333333339</v>
          </cell>
          <cell r="BX30">
            <v>7309.166666666667</v>
          </cell>
          <cell r="BY30">
            <v>1024.1666666666667</v>
          </cell>
          <cell r="BZ30">
            <v>0</v>
          </cell>
          <cell r="CA30">
            <v>0</v>
          </cell>
          <cell r="CB30"/>
          <cell r="CD30">
            <v>8333.3333333333339</v>
          </cell>
          <cell r="CE30">
            <v>7309.166666666667</v>
          </cell>
          <cell r="CF30">
            <v>1024.1666666666667</v>
          </cell>
          <cell r="CG30">
            <v>0</v>
          </cell>
          <cell r="CH30">
            <v>0</v>
          </cell>
          <cell r="CI30"/>
          <cell r="CK30">
            <v>8333.3333333333339</v>
          </cell>
          <cell r="CL30">
            <v>7309.166666666667</v>
          </cell>
          <cell r="CM30">
            <v>1024.1666666666667</v>
          </cell>
          <cell r="CN30">
            <v>0</v>
          </cell>
          <cell r="CO30">
            <v>0</v>
          </cell>
          <cell r="CP30"/>
        </row>
        <row r="31">
          <cell r="L31">
            <v>4583.333333333333</v>
          </cell>
          <cell r="M31">
            <v>4020.0416666666665</v>
          </cell>
          <cell r="N31">
            <v>563.29166666666663</v>
          </cell>
          <cell r="O31">
            <v>0</v>
          </cell>
          <cell r="P31">
            <v>0</v>
          </cell>
          <cell r="Q31"/>
          <cell r="S31">
            <v>4583.333333333333</v>
          </cell>
          <cell r="T31">
            <v>4020.0416666666665</v>
          </cell>
          <cell r="U31">
            <v>563.29166666666663</v>
          </cell>
          <cell r="V31">
            <v>65573.759999999995</v>
          </cell>
          <cell r="W31">
            <v>1626.24</v>
          </cell>
          <cell r="X31">
            <v>67200</v>
          </cell>
          <cell r="Z31">
            <v>4583.333333333333</v>
          </cell>
          <cell r="AA31">
            <v>4020.0416666666665</v>
          </cell>
          <cell r="AB31">
            <v>563.29166666666663</v>
          </cell>
          <cell r="AC31">
            <v>0</v>
          </cell>
          <cell r="AD31">
            <v>0</v>
          </cell>
          <cell r="AE31"/>
          <cell r="AG31">
            <v>4583.333333333333</v>
          </cell>
          <cell r="AH31">
            <v>4020.0416666666665</v>
          </cell>
          <cell r="AI31">
            <v>563.29166666666663</v>
          </cell>
          <cell r="AJ31">
            <v>0</v>
          </cell>
          <cell r="AK31">
            <v>0</v>
          </cell>
          <cell r="AL31"/>
          <cell r="AN31">
            <v>4583.333333333333</v>
          </cell>
          <cell r="AO31">
            <v>4020.0416666666665</v>
          </cell>
          <cell r="AP31">
            <v>563.29166666666663</v>
          </cell>
          <cell r="AQ31">
            <v>0</v>
          </cell>
          <cell r="AR31">
            <v>0</v>
          </cell>
          <cell r="AS31"/>
          <cell r="AU31">
            <v>4583.333333333333</v>
          </cell>
          <cell r="AV31">
            <v>4020.0416666666665</v>
          </cell>
          <cell r="AW31">
            <v>563.29166666666663</v>
          </cell>
          <cell r="AX31">
            <v>0</v>
          </cell>
          <cell r="AY31">
            <v>0</v>
          </cell>
          <cell r="AZ31"/>
          <cell r="BB31">
            <v>4583.333333333333</v>
          </cell>
          <cell r="BC31">
            <v>4020.0416666666665</v>
          </cell>
          <cell r="BD31">
            <v>563.29166666666663</v>
          </cell>
          <cell r="BE31">
            <v>0</v>
          </cell>
          <cell r="BF31">
            <v>0</v>
          </cell>
          <cell r="BG31"/>
          <cell r="BI31">
            <v>4583.333333333333</v>
          </cell>
          <cell r="BJ31">
            <v>4020.0416666666665</v>
          </cell>
          <cell r="BK31">
            <v>563.29166666666663</v>
          </cell>
          <cell r="BL31">
            <v>0</v>
          </cell>
          <cell r="BM31">
            <v>0</v>
          </cell>
          <cell r="BN31"/>
          <cell r="BP31">
            <v>4583.333333333333</v>
          </cell>
          <cell r="BQ31">
            <v>4020.0416666666665</v>
          </cell>
          <cell r="BR31">
            <v>563.29166666666663</v>
          </cell>
          <cell r="BS31">
            <v>0</v>
          </cell>
          <cell r="BT31">
            <v>0</v>
          </cell>
          <cell r="BU31"/>
          <cell r="BW31">
            <v>4583.333333333333</v>
          </cell>
          <cell r="BX31">
            <v>4020.0416666666665</v>
          </cell>
          <cell r="BY31">
            <v>563.29166666666663</v>
          </cell>
          <cell r="BZ31">
            <v>0</v>
          </cell>
          <cell r="CA31">
            <v>0</v>
          </cell>
          <cell r="CB31"/>
          <cell r="CD31">
            <v>4583.333333333333</v>
          </cell>
          <cell r="CE31">
            <v>4020.0416666666665</v>
          </cell>
          <cell r="CF31">
            <v>563.29166666666663</v>
          </cell>
          <cell r="CG31">
            <v>0</v>
          </cell>
          <cell r="CH31">
            <v>0</v>
          </cell>
          <cell r="CI31"/>
          <cell r="CK31">
            <v>4583.333333333333</v>
          </cell>
          <cell r="CL31">
            <v>4020.0416666666665</v>
          </cell>
          <cell r="CM31">
            <v>563.29166666666663</v>
          </cell>
          <cell r="CN31">
            <v>0</v>
          </cell>
          <cell r="CO31">
            <v>0</v>
          </cell>
          <cell r="CP31"/>
        </row>
        <row r="32">
          <cell r="L32">
            <v>973329.63199999987</v>
          </cell>
          <cell r="M32">
            <v>853707.42022719991</v>
          </cell>
          <cell r="N32">
            <v>119622.21177279997</v>
          </cell>
          <cell r="O32">
            <v>865952.09603000002</v>
          </cell>
          <cell r="P32">
            <v>21475.753969999998</v>
          </cell>
          <cell r="Q32">
            <v>887427.85</v>
          </cell>
          <cell r="S32">
            <v>852870.304</v>
          </cell>
          <cell r="T32">
            <v>748052.54363840003</v>
          </cell>
          <cell r="U32">
            <v>104817.7603616</v>
          </cell>
          <cell r="V32">
            <v>581443.01782000007</v>
          </cell>
          <cell r="W32">
            <v>14419.882180000001</v>
          </cell>
          <cell r="X32">
            <v>595862.9</v>
          </cell>
          <cell r="Z32">
            <v>822070.304</v>
          </cell>
          <cell r="AA32">
            <v>721037.86363839998</v>
          </cell>
          <cell r="AB32">
            <v>101032.44036159999</v>
          </cell>
          <cell r="AC32">
            <v>792561.00707000005</v>
          </cell>
          <cell r="AD32">
            <v>19655.642930000002</v>
          </cell>
          <cell r="AE32">
            <v>812216.65</v>
          </cell>
          <cell r="AG32">
            <v>774990.304</v>
          </cell>
          <cell r="AH32">
            <v>679743.99563839997</v>
          </cell>
          <cell r="AI32">
            <v>95246.308361599993</v>
          </cell>
          <cell r="AJ32">
            <v>553394.59334599983</v>
          </cell>
          <cell r="AK32">
            <v>13724.276653999998</v>
          </cell>
          <cell r="AL32">
            <v>567118.86999999988</v>
          </cell>
          <cell r="AN32">
            <v>821190.304</v>
          </cell>
          <cell r="AO32">
            <v>720266.01563839999</v>
          </cell>
          <cell r="AP32">
            <v>100924.2883616</v>
          </cell>
          <cell r="AQ32">
            <v>0</v>
          </cell>
          <cell r="AR32">
            <v>0</v>
          </cell>
          <cell r="AS32"/>
          <cell r="AU32">
            <v>842360.64</v>
          </cell>
          <cell r="AV32">
            <v>738834.51734400005</v>
          </cell>
          <cell r="AW32">
            <v>103526.12265599999</v>
          </cell>
          <cell r="AX32">
            <v>0</v>
          </cell>
          <cell r="AY32">
            <v>0</v>
          </cell>
          <cell r="AZ32"/>
          <cell r="BB32">
            <v>928701.31199999992</v>
          </cell>
          <cell r="BC32">
            <v>814563.92075519997</v>
          </cell>
          <cell r="BD32">
            <v>114137.39124479999</v>
          </cell>
          <cell r="BE32">
            <v>0</v>
          </cell>
          <cell r="BF32">
            <v>0</v>
          </cell>
          <cell r="BG32"/>
          <cell r="BI32">
            <v>114400</v>
          </cell>
          <cell r="BJ32">
            <v>100340.24</v>
          </cell>
          <cell r="BK32">
            <v>14059.76</v>
          </cell>
          <cell r="BL32">
            <v>0</v>
          </cell>
          <cell r="BM32">
            <v>0</v>
          </cell>
          <cell r="BN32"/>
          <cell r="BP32">
            <v>6160</v>
          </cell>
          <cell r="BQ32">
            <v>5402.9359999999997</v>
          </cell>
          <cell r="BR32">
            <v>757.06399999999996</v>
          </cell>
          <cell r="BS32">
            <v>0</v>
          </cell>
          <cell r="BT32">
            <v>0</v>
          </cell>
          <cell r="BU32"/>
          <cell r="BW32">
            <v>6160</v>
          </cell>
          <cell r="BX32">
            <v>5402.9359999999997</v>
          </cell>
          <cell r="BY32">
            <v>757.06399999999996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530612.24489795917</v>
          </cell>
          <cell r="M33">
            <v>465400</v>
          </cell>
          <cell r="N33">
            <v>65212.244897959179</v>
          </cell>
          <cell r="O33">
            <v>379195.73363000003</v>
          </cell>
          <cell r="P33">
            <v>9404.1163699999997</v>
          </cell>
          <cell r="Q33">
            <v>388599.85000000003</v>
          </cell>
          <cell r="S33">
            <v>448979.59183673467</v>
          </cell>
          <cell r="T33">
            <v>393800</v>
          </cell>
          <cell r="U33">
            <v>55179.591836734689</v>
          </cell>
          <cell r="V33">
            <v>459164.83676000003</v>
          </cell>
          <cell r="W33">
            <v>11387.363240000001</v>
          </cell>
          <cell r="X33">
            <v>470552.2</v>
          </cell>
          <cell r="Z33">
            <v>448979.59183673467</v>
          </cell>
          <cell r="AA33">
            <v>393800</v>
          </cell>
          <cell r="AB33">
            <v>55179.591836734689</v>
          </cell>
          <cell r="AC33">
            <v>443886.01406800002</v>
          </cell>
          <cell r="AD33">
            <v>11008.445932000001</v>
          </cell>
          <cell r="AE33">
            <v>454894.46</v>
          </cell>
          <cell r="AG33">
            <v>448979.59183673467</v>
          </cell>
          <cell r="AH33">
            <v>393800</v>
          </cell>
          <cell r="AI33">
            <v>55179.591836734689</v>
          </cell>
          <cell r="AJ33">
            <v>387651.34312799998</v>
          </cell>
          <cell r="AK33">
            <v>9613.8168719999994</v>
          </cell>
          <cell r="AL33">
            <v>397265.16</v>
          </cell>
          <cell r="AN33">
            <v>448979.59183673467</v>
          </cell>
          <cell r="AO33">
            <v>393800</v>
          </cell>
          <cell r="AP33">
            <v>55179.591836734689</v>
          </cell>
          <cell r="AQ33">
            <v>0</v>
          </cell>
          <cell r="AR33">
            <v>0</v>
          </cell>
          <cell r="AS33"/>
          <cell r="AU33">
            <v>408163.26530612248</v>
          </cell>
          <cell r="AV33">
            <v>358000.00000000006</v>
          </cell>
          <cell r="AW33">
            <v>50163.265306122448</v>
          </cell>
          <cell r="AX33">
            <v>0</v>
          </cell>
          <cell r="AY33">
            <v>0</v>
          </cell>
          <cell r="AZ33"/>
          <cell r="BB33">
            <v>326530.61224489799</v>
          </cell>
          <cell r="BC33">
            <v>286400</v>
          </cell>
          <cell r="BD33">
            <v>40130.612244897959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20833.333333333332</v>
          </cell>
          <cell r="M36">
            <v>18272.916666666664</v>
          </cell>
          <cell r="N36">
            <v>2560.4166666666665</v>
          </cell>
          <cell r="O36">
            <v>41553.769698000004</v>
          </cell>
          <cell r="P36">
            <v>1030.5403020000001</v>
          </cell>
          <cell r="Q36">
            <v>42584.310000000005</v>
          </cell>
          <cell r="S36">
            <v>20833.333333333332</v>
          </cell>
          <cell r="T36">
            <v>18272.916666666664</v>
          </cell>
          <cell r="U36">
            <v>2560.4166666666665</v>
          </cell>
          <cell r="V36">
            <v>39426.291506000009</v>
          </cell>
          <cell r="W36">
            <v>977.77849400000014</v>
          </cell>
          <cell r="X36">
            <v>40404.070000000007</v>
          </cell>
          <cell r="Z36">
            <v>20833.333333333332</v>
          </cell>
          <cell r="AA36">
            <v>18272.916666666664</v>
          </cell>
          <cell r="AB36">
            <v>2560.4166666666665</v>
          </cell>
          <cell r="AC36">
            <v>33514.680429999993</v>
          </cell>
          <cell r="AD36">
            <v>831.16956999999979</v>
          </cell>
          <cell r="AE36">
            <v>34345.849999999991</v>
          </cell>
          <cell r="AG36">
            <v>20833.333333333332</v>
          </cell>
          <cell r="AH36">
            <v>18272.916666666664</v>
          </cell>
          <cell r="AI36">
            <v>2560.4166666666665</v>
          </cell>
          <cell r="AJ36">
            <v>22426.723578000001</v>
          </cell>
          <cell r="AK36">
            <v>556.18642199999999</v>
          </cell>
          <cell r="AL36">
            <v>22982.91</v>
          </cell>
          <cell r="AN36">
            <v>20833.333333333332</v>
          </cell>
          <cell r="AO36">
            <v>18272.916666666664</v>
          </cell>
          <cell r="AP36">
            <v>2560.4166666666665</v>
          </cell>
          <cell r="AQ36">
            <v>0</v>
          </cell>
          <cell r="AR36">
            <v>0</v>
          </cell>
          <cell r="AS36"/>
          <cell r="AU36">
            <v>20833.333333333332</v>
          </cell>
          <cell r="AV36">
            <v>18272.916666666664</v>
          </cell>
          <cell r="AW36">
            <v>2560.4166666666665</v>
          </cell>
          <cell r="AX36">
            <v>0</v>
          </cell>
          <cell r="AY36">
            <v>0</v>
          </cell>
          <cell r="AZ36"/>
          <cell r="BB36">
            <v>20833.333333333332</v>
          </cell>
          <cell r="BC36">
            <v>18272.916666666664</v>
          </cell>
          <cell r="BD36">
            <v>2560.4166666666665</v>
          </cell>
          <cell r="BE36">
            <v>0</v>
          </cell>
          <cell r="BF36">
            <v>0</v>
          </cell>
          <cell r="BG36"/>
          <cell r="BI36">
            <v>20833.333333333332</v>
          </cell>
          <cell r="BJ36">
            <v>18272.916666666664</v>
          </cell>
          <cell r="BK36">
            <v>2560.4166666666665</v>
          </cell>
          <cell r="BL36">
            <v>0</v>
          </cell>
          <cell r="BM36">
            <v>0</v>
          </cell>
          <cell r="BN36"/>
          <cell r="BP36">
            <v>20833.333333333332</v>
          </cell>
          <cell r="BQ36">
            <v>18272.916666666664</v>
          </cell>
          <cell r="BR36">
            <v>2560.4166666666665</v>
          </cell>
          <cell r="BS36">
            <v>0</v>
          </cell>
          <cell r="BT36">
            <v>0</v>
          </cell>
          <cell r="BU36"/>
          <cell r="BW36">
            <v>20833.333333333332</v>
          </cell>
          <cell r="BX36">
            <v>18272.916666666664</v>
          </cell>
          <cell r="BY36">
            <v>2560.4166666666665</v>
          </cell>
          <cell r="BZ36">
            <v>0</v>
          </cell>
          <cell r="CA36">
            <v>0</v>
          </cell>
          <cell r="CB36"/>
          <cell r="CD36">
            <v>20833.333333333332</v>
          </cell>
          <cell r="CE36">
            <v>18272.916666666664</v>
          </cell>
          <cell r="CF36">
            <v>2560.4166666666665</v>
          </cell>
          <cell r="CG36">
            <v>0</v>
          </cell>
          <cell r="CH36">
            <v>0</v>
          </cell>
          <cell r="CI36"/>
          <cell r="CK36">
            <v>20833.333333333332</v>
          </cell>
          <cell r="CL36">
            <v>18272.916666666664</v>
          </cell>
          <cell r="CM36">
            <v>2560.4166666666665</v>
          </cell>
          <cell r="CN36">
            <v>0</v>
          </cell>
          <cell r="CO36">
            <v>0</v>
          </cell>
          <cell r="CP36"/>
        </row>
        <row r="37">
          <cell r="L37">
            <v>29166.666666666668</v>
          </cell>
          <cell r="M37">
            <v>25582.083333333336</v>
          </cell>
          <cell r="N37">
            <v>3584.5833333333335</v>
          </cell>
          <cell r="O37">
            <v>45886.370487999993</v>
          </cell>
          <cell r="P37">
            <v>1137.9895119999999</v>
          </cell>
          <cell r="Q37">
            <v>47024.359999999993</v>
          </cell>
          <cell r="S37">
            <v>29166.666666666668</v>
          </cell>
          <cell r="T37">
            <v>25582.083333333336</v>
          </cell>
          <cell r="U37">
            <v>3584.5833333333335</v>
          </cell>
          <cell r="V37">
            <v>23614.652739999994</v>
          </cell>
          <cell r="W37">
            <v>585.64725999999985</v>
          </cell>
          <cell r="X37">
            <v>24200.299999999996</v>
          </cell>
          <cell r="Z37">
            <v>29166.666666666668</v>
          </cell>
          <cell r="AA37">
            <v>25582.083333333336</v>
          </cell>
          <cell r="AB37">
            <v>3584.5833333333335</v>
          </cell>
          <cell r="AC37">
            <v>33207.049722000011</v>
          </cell>
          <cell r="AD37">
            <v>823.54027800000028</v>
          </cell>
          <cell r="AE37">
            <v>34030.590000000011</v>
          </cell>
          <cell r="AG37">
            <v>29166.666666666668</v>
          </cell>
          <cell r="AH37">
            <v>25582.083333333336</v>
          </cell>
          <cell r="AI37">
            <v>3584.5833333333335</v>
          </cell>
          <cell r="AJ37">
            <v>19352.446162000004</v>
          </cell>
          <cell r="AK37">
            <v>479.94383800000008</v>
          </cell>
          <cell r="AL37">
            <v>19832.390000000003</v>
          </cell>
          <cell r="AN37">
            <v>29166.666666666668</v>
          </cell>
          <cell r="AO37">
            <v>25582.083333333336</v>
          </cell>
          <cell r="AP37">
            <v>3584.5833333333335</v>
          </cell>
          <cell r="AQ37">
            <v>0</v>
          </cell>
          <cell r="AR37">
            <v>0</v>
          </cell>
          <cell r="AS37"/>
          <cell r="AU37">
            <v>29166.666666666668</v>
          </cell>
          <cell r="AV37">
            <v>25582.083333333336</v>
          </cell>
          <cell r="AW37">
            <v>3584.5833333333335</v>
          </cell>
          <cell r="AX37">
            <v>0</v>
          </cell>
          <cell r="AY37">
            <v>0</v>
          </cell>
          <cell r="AZ37"/>
          <cell r="BB37">
            <v>29166.666666666668</v>
          </cell>
          <cell r="BC37">
            <v>25582.083333333336</v>
          </cell>
          <cell r="BD37">
            <v>3584.5833333333335</v>
          </cell>
          <cell r="BE37">
            <v>0</v>
          </cell>
          <cell r="BF37">
            <v>0</v>
          </cell>
          <cell r="BG37"/>
          <cell r="BI37">
            <v>29166.666666666668</v>
          </cell>
          <cell r="BJ37">
            <v>25582.083333333336</v>
          </cell>
          <cell r="BK37">
            <v>3584.5833333333335</v>
          </cell>
          <cell r="BL37">
            <v>0</v>
          </cell>
          <cell r="BM37">
            <v>0</v>
          </cell>
          <cell r="BN37"/>
          <cell r="BP37">
            <v>29166.666666666668</v>
          </cell>
          <cell r="BQ37">
            <v>25582.083333333336</v>
          </cell>
          <cell r="BR37">
            <v>3584.5833333333335</v>
          </cell>
          <cell r="BS37">
            <v>0</v>
          </cell>
          <cell r="BT37">
            <v>0</v>
          </cell>
          <cell r="BU37"/>
          <cell r="BW37">
            <v>29166.666666666668</v>
          </cell>
          <cell r="BX37">
            <v>25582.083333333336</v>
          </cell>
          <cell r="BY37">
            <v>3584.5833333333335</v>
          </cell>
          <cell r="BZ37">
            <v>0</v>
          </cell>
          <cell r="CA37">
            <v>0</v>
          </cell>
          <cell r="CB37"/>
          <cell r="CD37">
            <v>29166.666666666668</v>
          </cell>
          <cell r="CE37">
            <v>25582.083333333336</v>
          </cell>
          <cell r="CF37">
            <v>3584.5833333333335</v>
          </cell>
          <cell r="CG37">
            <v>0</v>
          </cell>
          <cell r="CH37">
            <v>0</v>
          </cell>
          <cell r="CI37"/>
          <cell r="CK37">
            <v>29166.666666666668</v>
          </cell>
          <cell r="CL37">
            <v>25582.083333333336</v>
          </cell>
          <cell r="CM37">
            <v>3584.5833333333335</v>
          </cell>
          <cell r="CN37">
            <v>0</v>
          </cell>
          <cell r="CO37">
            <v>0</v>
          </cell>
          <cell r="CP37"/>
        </row>
        <row r="38">
          <cell r="L38">
            <v>3750</v>
          </cell>
          <cell r="M38">
            <v>3289.125</v>
          </cell>
          <cell r="N38">
            <v>460.875</v>
          </cell>
          <cell r="O38">
            <v>3911.5528479999998</v>
          </cell>
          <cell r="P38">
            <v>97.007151999999991</v>
          </cell>
          <cell r="Q38">
            <v>4008.56</v>
          </cell>
          <cell r="S38">
            <v>3750</v>
          </cell>
          <cell r="T38">
            <v>3289.125</v>
          </cell>
          <cell r="U38">
            <v>460.875</v>
          </cell>
          <cell r="V38">
            <v>3223.5162679999999</v>
          </cell>
          <cell r="W38">
            <v>79.943731999999997</v>
          </cell>
          <cell r="X38">
            <v>3303.46</v>
          </cell>
          <cell r="Z38">
            <v>3750</v>
          </cell>
          <cell r="AA38">
            <v>3289.125</v>
          </cell>
          <cell r="AB38">
            <v>460.875</v>
          </cell>
          <cell r="AC38">
            <v>7119.7783300000001</v>
          </cell>
          <cell r="AD38">
            <v>176.57167000000001</v>
          </cell>
          <cell r="AE38">
            <v>7296.35</v>
          </cell>
          <cell r="AG38">
            <v>3750</v>
          </cell>
          <cell r="AH38">
            <v>3289.125</v>
          </cell>
          <cell r="AI38">
            <v>460.875</v>
          </cell>
          <cell r="AJ38">
            <v>8061.7571020000005</v>
          </cell>
          <cell r="AK38">
            <v>199.93289799999999</v>
          </cell>
          <cell r="AL38">
            <v>8261.69</v>
          </cell>
          <cell r="AN38">
            <v>3750</v>
          </cell>
          <cell r="AO38">
            <v>3289.125</v>
          </cell>
          <cell r="AP38">
            <v>460.875</v>
          </cell>
          <cell r="AQ38">
            <v>0</v>
          </cell>
          <cell r="AR38">
            <v>0</v>
          </cell>
          <cell r="AS38"/>
          <cell r="AU38">
            <v>3750</v>
          </cell>
          <cell r="AV38">
            <v>3289.125</v>
          </cell>
          <cell r="AW38">
            <v>460.875</v>
          </cell>
          <cell r="AX38">
            <v>0</v>
          </cell>
          <cell r="AY38">
            <v>0</v>
          </cell>
          <cell r="AZ38"/>
          <cell r="BB38">
            <v>3750</v>
          </cell>
          <cell r="BC38">
            <v>3289.125</v>
          </cell>
          <cell r="BD38">
            <v>460.875</v>
          </cell>
          <cell r="BE38">
            <v>0</v>
          </cell>
          <cell r="BF38">
            <v>0</v>
          </cell>
          <cell r="BG38"/>
          <cell r="BI38">
            <v>3750</v>
          </cell>
          <cell r="BJ38">
            <v>3289.125</v>
          </cell>
          <cell r="BK38">
            <v>460.875</v>
          </cell>
          <cell r="BL38">
            <v>0</v>
          </cell>
          <cell r="BM38">
            <v>0</v>
          </cell>
          <cell r="BN38"/>
          <cell r="BP38">
            <v>3750</v>
          </cell>
          <cell r="BQ38">
            <v>3289.125</v>
          </cell>
          <cell r="BR38">
            <v>460.875</v>
          </cell>
          <cell r="BS38">
            <v>0</v>
          </cell>
          <cell r="BT38">
            <v>0</v>
          </cell>
          <cell r="BU38"/>
          <cell r="BW38">
            <v>3750</v>
          </cell>
          <cell r="BX38">
            <v>3289.125</v>
          </cell>
          <cell r="BY38">
            <v>460.875</v>
          </cell>
          <cell r="BZ38">
            <v>0</v>
          </cell>
          <cell r="CA38">
            <v>0</v>
          </cell>
          <cell r="CB38"/>
          <cell r="CD38">
            <v>3750</v>
          </cell>
          <cell r="CE38">
            <v>3289.125</v>
          </cell>
          <cell r="CF38">
            <v>460.875</v>
          </cell>
          <cell r="CG38">
            <v>0</v>
          </cell>
          <cell r="CH38">
            <v>0</v>
          </cell>
          <cell r="CI38"/>
          <cell r="CK38">
            <v>3750</v>
          </cell>
          <cell r="CL38">
            <v>3289.125</v>
          </cell>
          <cell r="CM38">
            <v>460.875</v>
          </cell>
          <cell r="CN38">
            <v>0</v>
          </cell>
          <cell r="CO38">
            <v>0</v>
          </cell>
          <cell r="CP38"/>
        </row>
        <row r="39">
          <cell r="L39">
            <v>10000</v>
          </cell>
          <cell r="M39">
            <v>8771</v>
          </cell>
          <cell r="N39">
            <v>1229</v>
          </cell>
          <cell r="O39">
            <v>5414.5190400000001</v>
          </cell>
          <cell r="P39">
            <v>134.28095999999999</v>
          </cell>
          <cell r="Q39">
            <v>5548.8</v>
          </cell>
          <cell r="S39">
            <v>10000</v>
          </cell>
          <cell r="T39">
            <v>8771</v>
          </cell>
          <cell r="U39">
            <v>1229</v>
          </cell>
          <cell r="V39">
            <v>0</v>
          </cell>
          <cell r="W39">
            <v>0</v>
          </cell>
          <cell r="X39"/>
          <cell r="Z39">
            <v>10000</v>
          </cell>
          <cell r="AA39">
            <v>8771</v>
          </cell>
          <cell r="AB39">
            <v>1229</v>
          </cell>
          <cell r="AC39">
            <v>44.935589999999998</v>
          </cell>
          <cell r="AD39">
            <v>1.1144099999999999</v>
          </cell>
          <cell r="AE39">
            <v>46.05</v>
          </cell>
          <cell r="AG39">
            <v>10000</v>
          </cell>
          <cell r="AH39">
            <v>8771</v>
          </cell>
          <cell r="AI39">
            <v>1229</v>
          </cell>
          <cell r="AJ39">
            <v>0</v>
          </cell>
          <cell r="AK39">
            <v>0</v>
          </cell>
          <cell r="AL39"/>
          <cell r="AN39">
            <v>10000</v>
          </cell>
          <cell r="AO39">
            <v>8771</v>
          </cell>
          <cell r="AP39">
            <v>1229</v>
          </cell>
          <cell r="AQ39">
            <v>0</v>
          </cell>
          <cell r="AR39">
            <v>0</v>
          </cell>
          <cell r="AS39"/>
          <cell r="AU39">
            <v>10000</v>
          </cell>
          <cell r="AV39">
            <v>8771</v>
          </cell>
          <cell r="AW39">
            <v>1229</v>
          </cell>
          <cell r="AX39">
            <v>0</v>
          </cell>
          <cell r="AY39">
            <v>0</v>
          </cell>
          <cell r="AZ39"/>
          <cell r="BB39">
            <v>10000</v>
          </cell>
          <cell r="BC39">
            <v>8771</v>
          </cell>
          <cell r="BD39">
            <v>1229</v>
          </cell>
          <cell r="BE39">
            <v>0</v>
          </cell>
          <cell r="BF39">
            <v>0</v>
          </cell>
          <cell r="BG39"/>
          <cell r="BI39">
            <v>10000</v>
          </cell>
          <cell r="BJ39">
            <v>8771</v>
          </cell>
          <cell r="BK39">
            <v>1229</v>
          </cell>
          <cell r="BL39">
            <v>0</v>
          </cell>
          <cell r="BM39">
            <v>0</v>
          </cell>
          <cell r="BN39"/>
          <cell r="BP39">
            <v>10000</v>
          </cell>
          <cell r="BQ39">
            <v>8771</v>
          </cell>
          <cell r="BR39">
            <v>1229</v>
          </cell>
          <cell r="BS39">
            <v>0</v>
          </cell>
          <cell r="BT39">
            <v>0</v>
          </cell>
          <cell r="BU39"/>
          <cell r="BW39">
            <v>10000</v>
          </cell>
          <cell r="BX39">
            <v>8771</v>
          </cell>
          <cell r="BY39">
            <v>1229</v>
          </cell>
          <cell r="BZ39">
            <v>0</v>
          </cell>
          <cell r="CA39">
            <v>0</v>
          </cell>
          <cell r="CB39"/>
          <cell r="CD39">
            <v>10000</v>
          </cell>
          <cell r="CE39">
            <v>8771</v>
          </cell>
          <cell r="CF39">
            <v>1229</v>
          </cell>
          <cell r="CG39">
            <v>0</v>
          </cell>
          <cell r="CH39">
            <v>0</v>
          </cell>
          <cell r="CI39"/>
          <cell r="CK39">
            <v>10000</v>
          </cell>
          <cell r="CL39">
            <v>8771</v>
          </cell>
          <cell r="CM39">
            <v>1229</v>
          </cell>
          <cell r="CN39">
            <v>0</v>
          </cell>
          <cell r="CO39">
            <v>0</v>
          </cell>
          <cell r="CP39"/>
        </row>
        <row r="40">
          <cell r="L40">
            <v>3333.3333333333335</v>
          </cell>
          <cell r="M40">
            <v>2923.666666666667</v>
          </cell>
          <cell r="N40">
            <v>409.66666666666669</v>
          </cell>
          <cell r="O40">
            <v>4525.1066140000003</v>
          </cell>
          <cell r="P40">
            <v>112.22338599999999</v>
          </cell>
          <cell r="Q40">
            <v>4637.33</v>
          </cell>
          <cell r="S40">
            <v>3333.3333333333335</v>
          </cell>
          <cell r="T40">
            <v>2923.666666666667</v>
          </cell>
          <cell r="U40">
            <v>409.66666666666669</v>
          </cell>
          <cell r="V40">
            <v>0</v>
          </cell>
          <cell r="W40">
            <v>0</v>
          </cell>
          <cell r="X40"/>
          <cell r="Z40">
            <v>3333.3333333333335</v>
          </cell>
          <cell r="AA40">
            <v>2923.666666666667</v>
          </cell>
          <cell r="AB40">
            <v>409.66666666666669</v>
          </cell>
          <cell r="AC40">
            <v>0</v>
          </cell>
          <cell r="AD40">
            <v>0</v>
          </cell>
          <cell r="AE40"/>
          <cell r="AG40">
            <v>3333.3333333333335</v>
          </cell>
          <cell r="AH40">
            <v>2923.666666666667</v>
          </cell>
          <cell r="AI40">
            <v>409.66666666666669</v>
          </cell>
          <cell r="AJ40">
            <v>0</v>
          </cell>
          <cell r="AK40">
            <v>0</v>
          </cell>
          <cell r="AL40"/>
          <cell r="AN40">
            <v>3333.3333333333335</v>
          </cell>
          <cell r="AO40">
            <v>2923.666666666667</v>
          </cell>
          <cell r="AP40">
            <v>409.66666666666669</v>
          </cell>
          <cell r="AQ40">
            <v>0</v>
          </cell>
          <cell r="AR40">
            <v>0</v>
          </cell>
          <cell r="AS40"/>
          <cell r="AU40">
            <v>3333.3333333333335</v>
          </cell>
          <cell r="AV40">
            <v>2923.666666666667</v>
          </cell>
          <cell r="AW40">
            <v>409.66666666666669</v>
          </cell>
          <cell r="AX40">
            <v>0</v>
          </cell>
          <cell r="AY40">
            <v>0</v>
          </cell>
          <cell r="AZ40"/>
          <cell r="BB40">
            <v>3333.3333333333335</v>
          </cell>
          <cell r="BC40">
            <v>2923.666666666667</v>
          </cell>
          <cell r="BD40">
            <v>409.66666666666669</v>
          </cell>
          <cell r="BE40">
            <v>0</v>
          </cell>
          <cell r="BF40">
            <v>0</v>
          </cell>
          <cell r="BG40"/>
          <cell r="BI40">
            <v>3333.3333333333335</v>
          </cell>
          <cell r="BJ40">
            <v>2923.666666666667</v>
          </cell>
          <cell r="BK40">
            <v>409.66666666666669</v>
          </cell>
          <cell r="BL40">
            <v>0</v>
          </cell>
          <cell r="BM40">
            <v>0</v>
          </cell>
          <cell r="BN40"/>
          <cell r="BP40">
            <v>3333.3333333333335</v>
          </cell>
          <cell r="BQ40">
            <v>2923.666666666667</v>
          </cell>
          <cell r="BR40">
            <v>409.66666666666669</v>
          </cell>
          <cell r="BS40">
            <v>0</v>
          </cell>
          <cell r="BT40">
            <v>0</v>
          </cell>
          <cell r="BU40"/>
          <cell r="BW40">
            <v>3333.3333333333335</v>
          </cell>
          <cell r="BX40">
            <v>2923.666666666667</v>
          </cell>
          <cell r="BY40">
            <v>409.66666666666669</v>
          </cell>
          <cell r="BZ40">
            <v>0</v>
          </cell>
          <cell r="CA40">
            <v>0</v>
          </cell>
          <cell r="CB40"/>
          <cell r="CD40">
            <v>3333.3333333333335</v>
          </cell>
          <cell r="CE40">
            <v>2923.666666666667</v>
          </cell>
          <cell r="CF40">
            <v>409.66666666666669</v>
          </cell>
          <cell r="CG40">
            <v>0</v>
          </cell>
          <cell r="CH40">
            <v>0</v>
          </cell>
          <cell r="CI40"/>
          <cell r="CK40">
            <v>3333.3333333333335</v>
          </cell>
          <cell r="CL40">
            <v>2923.666666666667</v>
          </cell>
          <cell r="CM40">
            <v>409.66666666666669</v>
          </cell>
          <cell r="CN40">
            <v>0</v>
          </cell>
          <cell r="CO40">
            <v>0</v>
          </cell>
          <cell r="CP40"/>
        </row>
        <row r="41">
          <cell r="L41">
            <v>115000</v>
          </cell>
          <cell r="M41">
            <v>100866.5</v>
          </cell>
          <cell r="N41">
            <v>14133.5</v>
          </cell>
          <cell r="O41">
            <v>112217</v>
          </cell>
          <cell r="P41">
            <v>2783</v>
          </cell>
          <cell r="Q41">
            <v>115000</v>
          </cell>
          <cell r="S41">
            <v>115000</v>
          </cell>
          <cell r="T41">
            <v>100866.5</v>
          </cell>
          <cell r="U41">
            <v>14133.5</v>
          </cell>
          <cell r="V41">
            <v>112217</v>
          </cell>
          <cell r="W41">
            <v>2783</v>
          </cell>
          <cell r="X41">
            <v>115000</v>
          </cell>
          <cell r="Z41">
            <v>115000</v>
          </cell>
          <cell r="AA41">
            <v>100866.5</v>
          </cell>
          <cell r="AB41">
            <v>14133.5</v>
          </cell>
          <cell r="AC41">
            <v>112217</v>
          </cell>
          <cell r="AD41">
            <v>2783</v>
          </cell>
          <cell r="AE41">
            <v>115000</v>
          </cell>
          <cell r="AG41">
            <v>115000</v>
          </cell>
          <cell r="AH41">
            <v>100866.5</v>
          </cell>
          <cell r="AI41">
            <v>14133.5</v>
          </cell>
          <cell r="AJ41">
            <v>112217</v>
          </cell>
          <cell r="AK41">
            <v>2783</v>
          </cell>
          <cell r="AL41">
            <v>115000</v>
          </cell>
          <cell r="AN41">
            <v>115000</v>
          </cell>
          <cell r="AO41">
            <v>100866.5</v>
          </cell>
          <cell r="AP41">
            <v>14133.5</v>
          </cell>
          <cell r="AQ41">
            <v>0</v>
          </cell>
          <cell r="AR41">
            <v>0</v>
          </cell>
          <cell r="AS41"/>
          <cell r="AU41">
            <v>115000</v>
          </cell>
          <cell r="AV41">
            <v>100866.5</v>
          </cell>
          <cell r="AW41">
            <v>14133.5</v>
          </cell>
          <cell r="AX41">
            <v>0</v>
          </cell>
          <cell r="AY41">
            <v>0</v>
          </cell>
          <cell r="AZ41"/>
          <cell r="BB41">
            <v>115000</v>
          </cell>
          <cell r="BC41">
            <v>100866.5</v>
          </cell>
          <cell r="BD41">
            <v>14133.5</v>
          </cell>
          <cell r="BE41">
            <v>0</v>
          </cell>
          <cell r="BF41">
            <v>0</v>
          </cell>
          <cell r="BG41"/>
          <cell r="BI41">
            <v>115000</v>
          </cell>
          <cell r="BJ41">
            <v>100866.5</v>
          </cell>
          <cell r="BK41">
            <v>14133.5</v>
          </cell>
          <cell r="BL41">
            <v>0</v>
          </cell>
          <cell r="BM41">
            <v>0</v>
          </cell>
          <cell r="BN41"/>
          <cell r="BP41">
            <v>115000</v>
          </cell>
          <cell r="BQ41">
            <v>100866.5</v>
          </cell>
          <cell r="BR41">
            <v>14133.5</v>
          </cell>
          <cell r="BS41">
            <v>0</v>
          </cell>
          <cell r="BT41">
            <v>0</v>
          </cell>
          <cell r="BU41"/>
          <cell r="BW41">
            <v>115000</v>
          </cell>
          <cell r="BX41">
            <v>100866.5</v>
          </cell>
          <cell r="BY41">
            <v>14133.5</v>
          </cell>
          <cell r="BZ41">
            <v>0</v>
          </cell>
          <cell r="CA41">
            <v>0</v>
          </cell>
          <cell r="CB41"/>
          <cell r="CD41">
            <v>115000</v>
          </cell>
          <cell r="CE41">
            <v>100866.5</v>
          </cell>
          <cell r="CF41">
            <v>14133.5</v>
          </cell>
          <cell r="CG41">
            <v>0</v>
          </cell>
          <cell r="CH41">
            <v>0</v>
          </cell>
          <cell r="CI41"/>
          <cell r="CK41">
            <v>115000</v>
          </cell>
          <cell r="CL41">
            <v>100866.5</v>
          </cell>
          <cell r="CM41">
            <v>14133.5</v>
          </cell>
          <cell r="CN41">
            <v>0</v>
          </cell>
          <cell r="CO41">
            <v>0</v>
          </cell>
          <cell r="CP41"/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/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/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/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/>
        </row>
        <row r="43">
          <cell r="L43">
            <v>7765.5</v>
          </cell>
          <cell r="M43">
            <v>6811.1200499999995</v>
          </cell>
          <cell r="N43">
            <v>954.37995000000001</v>
          </cell>
          <cell r="O43">
            <v>9119.1632559999998</v>
          </cell>
          <cell r="P43">
            <v>226.15674399999997</v>
          </cell>
          <cell r="Q43">
            <v>9345.32</v>
          </cell>
          <cell r="S43">
            <v>7765.5</v>
          </cell>
          <cell r="T43">
            <v>6811.1200499999995</v>
          </cell>
          <cell r="U43">
            <v>954.37995000000001</v>
          </cell>
          <cell r="V43">
            <v>11136.288225999999</v>
          </cell>
          <cell r="W43">
            <v>276.18177399999996</v>
          </cell>
          <cell r="X43">
            <v>11412.47</v>
          </cell>
          <cell r="Z43">
            <v>7765.5</v>
          </cell>
          <cell r="AA43">
            <v>6811.1200499999995</v>
          </cell>
          <cell r="AB43">
            <v>954.37995000000001</v>
          </cell>
          <cell r="AC43">
            <v>8447.0810060000003</v>
          </cell>
          <cell r="AD43">
            <v>209.48899399999999</v>
          </cell>
          <cell r="AE43">
            <v>8656.57</v>
          </cell>
          <cell r="AG43">
            <v>7765.5</v>
          </cell>
          <cell r="AH43">
            <v>6811.1200499999995</v>
          </cell>
          <cell r="AI43">
            <v>954.37995000000001</v>
          </cell>
          <cell r="AJ43">
            <v>8848.5836740000013</v>
          </cell>
          <cell r="AK43">
            <v>219.446326</v>
          </cell>
          <cell r="AL43">
            <v>9068.0300000000007</v>
          </cell>
          <cell r="AN43">
            <v>7765.5</v>
          </cell>
          <cell r="AO43">
            <v>6811.1200499999995</v>
          </cell>
          <cell r="AP43">
            <v>954.37995000000001</v>
          </cell>
          <cell r="AQ43">
            <v>0</v>
          </cell>
          <cell r="AR43">
            <v>0</v>
          </cell>
          <cell r="AS43"/>
          <cell r="AU43">
            <v>7765.5</v>
          </cell>
          <cell r="AV43">
            <v>6811.1200499999995</v>
          </cell>
          <cell r="AW43">
            <v>954.37995000000001</v>
          </cell>
          <cell r="AX43">
            <v>0</v>
          </cell>
          <cell r="AY43">
            <v>0</v>
          </cell>
          <cell r="AZ43"/>
          <cell r="BB43">
            <v>7765.5</v>
          </cell>
          <cell r="BC43">
            <v>6811.1200499999995</v>
          </cell>
          <cell r="BD43">
            <v>954.37995000000001</v>
          </cell>
          <cell r="BE43">
            <v>0</v>
          </cell>
          <cell r="BF43">
            <v>0</v>
          </cell>
          <cell r="BG43"/>
          <cell r="BI43">
            <v>7765.5</v>
          </cell>
          <cell r="BJ43">
            <v>6811.1200499999995</v>
          </cell>
          <cell r="BK43">
            <v>954.37995000000001</v>
          </cell>
          <cell r="BL43">
            <v>0</v>
          </cell>
          <cell r="BM43">
            <v>0</v>
          </cell>
          <cell r="BN43"/>
          <cell r="BP43">
            <v>7765.5</v>
          </cell>
          <cell r="BQ43">
            <v>6811.1200499999995</v>
          </cell>
          <cell r="BR43">
            <v>954.37995000000001</v>
          </cell>
          <cell r="BS43">
            <v>0</v>
          </cell>
          <cell r="BT43">
            <v>0</v>
          </cell>
          <cell r="BU43"/>
          <cell r="BW43">
            <v>7765.5</v>
          </cell>
          <cell r="BX43">
            <v>6811.1200499999995</v>
          </cell>
          <cell r="BY43">
            <v>954.37995000000001</v>
          </cell>
          <cell r="BZ43">
            <v>0</v>
          </cell>
          <cell r="CA43">
            <v>0</v>
          </cell>
          <cell r="CB43"/>
          <cell r="CD43">
            <v>7765.5</v>
          </cell>
          <cell r="CE43">
            <v>6811.1200499999995</v>
          </cell>
          <cell r="CF43">
            <v>954.37995000000001</v>
          </cell>
          <cell r="CG43">
            <v>0</v>
          </cell>
          <cell r="CH43">
            <v>0</v>
          </cell>
          <cell r="CI43"/>
          <cell r="CK43">
            <v>7765.5</v>
          </cell>
          <cell r="CL43">
            <v>6811.1200499999995</v>
          </cell>
          <cell r="CM43">
            <v>954.37995000000001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4166.666666666667</v>
          </cell>
          <cell r="M48">
            <v>3654.5833333333335</v>
          </cell>
          <cell r="N48">
            <v>512.08333333333337</v>
          </cell>
          <cell r="O48">
            <v>3472.4818799999998</v>
          </cell>
          <cell r="P48">
            <v>86.11811999999999</v>
          </cell>
          <cell r="Q48">
            <v>3558.6</v>
          </cell>
          <cell r="S48">
            <v>4166.666666666667</v>
          </cell>
          <cell r="T48">
            <v>3654.5833333333335</v>
          </cell>
          <cell r="U48">
            <v>512.08333333333337</v>
          </cell>
          <cell r="V48">
            <v>3701.9412499999999</v>
          </cell>
          <cell r="W48">
            <v>91.808750000000003</v>
          </cell>
          <cell r="X48">
            <v>3793.75</v>
          </cell>
          <cell r="Z48">
            <v>4166.666666666667</v>
          </cell>
          <cell r="AA48">
            <v>3654.5833333333335</v>
          </cell>
          <cell r="AB48">
            <v>512.08333333333337</v>
          </cell>
          <cell r="AC48">
            <v>2093.247128</v>
          </cell>
          <cell r="AD48">
            <v>51.912871999999993</v>
          </cell>
          <cell r="AE48">
            <v>2145.16</v>
          </cell>
          <cell r="AG48">
            <v>4166.666666666667</v>
          </cell>
          <cell r="AH48">
            <v>3654.5833333333335</v>
          </cell>
          <cell r="AI48">
            <v>512.08333333333337</v>
          </cell>
          <cell r="AJ48">
            <v>2793.891044</v>
          </cell>
          <cell r="AK48">
            <v>69.288955999999999</v>
          </cell>
          <cell r="AL48">
            <v>2863.18</v>
          </cell>
          <cell r="AN48">
            <v>4166.666666666667</v>
          </cell>
          <cell r="AO48">
            <v>3654.5833333333335</v>
          </cell>
          <cell r="AP48">
            <v>512.08333333333337</v>
          </cell>
          <cell r="AQ48">
            <v>0</v>
          </cell>
          <cell r="AR48">
            <v>0</v>
          </cell>
          <cell r="AS48"/>
          <cell r="AU48">
            <v>4166.666666666667</v>
          </cell>
          <cell r="AV48">
            <v>3654.5833333333335</v>
          </cell>
          <cell r="AW48">
            <v>512.08333333333337</v>
          </cell>
          <cell r="AX48">
            <v>0</v>
          </cell>
          <cell r="AY48">
            <v>0</v>
          </cell>
          <cell r="AZ48"/>
          <cell r="BB48">
            <v>4166.666666666667</v>
          </cell>
          <cell r="BC48">
            <v>3654.5833333333335</v>
          </cell>
          <cell r="BD48">
            <v>512.08333333333337</v>
          </cell>
          <cell r="BE48">
            <v>0</v>
          </cell>
          <cell r="BF48">
            <v>0</v>
          </cell>
          <cell r="BG48"/>
          <cell r="BI48">
            <v>4166.666666666667</v>
          </cell>
          <cell r="BJ48">
            <v>3654.5833333333335</v>
          </cell>
          <cell r="BK48">
            <v>512.08333333333337</v>
          </cell>
          <cell r="BL48">
            <v>0</v>
          </cell>
          <cell r="BM48">
            <v>0</v>
          </cell>
          <cell r="BN48"/>
          <cell r="BP48">
            <v>4166.666666666667</v>
          </cell>
          <cell r="BQ48">
            <v>3654.5833333333335</v>
          </cell>
          <cell r="BR48">
            <v>512.08333333333337</v>
          </cell>
          <cell r="BS48">
            <v>0</v>
          </cell>
          <cell r="BT48">
            <v>0</v>
          </cell>
          <cell r="BU48"/>
          <cell r="BW48">
            <v>4166.666666666667</v>
          </cell>
          <cell r="BX48">
            <v>3654.5833333333335</v>
          </cell>
          <cell r="BY48">
            <v>512.08333333333337</v>
          </cell>
          <cell r="BZ48">
            <v>0</v>
          </cell>
          <cell r="CA48">
            <v>0</v>
          </cell>
          <cell r="CB48"/>
          <cell r="CD48">
            <v>4166.666666666667</v>
          </cell>
          <cell r="CE48">
            <v>3654.5833333333335</v>
          </cell>
          <cell r="CF48">
            <v>512.08333333333337</v>
          </cell>
          <cell r="CG48">
            <v>0</v>
          </cell>
          <cell r="CH48">
            <v>0</v>
          </cell>
          <cell r="CI48"/>
          <cell r="CK48">
            <v>4166.666666666667</v>
          </cell>
          <cell r="CL48">
            <v>3654.5833333333335</v>
          </cell>
          <cell r="CM48">
            <v>512.08333333333337</v>
          </cell>
          <cell r="CN48">
            <v>0</v>
          </cell>
          <cell r="CO48">
            <v>0</v>
          </cell>
          <cell r="CP48"/>
        </row>
        <row r="49">
          <cell r="L49">
            <v>8666.6666666666661</v>
          </cell>
          <cell r="M49">
            <v>7601.5333333333328</v>
          </cell>
          <cell r="N49">
            <v>1065.1333333333332</v>
          </cell>
          <cell r="O49">
            <v>15970.645376</v>
          </cell>
          <cell r="P49">
            <v>396.07462400000003</v>
          </cell>
          <cell r="Q49">
            <v>16366.720000000001</v>
          </cell>
          <cell r="S49">
            <v>8666.6666666666661</v>
          </cell>
          <cell r="T49">
            <v>7601.5333333333328</v>
          </cell>
          <cell r="U49">
            <v>1065.1333333333332</v>
          </cell>
          <cell r="V49">
            <v>9926.4816279999977</v>
          </cell>
          <cell r="W49">
            <v>246.17837199999994</v>
          </cell>
          <cell r="X49">
            <v>10172.659999999998</v>
          </cell>
          <cell r="Z49">
            <v>8666.6666666666661</v>
          </cell>
          <cell r="AA49">
            <v>7601.5333333333328</v>
          </cell>
          <cell r="AB49">
            <v>1065.1333333333332</v>
          </cell>
          <cell r="AC49">
            <v>8212.7426360000009</v>
          </cell>
          <cell r="AD49">
            <v>203.67736399999998</v>
          </cell>
          <cell r="AE49">
            <v>8416.42</v>
          </cell>
          <cell r="AG49">
            <v>8666.6666666666661</v>
          </cell>
          <cell r="AH49">
            <v>7601.5333333333328</v>
          </cell>
          <cell r="AI49">
            <v>1065.1333333333332</v>
          </cell>
          <cell r="AJ49">
            <v>11288.708186</v>
          </cell>
          <cell r="AK49">
            <v>279.961814</v>
          </cell>
          <cell r="AL49">
            <v>11568.67</v>
          </cell>
          <cell r="AN49">
            <v>8666.6666666666661</v>
          </cell>
          <cell r="AO49">
            <v>7601.5333333333328</v>
          </cell>
          <cell r="AP49">
            <v>1065.1333333333332</v>
          </cell>
          <cell r="AQ49">
            <v>0</v>
          </cell>
          <cell r="AR49">
            <v>0</v>
          </cell>
          <cell r="AS49"/>
          <cell r="AU49">
            <v>8666.6666666666661</v>
          </cell>
          <cell r="AV49">
            <v>7601.5333333333328</v>
          </cell>
          <cell r="AW49">
            <v>1065.1333333333332</v>
          </cell>
          <cell r="AX49">
            <v>0</v>
          </cell>
          <cell r="AY49">
            <v>0</v>
          </cell>
          <cell r="AZ49"/>
          <cell r="BB49">
            <v>8666.6666666666661</v>
          </cell>
          <cell r="BC49">
            <v>7601.5333333333328</v>
          </cell>
          <cell r="BD49">
            <v>1065.1333333333332</v>
          </cell>
          <cell r="BE49">
            <v>0</v>
          </cell>
          <cell r="BF49">
            <v>0</v>
          </cell>
          <cell r="BG49"/>
          <cell r="BI49">
            <v>8666.6666666666661</v>
          </cell>
          <cell r="BJ49">
            <v>7601.5333333333328</v>
          </cell>
          <cell r="BK49">
            <v>1065.1333333333332</v>
          </cell>
          <cell r="BL49">
            <v>0</v>
          </cell>
          <cell r="BM49">
            <v>0</v>
          </cell>
          <cell r="BN49"/>
          <cell r="BP49">
            <v>8666.6666666666661</v>
          </cell>
          <cell r="BQ49">
            <v>7601.5333333333328</v>
          </cell>
          <cell r="BR49">
            <v>1065.1333333333332</v>
          </cell>
          <cell r="BS49">
            <v>0</v>
          </cell>
          <cell r="BT49">
            <v>0</v>
          </cell>
          <cell r="BU49"/>
          <cell r="BW49">
            <v>8666.6666666666661</v>
          </cell>
          <cell r="BX49">
            <v>7601.5333333333328</v>
          </cell>
          <cell r="BY49">
            <v>1065.1333333333332</v>
          </cell>
          <cell r="BZ49">
            <v>0</v>
          </cell>
          <cell r="CA49">
            <v>0</v>
          </cell>
          <cell r="CB49"/>
          <cell r="CD49">
            <v>8666.6666666666661</v>
          </cell>
          <cell r="CE49">
            <v>7601.5333333333328</v>
          </cell>
          <cell r="CF49">
            <v>1065.1333333333332</v>
          </cell>
          <cell r="CG49">
            <v>0</v>
          </cell>
          <cell r="CH49">
            <v>0</v>
          </cell>
          <cell r="CI49"/>
          <cell r="CK49">
            <v>8666.6666666666661</v>
          </cell>
          <cell r="CL49">
            <v>7601.5333333333328</v>
          </cell>
          <cell r="CM49">
            <v>1065.1333333333332</v>
          </cell>
          <cell r="CN49">
            <v>0</v>
          </cell>
          <cell r="CO49">
            <v>0</v>
          </cell>
          <cell r="CP49"/>
        </row>
        <row r="50">
          <cell r="L50">
            <v>923.96666666666681</v>
          </cell>
          <cell r="M50">
            <v>810.41116333333343</v>
          </cell>
          <cell r="N50">
            <v>113.55550333333335</v>
          </cell>
          <cell r="O50">
            <v>842.905798</v>
          </cell>
          <cell r="P50">
            <v>20.904201999999998</v>
          </cell>
          <cell r="Q50">
            <v>863.81</v>
          </cell>
          <cell r="S50">
            <v>923.96666666666681</v>
          </cell>
          <cell r="T50">
            <v>810.41116333333343</v>
          </cell>
          <cell r="U50">
            <v>113.55550333333335</v>
          </cell>
          <cell r="V50">
            <v>976.12201400000004</v>
          </cell>
          <cell r="W50">
            <v>24.207986000000002</v>
          </cell>
          <cell r="X50">
            <v>1000.33</v>
          </cell>
          <cell r="Z50">
            <v>923.96666666666681</v>
          </cell>
          <cell r="AA50">
            <v>810.41116333333343</v>
          </cell>
          <cell r="AB50">
            <v>113.55550333333335</v>
          </cell>
          <cell r="AC50">
            <v>1721.301442</v>
          </cell>
          <cell r="AD50">
            <v>42.688558</v>
          </cell>
          <cell r="AE50">
            <v>1763.99</v>
          </cell>
          <cell r="AG50">
            <v>923.96666666666681</v>
          </cell>
          <cell r="AH50">
            <v>810.41116333333343</v>
          </cell>
          <cell r="AI50">
            <v>113.55550333333335</v>
          </cell>
          <cell r="AJ50">
            <v>797.17005200000006</v>
          </cell>
          <cell r="AK50">
            <v>19.769947999999999</v>
          </cell>
          <cell r="AL50">
            <v>816.94</v>
          </cell>
          <cell r="AN50">
            <v>923.96666666666681</v>
          </cell>
          <cell r="AO50">
            <v>810.41116333333343</v>
          </cell>
          <cell r="AP50">
            <v>113.55550333333335</v>
          </cell>
          <cell r="AQ50">
            <v>0</v>
          </cell>
          <cell r="AR50">
            <v>0</v>
          </cell>
          <cell r="AS50"/>
          <cell r="AU50">
            <v>923.96666666666681</v>
          </cell>
          <cell r="AV50">
            <v>810.41116333333343</v>
          </cell>
          <cell r="AW50">
            <v>113.55550333333335</v>
          </cell>
          <cell r="AX50">
            <v>0</v>
          </cell>
          <cell r="AY50">
            <v>0</v>
          </cell>
          <cell r="AZ50"/>
          <cell r="BB50">
            <v>923.96666666666681</v>
          </cell>
          <cell r="BC50">
            <v>810.41116333333343</v>
          </cell>
          <cell r="BD50">
            <v>113.55550333333335</v>
          </cell>
          <cell r="BE50">
            <v>0</v>
          </cell>
          <cell r="BF50">
            <v>0</v>
          </cell>
          <cell r="BG50"/>
          <cell r="BI50">
            <v>923.96666666666681</v>
          </cell>
          <cell r="BJ50">
            <v>810.41116333333343</v>
          </cell>
          <cell r="BK50">
            <v>113.55550333333335</v>
          </cell>
          <cell r="BL50">
            <v>0</v>
          </cell>
          <cell r="BM50">
            <v>0</v>
          </cell>
          <cell r="BN50"/>
          <cell r="BP50">
            <v>923.96666666666681</v>
          </cell>
          <cell r="BQ50">
            <v>810.41116333333343</v>
          </cell>
          <cell r="BR50">
            <v>113.55550333333335</v>
          </cell>
          <cell r="BS50">
            <v>0</v>
          </cell>
          <cell r="BT50">
            <v>0</v>
          </cell>
          <cell r="BU50"/>
          <cell r="BW50">
            <v>923.96666666666681</v>
          </cell>
          <cell r="BX50">
            <v>810.41116333333343</v>
          </cell>
          <cell r="BY50">
            <v>113.55550333333335</v>
          </cell>
          <cell r="BZ50">
            <v>0</v>
          </cell>
          <cell r="CA50">
            <v>0</v>
          </cell>
          <cell r="CB50"/>
          <cell r="CD50">
            <v>923.96666666666681</v>
          </cell>
          <cell r="CE50">
            <v>810.41116333333343</v>
          </cell>
          <cell r="CF50">
            <v>113.55550333333335</v>
          </cell>
          <cell r="CG50">
            <v>0</v>
          </cell>
          <cell r="CH50">
            <v>0</v>
          </cell>
          <cell r="CI50"/>
          <cell r="CK50">
            <v>923.96666666666681</v>
          </cell>
          <cell r="CL50">
            <v>810.41116333333343</v>
          </cell>
          <cell r="CM50">
            <v>113.55550333333335</v>
          </cell>
          <cell r="CN50">
            <v>0</v>
          </cell>
          <cell r="CO50">
            <v>0</v>
          </cell>
          <cell r="CP50"/>
        </row>
        <row r="51">
          <cell r="L51">
            <v>694.46555000000012</v>
          </cell>
          <cell r="M51">
            <v>609.11573390500007</v>
          </cell>
          <cell r="N51">
            <v>85.349816095000008</v>
          </cell>
          <cell r="O51">
            <v>671.174756</v>
          </cell>
          <cell r="P51">
            <v>16.645244000000002</v>
          </cell>
          <cell r="Q51">
            <v>687.82</v>
          </cell>
          <cell r="S51">
            <v>694.46555000000012</v>
          </cell>
          <cell r="T51">
            <v>609.11573390500007</v>
          </cell>
          <cell r="U51">
            <v>85.349816095000008</v>
          </cell>
          <cell r="V51">
            <v>653.70793600000002</v>
          </cell>
          <cell r="W51">
            <v>16.212063999999998</v>
          </cell>
          <cell r="X51">
            <v>669.92</v>
          </cell>
          <cell r="Z51">
            <v>694.46555000000012</v>
          </cell>
          <cell r="AA51">
            <v>609.11573390500007</v>
          </cell>
          <cell r="AB51">
            <v>85.349816095000008</v>
          </cell>
          <cell r="AC51">
            <v>608.00146400000006</v>
          </cell>
          <cell r="AD51">
            <v>15.078536</v>
          </cell>
          <cell r="AE51">
            <v>623.08000000000004</v>
          </cell>
          <cell r="AG51">
            <v>694.46555000000012</v>
          </cell>
          <cell r="AH51">
            <v>609.11573390500007</v>
          </cell>
          <cell r="AI51">
            <v>85.349816095000008</v>
          </cell>
          <cell r="AJ51">
            <v>810.8410100000001</v>
          </cell>
          <cell r="AK51">
            <v>20.108990000000002</v>
          </cell>
          <cell r="AL51">
            <v>830.95</v>
          </cell>
          <cell r="AN51">
            <v>694.46555000000012</v>
          </cell>
          <cell r="AO51">
            <v>609.11573390500007</v>
          </cell>
          <cell r="AP51">
            <v>85.349816095000008</v>
          </cell>
          <cell r="AQ51">
            <v>0</v>
          </cell>
          <cell r="AR51">
            <v>0</v>
          </cell>
          <cell r="AS51"/>
          <cell r="AU51">
            <v>694.46555000000012</v>
          </cell>
          <cell r="AV51">
            <v>609.11573390500007</v>
          </cell>
          <cell r="AW51">
            <v>85.349816095000008</v>
          </cell>
          <cell r="AX51">
            <v>0</v>
          </cell>
          <cell r="AY51">
            <v>0</v>
          </cell>
          <cell r="AZ51"/>
          <cell r="BB51">
            <v>694.46555000000012</v>
          </cell>
          <cell r="BC51">
            <v>609.11573390500007</v>
          </cell>
          <cell r="BD51">
            <v>85.349816095000008</v>
          </cell>
          <cell r="BE51">
            <v>0</v>
          </cell>
          <cell r="BF51">
            <v>0</v>
          </cell>
          <cell r="BG51"/>
          <cell r="BI51">
            <v>694.46555000000012</v>
          </cell>
          <cell r="BJ51">
            <v>609.11573390500007</v>
          </cell>
          <cell r="BK51">
            <v>85.349816095000008</v>
          </cell>
          <cell r="BL51">
            <v>0</v>
          </cell>
          <cell r="BM51">
            <v>0</v>
          </cell>
          <cell r="BN51"/>
          <cell r="BP51">
            <v>694.46555000000012</v>
          </cell>
          <cell r="BQ51">
            <v>609.11573390500007</v>
          </cell>
          <cell r="BR51">
            <v>85.349816095000008</v>
          </cell>
          <cell r="BS51">
            <v>0</v>
          </cell>
          <cell r="BT51">
            <v>0</v>
          </cell>
          <cell r="BU51"/>
          <cell r="BW51">
            <v>694.46555000000012</v>
          </cell>
          <cell r="BX51">
            <v>609.11573390500007</v>
          </cell>
          <cell r="BY51">
            <v>85.349816095000008</v>
          </cell>
          <cell r="BZ51">
            <v>0</v>
          </cell>
          <cell r="CA51">
            <v>0</v>
          </cell>
          <cell r="CB51"/>
          <cell r="CD51">
            <v>694.46555000000012</v>
          </cell>
          <cell r="CE51">
            <v>609.11573390500007</v>
          </cell>
          <cell r="CF51">
            <v>85.349816095000008</v>
          </cell>
          <cell r="CG51">
            <v>0</v>
          </cell>
          <cell r="CH51">
            <v>0</v>
          </cell>
          <cell r="CI51"/>
          <cell r="CK51">
            <v>694.46555000000012</v>
          </cell>
          <cell r="CL51">
            <v>609.11573390500007</v>
          </cell>
          <cell r="CM51">
            <v>85.349816095000008</v>
          </cell>
          <cell r="CN51">
            <v>0</v>
          </cell>
          <cell r="CO51">
            <v>0</v>
          </cell>
          <cell r="CP51"/>
        </row>
        <row r="52">
          <cell r="L52">
            <v>1666.6666666666667</v>
          </cell>
          <cell r="M52">
            <v>1461.8333333333335</v>
          </cell>
          <cell r="N52">
            <v>204.83333333333334</v>
          </cell>
          <cell r="O52">
            <v>1425.7413799999999</v>
          </cell>
          <cell r="P52">
            <v>35.358619999999995</v>
          </cell>
          <cell r="Q52">
            <v>1461.1</v>
          </cell>
          <cell r="S52">
            <v>1666.6666666666667</v>
          </cell>
          <cell r="T52">
            <v>1461.8333333333335</v>
          </cell>
          <cell r="U52">
            <v>204.83333333333334</v>
          </cell>
          <cell r="V52">
            <v>0</v>
          </cell>
          <cell r="W52">
            <v>0</v>
          </cell>
          <cell r="X52"/>
          <cell r="Z52">
            <v>1666.6666666666667</v>
          </cell>
          <cell r="AA52">
            <v>1461.8333333333335</v>
          </cell>
          <cell r="AB52">
            <v>204.83333333333334</v>
          </cell>
          <cell r="AC52">
            <v>0</v>
          </cell>
          <cell r="AD52">
            <v>0</v>
          </cell>
          <cell r="AE52"/>
          <cell r="AG52">
            <v>1666.6666666666667</v>
          </cell>
          <cell r="AH52">
            <v>1461.8333333333335</v>
          </cell>
          <cell r="AI52">
            <v>204.83333333333334</v>
          </cell>
          <cell r="AJ52">
            <v>0</v>
          </cell>
          <cell r="AK52">
            <v>0</v>
          </cell>
          <cell r="AL52"/>
          <cell r="AN52">
            <v>1666.6666666666667</v>
          </cell>
          <cell r="AO52">
            <v>1461.8333333333335</v>
          </cell>
          <cell r="AP52">
            <v>204.83333333333334</v>
          </cell>
          <cell r="AQ52">
            <v>0</v>
          </cell>
          <cell r="AR52">
            <v>0</v>
          </cell>
          <cell r="AS52"/>
          <cell r="AU52">
            <v>1666.6666666666667</v>
          </cell>
          <cell r="AV52">
            <v>1461.8333333333335</v>
          </cell>
          <cell r="AW52">
            <v>204.83333333333334</v>
          </cell>
          <cell r="AX52">
            <v>0</v>
          </cell>
          <cell r="AY52">
            <v>0</v>
          </cell>
          <cell r="AZ52"/>
          <cell r="BB52">
            <v>1666.6666666666667</v>
          </cell>
          <cell r="BC52">
            <v>1461.8333333333335</v>
          </cell>
          <cell r="BD52">
            <v>204.83333333333334</v>
          </cell>
          <cell r="BE52">
            <v>0</v>
          </cell>
          <cell r="BF52">
            <v>0</v>
          </cell>
          <cell r="BG52"/>
          <cell r="BI52">
            <v>1666.6666666666667</v>
          </cell>
          <cell r="BJ52">
            <v>1461.8333333333335</v>
          </cell>
          <cell r="BK52">
            <v>204.83333333333334</v>
          </cell>
          <cell r="BL52">
            <v>0</v>
          </cell>
          <cell r="BM52">
            <v>0</v>
          </cell>
          <cell r="BN52"/>
          <cell r="BP52">
            <v>1666.6666666666667</v>
          </cell>
          <cell r="BQ52">
            <v>1461.8333333333335</v>
          </cell>
          <cell r="BR52">
            <v>204.83333333333334</v>
          </cell>
          <cell r="BS52">
            <v>0</v>
          </cell>
          <cell r="BT52">
            <v>0</v>
          </cell>
          <cell r="BU52"/>
          <cell r="BW52">
            <v>1666.6666666666667</v>
          </cell>
          <cell r="BX52">
            <v>1461.8333333333335</v>
          </cell>
          <cell r="BY52">
            <v>204.83333333333334</v>
          </cell>
          <cell r="BZ52">
            <v>0</v>
          </cell>
          <cell r="CA52">
            <v>0</v>
          </cell>
          <cell r="CB52"/>
          <cell r="CD52">
            <v>1666.6666666666667</v>
          </cell>
          <cell r="CE52">
            <v>1461.8333333333335</v>
          </cell>
          <cell r="CF52">
            <v>204.83333333333334</v>
          </cell>
          <cell r="CG52">
            <v>0</v>
          </cell>
          <cell r="CH52">
            <v>0</v>
          </cell>
          <cell r="CI52"/>
          <cell r="CK52">
            <v>1666.6666666666667</v>
          </cell>
          <cell r="CL52">
            <v>1461.8333333333335</v>
          </cell>
          <cell r="CM52">
            <v>204.83333333333334</v>
          </cell>
          <cell r="CN52">
            <v>0</v>
          </cell>
          <cell r="CO52">
            <v>0</v>
          </cell>
          <cell r="CP52"/>
        </row>
        <row r="53">
          <cell r="L53">
            <v>10000</v>
          </cell>
          <cell r="M53">
            <v>8771</v>
          </cell>
          <cell r="N53">
            <v>1229</v>
          </cell>
          <cell r="O53">
            <v>0</v>
          </cell>
          <cell r="P53">
            <v>0</v>
          </cell>
          <cell r="Q53"/>
          <cell r="S53">
            <v>10000</v>
          </cell>
          <cell r="T53">
            <v>8771</v>
          </cell>
          <cell r="U53">
            <v>1229</v>
          </cell>
          <cell r="V53">
            <v>89.441828000000001</v>
          </cell>
          <cell r="W53">
            <v>2.218172</v>
          </cell>
          <cell r="X53">
            <v>91.66</v>
          </cell>
          <cell r="Z53">
            <v>10000</v>
          </cell>
          <cell r="AA53">
            <v>8771</v>
          </cell>
          <cell r="AB53">
            <v>1229</v>
          </cell>
          <cell r="AC53">
            <v>0</v>
          </cell>
          <cell r="AD53">
            <v>0</v>
          </cell>
          <cell r="AE53"/>
          <cell r="AG53">
            <v>10000</v>
          </cell>
          <cell r="AH53">
            <v>8771</v>
          </cell>
          <cell r="AI53">
            <v>1229</v>
          </cell>
          <cell r="AJ53">
            <v>0</v>
          </cell>
          <cell r="AK53">
            <v>0</v>
          </cell>
          <cell r="AL53"/>
          <cell r="AN53">
            <v>10000</v>
          </cell>
          <cell r="AO53">
            <v>8771</v>
          </cell>
          <cell r="AP53">
            <v>1229</v>
          </cell>
          <cell r="AQ53">
            <v>0</v>
          </cell>
          <cell r="AR53">
            <v>0</v>
          </cell>
          <cell r="AS53"/>
          <cell r="AU53">
            <v>10000</v>
          </cell>
          <cell r="AV53">
            <v>8771</v>
          </cell>
          <cell r="AW53">
            <v>1229</v>
          </cell>
          <cell r="AX53">
            <v>0</v>
          </cell>
          <cell r="AY53">
            <v>0</v>
          </cell>
          <cell r="AZ53"/>
          <cell r="BB53">
            <v>10000</v>
          </cell>
          <cell r="BC53">
            <v>8771</v>
          </cell>
          <cell r="BD53">
            <v>1229</v>
          </cell>
          <cell r="BE53">
            <v>0</v>
          </cell>
          <cell r="BF53">
            <v>0</v>
          </cell>
          <cell r="BG53"/>
          <cell r="BI53">
            <v>10000</v>
          </cell>
          <cell r="BJ53">
            <v>8771</v>
          </cell>
          <cell r="BK53">
            <v>1229</v>
          </cell>
          <cell r="BL53">
            <v>0</v>
          </cell>
          <cell r="BM53">
            <v>0</v>
          </cell>
          <cell r="BN53"/>
          <cell r="BP53">
            <v>10000</v>
          </cell>
          <cell r="BQ53">
            <v>8771</v>
          </cell>
          <cell r="BR53">
            <v>1229</v>
          </cell>
          <cell r="BS53">
            <v>0</v>
          </cell>
          <cell r="BT53">
            <v>0</v>
          </cell>
          <cell r="BU53"/>
          <cell r="BW53">
            <v>10000</v>
          </cell>
          <cell r="BX53">
            <v>8771</v>
          </cell>
          <cell r="BY53">
            <v>1229</v>
          </cell>
          <cell r="BZ53">
            <v>0</v>
          </cell>
          <cell r="CA53">
            <v>0</v>
          </cell>
          <cell r="CB53"/>
          <cell r="CD53">
            <v>10000</v>
          </cell>
          <cell r="CE53">
            <v>8771</v>
          </cell>
          <cell r="CF53">
            <v>1229</v>
          </cell>
          <cell r="CG53">
            <v>0</v>
          </cell>
          <cell r="CH53">
            <v>0</v>
          </cell>
          <cell r="CI53"/>
          <cell r="CK53">
            <v>10000</v>
          </cell>
          <cell r="CL53">
            <v>8771</v>
          </cell>
          <cell r="CM53">
            <v>1229</v>
          </cell>
          <cell r="CN53">
            <v>0</v>
          </cell>
          <cell r="CO53">
            <v>0</v>
          </cell>
          <cell r="CP53"/>
        </row>
        <row r="54">
          <cell r="L54">
            <v>59196.428571428572</v>
          </cell>
          <cell r="M54">
            <v>51921.1875</v>
          </cell>
          <cell r="N54">
            <v>7275.2410714285716</v>
          </cell>
          <cell r="O54">
            <v>0</v>
          </cell>
          <cell r="P54">
            <v>0</v>
          </cell>
          <cell r="Q54"/>
          <cell r="S54">
            <v>59196.428571428572</v>
          </cell>
          <cell r="T54">
            <v>51921.1875</v>
          </cell>
          <cell r="U54">
            <v>7275.2410714285716</v>
          </cell>
          <cell r="V54">
            <v>106697.69955600001</v>
          </cell>
          <cell r="W54">
            <v>2646.1204440000001</v>
          </cell>
          <cell r="X54">
            <v>109343.82</v>
          </cell>
          <cell r="Z54">
            <v>59196.428571428572</v>
          </cell>
          <cell r="AA54">
            <v>51921.1875</v>
          </cell>
          <cell r="AB54">
            <v>7275.2410714285716</v>
          </cell>
          <cell r="AC54">
            <v>85857.958549999996</v>
          </cell>
          <cell r="AD54">
            <v>2129.2914499999997</v>
          </cell>
          <cell r="AE54">
            <v>87987.25</v>
          </cell>
          <cell r="AG54">
            <v>59196.428571428572</v>
          </cell>
          <cell r="AH54">
            <v>51921.1875</v>
          </cell>
          <cell r="AI54">
            <v>7275.2410714285716</v>
          </cell>
          <cell r="AJ54">
            <v>0</v>
          </cell>
          <cell r="AK54">
            <v>0</v>
          </cell>
          <cell r="AL54"/>
          <cell r="AN54">
            <v>59196.428571428572</v>
          </cell>
          <cell r="AO54">
            <v>51921.1875</v>
          </cell>
          <cell r="AP54">
            <v>7275.2410714285716</v>
          </cell>
          <cell r="AQ54">
            <v>0</v>
          </cell>
          <cell r="AR54">
            <v>0</v>
          </cell>
          <cell r="AS54"/>
          <cell r="AU54">
            <v>59196.428571428572</v>
          </cell>
          <cell r="AV54">
            <v>51921.1875</v>
          </cell>
          <cell r="AW54">
            <v>7275.2410714285716</v>
          </cell>
          <cell r="AX54">
            <v>0</v>
          </cell>
          <cell r="AY54">
            <v>0</v>
          </cell>
          <cell r="AZ54"/>
          <cell r="BB54">
            <v>59196.428571428572</v>
          </cell>
          <cell r="BC54">
            <v>51921.1875</v>
          </cell>
          <cell r="BD54">
            <v>7275.2410714285716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-32439.446366782009</v>
          </cell>
          <cell r="M56">
            <v>-28452.638408304501</v>
          </cell>
          <cell r="N56">
            <v>-3986.8079584775087</v>
          </cell>
          <cell r="O56">
            <v>0</v>
          </cell>
          <cell r="P56">
            <v>0</v>
          </cell>
          <cell r="Q56"/>
          <cell r="S56">
            <v>-32439.446366782009</v>
          </cell>
          <cell r="T56">
            <v>-28452.638408304501</v>
          </cell>
          <cell r="U56">
            <v>-3986.8079584775087</v>
          </cell>
          <cell r="V56">
            <v>-31438.246335999997</v>
          </cell>
          <cell r="W56">
            <v>-779.67366399999992</v>
          </cell>
          <cell r="X56">
            <v>-32217.919999999998</v>
          </cell>
          <cell r="Z56">
            <v>-32439.446366782009</v>
          </cell>
          <cell r="AA56">
            <v>-28452.638408304501</v>
          </cell>
          <cell r="AB56">
            <v>-3986.8079584775087</v>
          </cell>
          <cell r="AC56">
            <v>2162.548444</v>
          </cell>
          <cell r="AD56">
            <v>53.631555999999996</v>
          </cell>
          <cell r="AE56">
            <v>2216.1799999999998</v>
          </cell>
          <cell r="AG56">
            <v>-32439.446366782009</v>
          </cell>
          <cell r="AH56">
            <v>-28452.638408304501</v>
          </cell>
          <cell r="AI56">
            <v>-3986.8079584775087</v>
          </cell>
          <cell r="AJ56">
            <v>-57726.112934000004</v>
          </cell>
          <cell r="AK56">
            <v>-1431.617066</v>
          </cell>
          <cell r="AL56">
            <v>-59157.73</v>
          </cell>
          <cell r="AN56">
            <v>-32439.446366782009</v>
          </cell>
          <cell r="AO56">
            <v>-28452.638408304501</v>
          </cell>
          <cell r="AP56">
            <v>-3986.8079584775087</v>
          </cell>
          <cell r="AQ56">
            <v>0</v>
          </cell>
          <cell r="AR56">
            <v>0</v>
          </cell>
          <cell r="AS56"/>
          <cell r="AU56">
            <v>-32439.446366782009</v>
          </cell>
          <cell r="AV56">
            <v>-28452.638408304501</v>
          </cell>
          <cell r="AW56">
            <v>-3986.8079584775087</v>
          </cell>
          <cell r="AX56">
            <v>0</v>
          </cell>
          <cell r="AY56">
            <v>0</v>
          </cell>
          <cell r="AZ56"/>
          <cell r="BB56">
            <v>-32439.446366782009</v>
          </cell>
          <cell r="BC56">
            <v>-28452.638408304501</v>
          </cell>
          <cell r="BD56">
            <v>-3986.8079584775087</v>
          </cell>
          <cell r="BE56">
            <v>0</v>
          </cell>
          <cell r="BF56">
            <v>0</v>
          </cell>
          <cell r="BG56"/>
          <cell r="BI56">
            <v>-32439.446366782009</v>
          </cell>
          <cell r="BJ56">
            <v>-28452.638408304501</v>
          </cell>
          <cell r="BK56">
            <v>-3986.8079584775087</v>
          </cell>
          <cell r="BL56">
            <v>0</v>
          </cell>
          <cell r="BM56">
            <v>0</v>
          </cell>
          <cell r="BN56"/>
          <cell r="BP56">
            <v>-32439.446366782009</v>
          </cell>
          <cell r="BQ56">
            <v>-28452.638408304501</v>
          </cell>
          <cell r="BR56">
            <v>-3986.8079584775087</v>
          </cell>
          <cell r="BS56">
            <v>0</v>
          </cell>
          <cell r="BT56">
            <v>0</v>
          </cell>
          <cell r="BU56"/>
          <cell r="BW56">
            <v>-32439.446366782009</v>
          </cell>
          <cell r="BX56">
            <v>-28452.638408304501</v>
          </cell>
          <cell r="BY56">
            <v>-3986.8079584775087</v>
          </cell>
          <cell r="BZ56">
            <v>0</v>
          </cell>
          <cell r="CA56">
            <v>0</v>
          </cell>
          <cell r="CB56"/>
          <cell r="CD56">
            <v>-32439.446366782009</v>
          </cell>
          <cell r="CE56">
            <v>-28452.638408304501</v>
          </cell>
          <cell r="CF56">
            <v>-3986.8079584775087</v>
          </cell>
          <cell r="CG56">
            <v>0</v>
          </cell>
          <cell r="CH56">
            <v>0</v>
          </cell>
          <cell r="CI56"/>
          <cell r="CK56">
            <v>-32439.446366782009</v>
          </cell>
          <cell r="CL56">
            <v>-28452.638408304501</v>
          </cell>
          <cell r="CM56">
            <v>-3986.8079584775087</v>
          </cell>
          <cell r="CN56">
            <v>0</v>
          </cell>
          <cell r="CO56">
            <v>0</v>
          </cell>
          <cell r="CP56"/>
        </row>
        <row r="57">
          <cell r="L57">
            <v>-10813.148788927336</v>
          </cell>
          <cell r="M57">
            <v>-9484.2128027681665</v>
          </cell>
          <cell r="N57">
            <v>-1328.9359861591695</v>
          </cell>
          <cell r="O57">
            <v>-41603.418402000003</v>
          </cell>
          <cell r="P57">
            <v>-1031.771598</v>
          </cell>
          <cell r="Q57">
            <v>-42635.19</v>
          </cell>
          <cell r="S57">
            <v>-10813.148788927336</v>
          </cell>
          <cell r="T57">
            <v>-9484.2128027681665</v>
          </cell>
          <cell r="U57">
            <v>-1328.9359861591695</v>
          </cell>
          <cell r="V57">
            <v>-6146.9447620000001</v>
          </cell>
          <cell r="W57">
            <v>-152.44523800000002</v>
          </cell>
          <cell r="X57">
            <v>-6299.39</v>
          </cell>
          <cell r="Z57">
            <v>-10813.148788927336</v>
          </cell>
          <cell r="AA57">
            <v>-9484.2128027681665</v>
          </cell>
          <cell r="AB57">
            <v>-1328.9359861591695</v>
          </cell>
          <cell r="AC57">
            <v>-27026.147120000001</v>
          </cell>
          <cell r="AD57">
            <v>-670.25288</v>
          </cell>
          <cell r="AE57">
            <v>-27696.400000000001</v>
          </cell>
          <cell r="AG57">
            <v>-10813.148788927336</v>
          </cell>
          <cell r="AH57">
            <v>-9484.2128027681665</v>
          </cell>
          <cell r="AI57">
            <v>-1328.9359861591695</v>
          </cell>
          <cell r="AJ57">
            <v>0</v>
          </cell>
          <cell r="AK57">
            <v>0</v>
          </cell>
          <cell r="AL57"/>
          <cell r="AN57">
            <v>-10813.148788927336</v>
          </cell>
          <cell r="AO57">
            <v>-9484.2128027681665</v>
          </cell>
          <cell r="AP57">
            <v>-1328.9359861591695</v>
          </cell>
          <cell r="AQ57">
            <v>0</v>
          </cell>
          <cell r="AR57">
            <v>0</v>
          </cell>
          <cell r="AS57"/>
          <cell r="AU57">
            <v>-10813.148788927336</v>
          </cell>
          <cell r="AV57">
            <v>-9484.2128027681665</v>
          </cell>
          <cell r="AW57">
            <v>-1328.9359861591695</v>
          </cell>
          <cell r="AX57">
            <v>0</v>
          </cell>
          <cell r="AY57">
            <v>0</v>
          </cell>
          <cell r="AZ57"/>
          <cell r="BB57">
            <v>-10813.148788927336</v>
          </cell>
          <cell r="BC57">
            <v>-9484.2128027681665</v>
          </cell>
          <cell r="BD57">
            <v>-1328.9359861591695</v>
          </cell>
          <cell r="BE57">
            <v>0</v>
          </cell>
          <cell r="BF57">
            <v>0</v>
          </cell>
          <cell r="BG57"/>
          <cell r="BI57">
            <v>-10813.148788927336</v>
          </cell>
          <cell r="BJ57">
            <v>-9484.2128027681665</v>
          </cell>
          <cell r="BK57">
            <v>-1328.9359861591695</v>
          </cell>
          <cell r="BL57">
            <v>0</v>
          </cell>
          <cell r="BM57">
            <v>0</v>
          </cell>
          <cell r="BN57"/>
          <cell r="BP57">
            <v>-10813.148788927336</v>
          </cell>
          <cell r="BQ57">
            <v>-9484.2128027681665</v>
          </cell>
          <cell r="BR57">
            <v>-1328.9359861591695</v>
          </cell>
          <cell r="BS57">
            <v>0</v>
          </cell>
          <cell r="BT57">
            <v>0</v>
          </cell>
          <cell r="BU57"/>
          <cell r="BW57">
            <v>-10813.148788927336</v>
          </cell>
          <cell r="BX57">
            <v>-9484.2128027681665</v>
          </cell>
          <cell r="BY57">
            <v>-1328.9359861591695</v>
          </cell>
          <cell r="BZ57">
            <v>0</v>
          </cell>
          <cell r="CA57">
            <v>0</v>
          </cell>
          <cell r="CB57"/>
          <cell r="CD57">
            <v>-10813.148788927336</v>
          </cell>
          <cell r="CE57">
            <v>-9484.2128027681665</v>
          </cell>
          <cell r="CF57">
            <v>-1328.9359861591695</v>
          </cell>
          <cell r="CG57">
            <v>0</v>
          </cell>
          <cell r="CH57">
            <v>0</v>
          </cell>
          <cell r="CI57"/>
          <cell r="CK57">
            <v>-10813.148788927336</v>
          </cell>
          <cell r="CL57">
            <v>-9484.2128027681665</v>
          </cell>
          <cell r="CM57">
            <v>-1328.9359861591695</v>
          </cell>
          <cell r="CN57">
            <v>0</v>
          </cell>
          <cell r="CO57">
            <v>0</v>
          </cell>
          <cell r="CP57"/>
        </row>
      </sheetData>
      <sheetData sheetId="7"/>
      <sheetData sheetId="8">
        <row r="4">
          <cell r="L4">
            <v>39849.882347359999</v>
          </cell>
          <cell r="M4">
            <v>34952.331806869457</v>
          </cell>
          <cell r="N4">
            <v>4897.5505404905434</v>
          </cell>
          <cell r="O4">
            <v>38130.906941789799</v>
          </cell>
          <cell r="P4">
            <v>782.15249467290005</v>
          </cell>
          <cell r="Q4">
            <v>38913.059436462696</v>
          </cell>
          <cell r="S4">
            <v>60058.76074736</v>
          </cell>
          <cell r="T4">
            <v>52677.539051509455</v>
          </cell>
          <cell r="U4">
            <v>7381.2216958505442</v>
          </cell>
          <cell r="V4">
            <v>36996.60929405153</v>
          </cell>
          <cell r="W4">
            <v>758.88544423965266</v>
          </cell>
          <cell r="X4">
            <v>37755.494738291185</v>
          </cell>
          <cell r="Z4">
            <v>39849.882347359999</v>
          </cell>
          <cell r="AA4">
            <v>34952.331806869457</v>
          </cell>
          <cell r="AB4">
            <v>4897.5505404905434</v>
          </cell>
          <cell r="AC4">
            <v>47884.118021052767</v>
          </cell>
          <cell r="AD4">
            <v>982.2132587235028</v>
          </cell>
          <cell r="AE4">
            <v>48866.33127977627</v>
          </cell>
          <cell r="AG4">
            <v>39849.882347359999</v>
          </cell>
          <cell r="AH4">
            <v>34952.331806869457</v>
          </cell>
          <cell r="AI4">
            <v>4897.5505404905434</v>
          </cell>
          <cell r="AJ4">
            <v>74058.330203648642</v>
          </cell>
          <cell r="AK4">
            <v>1519.1064772868021</v>
          </cell>
          <cell r="AL4">
            <v>75577.43668093544</v>
          </cell>
          <cell r="AN4">
            <v>39849.882347359999</v>
          </cell>
          <cell r="AO4">
            <v>34952.331806869457</v>
          </cell>
          <cell r="AP4">
            <v>4897.5505404905434</v>
          </cell>
          <cell r="AQ4">
            <v>0</v>
          </cell>
          <cell r="AR4">
            <v>0</v>
          </cell>
          <cell r="AS4">
            <v>0</v>
          </cell>
          <cell r="AU4">
            <v>39849.882347359999</v>
          </cell>
          <cell r="AV4">
            <v>34952.331806869457</v>
          </cell>
          <cell r="AW4">
            <v>4897.5505404905434</v>
          </cell>
          <cell r="AX4">
            <v>0</v>
          </cell>
          <cell r="AY4">
            <v>0</v>
          </cell>
          <cell r="AZ4">
            <v>0</v>
          </cell>
          <cell r="BB4">
            <v>39849.882347359999</v>
          </cell>
          <cell r="BC4">
            <v>34952.331806869457</v>
          </cell>
          <cell r="BD4">
            <v>4897.5505404905434</v>
          </cell>
          <cell r="BE4">
            <v>0</v>
          </cell>
          <cell r="BF4">
            <v>0</v>
          </cell>
          <cell r="BG4">
            <v>0</v>
          </cell>
          <cell r="BI4">
            <v>43037.8729351488</v>
          </cell>
          <cell r="BJ4">
            <v>37748.518351419014</v>
          </cell>
          <cell r="BK4">
            <v>5289.354583729787</v>
          </cell>
          <cell r="BL4">
            <v>0</v>
          </cell>
          <cell r="BM4">
            <v>0</v>
          </cell>
          <cell r="BN4">
            <v>0</v>
          </cell>
          <cell r="BP4">
            <v>43037.8729351488</v>
          </cell>
          <cell r="BQ4">
            <v>37748.518351419014</v>
          </cell>
          <cell r="BR4">
            <v>5289.354583729787</v>
          </cell>
          <cell r="BS4">
            <v>0</v>
          </cell>
          <cell r="BT4">
            <v>0</v>
          </cell>
          <cell r="BU4">
            <v>0</v>
          </cell>
          <cell r="BW4">
            <v>43037.8729351488</v>
          </cell>
          <cell r="BX4">
            <v>37748.518351419014</v>
          </cell>
          <cell r="BY4">
            <v>5289.354583729787</v>
          </cell>
          <cell r="BZ4">
            <v>0</v>
          </cell>
          <cell r="CA4">
            <v>0</v>
          </cell>
          <cell r="CB4">
            <v>0</v>
          </cell>
          <cell r="CD4">
            <v>43037.8729351488</v>
          </cell>
          <cell r="CE4">
            <v>37748.518351419014</v>
          </cell>
          <cell r="CF4">
            <v>5289.354583729787</v>
          </cell>
          <cell r="CG4">
            <v>0</v>
          </cell>
          <cell r="CH4">
            <v>0</v>
          </cell>
          <cell r="CI4">
            <v>0</v>
          </cell>
          <cell r="CK4">
            <v>43037.8729351488</v>
          </cell>
          <cell r="CL4">
            <v>37748.518351419014</v>
          </cell>
          <cell r="CM4">
            <v>5289.354583729787</v>
          </cell>
          <cell r="CN4">
            <v>0</v>
          </cell>
          <cell r="CO4">
            <v>0</v>
          </cell>
          <cell r="CP4">
            <v>0</v>
          </cell>
        </row>
        <row r="5">
          <cell r="L5">
            <v>1863.6</v>
          </cell>
          <cell r="M5">
            <v>1634.5635600000001</v>
          </cell>
          <cell r="N5">
            <v>229.03643999999997</v>
          </cell>
          <cell r="O5">
            <v>1479.1998690733108</v>
          </cell>
          <cell r="P5">
            <v>30.341787292962081</v>
          </cell>
          <cell r="Q5">
            <v>1509.5416563662729</v>
          </cell>
          <cell r="S5">
            <v>1863.6</v>
          </cell>
          <cell r="T5">
            <v>1634.5635600000001</v>
          </cell>
          <cell r="U5">
            <v>229.03643999999997</v>
          </cell>
          <cell r="V5">
            <v>1369.4122061507087</v>
          </cell>
          <cell r="W5">
            <v>28.089790125144646</v>
          </cell>
          <cell r="X5">
            <v>1397.5019962758533</v>
          </cell>
          <cell r="Z5">
            <v>1863.6</v>
          </cell>
          <cell r="AA5">
            <v>1634.5635600000001</v>
          </cell>
          <cell r="AB5">
            <v>229.03643999999997</v>
          </cell>
          <cell r="AC5">
            <v>624.45765829635809</v>
          </cell>
          <cell r="AD5">
            <v>12.80906105904357</v>
          </cell>
          <cell r="AE5">
            <v>637.26671935540162</v>
          </cell>
          <cell r="AG5">
            <v>1863.6</v>
          </cell>
          <cell r="AH5">
            <v>1634.5635600000001</v>
          </cell>
          <cell r="AI5">
            <v>229.03643999999997</v>
          </cell>
          <cell r="AJ5">
            <v>2831.1975220016066</v>
          </cell>
          <cell r="AK5">
            <v>58.074364927270416</v>
          </cell>
          <cell r="AL5">
            <v>2889.2718869288769</v>
          </cell>
          <cell r="AN5">
            <v>1863.6</v>
          </cell>
          <cell r="AO5">
            <v>1634.5635600000001</v>
          </cell>
          <cell r="AP5">
            <v>229.03643999999997</v>
          </cell>
          <cell r="AQ5">
            <v>0</v>
          </cell>
          <cell r="AR5">
            <v>0</v>
          </cell>
          <cell r="AS5">
            <v>0</v>
          </cell>
          <cell r="AU5">
            <v>1863.6</v>
          </cell>
          <cell r="AV5">
            <v>1634.5635600000001</v>
          </cell>
          <cell r="AW5">
            <v>229.03643999999997</v>
          </cell>
          <cell r="AX5">
            <v>0</v>
          </cell>
          <cell r="AY5">
            <v>0</v>
          </cell>
          <cell r="AZ5">
            <v>0</v>
          </cell>
          <cell r="BB5">
            <v>1863.6</v>
          </cell>
          <cell r="BC5">
            <v>1634.5635600000001</v>
          </cell>
          <cell r="BD5">
            <v>229.03643999999997</v>
          </cell>
          <cell r="BE5">
            <v>0</v>
          </cell>
          <cell r="BF5">
            <v>0</v>
          </cell>
          <cell r="BG5">
            <v>0</v>
          </cell>
          <cell r="BI5">
            <v>1863.6</v>
          </cell>
          <cell r="BJ5">
            <v>1634.5635600000001</v>
          </cell>
          <cell r="BK5">
            <v>229.03643999999997</v>
          </cell>
          <cell r="BL5">
            <v>0</v>
          </cell>
          <cell r="BM5">
            <v>0</v>
          </cell>
          <cell r="BN5">
            <v>0</v>
          </cell>
          <cell r="BP5">
            <v>1863.6</v>
          </cell>
          <cell r="BQ5">
            <v>1634.5635600000001</v>
          </cell>
          <cell r="BR5">
            <v>229.03643999999997</v>
          </cell>
          <cell r="BS5">
            <v>0</v>
          </cell>
          <cell r="BT5">
            <v>0</v>
          </cell>
          <cell r="BU5">
            <v>0</v>
          </cell>
          <cell r="BW5">
            <v>1863.6</v>
          </cell>
          <cell r="BX5">
            <v>1634.5635600000001</v>
          </cell>
          <cell r="BY5">
            <v>229.03643999999997</v>
          </cell>
          <cell r="BZ5">
            <v>0</v>
          </cell>
          <cell r="CA5">
            <v>0</v>
          </cell>
          <cell r="CB5">
            <v>0</v>
          </cell>
          <cell r="CD5">
            <v>1863.6</v>
          </cell>
          <cell r="CE5">
            <v>1634.5635600000001</v>
          </cell>
          <cell r="CF5">
            <v>229.03643999999997</v>
          </cell>
          <cell r="CG5">
            <v>0</v>
          </cell>
          <cell r="CH5">
            <v>0</v>
          </cell>
          <cell r="CI5">
            <v>0</v>
          </cell>
          <cell r="CK5">
            <v>1863.6</v>
          </cell>
          <cell r="CL5">
            <v>1634.5635600000001</v>
          </cell>
          <cell r="CM5">
            <v>229.03643999999997</v>
          </cell>
          <cell r="CN5">
            <v>0</v>
          </cell>
          <cell r="CO5">
            <v>0</v>
          </cell>
          <cell r="CP5">
            <v>0</v>
          </cell>
        </row>
        <row r="6">
          <cell r="L6">
            <v>5240.7279829279996</v>
          </cell>
          <cell r="M6">
            <v>4596.6425138261484</v>
          </cell>
          <cell r="N6">
            <v>644.08546910185112</v>
          </cell>
          <cell r="O6">
            <v>4938.093143235692</v>
          </cell>
          <cell r="P6">
            <v>101.29163402289763</v>
          </cell>
          <cell r="Q6">
            <v>5039.3847772585896</v>
          </cell>
          <cell r="S6">
            <v>5240.7279829279996</v>
          </cell>
          <cell r="T6">
            <v>4596.6425138261484</v>
          </cell>
          <cell r="U6">
            <v>644.08546910185112</v>
          </cell>
          <cell r="V6">
            <v>4661.6431407998361</v>
          </cell>
          <cell r="W6">
            <v>95.621009419406761</v>
          </cell>
          <cell r="X6">
            <v>4757.2641502192428</v>
          </cell>
          <cell r="Z6">
            <v>5240.7279829279996</v>
          </cell>
          <cell r="AA6">
            <v>4596.6425138261484</v>
          </cell>
          <cell r="AB6">
            <v>644.08546910185112</v>
          </cell>
          <cell r="AC6">
            <v>4957.467436692621</v>
          </cell>
          <cell r="AD6">
            <v>101.68904528780658</v>
          </cell>
          <cell r="AE6">
            <v>5059.156481980428</v>
          </cell>
          <cell r="AG6">
            <v>5240.7279829279996</v>
          </cell>
          <cell r="AH6">
            <v>4596.6425138261484</v>
          </cell>
          <cell r="AI6">
            <v>644.08546910185112</v>
          </cell>
          <cell r="AJ6">
            <v>5034.5907523832957</v>
          </cell>
          <cell r="AK6">
            <v>103.27102165823474</v>
          </cell>
          <cell r="AL6">
            <v>5137.8617740415302</v>
          </cell>
          <cell r="AN6">
            <v>5240.7279829279996</v>
          </cell>
          <cell r="AO6">
            <v>4596.6425138261484</v>
          </cell>
          <cell r="AP6">
            <v>644.08546910185112</v>
          </cell>
          <cell r="AQ6">
            <v>0</v>
          </cell>
          <cell r="AR6">
            <v>0</v>
          </cell>
          <cell r="AS6">
            <v>0</v>
          </cell>
          <cell r="AU6">
            <v>5240.7279829279996</v>
          </cell>
          <cell r="AV6">
            <v>4596.6425138261484</v>
          </cell>
          <cell r="AW6">
            <v>644.08546910185112</v>
          </cell>
          <cell r="AX6">
            <v>0</v>
          </cell>
          <cell r="AY6">
            <v>0</v>
          </cell>
          <cell r="AZ6">
            <v>0</v>
          </cell>
          <cell r="BB6">
            <v>5240.7279829279996</v>
          </cell>
          <cell r="BC6">
            <v>4596.6425138261484</v>
          </cell>
          <cell r="BD6">
            <v>644.08546910185112</v>
          </cell>
          <cell r="BE6">
            <v>0</v>
          </cell>
          <cell r="BF6">
            <v>0</v>
          </cell>
          <cell r="BG6">
            <v>0</v>
          </cell>
          <cell r="BI6">
            <v>5642.6920135622404</v>
          </cell>
          <cell r="BJ6">
            <v>4949.2051650954409</v>
          </cell>
          <cell r="BK6">
            <v>693.4868484667993</v>
          </cell>
          <cell r="BL6">
            <v>0</v>
          </cell>
          <cell r="BM6">
            <v>0</v>
          </cell>
          <cell r="BN6">
            <v>0</v>
          </cell>
          <cell r="BP6">
            <v>5642.6920135622404</v>
          </cell>
          <cell r="BQ6">
            <v>4949.2051650954409</v>
          </cell>
          <cell r="BR6">
            <v>693.4868484667993</v>
          </cell>
          <cell r="BS6">
            <v>0</v>
          </cell>
          <cell r="BT6">
            <v>0</v>
          </cell>
          <cell r="BU6">
            <v>0</v>
          </cell>
          <cell r="BW6">
            <v>5642.6920135622404</v>
          </cell>
          <cell r="BX6">
            <v>4949.2051650954409</v>
          </cell>
          <cell r="BY6">
            <v>693.4868484667993</v>
          </cell>
          <cell r="BZ6">
            <v>0</v>
          </cell>
          <cell r="CA6">
            <v>0</v>
          </cell>
          <cell r="CB6">
            <v>0</v>
          </cell>
          <cell r="CD6">
            <v>5642.6920135622404</v>
          </cell>
          <cell r="CE6">
            <v>4949.2051650954409</v>
          </cell>
          <cell r="CF6">
            <v>693.4868484667993</v>
          </cell>
          <cell r="CG6">
            <v>0</v>
          </cell>
          <cell r="CH6">
            <v>0</v>
          </cell>
          <cell r="CI6">
            <v>0</v>
          </cell>
          <cell r="CK6">
            <v>5642.6920135622404</v>
          </cell>
          <cell r="CL6">
            <v>4949.2051650954409</v>
          </cell>
          <cell r="CM6">
            <v>693.4868484667993</v>
          </cell>
          <cell r="CN6">
            <v>0</v>
          </cell>
          <cell r="CO6">
            <v>0</v>
          </cell>
          <cell r="CP6">
            <v>0</v>
          </cell>
        </row>
        <row r="7">
          <cell r="L7">
            <v>4066.0820557199995</v>
          </cell>
          <cell r="M7">
            <v>3566.3605710720117</v>
          </cell>
          <cell r="N7">
            <v>499.72148464798795</v>
          </cell>
          <cell r="O7">
            <v>3584.5156381798788</v>
          </cell>
          <cell r="P7">
            <v>73.526649992259976</v>
          </cell>
          <cell r="Q7">
            <v>3658.0422881721388</v>
          </cell>
          <cell r="S7">
            <v>4066.0820557199995</v>
          </cell>
          <cell r="T7">
            <v>3566.3605710720117</v>
          </cell>
          <cell r="U7">
            <v>499.72148464798795</v>
          </cell>
          <cell r="V7">
            <v>3254.597892176454</v>
          </cell>
          <cell r="W7">
            <v>66.7592791435317</v>
          </cell>
          <cell r="X7">
            <v>3321.3571713199858</v>
          </cell>
          <cell r="Z7">
            <v>4066.0820557199995</v>
          </cell>
          <cell r="AA7">
            <v>3566.3605710720117</v>
          </cell>
          <cell r="AB7">
            <v>499.72148464798795</v>
          </cell>
          <cell r="AC7">
            <v>3405.8476284914782</v>
          </cell>
          <cell r="AD7">
            <v>69.861758682190725</v>
          </cell>
          <cell r="AE7">
            <v>3475.7093871736688</v>
          </cell>
          <cell r="AG7">
            <v>4066.0820557199995</v>
          </cell>
          <cell r="AH7">
            <v>3566.3605710720117</v>
          </cell>
          <cell r="AI7">
            <v>499.72148464798795</v>
          </cell>
          <cell r="AJ7">
            <v>3488.9948841645578</v>
          </cell>
          <cell r="AK7">
            <v>71.567299899691392</v>
          </cell>
          <cell r="AL7">
            <v>3560.5621840642493</v>
          </cell>
          <cell r="AN7">
            <v>4066.0820557199995</v>
          </cell>
          <cell r="AO7">
            <v>3566.3605710720117</v>
          </cell>
          <cell r="AP7">
            <v>499.72148464798795</v>
          </cell>
          <cell r="AQ7">
            <v>0</v>
          </cell>
          <cell r="AR7">
            <v>0</v>
          </cell>
          <cell r="AS7">
            <v>0</v>
          </cell>
          <cell r="AU7">
            <v>4066.0820557199995</v>
          </cell>
          <cell r="AV7">
            <v>3566.3605710720117</v>
          </cell>
          <cell r="AW7">
            <v>499.72148464798795</v>
          </cell>
          <cell r="AX7">
            <v>0</v>
          </cell>
          <cell r="AY7">
            <v>0</v>
          </cell>
          <cell r="AZ7">
            <v>0</v>
          </cell>
          <cell r="BB7">
            <v>4066.0820557199995</v>
          </cell>
          <cell r="BC7">
            <v>3566.3605710720117</v>
          </cell>
          <cell r="BD7">
            <v>499.72148464798795</v>
          </cell>
          <cell r="BE7">
            <v>0</v>
          </cell>
          <cell r="BF7">
            <v>0</v>
          </cell>
          <cell r="BG7">
            <v>0</v>
          </cell>
          <cell r="BI7">
            <v>4377.9507001775992</v>
          </cell>
          <cell r="BJ7">
            <v>3839.9005591257724</v>
          </cell>
          <cell r="BK7">
            <v>538.05014105182693</v>
          </cell>
          <cell r="BL7">
            <v>0</v>
          </cell>
          <cell r="BM7">
            <v>0</v>
          </cell>
          <cell r="BN7">
            <v>0</v>
          </cell>
          <cell r="BP7">
            <v>4377.9507001775992</v>
          </cell>
          <cell r="BQ7">
            <v>3839.9005591257724</v>
          </cell>
          <cell r="BR7">
            <v>538.05014105182693</v>
          </cell>
          <cell r="BS7">
            <v>0</v>
          </cell>
          <cell r="BT7">
            <v>0</v>
          </cell>
          <cell r="BU7">
            <v>0</v>
          </cell>
          <cell r="BW7">
            <v>4377.9507001775992</v>
          </cell>
          <cell r="BX7">
            <v>3839.9005591257724</v>
          </cell>
          <cell r="BY7">
            <v>538.05014105182693</v>
          </cell>
          <cell r="BZ7">
            <v>0</v>
          </cell>
          <cell r="CA7">
            <v>0</v>
          </cell>
          <cell r="CB7">
            <v>0</v>
          </cell>
          <cell r="CD7">
            <v>4377.9507001775992</v>
          </cell>
          <cell r="CE7">
            <v>3839.9005591257724</v>
          </cell>
          <cell r="CF7">
            <v>538.05014105182693</v>
          </cell>
          <cell r="CG7">
            <v>0</v>
          </cell>
          <cell r="CH7">
            <v>0</v>
          </cell>
          <cell r="CI7">
            <v>0</v>
          </cell>
          <cell r="CK7">
            <v>4377.9507001775992</v>
          </cell>
          <cell r="CL7">
            <v>3839.9005591257724</v>
          </cell>
          <cell r="CM7">
            <v>538.05014105182693</v>
          </cell>
          <cell r="CN7">
            <v>0</v>
          </cell>
          <cell r="CO7">
            <v>0</v>
          </cell>
          <cell r="CP7">
            <v>0</v>
          </cell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B8">
            <v>45918.263147407197</v>
          </cell>
          <cell r="BC8">
            <v>40274.908606590849</v>
          </cell>
          <cell r="BD8">
            <v>5643.3545408163445</v>
          </cell>
          <cell r="BE8">
            <v>0</v>
          </cell>
          <cell r="BF8">
            <v>0</v>
          </cell>
          <cell r="BG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</row>
        <row r="9">
          <cell r="L9">
            <v>3026.9721970360001</v>
          </cell>
          <cell r="M9">
            <v>2654.9573140202756</v>
          </cell>
          <cell r="N9">
            <v>372.01488301572442</v>
          </cell>
          <cell r="O9">
            <v>8175.0654332414006</v>
          </cell>
          <cell r="P9">
            <v>167.68937157684672</v>
          </cell>
          <cell r="Q9">
            <v>8342.7548048182471</v>
          </cell>
          <cell r="S9">
            <v>3026.9721970360001</v>
          </cell>
          <cell r="T9">
            <v>2654.9573140202756</v>
          </cell>
          <cell r="U9">
            <v>372.01488301572442</v>
          </cell>
          <cell r="V9">
            <v>3759.9334940639578</v>
          </cell>
          <cell r="W9">
            <v>77.124873181636431</v>
          </cell>
          <cell r="X9">
            <v>3837.0583672455941</v>
          </cell>
          <cell r="Z9">
            <v>3026.9721970360001</v>
          </cell>
          <cell r="AA9">
            <v>2654.9573140202756</v>
          </cell>
          <cell r="AB9">
            <v>372.01488301572442</v>
          </cell>
          <cell r="AC9">
            <v>142.94043772067292</v>
          </cell>
          <cell r="AD9">
            <v>2.9320367365910047</v>
          </cell>
          <cell r="AE9">
            <v>145.87247445726393</v>
          </cell>
          <cell r="AG9">
            <v>3026.9721970360001</v>
          </cell>
          <cell r="AH9">
            <v>2654.9573140202756</v>
          </cell>
          <cell r="AI9">
            <v>372.01488301572442</v>
          </cell>
          <cell r="AJ9">
            <v>0</v>
          </cell>
          <cell r="AK9">
            <v>0</v>
          </cell>
          <cell r="AL9">
            <v>0</v>
          </cell>
          <cell r="AN9">
            <v>3026.9721970360001</v>
          </cell>
          <cell r="AO9">
            <v>2654.9573140202756</v>
          </cell>
          <cell r="AP9">
            <v>372.01488301572442</v>
          </cell>
          <cell r="AQ9">
            <v>0</v>
          </cell>
          <cell r="AR9">
            <v>0</v>
          </cell>
          <cell r="AS9">
            <v>0</v>
          </cell>
          <cell r="AU9">
            <v>3026.9721970360001</v>
          </cell>
          <cell r="AV9">
            <v>2654.9573140202756</v>
          </cell>
          <cell r="AW9">
            <v>372.01488301572442</v>
          </cell>
          <cell r="AX9">
            <v>0</v>
          </cell>
          <cell r="AY9">
            <v>0</v>
          </cell>
          <cell r="AZ9">
            <v>0</v>
          </cell>
          <cell r="BB9">
            <v>3026.9721970360001</v>
          </cell>
          <cell r="BC9">
            <v>2654.9573140202756</v>
          </cell>
          <cell r="BD9">
            <v>372.01488301572442</v>
          </cell>
          <cell r="BE9">
            <v>0</v>
          </cell>
          <cell r="BF9">
            <v>0</v>
          </cell>
          <cell r="BG9">
            <v>0</v>
          </cell>
          <cell r="BI9">
            <v>3259.14107679888</v>
          </cell>
          <cell r="BJ9">
            <v>2858.5926384602976</v>
          </cell>
          <cell r="BK9">
            <v>400.54843833858234</v>
          </cell>
          <cell r="BL9">
            <v>0</v>
          </cell>
          <cell r="BM9">
            <v>0</v>
          </cell>
          <cell r="BN9">
            <v>0</v>
          </cell>
          <cell r="BP9">
            <v>3259.14107679888</v>
          </cell>
          <cell r="BQ9">
            <v>2858.5926384602976</v>
          </cell>
          <cell r="BR9">
            <v>400.54843833858234</v>
          </cell>
          <cell r="BS9">
            <v>0</v>
          </cell>
          <cell r="BT9">
            <v>0</v>
          </cell>
          <cell r="BU9">
            <v>0</v>
          </cell>
          <cell r="BW9">
            <v>3259.14107679888</v>
          </cell>
          <cell r="BX9">
            <v>2858.5926384602976</v>
          </cell>
          <cell r="BY9">
            <v>400.54843833858234</v>
          </cell>
          <cell r="BZ9">
            <v>0</v>
          </cell>
          <cell r="CA9">
            <v>0</v>
          </cell>
          <cell r="CB9">
            <v>0</v>
          </cell>
          <cell r="CD9">
            <v>3259.14107679888</v>
          </cell>
          <cell r="CE9">
            <v>2858.5926384602976</v>
          </cell>
          <cell r="CF9">
            <v>400.54843833858234</v>
          </cell>
          <cell r="CG9">
            <v>0</v>
          </cell>
          <cell r="CH9">
            <v>0</v>
          </cell>
          <cell r="CI9">
            <v>0</v>
          </cell>
          <cell r="CK9">
            <v>3259.14107679888</v>
          </cell>
          <cell r="CL9">
            <v>2858.5926384602976</v>
          </cell>
          <cell r="CM9">
            <v>400.54843833858234</v>
          </cell>
          <cell r="CN9">
            <v>0</v>
          </cell>
          <cell r="CO9">
            <v>0</v>
          </cell>
          <cell r="CP9">
            <v>0</v>
          </cell>
        </row>
        <row r="10">
          <cell r="L10">
            <v>1428.76</v>
          </cell>
          <cell r="M10">
            <v>1253.1653959999999</v>
          </cell>
          <cell r="N10">
            <v>175.594604</v>
          </cell>
          <cell r="O10">
            <v>0</v>
          </cell>
          <cell r="P10">
            <v>0</v>
          </cell>
          <cell r="Q10">
            <v>0</v>
          </cell>
          <cell r="S10">
            <v>1428.76</v>
          </cell>
          <cell r="T10">
            <v>1253.1653959999999</v>
          </cell>
          <cell r="U10">
            <v>175.594604</v>
          </cell>
          <cell r="V10">
            <v>814.04594356848122</v>
          </cell>
          <cell r="W10">
            <v>16.697952307099161</v>
          </cell>
          <cell r="X10">
            <v>830.74389587558039</v>
          </cell>
          <cell r="Z10">
            <v>1428.76</v>
          </cell>
          <cell r="AA10">
            <v>1253.1653959999999</v>
          </cell>
          <cell r="AB10">
            <v>175.594604</v>
          </cell>
          <cell r="AC10">
            <v>976.85513228217746</v>
          </cell>
          <cell r="AD10">
            <v>20.037542768518996</v>
          </cell>
          <cell r="AE10">
            <v>996.89267505069643</v>
          </cell>
          <cell r="AG10">
            <v>1428.76</v>
          </cell>
          <cell r="AH10">
            <v>1253.1653959999999</v>
          </cell>
          <cell r="AI10">
            <v>175.594604</v>
          </cell>
          <cell r="AJ10">
            <v>1953.7102645643549</v>
          </cell>
          <cell r="AK10">
            <v>40.075085537037992</v>
          </cell>
          <cell r="AL10">
            <v>1993.7853501013929</v>
          </cell>
          <cell r="AN10">
            <v>1428.76</v>
          </cell>
          <cell r="AO10">
            <v>1253.1653959999999</v>
          </cell>
          <cell r="AP10">
            <v>175.594604</v>
          </cell>
          <cell r="AQ10">
            <v>0</v>
          </cell>
          <cell r="AR10">
            <v>0</v>
          </cell>
          <cell r="AS10">
            <v>0</v>
          </cell>
          <cell r="AU10">
            <v>1428.76</v>
          </cell>
          <cell r="AV10">
            <v>1253.1653959999999</v>
          </cell>
          <cell r="AW10">
            <v>175.594604</v>
          </cell>
          <cell r="AX10">
            <v>0</v>
          </cell>
          <cell r="AY10">
            <v>0</v>
          </cell>
          <cell r="AZ10">
            <v>0</v>
          </cell>
          <cell r="BB10">
            <v>1428.76</v>
          </cell>
          <cell r="BC10">
            <v>1253.1653959999999</v>
          </cell>
          <cell r="BD10">
            <v>175.594604</v>
          </cell>
          <cell r="BE10">
            <v>0</v>
          </cell>
          <cell r="BF10">
            <v>0</v>
          </cell>
          <cell r="BG10">
            <v>0</v>
          </cell>
          <cell r="BI10">
            <v>1428.76</v>
          </cell>
          <cell r="BJ10">
            <v>1253.1653959999999</v>
          </cell>
          <cell r="BK10">
            <v>175.594604</v>
          </cell>
          <cell r="BL10">
            <v>0</v>
          </cell>
          <cell r="BM10">
            <v>0</v>
          </cell>
          <cell r="BN10">
            <v>0</v>
          </cell>
          <cell r="BP10">
            <v>1428.76</v>
          </cell>
          <cell r="BQ10">
            <v>1253.1653959999999</v>
          </cell>
          <cell r="BR10">
            <v>175.594604</v>
          </cell>
          <cell r="BS10">
            <v>0</v>
          </cell>
          <cell r="BT10">
            <v>0</v>
          </cell>
          <cell r="BU10">
            <v>0</v>
          </cell>
          <cell r="BW10">
            <v>1428.76</v>
          </cell>
          <cell r="BX10">
            <v>1253.1653959999999</v>
          </cell>
          <cell r="BY10">
            <v>175.594604</v>
          </cell>
          <cell r="BZ10">
            <v>0</v>
          </cell>
          <cell r="CA10">
            <v>0</v>
          </cell>
          <cell r="CB10">
            <v>0</v>
          </cell>
          <cell r="CD10">
            <v>1428.76</v>
          </cell>
          <cell r="CE10">
            <v>1253.1653959999999</v>
          </cell>
          <cell r="CF10">
            <v>175.594604</v>
          </cell>
          <cell r="CG10">
            <v>0</v>
          </cell>
          <cell r="CH10">
            <v>0</v>
          </cell>
          <cell r="CI10">
            <v>0</v>
          </cell>
          <cell r="CK10">
            <v>1428.76</v>
          </cell>
          <cell r="CL10">
            <v>1253.1653959999999</v>
          </cell>
          <cell r="CM10">
            <v>175.594604</v>
          </cell>
          <cell r="CN10">
            <v>0</v>
          </cell>
          <cell r="CO10">
            <v>0</v>
          </cell>
          <cell r="CP10">
            <v>0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</row>
        <row r="12">
          <cell r="L12">
            <v>1928.826</v>
          </cell>
          <cell r="M12">
            <v>1691.7732846000001</v>
          </cell>
          <cell r="N12">
            <v>237.05271539999998</v>
          </cell>
          <cell r="O12">
            <v>1745.6160015084415</v>
          </cell>
          <cell r="P12">
            <v>35.806594173201013</v>
          </cell>
          <cell r="Q12">
            <v>1781.4225956816426</v>
          </cell>
          <cell r="S12">
            <v>1928.826</v>
          </cell>
          <cell r="T12">
            <v>1691.7732846000001</v>
          </cell>
          <cell r="U12">
            <v>237.05271539999998</v>
          </cell>
          <cell r="V12">
            <v>0</v>
          </cell>
          <cell r="W12">
            <v>0</v>
          </cell>
          <cell r="X12">
            <v>0</v>
          </cell>
          <cell r="Z12">
            <v>1928.826</v>
          </cell>
          <cell r="AA12">
            <v>1691.7732846000001</v>
          </cell>
          <cell r="AB12">
            <v>237.05271539999998</v>
          </cell>
          <cell r="AC12">
            <v>1870.948926968226</v>
          </cell>
          <cell r="AD12">
            <v>38.377460385816242</v>
          </cell>
          <cell r="AE12">
            <v>1909.3263873540423</v>
          </cell>
          <cell r="AG12">
            <v>1928.826</v>
          </cell>
          <cell r="AH12">
            <v>1691.7732846000001</v>
          </cell>
          <cell r="AI12">
            <v>237.05271539999998</v>
          </cell>
          <cell r="AJ12">
            <v>1870.948926968226</v>
          </cell>
          <cell r="AK12">
            <v>38.377460385816242</v>
          </cell>
          <cell r="AL12">
            <v>1909.3263873540423</v>
          </cell>
          <cell r="AN12">
            <v>1928.826</v>
          </cell>
          <cell r="AO12">
            <v>1691.7732846000001</v>
          </cell>
          <cell r="AP12">
            <v>237.05271539999998</v>
          </cell>
          <cell r="AQ12">
            <v>0</v>
          </cell>
          <cell r="AR12">
            <v>0</v>
          </cell>
          <cell r="AS12">
            <v>0</v>
          </cell>
          <cell r="AU12">
            <v>1928.826</v>
          </cell>
          <cell r="AV12">
            <v>1691.7732846000001</v>
          </cell>
          <cell r="AW12">
            <v>237.05271539999998</v>
          </cell>
          <cell r="AX12">
            <v>0</v>
          </cell>
          <cell r="AY12">
            <v>0</v>
          </cell>
          <cell r="AZ12">
            <v>0</v>
          </cell>
          <cell r="BB12">
            <v>1928.826</v>
          </cell>
          <cell r="BC12">
            <v>1691.7732846000001</v>
          </cell>
          <cell r="BD12">
            <v>237.05271539999998</v>
          </cell>
          <cell r="BE12">
            <v>0</v>
          </cell>
          <cell r="BF12">
            <v>0</v>
          </cell>
          <cell r="BG12">
            <v>0</v>
          </cell>
          <cell r="BI12">
            <v>1928.826</v>
          </cell>
          <cell r="BJ12">
            <v>1691.7732846000001</v>
          </cell>
          <cell r="BK12">
            <v>237.05271539999998</v>
          </cell>
          <cell r="BL12">
            <v>0</v>
          </cell>
          <cell r="BM12">
            <v>0</v>
          </cell>
          <cell r="BN12">
            <v>0</v>
          </cell>
          <cell r="BP12">
            <v>1928.826</v>
          </cell>
          <cell r="BQ12">
            <v>1691.7732846000001</v>
          </cell>
          <cell r="BR12">
            <v>237.05271539999998</v>
          </cell>
          <cell r="BS12">
            <v>0</v>
          </cell>
          <cell r="BT12">
            <v>0</v>
          </cell>
          <cell r="BU12">
            <v>0</v>
          </cell>
          <cell r="BW12">
            <v>1928.826</v>
          </cell>
          <cell r="BX12">
            <v>1691.7732846000001</v>
          </cell>
          <cell r="BY12">
            <v>237.05271539999998</v>
          </cell>
          <cell r="BZ12">
            <v>0</v>
          </cell>
          <cell r="CA12">
            <v>0</v>
          </cell>
          <cell r="CB12">
            <v>0</v>
          </cell>
          <cell r="CD12">
            <v>1928.826</v>
          </cell>
          <cell r="CE12">
            <v>1691.7732846000001</v>
          </cell>
          <cell r="CF12">
            <v>237.05271539999998</v>
          </cell>
          <cell r="CG12">
            <v>0</v>
          </cell>
          <cell r="CH12">
            <v>0</v>
          </cell>
          <cell r="CI12">
            <v>0</v>
          </cell>
          <cell r="CK12">
            <v>1928.826</v>
          </cell>
          <cell r="CL12">
            <v>1691.7732846000001</v>
          </cell>
          <cell r="CM12">
            <v>237.05271539999998</v>
          </cell>
          <cell r="CN12">
            <v>0</v>
          </cell>
          <cell r="CO12">
            <v>0</v>
          </cell>
          <cell r="CP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</row>
        <row r="14">
          <cell r="L14">
            <v>2058.5263479999999</v>
          </cell>
          <cell r="M14">
            <v>1805.5334598308</v>
          </cell>
          <cell r="N14">
            <v>252.99288816919997</v>
          </cell>
          <cell r="O14">
            <v>2076.8844607811948</v>
          </cell>
          <cell r="P14">
            <v>42.601671253905508</v>
          </cell>
          <cell r="Q14">
            <v>2119.4861320351001</v>
          </cell>
          <cell r="S14">
            <v>2058.5263479999999</v>
          </cell>
          <cell r="T14">
            <v>1805.5334598308</v>
          </cell>
          <cell r="U14">
            <v>252.99288816919997</v>
          </cell>
          <cell r="V14">
            <v>6170.8843201758</v>
          </cell>
          <cell r="W14">
            <v>126.57901299676861</v>
          </cell>
          <cell r="X14">
            <v>6297.463333172569</v>
          </cell>
          <cell r="Z14">
            <v>2058.5263479999999</v>
          </cell>
          <cell r="AA14">
            <v>1805.5334598308</v>
          </cell>
          <cell r="AB14">
            <v>252.99288816919997</v>
          </cell>
          <cell r="AC14">
            <v>2393.1081450228116</v>
          </cell>
          <cell r="AD14">
            <v>49.088145438267681</v>
          </cell>
          <cell r="AE14">
            <v>2442.1962904610791</v>
          </cell>
          <cell r="AG14">
            <v>2058.5263479999999</v>
          </cell>
          <cell r="AH14">
            <v>1805.5334598308</v>
          </cell>
          <cell r="AI14">
            <v>252.99288816919997</v>
          </cell>
          <cell r="AJ14">
            <v>2381.0482051180934</v>
          </cell>
          <cell r="AK14">
            <v>48.840768367051396</v>
          </cell>
          <cell r="AL14">
            <v>2429.8889734851446</v>
          </cell>
          <cell r="AN14">
            <v>2058.5263479999999</v>
          </cell>
          <cell r="AO14">
            <v>1805.5334598308</v>
          </cell>
          <cell r="AP14">
            <v>252.99288816919997</v>
          </cell>
          <cell r="AQ14">
            <v>0</v>
          </cell>
          <cell r="AR14">
            <v>0</v>
          </cell>
          <cell r="AS14">
            <v>0</v>
          </cell>
          <cell r="AU14">
            <v>2058.5263479999999</v>
          </cell>
          <cell r="AV14">
            <v>1805.5334598308</v>
          </cell>
          <cell r="AW14">
            <v>252.99288816919997</v>
          </cell>
          <cell r="AX14">
            <v>0</v>
          </cell>
          <cell r="AY14">
            <v>0</v>
          </cell>
          <cell r="AZ14">
            <v>0</v>
          </cell>
          <cell r="BB14">
            <v>2058.5263479999999</v>
          </cell>
          <cell r="BC14">
            <v>1805.5334598308</v>
          </cell>
          <cell r="BD14">
            <v>252.99288816919997</v>
          </cell>
          <cell r="BE14">
            <v>0</v>
          </cell>
          <cell r="BF14">
            <v>0</v>
          </cell>
          <cell r="BG14">
            <v>0</v>
          </cell>
          <cell r="BI14">
            <v>2058.5263479999999</v>
          </cell>
          <cell r="BJ14">
            <v>1805.5334598308</v>
          </cell>
          <cell r="BK14">
            <v>252.99288816919997</v>
          </cell>
          <cell r="BL14">
            <v>0</v>
          </cell>
          <cell r="BM14">
            <v>0</v>
          </cell>
          <cell r="BN14">
            <v>0</v>
          </cell>
          <cell r="BP14">
            <v>2058.5263479999999</v>
          </cell>
          <cell r="BQ14">
            <v>1805.5334598308</v>
          </cell>
          <cell r="BR14">
            <v>252.99288816919997</v>
          </cell>
          <cell r="BS14">
            <v>0</v>
          </cell>
          <cell r="BT14">
            <v>0</v>
          </cell>
          <cell r="BU14">
            <v>0</v>
          </cell>
          <cell r="BW14">
            <v>2058.5263479999999</v>
          </cell>
          <cell r="BX14">
            <v>1805.5334598308</v>
          </cell>
          <cell r="BY14">
            <v>252.99288816919997</v>
          </cell>
          <cell r="BZ14">
            <v>0</v>
          </cell>
          <cell r="CA14">
            <v>0</v>
          </cell>
          <cell r="CB14">
            <v>0</v>
          </cell>
          <cell r="CD14">
            <v>2058.5263479999999</v>
          </cell>
          <cell r="CE14">
            <v>1805.5334598308</v>
          </cell>
          <cell r="CF14">
            <v>252.99288816919997</v>
          </cell>
          <cell r="CG14">
            <v>0</v>
          </cell>
          <cell r="CH14">
            <v>0</v>
          </cell>
          <cell r="CI14">
            <v>0</v>
          </cell>
          <cell r="CK14">
            <v>2058.5263479999999</v>
          </cell>
          <cell r="CL14">
            <v>1805.5334598308</v>
          </cell>
          <cell r="CM14">
            <v>252.99288816919997</v>
          </cell>
          <cell r="CN14">
            <v>0</v>
          </cell>
          <cell r="CO14">
            <v>0</v>
          </cell>
          <cell r="CP14">
            <v>0</v>
          </cell>
        </row>
        <row r="15">
          <cell r="L15">
            <v>4791.1292399999993</v>
          </cell>
          <cell r="M15">
            <v>4202.2994564039991</v>
          </cell>
          <cell r="N15">
            <v>588.82978359599986</v>
          </cell>
          <cell r="O15">
            <v>4238.6528085817481</v>
          </cell>
          <cell r="P15">
            <v>86.944506023566817</v>
          </cell>
          <cell r="Q15">
            <v>4325.5973146053148</v>
          </cell>
          <cell r="S15">
            <v>4791.1292399999993</v>
          </cell>
          <cell r="T15">
            <v>4202.2994564039991</v>
          </cell>
          <cell r="U15">
            <v>588.82978359599986</v>
          </cell>
          <cell r="V15">
            <v>4152.16494955506</v>
          </cell>
          <cell r="W15">
            <v>85.1704413573392</v>
          </cell>
          <cell r="X15">
            <v>4237.3353909123989</v>
          </cell>
          <cell r="Z15">
            <v>4791.1292399999993</v>
          </cell>
          <cell r="AA15">
            <v>4202.2994564039991</v>
          </cell>
          <cell r="AB15">
            <v>588.82978359599986</v>
          </cell>
          <cell r="AC15">
            <v>6220.2456542058117</v>
          </cell>
          <cell r="AD15">
            <v>127.59152734925685</v>
          </cell>
          <cell r="AE15">
            <v>6347.8371815550681</v>
          </cell>
          <cell r="AG15">
            <v>4791.1292399999993</v>
          </cell>
          <cell r="AH15">
            <v>4202.2994564039991</v>
          </cell>
          <cell r="AI15">
            <v>588.82978359599986</v>
          </cell>
          <cell r="AJ15">
            <v>7341.916544863845</v>
          </cell>
          <cell r="AK15">
            <v>150.59957398894099</v>
          </cell>
          <cell r="AL15">
            <v>7492.5161188527863</v>
          </cell>
          <cell r="AN15">
            <v>4791.1292399999993</v>
          </cell>
          <cell r="AO15">
            <v>4202.2994564039991</v>
          </cell>
          <cell r="AP15">
            <v>588.82978359599986</v>
          </cell>
          <cell r="AQ15">
            <v>0</v>
          </cell>
          <cell r="AR15">
            <v>0</v>
          </cell>
          <cell r="AS15">
            <v>0</v>
          </cell>
          <cell r="AU15">
            <v>4791.1292399999993</v>
          </cell>
          <cell r="AV15">
            <v>4202.2994564039991</v>
          </cell>
          <cell r="AW15">
            <v>588.82978359599986</v>
          </cell>
          <cell r="AX15">
            <v>0</v>
          </cell>
          <cell r="AY15">
            <v>0</v>
          </cell>
          <cell r="AZ15">
            <v>0</v>
          </cell>
          <cell r="BB15">
            <v>5164.9052799999999</v>
          </cell>
          <cell r="BC15">
            <v>4530.1384210879996</v>
          </cell>
          <cell r="BD15">
            <v>634.76685891199998</v>
          </cell>
          <cell r="BE15">
            <v>0</v>
          </cell>
          <cell r="BF15">
            <v>0</v>
          </cell>
          <cell r="BG15">
            <v>0</v>
          </cell>
          <cell r="BI15">
            <v>4791.1292399999993</v>
          </cell>
          <cell r="BJ15">
            <v>4202.2994564039991</v>
          </cell>
          <cell r="BK15">
            <v>588.82978359599986</v>
          </cell>
          <cell r="BL15">
            <v>0</v>
          </cell>
          <cell r="BM15">
            <v>0</v>
          </cell>
          <cell r="BN15">
            <v>0</v>
          </cell>
          <cell r="BP15">
            <v>4791.1292399999993</v>
          </cell>
          <cell r="BQ15">
            <v>4202.2994564039991</v>
          </cell>
          <cell r="BR15">
            <v>588.82978359599986</v>
          </cell>
          <cell r="BS15">
            <v>0</v>
          </cell>
          <cell r="BT15">
            <v>0</v>
          </cell>
          <cell r="BU15">
            <v>0</v>
          </cell>
          <cell r="BW15">
            <v>4791.1292399999993</v>
          </cell>
          <cell r="BX15">
            <v>4202.2994564039991</v>
          </cell>
          <cell r="BY15">
            <v>588.82978359599986</v>
          </cell>
          <cell r="BZ15">
            <v>0</v>
          </cell>
          <cell r="CA15">
            <v>0</v>
          </cell>
          <cell r="CB15">
            <v>0</v>
          </cell>
          <cell r="CD15">
            <v>4791.1292399999993</v>
          </cell>
          <cell r="CE15">
            <v>4202.2994564039991</v>
          </cell>
          <cell r="CF15">
            <v>588.82978359599986</v>
          </cell>
          <cell r="CG15">
            <v>0</v>
          </cell>
          <cell r="CH15">
            <v>0</v>
          </cell>
          <cell r="CI15">
            <v>0</v>
          </cell>
          <cell r="CK15">
            <v>4791.1292399999993</v>
          </cell>
          <cell r="CL15">
            <v>4202.2994564039991</v>
          </cell>
          <cell r="CM15">
            <v>588.82978359599986</v>
          </cell>
          <cell r="CN15">
            <v>0</v>
          </cell>
          <cell r="CO15">
            <v>0</v>
          </cell>
          <cell r="CP15">
            <v>0</v>
          </cell>
        </row>
        <row r="16">
          <cell r="L16">
            <v>931.8</v>
          </cell>
          <cell r="M16">
            <v>817.28178000000003</v>
          </cell>
          <cell r="N16">
            <v>114.51821999999999</v>
          </cell>
          <cell r="O16">
            <v>1007.728578438256</v>
          </cell>
          <cell r="P16">
            <v>20.67082807083268</v>
          </cell>
          <cell r="Q16">
            <v>1028.3994065090887</v>
          </cell>
          <cell r="S16">
            <v>931.8</v>
          </cell>
          <cell r="T16">
            <v>817.28178000000003</v>
          </cell>
          <cell r="U16">
            <v>114.51821999999999</v>
          </cell>
          <cell r="V16">
            <v>949.99161614441755</v>
          </cell>
          <cell r="W16">
            <v>19.486510342384722</v>
          </cell>
          <cell r="X16">
            <v>969.47812648680224</v>
          </cell>
          <cell r="Z16">
            <v>931.8</v>
          </cell>
          <cell r="AA16">
            <v>817.28178000000003</v>
          </cell>
          <cell r="AB16">
            <v>114.51821999999999</v>
          </cell>
          <cell r="AC16">
            <v>1188.1030696231744</v>
          </cell>
          <cell r="AD16">
            <v>24.37072323647903</v>
          </cell>
          <cell r="AE16">
            <v>1212.4737928596535</v>
          </cell>
          <cell r="AG16">
            <v>931.8</v>
          </cell>
          <cell r="AH16">
            <v>817.28178000000003</v>
          </cell>
          <cell r="AI16">
            <v>114.51821999999999</v>
          </cell>
          <cell r="AJ16">
            <v>957.95117648153166</v>
          </cell>
          <cell r="AK16">
            <v>19.649779209387471</v>
          </cell>
          <cell r="AL16">
            <v>977.60095569091914</v>
          </cell>
          <cell r="AN16">
            <v>931.8</v>
          </cell>
          <cell r="AO16">
            <v>817.28178000000003</v>
          </cell>
          <cell r="AP16">
            <v>114.51821999999999</v>
          </cell>
          <cell r="AQ16">
            <v>0</v>
          </cell>
          <cell r="AR16">
            <v>0</v>
          </cell>
          <cell r="AS16">
            <v>0</v>
          </cell>
          <cell r="AU16">
            <v>931.8</v>
          </cell>
          <cell r="AV16">
            <v>817.28178000000003</v>
          </cell>
          <cell r="AW16">
            <v>114.51821999999999</v>
          </cell>
          <cell r="AX16">
            <v>0</v>
          </cell>
          <cell r="AY16">
            <v>0</v>
          </cell>
          <cell r="AZ16">
            <v>0</v>
          </cell>
          <cell r="BB16">
            <v>931.8</v>
          </cell>
          <cell r="BC16">
            <v>817.28178000000003</v>
          </cell>
          <cell r="BD16">
            <v>114.51821999999999</v>
          </cell>
          <cell r="BE16">
            <v>0</v>
          </cell>
          <cell r="BF16">
            <v>0</v>
          </cell>
          <cell r="BG16">
            <v>0</v>
          </cell>
          <cell r="BI16">
            <v>931.8</v>
          </cell>
          <cell r="BJ16">
            <v>817.28178000000003</v>
          </cell>
          <cell r="BK16">
            <v>114.51821999999999</v>
          </cell>
          <cell r="BL16">
            <v>0</v>
          </cell>
          <cell r="BM16">
            <v>0</v>
          </cell>
          <cell r="BN16">
            <v>0</v>
          </cell>
          <cell r="BP16">
            <v>931.8</v>
          </cell>
          <cell r="BQ16">
            <v>817.28178000000003</v>
          </cell>
          <cell r="BR16">
            <v>114.51821999999999</v>
          </cell>
          <cell r="BS16">
            <v>0</v>
          </cell>
          <cell r="BT16">
            <v>0</v>
          </cell>
          <cell r="BU16">
            <v>0</v>
          </cell>
          <cell r="BW16">
            <v>931.8</v>
          </cell>
          <cell r="BX16">
            <v>817.28178000000003</v>
          </cell>
          <cell r="BY16">
            <v>114.51821999999999</v>
          </cell>
          <cell r="BZ16">
            <v>0</v>
          </cell>
          <cell r="CA16">
            <v>0</v>
          </cell>
          <cell r="CB16">
            <v>0</v>
          </cell>
          <cell r="CD16">
            <v>931.8</v>
          </cell>
          <cell r="CE16">
            <v>817.28178000000003</v>
          </cell>
          <cell r="CF16">
            <v>114.51821999999999</v>
          </cell>
          <cell r="CG16">
            <v>0</v>
          </cell>
          <cell r="CH16">
            <v>0</v>
          </cell>
          <cell r="CI16">
            <v>0</v>
          </cell>
          <cell r="CK16">
            <v>931.8</v>
          </cell>
          <cell r="CL16">
            <v>817.28178000000003</v>
          </cell>
          <cell r="CM16">
            <v>114.51821999999999</v>
          </cell>
          <cell r="CN16">
            <v>0</v>
          </cell>
          <cell r="CO16">
            <v>0</v>
          </cell>
          <cell r="CP16">
            <v>0</v>
          </cell>
        </row>
        <row r="17">
          <cell r="L17">
            <v>27655.824000000001</v>
          </cell>
          <cell r="M17">
            <v>24256.9232304</v>
          </cell>
          <cell r="N17">
            <v>3398.9007695999999</v>
          </cell>
          <cell r="O17">
            <v>24548.661084726409</v>
          </cell>
          <cell r="P17">
            <v>503.54943137361028</v>
          </cell>
          <cell r="Q17">
            <v>25052.210516100018</v>
          </cell>
          <cell r="S17">
            <v>27655.824000000001</v>
          </cell>
          <cell r="T17">
            <v>24256.9232304</v>
          </cell>
          <cell r="U17">
            <v>3398.9007695999999</v>
          </cell>
          <cell r="V17">
            <v>69476.625970512046</v>
          </cell>
          <cell r="W17">
            <v>1425.1251984970834</v>
          </cell>
          <cell r="X17">
            <v>70901.751169009134</v>
          </cell>
          <cell r="Z17">
            <v>27655.824000000001</v>
          </cell>
          <cell r="AA17">
            <v>24256.9232304</v>
          </cell>
          <cell r="AB17">
            <v>3398.9007695999999</v>
          </cell>
          <cell r="AC17">
            <v>28885.241455528925</v>
          </cell>
          <cell r="AD17">
            <v>592.50265665489462</v>
          </cell>
          <cell r="AE17">
            <v>29477.74411218382</v>
          </cell>
          <cell r="AG17">
            <v>27655.824000000001</v>
          </cell>
          <cell r="AH17">
            <v>24256.9232304</v>
          </cell>
          <cell r="AI17">
            <v>3398.9007695999999</v>
          </cell>
          <cell r="AJ17">
            <v>29869.108471125845</v>
          </cell>
          <cell r="AK17">
            <v>612.68402925770931</v>
          </cell>
          <cell r="AL17">
            <v>30481.792500383555</v>
          </cell>
          <cell r="AN17">
            <v>27655.824000000001</v>
          </cell>
          <cell r="AO17">
            <v>24256.9232304</v>
          </cell>
          <cell r="AP17">
            <v>3398.9007695999999</v>
          </cell>
          <cell r="AQ17">
            <v>0</v>
          </cell>
          <cell r="AR17">
            <v>0</v>
          </cell>
          <cell r="AS17"/>
          <cell r="AU17">
            <v>27655.824000000001</v>
          </cell>
          <cell r="AV17">
            <v>24256.9232304</v>
          </cell>
          <cell r="AW17">
            <v>3398.9007695999999</v>
          </cell>
          <cell r="AX17">
            <v>0</v>
          </cell>
          <cell r="AY17">
            <v>0</v>
          </cell>
          <cell r="AZ17"/>
          <cell r="BB17">
            <v>27655.824000000001</v>
          </cell>
          <cell r="BC17">
            <v>24256.9232304</v>
          </cell>
          <cell r="BD17">
            <v>3398.9007695999999</v>
          </cell>
          <cell r="BE17">
            <v>0</v>
          </cell>
          <cell r="BF17">
            <v>0</v>
          </cell>
          <cell r="BG17"/>
          <cell r="BI17">
            <v>27655.824000000001</v>
          </cell>
          <cell r="BJ17">
            <v>24256.9232304</v>
          </cell>
          <cell r="BK17">
            <v>3398.9007695999999</v>
          </cell>
          <cell r="BL17">
            <v>0</v>
          </cell>
          <cell r="BM17">
            <v>0</v>
          </cell>
          <cell r="BN17"/>
          <cell r="BP17">
            <v>27655.824000000001</v>
          </cell>
          <cell r="BQ17">
            <v>24256.9232304</v>
          </cell>
          <cell r="BR17">
            <v>3398.9007695999999</v>
          </cell>
          <cell r="BS17">
            <v>0</v>
          </cell>
          <cell r="BT17">
            <v>0</v>
          </cell>
          <cell r="BU17"/>
          <cell r="BW17">
            <v>27655.824000000001</v>
          </cell>
          <cell r="BX17">
            <v>24256.9232304</v>
          </cell>
          <cell r="BY17">
            <v>3398.9007695999999</v>
          </cell>
          <cell r="BZ17">
            <v>0</v>
          </cell>
          <cell r="CA17">
            <v>0</v>
          </cell>
          <cell r="CB17"/>
          <cell r="CD17">
            <v>27655.824000000001</v>
          </cell>
          <cell r="CE17">
            <v>24256.9232304</v>
          </cell>
          <cell r="CF17">
            <v>3398.9007695999999</v>
          </cell>
          <cell r="CG17">
            <v>0</v>
          </cell>
          <cell r="CH17">
            <v>0</v>
          </cell>
          <cell r="CI17"/>
          <cell r="CK17">
            <v>27655.824000000001</v>
          </cell>
          <cell r="CL17">
            <v>24256.9232304</v>
          </cell>
          <cell r="CM17">
            <v>3398.9007695999999</v>
          </cell>
          <cell r="CN17">
            <v>0</v>
          </cell>
          <cell r="CO17">
            <v>0</v>
          </cell>
          <cell r="CP17"/>
        </row>
        <row r="18">
          <cell r="L18">
            <v>4240.8205840000001</v>
          </cell>
          <cell r="M18">
            <v>3719.6237342264003</v>
          </cell>
          <cell r="N18">
            <v>521.19684977359998</v>
          </cell>
          <cell r="O18">
            <v>8277.7791727734566</v>
          </cell>
          <cell r="P18">
            <v>169.79626632589697</v>
          </cell>
          <cell r="Q18">
            <v>8447.5754390993534</v>
          </cell>
          <cell r="S18">
            <v>4240.8205840000001</v>
          </cell>
          <cell r="T18">
            <v>3719.6237342264003</v>
          </cell>
          <cell r="U18">
            <v>521.19684977359998</v>
          </cell>
          <cell r="V18">
            <v>0</v>
          </cell>
          <cell r="W18">
            <v>0</v>
          </cell>
          <cell r="X18">
            <v>0</v>
          </cell>
          <cell r="Z18">
            <v>4240.8205840000001</v>
          </cell>
          <cell r="AA18">
            <v>3719.6237342264003</v>
          </cell>
          <cell r="AB18">
            <v>521.19684977359998</v>
          </cell>
          <cell r="AC18">
            <v>16252.473937874842</v>
          </cell>
          <cell r="AD18">
            <v>333.3755752130669</v>
          </cell>
          <cell r="AE18">
            <v>16585.849513087909</v>
          </cell>
          <cell r="AG18">
            <v>4240.8205840000001</v>
          </cell>
          <cell r="AH18">
            <v>3719.6237342264003</v>
          </cell>
          <cell r="AI18">
            <v>521.19684977359998</v>
          </cell>
          <cell r="AJ18">
            <v>0</v>
          </cell>
          <cell r="AK18">
            <v>0</v>
          </cell>
          <cell r="AL18">
            <v>0</v>
          </cell>
          <cell r="AN18">
            <v>4240.8205840000001</v>
          </cell>
          <cell r="AO18">
            <v>3719.6237342264003</v>
          </cell>
          <cell r="AP18">
            <v>521.19684977359998</v>
          </cell>
          <cell r="AQ18">
            <v>0</v>
          </cell>
          <cell r="AR18">
            <v>0</v>
          </cell>
          <cell r="AS18"/>
          <cell r="AU18">
            <v>4240.8205840000001</v>
          </cell>
          <cell r="AV18">
            <v>3719.6237342264003</v>
          </cell>
          <cell r="AW18">
            <v>521.19684977359998</v>
          </cell>
          <cell r="AX18">
            <v>0</v>
          </cell>
          <cell r="AY18">
            <v>0</v>
          </cell>
          <cell r="AZ18"/>
          <cell r="BB18">
            <v>4240.8205840000001</v>
          </cell>
          <cell r="BC18">
            <v>3719.6237342264003</v>
          </cell>
          <cell r="BD18">
            <v>521.19684977359998</v>
          </cell>
          <cell r="BE18">
            <v>0</v>
          </cell>
          <cell r="BF18">
            <v>0</v>
          </cell>
          <cell r="BG18"/>
          <cell r="BI18">
            <v>4240.8205840000001</v>
          </cell>
          <cell r="BJ18">
            <v>3719.6237342264003</v>
          </cell>
          <cell r="BK18">
            <v>521.19684977359998</v>
          </cell>
          <cell r="BL18">
            <v>0</v>
          </cell>
          <cell r="BM18">
            <v>0</v>
          </cell>
          <cell r="BN18"/>
          <cell r="BP18">
            <v>4240.8205840000001</v>
          </cell>
          <cell r="BQ18">
            <v>3719.6237342264003</v>
          </cell>
          <cell r="BR18">
            <v>521.19684977359998</v>
          </cell>
          <cell r="BS18">
            <v>0</v>
          </cell>
          <cell r="BT18">
            <v>0</v>
          </cell>
          <cell r="BU18"/>
          <cell r="BW18">
            <v>4240.8205840000001</v>
          </cell>
          <cell r="BX18">
            <v>3719.6237342264003</v>
          </cell>
          <cell r="BY18">
            <v>521.19684977359998</v>
          </cell>
          <cell r="BZ18">
            <v>0</v>
          </cell>
          <cell r="CA18">
            <v>0</v>
          </cell>
          <cell r="CB18"/>
          <cell r="CD18">
            <v>4240.8205840000001</v>
          </cell>
          <cell r="CE18">
            <v>3719.6237342264003</v>
          </cell>
          <cell r="CF18">
            <v>521.19684977359998</v>
          </cell>
          <cell r="CG18">
            <v>0</v>
          </cell>
          <cell r="CH18">
            <v>0</v>
          </cell>
          <cell r="CI18"/>
          <cell r="CK18">
            <v>4240.8205840000001</v>
          </cell>
          <cell r="CL18">
            <v>3719.6237342264003</v>
          </cell>
          <cell r="CM18">
            <v>521.19684977359998</v>
          </cell>
          <cell r="CN18">
            <v>0</v>
          </cell>
          <cell r="CO18">
            <v>0</v>
          </cell>
          <cell r="CP18"/>
        </row>
        <row r="19">
          <cell r="L19">
            <v>1811.8333333333333</v>
          </cell>
          <cell r="M19">
            <v>1589.1590166666665</v>
          </cell>
          <cell r="N19">
            <v>222.67431666666664</v>
          </cell>
          <cell r="O19">
            <v>2657.521481542472</v>
          </cell>
          <cell r="P19">
            <v>54.51187037351125</v>
          </cell>
          <cell r="Q19">
            <v>2712.0333519159831</v>
          </cell>
          <cell r="S19">
            <v>1811.8333333333333</v>
          </cell>
          <cell r="T19">
            <v>1589.1590166666665</v>
          </cell>
          <cell r="U19">
            <v>222.67431666666664</v>
          </cell>
          <cell r="V19">
            <v>1680.5638040131378</v>
          </cell>
          <cell r="W19">
            <v>34.472224166408886</v>
          </cell>
          <cell r="X19">
            <v>1715.0360281795467</v>
          </cell>
          <cell r="Z19">
            <v>1811.8333333333333</v>
          </cell>
          <cell r="AA19">
            <v>1589.1590166666665</v>
          </cell>
          <cell r="AB19">
            <v>222.67431666666664</v>
          </cell>
          <cell r="AC19">
            <v>2004.7676415898511</v>
          </cell>
          <cell r="AD19">
            <v>41.12238962746811</v>
          </cell>
          <cell r="AE19">
            <v>2045.8900312173191</v>
          </cell>
          <cell r="AG19">
            <v>1811.8333333333333</v>
          </cell>
          <cell r="AH19">
            <v>1589.1590166666665</v>
          </cell>
          <cell r="AI19">
            <v>222.67431666666664</v>
          </cell>
          <cell r="AJ19">
            <v>1641.520500955698</v>
          </cell>
          <cell r="AK19">
            <v>33.671356331472118</v>
          </cell>
          <cell r="AL19">
            <v>1675.1918572871703</v>
          </cell>
          <cell r="AN19">
            <v>1811.8333333333333</v>
          </cell>
          <cell r="AO19">
            <v>1589.1590166666665</v>
          </cell>
          <cell r="AP19">
            <v>222.67431666666664</v>
          </cell>
          <cell r="AQ19">
            <v>0</v>
          </cell>
          <cell r="AR19">
            <v>0</v>
          </cell>
          <cell r="AS19"/>
          <cell r="AU19">
            <v>1811.8333333333333</v>
          </cell>
          <cell r="AV19">
            <v>1589.1590166666665</v>
          </cell>
          <cell r="AW19">
            <v>222.67431666666664</v>
          </cell>
          <cell r="AX19">
            <v>0</v>
          </cell>
          <cell r="AY19">
            <v>0</v>
          </cell>
          <cell r="AZ19"/>
          <cell r="BB19">
            <v>1811.8333333333333</v>
          </cell>
          <cell r="BC19">
            <v>1589.1590166666665</v>
          </cell>
          <cell r="BD19">
            <v>222.67431666666664</v>
          </cell>
          <cell r="BE19">
            <v>0</v>
          </cell>
          <cell r="BF19">
            <v>0</v>
          </cell>
          <cell r="BG19"/>
          <cell r="BI19">
            <v>1811.8333333333333</v>
          </cell>
          <cell r="BJ19">
            <v>1589.1590166666665</v>
          </cell>
          <cell r="BK19">
            <v>222.67431666666664</v>
          </cell>
          <cell r="BL19">
            <v>0</v>
          </cell>
          <cell r="BM19">
            <v>0</v>
          </cell>
          <cell r="BN19"/>
          <cell r="BP19">
            <v>1811.8333333333333</v>
          </cell>
          <cell r="BQ19">
            <v>1589.1590166666665</v>
          </cell>
          <cell r="BR19">
            <v>222.67431666666664</v>
          </cell>
          <cell r="BS19">
            <v>0</v>
          </cell>
          <cell r="BT19">
            <v>0</v>
          </cell>
          <cell r="BU19"/>
          <cell r="BW19">
            <v>1811.8333333333333</v>
          </cell>
          <cell r="BX19">
            <v>1589.1590166666665</v>
          </cell>
          <cell r="BY19">
            <v>222.67431666666664</v>
          </cell>
          <cell r="BZ19">
            <v>0</v>
          </cell>
          <cell r="CA19">
            <v>0</v>
          </cell>
          <cell r="CB19"/>
          <cell r="CD19">
            <v>1811.8333333333333</v>
          </cell>
          <cell r="CE19">
            <v>1589.1590166666665</v>
          </cell>
          <cell r="CF19">
            <v>222.67431666666664</v>
          </cell>
          <cell r="CG19">
            <v>0</v>
          </cell>
          <cell r="CH19">
            <v>0</v>
          </cell>
          <cell r="CI19"/>
          <cell r="CK19">
            <v>1811.8333333333333</v>
          </cell>
          <cell r="CL19">
            <v>1589.1590166666665</v>
          </cell>
          <cell r="CM19">
            <v>222.67431666666664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880.155979</v>
          </cell>
          <cell r="W20">
            <v>18.054020999999999</v>
          </cell>
          <cell r="X20">
            <v>898.21</v>
          </cell>
          <cell r="Z20">
            <v>187758.39127135999</v>
          </cell>
          <cell r="AA20">
            <v>164682.88498410984</v>
          </cell>
          <cell r="AB20">
            <v>23075.50628725014</v>
          </cell>
          <cell r="AC20">
            <v>63268.076414999996</v>
          </cell>
          <cell r="AD20">
            <v>1297.7735849999997</v>
          </cell>
          <cell r="AE20">
            <v>64565.85</v>
          </cell>
          <cell r="AG20">
            <v>0</v>
          </cell>
          <cell r="AH20">
            <v>0</v>
          </cell>
          <cell r="AI20">
            <v>0</v>
          </cell>
          <cell r="AJ20">
            <v>68591.049998999995</v>
          </cell>
          <cell r="AK20">
            <v>1406.9600009999997</v>
          </cell>
          <cell r="AL20">
            <v>69998.009999999995</v>
          </cell>
          <cell r="AN20">
            <v>4637.3932725120003</v>
          </cell>
          <cell r="AO20">
            <v>4067.4576393202756</v>
          </cell>
          <cell r="AP20">
            <v>569.93563319172483</v>
          </cell>
          <cell r="AQ20">
            <v>0</v>
          </cell>
          <cell r="AR20">
            <v>0</v>
          </cell>
          <cell r="AS20"/>
          <cell r="AU20">
            <v>4637.3932725120003</v>
          </cell>
          <cell r="AV20">
            <v>4067.4576393202756</v>
          </cell>
          <cell r="AW20">
            <v>569.93563319172483</v>
          </cell>
          <cell r="AX20">
            <v>0</v>
          </cell>
          <cell r="AY20">
            <v>0</v>
          </cell>
          <cell r="AZ20"/>
          <cell r="BB20">
            <v>88405.592072511383</v>
          </cell>
          <cell r="BC20">
            <v>77540.544806799735</v>
          </cell>
          <cell r="BD20">
            <v>10865.047265711648</v>
          </cell>
          <cell r="BE20">
            <v>0</v>
          </cell>
          <cell r="BF20">
            <v>0</v>
          </cell>
          <cell r="BG20"/>
          <cell r="BI20">
            <v>12170.134543871998</v>
          </cell>
          <cell r="BJ20">
            <v>10674.425008430129</v>
          </cell>
          <cell r="BK20">
            <v>1495.7095354418684</v>
          </cell>
          <cell r="BL20">
            <v>0</v>
          </cell>
          <cell r="BM20">
            <v>0</v>
          </cell>
          <cell r="BN20"/>
          <cell r="BP20">
            <v>88405.592072511383</v>
          </cell>
          <cell r="BQ20">
            <v>77540.544806799735</v>
          </cell>
          <cell r="BR20">
            <v>10865.047265711648</v>
          </cell>
          <cell r="BS20">
            <v>0</v>
          </cell>
          <cell r="BT20">
            <v>0</v>
          </cell>
          <cell r="BU20"/>
          <cell r="BW20">
            <v>4637.3932725120003</v>
          </cell>
          <cell r="BX20">
            <v>4067.4576393202756</v>
          </cell>
          <cell r="BY20">
            <v>569.93563319172483</v>
          </cell>
          <cell r="BZ20">
            <v>0</v>
          </cell>
          <cell r="CA20">
            <v>0</v>
          </cell>
          <cell r="CB20"/>
          <cell r="CD20">
            <v>4637.3932725120003</v>
          </cell>
          <cell r="CE20">
            <v>4067.4576393202756</v>
          </cell>
          <cell r="CF20">
            <v>569.93563319172483</v>
          </cell>
          <cell r="CG20">
            <v>0</v>
          </cell>
          <cell r="CH20">
            <v>0</v>
          </cell>
          <cell r="CI20"/>
          <cell r="CK20">
            <v>4637.3932725120003</v>
          </cell>
          <cell r="CL20">
            <v>4067.4576393202756</v>
          </cell>
          <cell r="CM20">
            <v>569.93563319172483</v>
          </cell>
          <cell r="CN20">
            <v>0</v>
          </cell>
          <cell r="CO20">
            <v>0</v>
          </cell>
          <cell r="CP20"/>
        </row>
        <row r="21">
          <cell r="L21">
            <v>20436.083853</v>
          </cell>
          <cell r="M21">
            <v>17924.489147466302</v>
          </cell>
          <cell r="N21">
            <v>2511.5947055337001</v>
          </cell>
          <cell r="O21">
            <v>6993.5463</v>
          </cell>
          <cell r="P21">
            <v>143.45369999999997</v>
          </cell>
          <cell r="Q21">
            <v>7137</v>
          </cell>
          <cell r="S21">
            <v>0</v>
          </cell>
          <cell r="T21">
            <v>0</v>
          </cell>
          <cell r="U21">
            <v>0</v>
          </cell>
          <cell r="V21">
            <v>649.67370000000005</v>
          </cell>
          <cell r="W21">
            <v>13.326299999999998</v>
          </cell>
          <cell r="X21">
            <v>663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9786.7997615999375</v>
          </cell>
          <cell r="M22">
            <v>8584.0020708993052</v>
          </cell>
          <cell r="N22">
            <v>1202.7976907006323</v>
          </cell>
          <cell r="O22">
            <v>161686.7682472509</v>
          </cell>
          <cell r="P22">
            <v>3316.5670392588454</v>
          </cell>
          <cell r="Q22">
            <v>165003.33528650974</v>
          </cell>
          <cell r="S22">
            <v>9786.7997615999375</v>
          </cell>
          <cell r="T22">
            <v>8584.0020708993052</v>
          </cell>
          <cell r="U22">
            <v>1202.7976907006323</v>
          </cell>
          <cell r="V22">
            <v>31006.2535213421</v>
          </cell>
          <cell r="W22">
            <v>636.00948645675692</v>
          </cell>
          <cell r="X22">
            <v>31642.263007798858</v>
          </cell>
          <cell r="Z22">
            <v>9786.7997615999375</v>
          </cell>
          <cell r="AA22">
            <v>8584.0020708993052</v>
          </cell>
          <cell r="AB22">
            <v>1202.7976907006323</v>
          </cell>
          <cell r="AC22">
            <v>22588.617977280173</v>
          </cell>
          <cell r="AD22">
            <v>463.34444468142812</v>
          </cell>
          <cell r="AE22">
            <v>23051.962421961602</v>
          </cell>
          <cell r="AG22">
            <v>9786.7997615999375</v>
          </cell>
          <cell r="AH22">
            <v>8584.0020708993052</v>
          </cell>
          <cell r="AI22">
            <v>1202.7976907006323</v>
          </cell>
          <cell r="AJ22">
            <v>3184.6844987223258</v>
          </cell>
          <cell r="AK22">
            <v>65.325194840615097</v>
          </cell>
          <cell r="AL22">
            <v>3250.0096935629408</v>
          </cell>
          <cell r="AN22">
            <v>9786.7997615999375</v>
          </cell>
          <cell r="AO22">
            <v>8584.0020708993052</v>
          </cell>
          <cell r="AP22">
            <v>1202.7976907006323</v>
          </cell>
          <cell r="AQ22">
            <v>0</v>
          </cell>
          <cell r="AR22">
            <v>0</v>
          </cell>
          <cell r="AS22"/>
          <cell r="AU22">
            <v>9786.7997615999375</v>
          </cell>
          <cell r="AV22">
            <v>8584.0020708993052</v>
          </cell>
          <cell r="AW22">
            <v>1202.7976907006323</v>
          </cell>
          <cell r="AX22">
            <v>0</v>
          </cell>
          <cell r="AY22">
            <v>0</v>
          </cell>
          <cell r="AZ22"/>
          <cell r="BB22">
            <v>9786.7997615999375</v>
          </cell>
          <cell r="BC22">
            <v>8584.0020708993052</v>
          </cell>
          <cell r="BD22">
            <v>1202.7976907006323</v>
          </cell>
          <cell r="BE22">
            <v>0</v>
          </cell>
          <cell r="BF22">
            <v>0</v>
          </cell>
          <cell r="BG22"/>
          <cell r="BI22">
            <v>9786.7997615999375</v>
          </cell>
          <cell r="BJ22">
            <v>8584.0020708993052</v>
          </cell>
          <cell r="BK22">
            <v>1202.7976907006323</v>
          </cell>
          <cell r="BL22">
            <v>0</v>
          </cell>
          <cell r="BM22">
            <v>0</v>
          </cell>
          <cell r="BN22"/>
          <cell r="BP22">
            <v>9786.7997615999375</v>
          </cell>
          <cell r="BQ22">
            <v>8584.0020708993052</v>
          </cell>
          <cell r="BR22">
            <v>1202.7976907006323</v>
          </cell>
          <cell r="BS22">
            <v>0</v>
          </cell>
          <cell r="BT22">
            <v>0</v>
          </cell>
          <cell r="BU22"/>
          <cell r="BW22">
            <v>9786.7997615999375</v>
          </cell>
          <cell r="BX22">
            <v>8584.0020708993052</v>
          </cell>
          <cell r="BY22">
            <v>1202.7976907006323</v>
          </cell>
          <cell r="BZ22">
            <v>0</v>
          </cell>
          <cell r="CA22">
            <v>0</v>
          </cell>
          <cell r="CB22"/>
          <cell r="CD22">
            <v>9786.7997615999375</v>
          </cell>
          <cell r="CE22">
            <v>8584.0020708993052</v>
          </cell>
          <cell r="CF22">
            <v>1202.7976907006323</v>
          </cell>
          <cell r="CG22">
            <v>0</v>
          </cell>
          <cell r="CH22">
            <v>0</v>
          </cell>
          <cell r="CI22"/>
          <cell r="CK22">
            <v>9786.7997615999375</v>
          </cell>
          <cell r="CL22">
            <v>8584.0020708993052</v>
          </cell>
          <cell r="CM22">
            <v>1202.7976907006323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8529.0713483190611</v>
          </cell>
          <cell r="M24">
            <v>7480.8484796106486</v>
          </cell>
          <cell r="N24">
            <v>1048.2228687084125</v>
          </cell>
          <cell r="O24">
            <v>3146.0669399999997</v>
          </cell>
          <cell r="P24">
            <v>64.533059999999992</v>
          </cell>
          <cell r="Q24">
            <v>3210.6</v>
          </cell>
          <cell r="S24">
            <v>8529.0713483190611</v>
          </cell>
          <cell r="T24">
            <v>7480.8484796106486</v>
          </cell>
          <cell r="U24">
            <v>1048.2228687084125</v>
          </cell>
          <cell r="V24">
            <v>7227.7913950000002</v>
          </cell>
          <cell r="W24">
            <v>148.25860499999999</v>
          </cell>
          <cell r="X24">
            <v>7376.05</v>
          </cell>
          <cell r="Z24">
            <v>8529.0713483190611</v>
          </cell>
          <cell r="AA24">
            <v>7480.8484796106486</v>
          </cell>
          <cell r="AB24">
            <v>1048.2228687084125</v>
          </cell>
          <cell r="AC24">
            <v>19454.650429000001</v>
          </cell>
          <cell r="AD24">
            <v>399.05957100000001</v>
          </cell>
          <cell r="AE24">
            <v>19853.710000000003</v>
          </cell>
          <cell r="AG24">
            <v>8529.0713483190611</v>
          </cell>
          <cell r="AH24">
            <v>7480.8484796106486</v>
          </cell>
          <cell r="AI24">
            <v>1048.2228687084125</v>
          </cell>
          <cell r="AJ24">
            <v>8508.6872779999994</v>
          </cell>
          <cell r="AK24">
            <v>174.53272199999995</v>
          </cell>
          <cell r="AL24">
            <v>8683.2199999999993</v>
          </cell>
          <cell r="AN24">
            <v>8529.0713483190611</v>
          </cell>
          <cell r="AO24">
            <v>7480.8484796106486</v>
          </cell>
          <cell r="AP24">
            <v>1048.2228687084125</v>
          </cell>
          <cell r="AQ24">
            <v>0</v>
          </cell>
          <cell r="AR24">
            <v>0</v>
          </cell>
          <cell r="AS24"/>
          <cell r="AU24">
            <v>8529.0713483190611</v>
          </cell>
          <cell r="AV24">
            <v>7480.8484796106486</v>
          </cell>
          <cell r="AW24">
            <v>1048.2228687084125</v>
          </cell>
          <cell r="AX24">
            <v>0</v>
          </cell>
          <cell r="AY24">
            <v>0</v>
          </cell>
          <cell r="AZ24"/>
          <cell r="BB24">
            <v>7047.1898944797013</v>
          </cell>
          <cell r="BC24">
            <v>6181.0902564481457</v>
          </cell>
          <cell r="BD24">
            <v>866.09963803155529</v>
          </cell>
          <cell r="BE24">
            <v>0</v>
          </cell>
          <cell r="BF24">
            <v>0</v>
          </cell>
          <cell r="BG24"/>
          <cell r="BI24">
            <v>8529.0713483190611</v>
          </cell>
          <cell r="BJ24">
            <v>7480.8484796106486</v>
          </cell>
          <cell r="BK24">
            <v>1048.2228687084125</v>
          </cell>
          <cell r="BL24">
            <v>0</v>
          </cell>
          <cell r="BM24">
            <v>0</v>
          </cell>
          <cell r="BN24"/>
          <cell r="BP24">
            <v>8529.0713483190611</v>
          </cell>
          <cell r="BQ24">
            <v>7480.8484796106486</v>
          </cell>
          <cell r="BR24">
            <v>1048.2228687084125</v>
          </cell>
          <cell r="BS24">
            <v>0</v>
          </cell>
          <cell r="BT24">
            <v>0</v>
          </cell>
          <cell r="BU24"/>
          <cell r="BW24">
            <v>8529.0713483190611</v>
          </cell>
          <cell r="BX24">
            <v>7480.8484796106486</v>
          </cell>
          <cell r="BY24">
            <v>1048.2228687084125</v>
          </cell>
          <cell r="BZ24">
            <v>0</v>
          </cell>
          <cell r="CA24">
            <v>0</v>
          </cell>
          <cell r="CB24"/>
          <cell r="CD24">
            <v>8529.0713483190611</v>
          </cell>
          <cell r="CE24">
            <v>7480.8484796106486</v>
          </cell>
          <cell r="CF24">
            <v>1048.2228687084125</v>
          </cell>
          <cell r="CG24">
            <v>0</v>
          </cell>
          <cell r="CH24">
            <v>0</v>
          </cell>
          <cell r="CI24"/>
          <cell r="CK24">
            <v>8529.0713483190611</v>
          </cell>
          <cell r="CL24">
            <v>7480.8484796106486</v>
          </cell>
          <cell r="CM24">
            <v>1048.2228687084125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3460.0268999999998</v>
          </cell>
          <cell r="P25">
            <v>70.973099999999988</v>
          </cell>
          <cell r="Q25">
            <v>3531</v>
          </cell>
          <cell r="S25">
            <v>0</v>
          </cell>
          <cell r="T25">
            <v>0</v>
          </cell>
          <cell r="U25">
            <v>0</v>
          </cell>
          <cell r="V25">
            <v>6230.0999198398058</v>
          </cell>
          <cell r="W25">
            <v>127.7936609743648</v>
          </cell>
          <cell r="X25">
            <v>6357.8935808141705</v>
          </cell>
          <cell r="Z25">
            <v>28158.799949279997</v>
          </cell>
          <cell r="AA25">
            <v>24698.083435513487</v>
          </cell>
          <cell r="AB25">
            <v>3460.7165137665115</v>
          </cell>
          <cell r="AC25">
            <v>30091.739300999998</v>
          </cell>
          <cell r="AD25">
            <v>617.25069899999983</v>
          </cell>
          <cell r="AE25">
            <v>30708.989999999998</v>
          </cell>
          <cell r="AG25">
            <v>35543.819634523199</v>
          </cell>
          <cell r="AH25">
            <v>31175.484201440297</v>
          </cell>
          <cell r="AI25">
            <v>4368.3354330829006</v>
          </cell>
          <cell r="AJ25">
            <v>43290.325968999998</v>
          </cell>
          <cell r="AK25">
            <v>887.98403099999985</v>
          </cell>
          <cell r="AL25">
            <v>44178.31</v>
          </cell>
          <cell r="AN25">
            <v>35543.819634523199</v>
          </cell>
          <cell r="AO25">
            <v>31175.484201440297</v>
          </cell>
          <cell r="AP25">
            <v>4368.3354330829006</v>
          </cell>
          <cell r="AQ25">
            <v>0</v>
          </cell>
          <cell r="AR25">
            <v>0</v>
          </cell>
          <cell r="AS25"/>
          <cell r="AU25">
            <v>37250.539744017595</v>
          </cell>
          <cell r="AV25">
            <v>32672.448409477831</v>
          </cell>
          <cell r="AW25">
            <v>4578.0913345397621</v>
          </cell>
          <cell r="AX25">
            <v>0</v>
          </cell>
          <cell r="AY25">
            <v>0</v>
          </cell>
          <cell r="AZ25"/>
          <cell r="BB25">
            <v>9091.7397947375994</v>
          </cell>
          <cell r="BC25">
            <v>7974.3649739643479</v>
          </cell>
          <cell r="BD25">
            <v>1117.374820773251</v>
          </cell>
          <cell r="BE25">
            <v>0</v>
          </cell>
          <cell r="BF25">
            <v>0</v>
          </cell>
          <cell r="BG25"/>
          <cell r="BI25">
            <v>9091.7397947375994</v>
          </cell>
          <cell r="BJ25">
            <v>7974.3649739643479</v>
          </cell>
          <cell r="BK25">
            <v>1117.374820773251</v>
          </cell>
          <cell r="BL25">
            <v>0</v>
          </cell>
          <cell r="BM25">
            <v>0</v>
          </cell>
          <cell r="BN25"/>
          <cell r="BP25">
            <v>9091.7397947375994</v>
          </cell>
          <cell r="BQ25">
            <v>7974.3649739643479</v>
          </cell>
          <cell r="BR25">
            <v>1117.374820773251</v>
          </cell>
          <cell r="BS25">
            <v>0</v>
          </cell>
          <cell r="BT25">
            <v>0</v>
          </cell>
          <cell r="BU25"/>
          <cell r="BW25">
            <v>5161.6852817243998</v>
          </cell>
          <cell r="BX25">
            <v>4527.314160600471</v>
          </cell>
          <cell r="BY25">
            <v>634.37112112392867</v>
          </cell>
          <cell r="BZ25">
            <v>0</v>
          </cell>
          <cell r="CA25">
            <v>0</v>
          </cell>
          <cell r="CB25"/>
          <cell r="CD25">
            <v>3954.621069656394</v>
          </cell>
          <cell r="CE25">
            <v>3468.5981401956233</v>
          </cell>
          <cell r="CF25">
            <v>486.0229294607708</v>
          </cell>
          <cell r="CG25">
            <v>0</v>
          </cell>
          <cell r="CH25">
            <v>0</v>
          </cell>
          <cell r="CI25"/>
          <cell r="CK25">
            <v>3954.621069656394</v>
          </cell>
          <cell r="CL25">
            <v>3468.5981401956233</v>
          </cell>
          <cell r="CM25">
            <v>486.0229294607708</v>
          </cell>
          <cell r="CN25">
            <v>0</v>
          </cell>
          <cell r="CO25">
            <v>0</v>
          </cell>
          <cell r="CP25"/>
        </row>
        <row r="26">
          <cell r="L26">
            <v>36115.9770027493</v>
          </cell>
          <cell r="M26">
            <v>31677.323429111409</v>
          </cell>
          <cell r="N26">
            <v>4438.6535736378892</v>
          </cell>
          <cell r="O26">
            <v>48191.076929717536</v>
          </cell>
          <cell r="P26">
            <v>988.50969107798994</v>
          </cell>
          <cell r="Q26">
            <v>49179.586620795526</v>
          </cell>
          <cell r="S26">
            <v>73672.505010147695</v>
          </cell>
          <cell r="T26">
            <v>64618.154144400542</v>
          </cell>
          <cell r="U26">
            <v>9054.3508657471521</v>
          </cell>
          <cell r="V26">
            <v>60051.134725653981</v>
          </cell>
          <cell r="W26">
            <v>1231.7867210793395</v>
          </cell>
          <cell r="X26">
            <v>61282.921446733322</v>
          </cell>
          <cell r="Z26">
            <v>113637.68415913398</v>
          </cell>
          <cell r="AA26">
            <v>99671.612775976406</v>
          </cell>
          <cell r="AB26">
            <v>13966.071383157565</v>
          </cell>
          <cell r="AC26">
            <v>115124.85382032175</v>
          </cell>
          <cell r="AD26">
            <v>2361.4752135814538</v>
          </cell>
          <cell r="AE26">
            <v>117486.3290339032</v>
          </cell>
          <cell r="AG26">
            <v>113637.68415913398</v>
          </cell>
          <cell r="AH26">
            <v>99671.612775976406</v>
          </cell>
          <cell r="AI26">
            <v>13966.071383157565</v>
          </cell>
          <cell r="AJ26">
            <v>120146.81765198422</v>
          </cell>
          <cell r="AK26">
            <v>2464.4872280894811</v>
          </cell>
          <cell r="AL26">
            <v>122611.3048800737</v>
          </cell>
          <cell r="AN26">
            <v>127393.82728877167</v>
          </cell>
          <cell r="AO26">
            <v>111737.12591498163</v>
          </cell>
          <cell r="AP26">
            <v>15656.701373790038</v>
          </cell>
          <cell r="AQ26">
            <v>0</v>
          </cell>
          <cell r="AR26">
            <v>0</v>
          </cell>
          <cell r="AS26"/>
          <cell r="AU26">
            <v>98489.239228314778</v>
          </cell>
          <cell r="AV26">
            <v>86384.911727154889</v>
          </cell>
          <cell r="AW26">
            <v>12104.327501159885</v>
          </cell>
          <cell r="AX26">
            <v>0</v>
          </cell>
          <cell r="AY26">
            <v>0</v>
          </cell>
          <cell r="AZ26"/>
          <cell r="BB26">
            <v>84733.096098677066</v>
          </cell>
          <cell r="BC26">
            <v>74319.398588149663</v>
          </cell>
          <cell r="BD26">
            <v>10413.69751052741</v>
          </cell>
          <cell r="BE26">
            <v>0</v>
          </cell>
          <cell r="BF26">
            <v>0</v>
          </cell>
          <cell r="BG26"/>
          <cell r="BI26">
            <v>113637.68415913398</v>
          </cell>
          <cell r="BJ26">
            <v>99671.612775976406</v>
          </cell>
          <cell r="BK26">
            <v>13966.071383157565</v>
          </cell>
          <cell r="BL26">
            <v>0</v>
          </cell>
          <cell r="BM26">
            <v>0</v>
          </cell>
          <cell r="BN26"/>
          <cell r="BP26">
            <v>142581.20323908722</v>
          </cell>
          <cell r="BQ26">
            <v>125057.9733610034</v>
          </cell>
          <cell r="BR26">
            <v>17523.229878083817</v>
          </cell>
          <cell r="BS26">
            <v>0</v>
          </cell>
          <cell r="BT26">
            <v>0</v>
          </cell>
          <cell r="BU26"/>
          <cell r="BW26">
            <v>135874.23093684734</v>
          </cell>
          <cell r="BX26">
            <v>119175.28795470879</v>
          </cell>
          <cell r="BY26">
            <v>16698.942982138538</v>
          </cell>
          <cell r="BZ26">
            <v>0</v>
          </cell>
          <cell r="CA26">
            <v>0</v>
          </cell>
          <cell r="CB26"/>
          <cell r="CD26">
            <v>98392.764649316829</v>
          </cell>
          <cell r="CE26">
            <v>86300.293873915798</v>
          </cell>
          <cell r="CF26">
            <v>12092.470775401038</v>
          </cell>
          <cell r="CG26">
            <v>0</v>
          </cell>
          <cell r="CH26">
            <v>0</v>
          </cell>
          <cell r="CI26"/>
          <cell r="CK26">
            <v>95984.113507728922</v>
          </cell>
          <cell r="CL26">
            <v>84187.66595762904</v>
          </cell>
          <cell r="CM26">
            <v>11796.447550099883</v>
          </cell>
          <cell r="CN26">
            <v>0</v>
          </cell>
          <cell r="CO26">
            <v>0</v>
          </cell>
          <cell r="CP26"/>
        </row>
        <row r="27">
          <cell r="L27">
            <v>1663.83720646848</v>
          </cell>
          <cell r="M27">
            <v>1459.3516137935037</v>
          </cell>
          <cell r="N27">
            <v>204.48559267497617</v>
          </cell>
          <cell r="O27">
            <v>6389.6023286352802</v>
          </cell>
          <cell r="P27">
            <v>131.06542178341576</v>
          </cell>
          <cell r="Q27">
            <v>6520.6677504186955</v>
          </cell>
          <cell r="S27">
            <v>6006.5663541638396</v>
          </cell>
          <cell r="T27">
            <v>5268.3593492371037</v>
          </cell>
          <cell r="U27">
            <v>738.20700492673586</v>
          </cell>
          <cell r="V27">
            <v>5576.9048699999985</v>
          </cell>
          <cell r="W27">
            <v>114.39512999999995</v>
          </cell>
          <cell r="X27">
            <v>5691.2999999999984</v>
          </cell>
          <cell r="Z27">
            <v>6006.5663541638396</v>
          </cell>
          <cell r="AA27">
            <v>5268.3593492371037</v>
          </cell>
          <cell r="AB27">
            <v>738.20700492673586</v>
          </cell>
          <cell r="AC27">
            <v>12384.191777999997</v>
          </cell>
          <cell r="AD27">
            <v>254.02822199999991</v>
          </cell>
          <cell r="AE27">
            <v>12638.219999999998</v>
          </cell>
          <cell r="AG27">
            <v>6263.5925111759998</v>
          </cell>
          <cell r="AH27">
            <v>5493.7969915524691</v>
          </cell>
          <cell r="AI27">
            <v>769.79551962353037</v>
          </cell>
          <cell r="AJ27">
            <v>6386.811818000001</v>
          </cell>
          <cell r="AK27">
            <v>131.00818199999998</v>
          </cell>
          <cell r="AL27">
            <v>6517.8200000000006</v>
          </cell>
          <cell r="AN27">
            <v>2453.5696545360001</v>
          </cell>
          <cell r="AO27">
            <v>2152.0259439935257</v>
          </cell>
          <cell r="AP27">
            <v>301.5437105424744</v>
          </cell>
          <cell r="AQ27">
            <v>0</v>
          </cell>
          <cell r="AR27">
            <v>0</v>
          </cell>
          <cell r="AS27"/>
          <cell r="AU27">
            <v>7927.4297176444788</v>
          </cell>
          <cell r="AV27">
            <v>6953.1486053459721</v>
          </cell>
          <cell r="AW27">
            <v>974.2811122985064</v>
          </cell>
          <cell r="AX27">
            <v>0</v>
          </cell>
          <cell r="AY27">
            <v>0</v>
          </cell>
          <cell r="AZ27"/>
          <cell r="BB27">
            <v>4117.4068610044797</v>
          </cell>
          <cell r="BC27">
            <v>3611.3775577870292</v>
          </cell>
          <cell r="BD27">
            <v>506.02930321745055</v>
          </cell>
          <cell r="BE27">
            <v>0</v>
          </cell>
          <cell r="BF27">
            <v>0</v>
          </cell>
          <cell r="BG27"/>
          <cell r="BI27">
            <v>7927.4297176444788</v>
          </cell>
          <cell r="BJ27">
            <v>6953.1486053459721</v>
          </cell>
          <cell r="BK27">
            <v>974.2811122985064</v>
          </cell>
          <cell r="BL27">
            <v>0</v>
          </cell>
          <cell r="BM27">
            <v>0</v>
          </cell>
          <cell r="BN27"/>
          <cell r="BP27">
            <v>7927.4297176444788</v>
          </cell>
          <cell r="BQ27">
            <v>6953.1486053459721</v>
          </cell>
          <cell r="BR27">
            <v>974.2811122985064</v>
          </cell>
          <cell r="BS27">
            <v>0</v>
          </cell>
          <cell r="BT27">
            <v>0</v>
          </cell>
          <cell r="BU27"/>
          <cell r="BW27">
            <v>6041.7122364104798</v>
          </cell>
          <cell r="BX27">
            <v>5299.1858025556321</v>
          </cell>
          <cell r="BY27">
            <v>742.52643385484794</v>
          </cell>
          <cell r="BZ27">
            <v>0</v>
          </cell>
          <cell r="CA27">
            <v>0</v>
          </cell>
          <cell r="CB27"/>
          <cell r="CD27">
            <v>4377.8750299419935</v>
          </cell>
          <cell r="CE27">
            <v>3839.8341887621227</v>
          </cell>
          <cell r="CF27">
            <v>538.04084117987099</v>
          </cell>
          <cell r="CG27">
            <v>0</v>
          </cell>
          <cell r="CH27">
            <v>0</v>
          </cell>
          <cell r="CI27"/>
          <cell r="CK27">
            <v>4377.8750299419935</v>
          </cell>
          <cell r="CL27">
            <v>3839.8341887621227</v>
          </cell>
          <cell r="CM27">
            <v>538.04084117987099</v>
          </cell>
          <cell r="CN27">
            <v>0</v>
          </cell>
          <cell r="CO27">
            <v>0</v>
          </cell>
          <cell r="CP27"/>
        </row>
        <row r="28">
          <cell r="L28">
            <v>5169.0503985119994</v>
          </cell>
          <cell r="M28">
            <v>4533.7741045348748</v>
          </cell>
          <cell r="N28">
            <v>635.27629397712474</v>
          </cell>
          <cell r="O28">
            <v>9486.5614216948507</v>
          </cell>
          <cell r="P28">
            <v>194.59116703343858</v>
          </cell>
          <cell r="Q28">
            <v>9681.1525887282896</v>
          </cell>
          <cell r="S28">
            <v>5169.0503985119994</v>
          </cell>
          <cell r="T28">
            <v>4533.7741045348748</v>
          </cell>
          <cell r="U28">
            <v>635.27629397712474</v>
          </cell>
          <cell r="V28">
            <v>11557.949896999995</v>
          </cell>
          <cell r="W28">
            <v>237.08010299999987</v>
          </cell>
          <cell r="X28">
            <v>11795.029999999995</v>
          </cell>
          <cell r="Z28">
            <v>6892.0671980159996</v>
          </cell>
          <cell r="AA28">
            <v>6045.0321393798331</v>
          </cell>
          <cell r="AB28">
            <v>847.03505863616635</v>
          </cell>
          <cell r="AC28">
            <v>10075.077025999997</v>
          </cell>
          <cell r="AD28">
            <v>206.66297399999993</v>
          </cell>
          <cell r="AE28">
            <v>10281.739999999998</v>
          </cell>
          <cell r="AG28">
            <v>7049.1019238640001</v>
          </cell>
          <cell r="AH28">
            <v>6182.7672974211146</v>
          </cell>
          <cell r="AI28">
            <v>866.33462644288556</v>
          </cell>
          <cell r="AJ28">
            <v>1727.2599310000001</v>
          </cell>
          <cell r="AK28">
            <v>35.430068999999996</v>
          </cell>
          <cell r="AL28">
            <v>1762.69</v>
          </cell>
          <cell r="AN28">
            <v>6030.5587982639991</v>
          </cell>
          <cell r="AO28">
            <v>5289.4031219573535</v>
          </cell>
          <cell r="AP28">
            <v>741.15567630664543</v>
          </cell>
          <cell r="AQ28">
            <v>0</v>
          </cell>
          <cell r="AR28">
            <v>0</v>
          </cell>
          <cell r="AS28"/>
          <cell r="AU28">
            <v>5326.0851243599991</v>
          </cell>
          <cell r="AV28">
            <v>4671.5092625761554</v>
          </cell>
          <cell r="AW28">
            <v>654.57586178384383</v>
          </cell>
          <cell r="AX28">
            <v>0</v>
          </cell>
          <cell r="AY28">
            <v>0</v>
          </cell>
          <cell r="AZ28"/>
          <cell r="BB28">
            <v>4307.5419987599998</v>
          </cell>
          <cell r="BC28">
            <v>3778.1450871123961</v>
          </cell>
          <cell r="BD28">
            <v>529.39691164760393</v>
          </cell>
          <cell r="BE28">
            <v>0</v>
          </cell>
          <cell r="BF28">
            <v>0</v>
          </cell>
          <cell r="BG28"/>
          <cell r="BI28">
            <v>7049.1019238640001</v>
          </cell>
          <cell r="BJ28">
            <v>6182.7672974211146</v>
          </cell>
          <cell r="BK28">
            <v>866.33462644288556</v>
          </cell>
          <cell r="BL28">
            <v>0</v>
          </cell>
          <cell r="BM28">
            <v>0</v>
          </cell>
          <cell r="BN28"/>
          <cell r="BP28">
            <v>7049.1019238640001</v>
          </cell>
          <cell r="BQ28">
            <v>6182.7672974211146</v>
          </cell>
          <cell r="BR28">
            <v>866.33462644288556</v>
          </cell>
          <cell r="BS28">
            <v>0</v>
          </cell>
          <cell r="BT28">
            <v>0</v>
          </cell>
          <cell r="BU28"/>
          <cell r="BW28">
            <v>6483.0935156459991</v>
          </cell>
          <cell r="BX28">
            <v>5686.321322573106</v>
          </cell>
          <cell r="BY28">
            <v>796.77219307289329</v>
          </cell>
          <cell r="BZ28">
            <v>0</v>
          </cell>
          <cell r="CA28">
            <v>0</v>
          </cell>
          <cell r="CB28"/>
          <cell r="CD28">
            <v>4760.0767161419999</v>
          </cell>
          <cell r="CE28">
            <v>4175.0632877281478</v>
          </cell>
          <cell r="CF28">
            <v>585.01342841385178</v>
          </cell>
          <cell r="CG28">
            <v>0</v>
          </cell>
          <cell r="CH28">
            <v>0</v>
          </cell>
          <cell r="CI28"/>
          <cell r="CK28">
            <v>4760.0767161419999</v>
          </cell>
          <cell r="CL28">
            <v>4175.0632877281478</v>
          </cell>
          <cell r="CM28">
            <v>585.01342841385178</v>
          </cell>
          <cell r="CN28">
            <v>0</v>
          </cell>
          <cell r="CO28">
            <v>0</v>
          </cell>
          <cell r="CP28"/>
        </row>
        <row r="29">
          <cell r="L29">
            <v>9165.7407739999999</v>
          </cell>
          <cell r="M29">
            <v>8039.2712328753996</v>
          </cell>
          <cell r="N29">
            <v>1126.4695411246</v>
          </cell>
          <cell r="O29">
            <v>0</v>
          </cell>
          <cell r="P29">
            <v>0</v>
          </cell>
          <cell r="Q29">
            <v>0</v>
          </cell>
          <cell r="S29">
            <v>11653.826922</v>
          </cell>
          <cell r="T29">
            <v>10221.5715932862</v>
          </cell>
          <cell r="U29">
            <v>1432.2553287138001</v>
          </cell>
          <cell r="V29">
            <v>0</v>
          </cell>
          <cell r="W29">
            <v>0</v>
          </cell>
          <cell r="X29">
            <v>0</v>
          </cell>
          <cell r="Z29">
            <v>9165.7407739999999</v>
          </cell>
          <cell r="AA29">
            <v>8039.2712328753996</v>
          </cell>
          <cell r="AB29">
            <v>1126.4695411246</v>
          </cell>
          <cell r="AC29">
            <v>0</v>
          </cell>
          <cell r="AD29">
            <v>0</v>
          </cell>
          <cell r="AE29">
            <v>0</v>
          </cell>
          <cell r="AG29">
            <v>11653.826922</v>
          </cell>
          <cell r="AH29">
            <v>10221.5715932862</v>
          </cell>
          <cell r="AI29">
            <v>1432.2553287138001</v>
          </cell>
          <cell r="AJ29">
            <v>0</v>
          </cell>
          <cell r="AK29">
            <v>0</v>
          </cell>
          <cell r="AL29">
            <v>0</v>
          </cell>
          <cell r="AN29">
            <v>9165.7407739999999</v>
          </cell>
          <cell r="AO29">
            <v>8039.2712328753996</v>
          </cell>
          <cell r="AP29">
            <v>1126.4695411246</v>
          </cell>
          <cell r="AQ29">
            <v>0</v>
          </cell>
          <cell r="AR29">
            <v>0</v>
          </cell>
          <cell r="AS29"/>
          <cell r="AU29">
            <v>11653.826922</v>
          </cell>
          <cell r="AV29">
            <v>10221.5715932862</v>
          </cell>
          <cell r="AW29">
            <v>1432.2553287138001</v>
          </cell>
          <cell r="AX29">
            <v>0</v>
          </cell>
          <cell r="AY29">
            <v>0</v>
          </cell>
          <cell r="AZ29"/>
          <cell r="BB29">
            <v>9165.7407739999999</v>
          </cell>
          <cell r="BC29">
            <v>8039.2712328753996</v>
          </cell>
          <cell r="BD29">
            <v>1126.4695411246</v>
          </cell>
          <cell r="BE29">
            <v>0</v>
          </cell>
          <cell r="BF29">
            <v>0</v>
          </cell>
          <cell r="BG29"/>
          <cell r="BI29">
            <v>11653.826922</v>
          </cell>
          <cell r="BJ29">
            <v>10221.5715932862</v>
          </cell>
          <cell r="BK29">
            <v>1432.2553287138001</v>
          </cell>
          <cell r="BL29">
            <v>0</v>
          </cell>
          <cell r="BM29">
            <v>0</v>
          </cell>
          <cell r="BN29"/>
          <cell r="BP29">
            <v>9165.7407739999999</v>
          </cell>
          <cell r="BQ29">
            <v>8039.2712328753996</v>
          </cell>
          <cell r="BR29">
            <v>1126.4695411246</v>
          </cell>
          <cell r="BS29">
            <v>0</v>
          </cell>
          <cell r="BT29">
            <v>0</v>
          </cell>
          <cell r="BU29"/>
          <cell r="BW29">
            <v>11653.826922</v>
          </cell>
          <cell r="BX29">
            <v>10221.5715932862</v>
          </cell>
          <cell r="BY29">
            <v>1432.2553287138001</v>
          </cell>
          <cell r="BZ29">
            <v>0</v>
          </cell>
          <cell r="CA29">
            <v>0</v>
          </cell>
          <cell r="CB29"/>
          <cell r="CD29">
            <v>9165.7407739999999</v>
          </cell>
          <cell r="CE29">
            <v>8039.2712328753996</v>
          </cell>
          <cell r="CF29">
            <v>1126.4695411246</v>
          </cell>
          <cell r="CG29">
            <v>0</v>
          </cell>
          <cell r="CH29">
            <v>0</v>
          </cell>
          <cell r="CI29"/>
          <cell r="CK29">
            <v>11653.826922</v>
          </cell>
          <cell r="CL29">
            <v>10221.5715932862</v>
          </cell>
          <cell r="CM29">
            <v>1432.2553287138001</v>
          </cell>
          <cell r="CN29">
            <v>0</v>
          </cell>
          <cell r="CO29">
            <v>0</v>
          </cell>
          <cell r="CP29"/>
        </row>
        <row r="30">
          <cell r="L30">
            <v>4141.333333333333</v>
          </cell>
          <cell r="M30">
            <v>3632.3634666666662</v>
          </cell>
          <cell r="N30">
            <v>508.96986666666663</v>
          </cell>
          <cell r="O30">
            <v>0</v>
          </cell>
          <cell r="P30">
            <v>0</v>
          </cell>
          <cell r="Q30">
            <v>0</v>
          </cell>
          <cell r="S30">
            <v>4141.333333333333</v>
          </cell>
          <cell r="T30">
            <v>3632.3634666666662</v>
          </cell>
          <cell r="U30">
            <v>508.96986666666663</v>
          </cell>
          <cell r="V30">
            <v>0</v>
          </cell>
          <cell r="W30">
            <v>0</v>
          </cell>
          <cell r="X30">
            <v>0</v>
          </cell>
          <cell r="Z30">
            <v>4141.333333333333</v>
          </cell>
          <cell r="AA30">
            <v>3632.3634666666662</v>
          </cell>
          <cell r="AB30">
            <v>508.96986666666663</v>
          </cell>
          <cell r="AC30">
            <v>0</v>
          </cell>
          <cell r="AD30">
            <v>0</v>
          </cell>
          <cell r="AE30">
            <v>0</v>
          </cell>
          <cell r="AG30">
            <v>4141.333333333333</v>
          </cell>
          <cell r="AH30">
            <v>3632.3634666666662</v>
          </cell>
          <cell r="AI30">
            <v>508.96986666666663</v>
          </cell>
          <cell r="AJ30">
            <v>0</v>
          </cell>
          <cell r="AK30">
            <v>0</v>
          </cell>
          <cell r="AL30">
            <v>0</v>
          </cell>
          <cell r="AN30">
            <v>4141.333333333333</v>
          </cell>
          <cell r="AO30">
            <v>3632.3634666666662</v>
          </cell>
          <cell r="AP30">
            <v>508.96986666666663</v>
          </cell>
          <cell r="AQ30">
            <v>0</v>
          </cell>
          <cell r="AR30">
            <v>0</v>
          </cell>
          <cell r="AS30">
            <v>0</v>
          </cell>
          <cell r="AU30">
            <v>4141.333333333333</v>
          </cell>
          <cell r="AV30">
            <v>3632.3634666666662</v>
          </cell>
          <cell r="AW30">
            <v>508.96986666666663</v>
          </cell>
          <cell r="AX30">
            <v>0</v>
          </cell>
          <cell r="AY30">
            <v>0</v>
          </cell>
          <cell r="AZ30">
            <v>0</v>
          </cell>
          <cell r="BB30">
            <v>4141.333333333333</v>
          </cell>
          <cell r="BC30">
            <v>3632.3634666666662</v>
          </cell>
          <cell r="BD30">
            <v>508.96986666666663</v>
          </cell>
          <cell r="BE30">
            <v>0</v>
          </cell>
          <cell r="BF30">
            <v>0</v>
          </cell>
          <cell r="BG30">
            <v>0</v>
          </cell>
          <cell r="BI30">
            <v>4141.333333333333</v>
          </cell>
          <cell r="BJ30">
            <v>3632.3634666666662</v>
          </cell>
          <cell r="BK30">
            <v>508.96986666666663</v>
          </cell>
          <cell r="BL30">
            <v>0</v>
          </cell>
          <cell r="BM30">
            <v>0</v>
          </cell>
          <cell r="BN30">
            <v>0</v>
          </cell>
          <cell r="BP30">
            <v>4141.333333333333</v>
          </cell>
          <cell r="BQ30">
            <v>3632.3634666666662</v>
          </cell>
          <cell r="BR30">
            <v>508.96986666666663</v>
          </cell>
          <cell r="BS30">
            <v>0</v>
          </cell>
          <cell r="BT30">
            <v>0</v>
          </cell>
          <cell r="BU30">
            <v>0</v>
          </cell>
          <cell r="BW30">
            <v>4141.333333333333</v>
          </cell>
          <cell r="BX30">
            <v>3632.3634666666662</v>
          </cell>
          <cell r="BY30">
            <v>508.96986666666663</v>
          </cell>
          <cell r="BZ30">
            <v>0</v>
          </cell>
          <cell r="CA30">
            <v>0</v>
          </cell>
          <cell r="CB30">
            <v>0</v>
          </cell>
          <cell r="CD30">
            <v>4141.333333333333</v>
          </cell>
          <cell r="CE30">
            <v>3632.3634666666662</v>
          </cell>
          <cell r="CF30">
            <v>508.96986666666663</v>
          </cell>
          <cell r="CG30">
            <v>0</v>
          </cell>
          <cell r="CH30">
            <v>0</v>
          </cell>
          <cell r="CI30">
            <v>0</v>
          </cell>
          <cell r="CK30">
            <v>4141.333333333333</v>
          </cell>
          <cell r="CL30">
            <v>3632.3634666666662</v>
          </cell>
          <cell r="CM30">
            <v>508.96986666666663</v>
          </cell>
          <cell r="CN30">
            <v>0</v>
          </cell>
          <cell r="CO30">
            <v>0</v>
          </cell>
          <cell r="CP30">
            <v>0</v>
          </cell>
        </row>
        <row r="31">
          <cell r="L31">
            <v>1811.8333333333333</v>
          </cell>
          <cell r="M31">
            <v>1589.1590166666665</v>
          </cell>
          <cell r="N31">
            <v>222.67431666666664</v>
          </cell>
          <cell r="O31">
            <v>133.14173654808937</v>
          </cell>
          <cell r="P31">
            <v>2.7310428662277739</v>
          </cell>
          <cell r="Q31">
            <v>135.87277941431714</v>
          </cell>
          <cell r="S31">
            <v>1811.8333333333333</v>
          </cell>
          <cell r="T31">
            <v>1589.1590166666665</v>
          </cell>
          <cell r="U31">
            <v>222.67431666666664</v>
          </cell>
          <cell r="V31">
            <v>133.14173654808937</v>
          </cell>
          <cell r="W31">
            <v>2.7310428662277739</v>
          </cell>
          <cell r="X31">
            <v>135.87277941431714</v>
          </cell>
          <cell r="Z31">
            <v>1811.8333333333333</v>
          </cell>
          <cell r="AA31">
            <v>1589.1590166666665</v>
          </cell>
          <cell r="AB31">
            <v>222.67431666666664</v>
          </cell>
          <cell r="AC31">
            <v>0</v>
          </cell>
          <cell r="AD31">
            <v>0</v>
          </cell>
          <cell r="AE31">
            <v>0</v>
          </cell>
          <cell r="AG31">
            <v>1811.8333333333333</v>
          </cell>
          <cell r="AH31">
            <v>1589.1590166666665</v>
          </cell>
          <cell r="AI31">
            <v>222.67431666666664</v>
          </cell>
          <cell r="AJ31">
            <v>350.60657290996869</v>
          </cell>
          <cell r="AK31">
            <v>7.1917462143998057</v>
          </cell>
          <cell r="AL31">
            <v>357.7983191243685</v>
          </cell>
          <cell r="AN31">
            <v>1811.8333333333333</v>
          </cell>
          <cell r="AO31">
            <v>1589.1590166666665</v>
          </cell>
          <cell r="AP31">
            <v>222.67431666666664</v>
          </cell>
          <cell r="AQ31">
            <v>0</v>
          </cell>
          <cell r="AR31">
            <v>0</v>
          </cell>
          <cell r="AS31">
            <v>0</v>
          </cell>
          <cell r="AU31">
            <v>1811.8333333333333</v>
          </cell>
          <cell r="AV31">
            <v>1589.1590166666665</v>
          </cell>
          <cell r="AW31">
            <v>222.67431666666664</v>
          </cell>
          <cell r="AX31">
            <v>0</v>
          </cell>
          <cell r="AY31">
            <v>0</v>
          </cell>
          <cell r="AZ31">
            <v>0</v>
          </cell>
          <cell r="BB31">
            <v>1811.8333333333333</v>
          </cell>
          <cell r="BC31">
            <v>1589.1590166666665</v>
          </cell>
          <cell r="BD31">
            <v>222.67431666666664</v>
          </cell>
          <cell r="BE31">
            <v>0</v>
          </cell>
          <cell r="BF31">
            <v>0</v>
          </cell>
          <cell r="BG31">
            <v>0</v>
          </cell>
          <cell r="BI31">
            <v>1811.8333333333333</v>
          </cell>
          <cell r="BJ31">
            <v>1589.1590166666665</v>
          </cell>
          <cell r="BK31">
            <v>222.67431666666664</v>
          </cell>
          <cell r="BL31">
            <v>0</v>
          </cell>
          <cell r="BM31">
            <v>0</v>
          </cell>
          <cell r="BN31">
            <v>0</v>
          </cell>
          <cell r="BP31">
            <v>1811.8333333333333</v>
          </cell>
          <cell r="BQ31">
            <v>1589.1590166666665</v>
          </cell>
          <cell r="BR31">
            <v>222.67431666666664</v>
          </cell>
          <cell r="BS31">
            <v>0</v>
          </cell>
          <cell r="BT31">
            <v>0</v>
          </cell>
          <cell r="BU31">
            <v>0</v>
          </cell>
          <cell r="BW31">
            <v>1811.8333333333333</v>
          </cell>
          <cell r="BX31">
            <v>1589.1590166666665</v>
          </cell>
          <cell r="BY31">
            <v>222.67431666666664</v>
          </cell>
          <cell r="BZ31">
            <v>0</v>
          </cell>
          <cell r="CA31">
            <v>0</v>
          </cell>
          <cell r="CB31">
            <v>0</v>
          </cell>
          <cell r="CD31">
            <v>1811.8333333333333</v>
          </cell>
          <cell r="CE31">
            <v>1589.1590166666665</v>
          </cell>
          <cell r="CF31">
            <v>222.67431666666664</v>
          </cell>
          <cell r="CG31">
            <v>0</v>
          </cell>
          <cell r="CH31">
            <v>0</v>
          </cell>
          <cell r="CI31">
            <v>0</v>
          </cell>
          <cell r="CK31">
            <v>1811.8333333333333</v>
          </cell>
          <cell r="CL31">
            <v>1589.1590166666665</v>
          </cell>
          <cell r="CM31">
            <v>222.67431666666664</v>
          </cell>
          <cell r="CN31">
            <v>0</v>
          </cell>
          <cell r="CO31">
            <v>0</v>
          </cell>
          <cell r="CP31">
            <v>0</v>
          </cell>
        </row>
        <row r="32">
          <cell r="L32">
            <v>228168.21590639997</v>
          </cell>
          <cell r="M32">
            <v>200126.34217150341</v>
          </cell>
          <cell r="N32">
            <v>28041.873734896555</v>
          </cell>
          <cell r="O32">
            <v>208148.85875299998</v>
          </cell>
          <cell r="P32">
            <v>4269.6112469999989</v>
          </cell>
          <cell r="Q32">
            <v>212418.46999999997</v>
          </cell>
          <cell r="S32">
            <v>162171.75134159994</v>
          </cell>
          <cell r="T32">
            <v>142240.8431017173</v>
          </cell>
          <cell r="U32">
            <v>19930.908239882632</v>
          </cell>
          <cell r="V32">
            <v>206292.71257500001</v>
          </cell>
          <cell r="W32">
            <v>4231.5374249999995</v>
          </cell>
          <cell r="X32">
            <v>210524.25</v>
          </cell>
          <cell r="Z32">
            <v>162171.75134159994</v>
          </cell>
          <cell r="AA32">
            <v>142240.8431017173</v>
          </cell>
          <cell r="AB32">
            <v>19930.908239882632</v>
          </cell>
          <cell r="AC32">
            <v>300195.66726299998</v>
          </cell>
          <cell r="AD32">
            <v>6157.7027369999987</v>
          </cell>
          <cell r="AE32">
            <v>306353.37</v>
          </cell>
          <cell r="AG32">
            <v>175943.39162399998</v>
          </cell>
          <cell r="AH32">
            <v>154319.94879341038</v>
          </cell>
          <cell r="AI32">
            <v>21623.442830589596</v>
          </cell>
          <cell r="AJ32">
            <v>247948.48695199998</v>
          </cell>
          <cell r="AK32">
            <v>5085.9930479999985</v>
          </cell>
          <cell r="AL32">
            <v>253034.47999999998</v>
          </cell>
          <cell r="AN32">
            <v>175943.39162399998</v>
          </cell>
          <cell r="AO32">
            <v>154319.94879341038</v>
          </cell>
          <cell r="AP32">
            <v>21623.442830589596</v>
          </cell>
          <cell r="AQ32">
            <v>0</v>
          </cell>
          <cell r="AR32">
            <v>0</v>
          </cell>
          <cell r="AS32"/>
          <cell r="AU32">
            <v>219485.96762399998</v>
          </cell>
          <cell r="AV32">
            <v>192511.14220301039</v>
          </cell>
          <cell r="AW32">
            <v>26974.825420989597</v>
          </cell>
          <cell r="AX32">
            <v>0</v>
          </cell>
          <cell r="AY32">
            <v>0</v>
          </cell>
          <cell r="AZ32"/>
          <cell r="BB32">
            <v>191908.39021199997</v>
          </cell>
          <cell r="BC32">
            <v>168322.84905494517</v>
          </cell>
          <cell r="BD32">
            <v>23585.541157054795</v>
          </cell>
          <cell r="BE32">
            <v>0</v>
          </cell>
          <cell r="BF32">
            <v>0</v>
          </cell>
          <cell r="BG32"/>
          <cell r="BI32">
            <v>39584.159999999996</v>
          </cell>
          <cell r="BJ32">
            <v>34719.266735999998</v>
          </cell>
          <cell r="BK32">
            <v>4864.8932639999994</v>
          </cell>
          <cell r="BL32">
            <v>0</v>
          </cell>
          <cell r="BM32">
            <v>0</v>
          </cell>
          <cell r="BN32"/>
          <cell r="BP32">
            <v>2827.4399999999996</v>
          </cell>
          <cell r="BQ32">
            <v>2479.9476239999995</v>
          </cell>
          <cell r="BR32">
            <v>347.49237599999992</v>
          </cell>
          <cell r="BS32">
            <v>0</v>
          </cell>
          <cell r="BT32">
            <v>0</v>
          </cell>
          <cell r="BU32"/>
          <cell r="BW32">
            <v>2827.4399999999996</v>
          </cell>
          <cell r="BX32">
            <v>2479.9476239999995</v>
          </cell>
          <cell r="BY32">
            <v>347.49237599999992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144257.14285714284</v>
          </cell>
          <cell r="M33">
            <v>126527.93999999999</v>
          </cell>
          <cell r="N33">
            <v>17729.202857142853</v>
          </cell>
          <cell r="O33">
            <v>195599.926187</v>
          </cell>
          <cell r="P33">
            <v>4012.2038129999992</v>
          </cell>
          <cell r="Q33">
            <v>199612.13</v>
          </cell>
          <cell r="S33">
            <v>118028.57142857143</v>
          </cell>
          <cell r="T33">
            <v>103522.86</v>
          </cell>
          <cell r="U33">
            <v>14505.711428571429</v>
          </cell>
          <cell r="V33">
            <v>148175.59809799999</v>
          </cell>
          <cell r="W33">
            <v>3039.4219019999991</v>
          </cell>
          <cell r="X33">
            <v>151215.01999999999</v>
          </cell>
          <cell r="Z33">
            <v>118028.57142857143</v>
          </cell>
          <cell r="AA33">
            <v>103522.86</v>
          </cell>
          <cell r="AB33">
            <v>14505.711428571429</v>
          </cell>
          <cell r="AC33">
            <v>186057.08184600002</v>
          </cell>
          <cell r="AD33">
            <v>3816.4581539999995</v>
          </cell>
          <cell r="AE33">
            <v>189873.54</v>
          </cell>
          <cell r="AG33">
            <v>131142.85714285713</v>
          </cell>
          <cell r="AH33">
            <v>115025.4</v>
          </cell>
          <cell r="AI33">
            <v>16117.45714285714</v>
          </cell>
          <cell r="AJ33">
            <v>103901.844489</v>
          </cell>
          <cell r="AK33">
            <v>2131.2655109999996</v>
          </cell>
          <cell r="AL33">
            <v>106033.11</v>
          </cell>
          <cell r="AN33">
            <v>131142.85714285713</v>
          </cell>
          <cell r="AO33">
            <v>115025.4</v>
          </cell>
          <cell r="AP33">
            <v>16117.45714285714</v>
          </cell>
          <cell r="AQ33">
            <v>0</v>
          </cell>
          <cell r="AR33">
            <v>0</v>
          </cell>
          <cell r="AS33"/>
          <cell r="AU33">
            <v>131142.85714285713</v>
          </cell>
          <cell r="AV33">
            <v>115025.4</v>
          </cell>
          <cell r="AW33">
            <v>16117.45714285714</v>
          </cell>
          <cell r="AX33">
            <v>0</v>
          </cell>
          <cell r="AY33">
            <v>0</v>
          </cell>
          <cell r="AZ33"/>
          <cell r="BB33">
            <v>65571.428571428565</v>
          </cell>
          <cell r="BC33">
            <v>57512.7</v>
          </cell>
          <cell r="BD33">
            <v>8058.7285714285699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7765</v>
          </cell>
          <cell r="M36">
            <v>6810.6814999999997</v>
          </cell>
          <cell r="N36">
            <v>954.31849999999997</v>
          </cell>
          <cell r="O36">
            <v>23309.01166003288</v>
          </cell>
          <cell r="P36">
            <v>478.12137398373386</v>
          </cell>
          <cell r="Q36">
            <v>23787.133034016613</v>
          </cell>
          <cell r="S36">
            <v>7765</v>
          </cell>
          <cell r="T36">
            <v>6810.6814999999997</v>
          </cell>
          <cell r="U36">
            <v>954.31849999999997</v>
          </cell>
          <cell r="V36">
            <v>7067.0524245254601</v>
          </cell>
          <cell r="W36">
            <v>144.96147947031506</v>
          </cell>
          <cell r="X36">
            <v>7212.0139039957749</v>
          </cell>
          <cell r="Z36">
            <v>7765</v>
          </cell>
          <cell r="AA36">
            <v>6810.6814999999997</v>
          </cell>
          <cell r="AB36">
            <v>954.31849999999997</v>
          </cell>
          <cell r="AC36">
            <v>10250.478581354224</v>
          </cell>
          <cell r="AD36">
            <v>210.26086282806392</v>
          </cell>
          <cell r="AE36">
            <v>10460.739444182287</v>
          </cell>
          <cell r="AG36">
            <v>7765</v>
          </cell>
          <cell r="AH36">
            <v>6810.6814999999997</v>
          </cell>
          <cell r="AI36">
            <v>954.31849999999997</v>
          </cell>
          <cell r="AJ36">
            <v>8503.3611173276422</v>
          </cell>
          <cell r="AK36">
            <v>174.42347020949646</v>
          </cell>
          <cell r="AL36">
            <v>8677.7845875371386</v>
          </cell>
          <cell r="AN36">
            <v>7765</v>
          </cell>
          <cell r="AO36">
            <v>6810.6814999999997</v>
          </cell>
          <cell r="AP36">
            <v>954.31849999999997</v>
          </cell>
          <cell r="AQ36">
            <v>0</v>
          </cell>
          <cell r="AR36">
            <v>0</v>
          </cell>
          <cell r="AS36">
            <v>0</v>
          </cell>
          <cell r="AU36">
            <v>7765</v>
          </cell>
          <cell r="AV36">
            <v>6810.6814999999997</v>
          </cell>
          <cell r="AW36">
            <v>954.31849999999997</v>
          </cell>
          <cell r="AX36">
            <v>0</v>
          </cell>
          <cell r="AY36">
            <v>0</v>
          </cell>
          <cell r="AZ36">
            <v>0</v>
          </cell>
          <cell r="BB36">
            <v>7765</v>
          </cell>
          <cell r="BC36">
            <v>6810.6814999999997</v>
          </cell>
          <cell r="BD36">
            <v>954.31849999999997</v>
          </cell>
          <cell r="BE36">
            <v>0</v>
          </cell>
          <cell r="BF36">
            <v>0</v>
          </cell>
          <cell r="BG36">
            <v>0</v>
          </cell>
          <cell r="BI36">
            <v>7765</v>
          </cell>
          <cell r="BJ36">
            <v>6810.6814999999997</v>
          </cell>
          <cell r="BK36">
            <v>954.31849999999997</v>
          </cell>
          <cell r="BL36">
            <v>0</v>
          </cell>
          <cell r="BM36">
            <v>0</v>
          </cell>
          <cell r="BN36">
            <v>0</v>
          </cell>
          <cell r="BP36">
            <v>7765</v>
          </cell>
          <cell r="BQ36">
            <v>6810.6814999999997</v>
          </cell>
          <cell r="BR36">
            <v>954.31849999999997</v>
          </cell>
          <cell r="BS36">
            <v>0</v>
          </cell>
          <cell r="BT36">
            <v>0</v>
          </cell>
          <cell r="BU36">
            <v>0</v>
          </cell>
          <cell r="BW36">
            <v>7765</v>
          </cell>
          <cell r="BX36">
            <v>6810.6814999999997</v>
          </cell>
          <cell r="BY36">
            <v>954.31849999999997</v>
          </cell>
          <cell r="BZ36">
            <v>0</v>
          </cell>
          <cell r="CA36">
            <v>0</v>
          </cell>
          <cell r="CB36">
            <v>0</v>
          </cell>
          <cell r="CD36">
            <v>7765</v>
          </cell>
          <cell r="CE36">
            <v>6810.6814999999997</v>
          </cell>
          <cell r="CF36">
            <v>954.31849999999997</v>
          </cell>
          <cell r="CG36">
            <v>0</v>
          </cell>
          <cell r="CH36">
            <v>0</v>
          </cell>
          <cell r="CI36">
            <v>0</v>
          </cell>
          <cell r="CK36">
            <v>7765</v>
          </cell>
          <cell r="CL36">
            <v>6810.6814999999997</v>
          </cell>
          <cell r="CM36">
            <v>954.31849999999997</v>
          </cell>
          <cell r="CN36">
            <v>0</v>
          </cell>
          <cell r="CO36">
            <v>0</v>
          </cell>
          <cell r="CP36">
            <v>0</v>
          </cell>
        </row>
        <row r="37">
          <cell r="L37">
            <v>7247.333333333333</v>
          </cell>
          <cell r="M37">
            <v>6356.636066666666</v>
          </cell>
          <cell r="N37">
            <v>890.69726666666656</v>
          </cell>
          <cell r="O37">
            <v>696.40725976791794</v>
          </cell>
          <cell r="P37">
            <v>14.284912665920142</v>
          </cell>
          <cell r="Q37">
            <v>710.6921724338381</v>
          </cell>
          <cell r="S37">
            <v>7247.333333333333</v>
          </cell>
          <cell r="T37">
            <v>6356.636066666666</v>
          </cell>
          <cell r="U37">
            <v>890.69726666666656</v>
          </cell>
          <cell r="V37">
            <v>4184.0634906030418</v>
          </cell>
          <cell r="W37">
            <v>85.824753710706318</v>
          </cell>
          <cell r="X37">
            <v>4269.8882443137481</v>
          </cell>
          <cell r="Z37">
            <v>7247.333333333333</v>
          </cell>
          <cell r="AA37">
            <v>6356.636066666666</v>
          </cell>
          <cell r="AB37">
            <v>890.69726666666656</v>
          </cell>
          <cell r="AC37">
            <v>8652.0782662626716</v>
          </cell>
          <cell r="AD37">
            <v>177.47400056319998</v>
          </cell>
          <cell r="AE37">
            <v>8829.5522668258709</v>
          </cell>
          <cell r="AG37">
            <v>7247.333333333333</v>
          </cell>
          <cell r="AH37">
            <v>6356.636066666666</v>
          </cell>
          <cell r="AI37">
            <v>890.69726666666656</v>
          </cell>
          <cell r="AJ37">
            <v>20871.269677422715</v>
          </cell>
          <cell r="AK37">
            <v>428.11768600489489</v>
          </cell>
          <cell r="AL37">
            <v>21299.38736342761</v>
          </cell>
          <cell r="AN37">
            <v>7247.333333333333</v>
          </cell>
          <cell r="AO37">
            <v>6356.636066666666</v>
          </cell>
          <cell r="AP37">
            <v>890.69726666666656</v>
          </cell>
          <cell r="AQ37">
            <v>0</v>
          </cell>
          <cell r="AR37">
            <v>0</v>
          </cell>
          <cell r="AS37">
            <v>0</v>
          </cell>
          <cell r="AU37">
            <v>7247.333333333333</v>
          </cell>
          <cell r="AV37">
            <v>6356.636066666666</v>
          </cell>
          <cell r="AW37">
            <v>890.69726666666656</v>
          </cell>
          <cell r="AX37">
            <v>0</v>
          </cell>
          <cell r="AY37">
            <v>0</v>
          </cell>
          <cell r="AZ37">
            <v>0</v>
          </cell>
          <cell r="BB37">
            <v>7247.333333333333</v>
          </cell>
          <cell r="BC37">
            <v>6356.636066666666</v>
          </cell>
          <cell r="BD37">
            <v>890.69726666666656</v>
          </cell>
          <cell r="BE37">
            <v>0</v>
          </cell>
          <cell r="BF37">
            <v>0</v>
          </cell>
          <cell r="BG37">
            <v>0</v>
          </cell>
          <cell r="BI37">
            <v>7247.333333333333</v>
          </cell>
          <cell r="BJ37">
            <v>6356.636066666666</v>
          </cell>
          <cell r="BK37">
            <v>890.69726666666656</v>
          </cell>
          <cell r="BL37">
            <v>0</v>
          </cell>
          <cell r="BM37">
            <v>0</v>
          </cell>
          <cell r="BN37">
            <v>0</v>
          </cell>
          <cell r="BP37">
            <v>7247.333333333333</v>
          </cell>
          <cell r="BQ37">
            <v>6356.636066666666</v>
          </cell>
          <cell r="BR37">
            <v>890.69726666666656</v>
          </cell>
          <cell r="BS37">
            <v>0</v>
          </cell>
          <cell r="BT37">
            <v>0</v>
          </cell>
          <cell r="BU37">
            <v>0</v>
          </cell>
          <cell r="BW37">
            <v>7247.333333333333</v>
          </cell>
          <cell r="BX37">
            <v>6356.636066666666</v>
          </cell>
          <cell r="BY37">
            <v>890.69726666666656</v>
          </cell>
          <cell r="BZ37">
            <v>0</v>
          </cell>
          <cell r="CA37">
            <v>0</v>
          </cell>
          <cell r="CB37">
            <v>0</v>
          </cell>
          <cell r="CD37">
            <v>7247.333333333333</v>
          </cell>
          <cell r="CE37">
            <v>6356.636066666666</v>
          </cell>
          <cell r="CF37">
            <v>890.69726666666656</v>
          </cell>
          <cell r="CG37">
            <v>0</v>
          </cell>
          <cell r="CH37">
            <v>0</v>
          </cell>
          <cell r="CI37">
            <v>0</v>
          </cell>
          <cell r="CK37">
            <v>7247.333333333333</v>
          </cell>
          <cell r="CL37">
            <v>6356.636066666666</v>
          </cell>
          <cell r="CM37">
            <v>890.69726666666656</v>
          </cell>
          <cell r="CN37">
            <v>0</v>
          </cell>
          <cell r="CO37">
            <v>0</v>
          </cell>
          <cell r="CP37">
            <v>0</v>
          </cell>
        </row>
        <row r="38">
          <cell r="L38">
            <v>1397.7</v>
          </cell>
          <cell r="M38">
            <v>1225.9226699999999</v>
          </cell>
          <cell r="N38">
            <v>171.77733000000001</v>
          </cell>
          <cell r="O38">
            <v>808.06421337574091</v>
          </cell>
          <cell r="P38">
            <v>16.575253279775886</v>
          </cell>
          <cell r="Q38">
            <v>824.6394666555168</v>
          </cell>
          <cell r="S38">
            <v>1397.7</v>
          </cell>
          <cell r="T38">
            <v>1225.9226699999999</v>
          </cell>
          <cell r="U38">
            <v>171.77733000000001</v>
          </cell>
          <cell r="V38">
            <v>0</v>
          </cell>
          <cell r="W38">
            <v>0</v>
          </cell>
          <cell r="X38">
            <v>0</v>
          </cell>
          <cell r="Z38">
            <v>1397.7</v>
          </cell>
          <cell r="AA38">
            <v>1225.9226699999999</v>
          </cell>
          <cell r="AB38">
            <v>171.77733000000001</v>
          </cell>
          <cell r="AC38">
            <v>5817.5099910576982</v>
          </cell>
          <cell r="AD38">
            <v>119.33049374452466</v>
          </cell>
          <cell r="AE38">
            <v>5936.8404848022228</v>
          </cell>
          <cell r="AG38">
            <v>1397.7</v>
          </cell>
          <cell r="AH38">
            <v>1225.9226699999999</v>
          </cell>
          <cell r="AI38">
            <v>171.77733000000001</v>
          </cell>
          <cell r="AJ38">
            <v>6477.14649405612</v>
          </cell>
          <cell r="AK38">
            <v>132.86115372030613</v>
          </cell>
          <cell r="AL38">
            <v>6610.007647776426</v>
          </cell>
          <cell r="AN38">
            <v>1397.7</v>
          </cell>
          <cell r="AO38">
            <v>1225.9226699999999</v>
          </cell>
          <cell r="AP38">
            <v>171.77733000000001</v>
          </cell>
          <cell r="AQ38">
            <v>0</v>
          </cell>
          <cell r="AR38">
            <v>0</v>
          </cell>
          <cell r="AS38">
            <v>0</v>
          </cell>
          <cell r="AU38">
            <v>1397.7</v>
          </cell>
          <cell r="AV38">
            <v>1225.9226699999999</v>
          </cell>
          <cell r="AW38">
            <v>171.77733000000001</v>
          </cell>
          <cell r="AX38">
            <v>0</v>
          </cell>
          <cell r="AY38">
            <v>0</v>
          </cell>
          <cell r="AZ38">
            <v>0</v>
          </cell>
          <cell r="BB38">
            <v>1397.7</v>
          </cell>
          <cell r="BC38">
            <v>1225.9226699999999</v>
          </cell>
          <cell r="BD38">
            <v>171.77733000000001</v>
          </cell>
          <cell r="BE38">
            <v>0</v>
          </cell>
          <cell r="BF38">
            <v>0</v>
          </cell>
          <cell r="BG38">
            <v>0</v>
          </cell>
          <cell r="BI38">
            <v>1397.7</v>
          </cell>
          <cell r="BJ38">
            <v>1225.9226699999999</v>
          </cell>
          <cell r="BK38">
            <v>171.77733000000001</v>
          </cell>
          <cell r="BL38">
            <v>0</v>
          </cell>
          <cell r="BM38">
            <v>0</v>
          </cell>
          <cell r="BN38">
            <v>0</v>
          </cell>
          <cell r="BP38">
            <v>1397.7</v>
          </cell>
          <cell r="BQ38">
            <v>1225.9226699999999</v>
          </cell>
          <cell r="BR38">
            <v>171.77733000000001</v>
          </cell>
          <cell r="BS38">
            <v>0</v>
          </cell>
          <cell r="BT38">
            <v>0</v>
          </cell>
          <cell r="BU38">
            <v>0</v>
          </cell>
          <cell r="BW38">
            <v>1397.7</v>
          </cell>
          <cell r="BX38">
            <v>1225.9226699999999</v>
          </cell>
          <cell r="BY38">
            <v>171.77733000000001</v>
          </cell>
          <cell r="BZ38">
            <v>0</v>
          </cell>
          <cell r="CA38">
            <v>0</v>
          </cell>
          <cell r="CB38">
            <v>0</v>
          </cell>
          <cell r="CD38">
            <v>1397.7</v>
          </cell>
          <cell r="CE38">
            <v>1225.9226699999999</v>
          </cell>
          <cell r="CF38">
            <v>171.77733000000001</v>
          </cell>
          <cell r="CG38">
            <v>0</v>
          </cell>
          <cell r="CH38">
            <v>0</v>
          </cell>
          <cell r="CI38">
            <v>0</v>
          </cell>
          <cell r="CK38">
            <v>1397.7</v>
          </cell>
          <cell r="CL38">
            <v>1225.9226699999999</v>
          </cell>
          <cell r="CM38">
            <v>171.77733000000001</v>
          </cell>
          <cell r="CN38">
            <v>0</v>
          </cell>
          <cell r="CO38">
            <v>0</v>
          </cell>
          <cell r="CP38">
            <v>0</v>
          </cell>
        </row>
        <row r="39">
          <cell r="L39">
            <v>517.66666666666663</v>
          </cell>
          <cell r="M39">
            <v>454.04543333333328</v>
          </cell>
          <cell r="N39">
            <v>63.621233333333329</v>
          </cell>
          <cell r="O39">
            <v>1262.6395282042856</v>
          </cell>
          <cell r="P39">
            <v>25.899637225131276</v>
          </cell>
          <cell r="Q39">
            <v>1288.5391654294169</v>
          </cell>
          <cell r="S39">
            <v>517.66666666666663</v>
          </cell>
          <cell r="T39">
            <v>454.04543333333328</v>
          </cell>
          <cell r="U39">
            <v>63.621233333333329</v>
          </cell>
          <cell r="V39">
            <v>848.92931974287865</v>
          </cell>
          <cell r="W39">
            <v>17.413490485592259</v>
          </cell>
          <cell r="X39">
            <v>866.34281022847085</v>
          </cell>
          <cell r="Z39">
            <v>517.66666666666663</v>
          </cell>
          <cell r="AA39">
            <v>454.04543333333328</v>
          </cell>
          <cell r="AB39">
            <v>63.621233333333329</v>
          </cell>
          <cell r="AC39">
            <v>451.34325093408017</v>
          </cell>
          <cell r="AD39">
            <v>9.2580868902694249</v>
          </cell>
          <cell r="AE39">
            <v>460.60133782434957</v>
          </cell>
          <cell r="AG39">
            <v>517.66666666666663</v>
          </cell>
          <cell r="AH39">
            <v>454.04543333333328</v>
          </cell>
          <cell r="AI39">
            <v>63.621233333333329</v>
          </cell>
          <cell r="AJ39">
            <v>4867.5726446428525</v>
          </cell>
          <cell r="AK39">
            <v>99.845096598960424</v>
          </cell>
          <cell r="AL39">
            <v>4967.417741241813</v>
          </cell>
          <cell r="AN39">
            <v>517.66666666666663</v>
          </cell>
          <cell r="AO39">
            <v>454.04543333333328</v>
          </cell>
          <cell r="AP39">
            <v>63.621233333333329</v>
          </cell>
          <cell r="AQ39">
            <v>0</v>
          </cell>
          <cell r="AR39">
            <v>0</v>
          </cell>
          <cell r="AS39">
            <v>0</v>
          </cell>
          <cell r="AU39">
            <v>517.66666666666663</v>
          </cell>
          <cell r="AV39">
            <v>454.04543333333328</v>
          </cell>
          <cell r="AW39">
            <v>63.621233333333329</v>
          </cell>
          <cell r="AX39">
            <v>0</v>
          </cell>
          <cell r="AY39">
            <v>0</v>
          </cell>
          <cell r="AZ39">
            <v>0</v>
          </cell>
          <cell r="BB39">
            <v>517.66666666666663</v>
          </cell>
          <cell r="BC39">
            <v>454.04543333333328</v>
          </cell>
          <cell r="BD39">
            <v>63.621233333333329</v>
          </cell>
          <cell r="BE39">
            <v>0</v>
          </cell>
          <cell r="BF39">
            <v>0</v>
          </cell>
          <cell r="BG39">
            <v>0</v>
          </cell>
          <cell r="BI39">
            <v>517.66666666666663</v>
          </cell>
          <cell r="BJ39">
            <v>454.04543333333328</v>
          </cell>
          <cell r="BK39">
            <v>63.621233333333329</v>
          </cell>
          <cell r="BL39">
            <v>0</v>
          </cell>
          <cell r="BM39">
            <v>0</v>
          </cell>
          <cell r="BN39">
            <v>0</v>
          </cell>
          <cell r="BP39">
            <v>517.66666666666663</v>
          </cell>
          <cell r="BQ39">
            <v>454.04543333333328</v>
          </cell>
          <cell r="BR39">
            <v>63.621233333333329</v>
          </cell>
          <cell r="BS39">
            <v>0</v>
          </cell>
          <cell r="BT39">
            <v>0</v>
          </cell>
          <cell r="BU39">
            <v>0</v>
          </cell>
          <cell r="BW39">
            <v>517.66666666666663</v>
          </cell>
          <cell r="BX39">
            <v>454.04543333333328</v>
          </cell>
          <cell r="BY39">
            <v>63.621233333333329</v>
          </cell>
          <cell r="BZ39">
            <v>0</v>
          </cell>
          <cell r="CA39">
            <v>0</v>
          </cell>
          <cell r="CB39">
            <v>0</v>
          </cell>
          <cell r="CD39">
            <v>517.66666666666663</v>
          </cell>
          <cell r="CE39">
            <v>454.04543333333328</v>
          </cell>
          <cell r="CF39">
            <v>63.621233333333329</v>
          </cell>
          <cell r="CG39">
            <v>0</v>
          </cell>
          <cell r="CH39">
            <v>0</v>
          </cell>
          <cell r="CI39">
            <v>0</v>
          </cell>
          <cell r="CK39">
            <v>517.66666666666663</v>
          </cell>
          <cell r="CL39">
            <v>454.04543333333328</v>
          </cell>
          <cell r="CM39">
            <v>63.621233333333329</v>
          </cell>
          <cell r="CN39">
            <v>0</v>
          </cell>
          <cell r="CO39">
            <v>0</v>
          </cell>
          <cell r="CP39">
            <v>0</v>
          </cell>
        </row>
        <row r="40">
          <cell r="L40">
            <v>1553</v>
          </cell>
          <cell r="M40">
            <v>1362.1363000000001</v>
          </cell>
          <cell r="N40">
            <v>190.86369999999999</v>
          </cell>
          <cell r="O40">
            <v>1012.7937531982377</v>
          </cell>
          <cell r="P40">
            <v>20.774726440743517</v>
          </cell>
          <cell r="Q40">
            <v>1033.5684796389812</v>
          </cell>
          <cell r="S40">
            <v>1553</v>
          </cell>
          <cell r="T40">
            <v>1362.1363000000001</v>
          </cell>
          <cell r="U40">
            <v>190.86369999999999</v>
          </cell>
          <cell r="V40">
            <v>1012.7937531982377</v>
          </cell>
          <cell r="W40">
            <v>20.774726440743517</v>
          </cell>
          <cell r="X40">
            <v>1033.5684796389812</v>
          </cell>
          <cell r="Z40">
            <v>1553</v>
          </cell>
          <cell r="AA40">
            <v>1362.1363000000001</v>
          </cell>
          <cell r="AB40">
            <v>190.86369999999999</v>
          </cell>
          <cell r="AC40">
            <v>5233.7727198496214</v>
          </cell>
          <cell r="AD40">
            <v>107.35670136644288</v>
          </cell>
          <cell r="AE40">
            <v>5341.1294212160647</v>
          </cell>
          <cell r="AG40">
            <v>1553</v>
          </cell>
          <cell r="AH40">
            <v>1362.1363000000001</v>
          </cell>
          <cell r="AI40">
            <v>190.86369999999999</v>
          </cell>
          <cell r="AJ40">
            <v>2399.0838452455992</v>
          </cell>
          <cell r="AK40">
            <v>49.21072077705535</v>
          </cell>
          <cell r="AL40">
            <v>2448.2945660226546</v>
          </cell>
          <cell r="AN40">
            <v>1553</v>
          </cell>
          <cell r="AO40">
            <v>1362.1363000000001</v>
          </cell>
          <cell r="AP40">
            <v>190.86369999999999</v>
          </cell>
          <cell r="AQ40">
            <v>0</v>
          </cell>
          <cell r="AR40">
            <v>0</v>
          </cell>
          <cell r="AS40">
            <v>0</v>
          </cell>
          <cell r="AU40">
            <v>1553</v>
          </cell>
          <cell r="AV40">
            <v>1362.1363000000001</v>
          </cell>
          <cell r="AW40">
            <v>190.86369999999999</v>
          </cell>
          <cell r="AX40">
            <v>0</v>
          </cell>
          <cell r="AY40">
            <v>0</v>
          </cell>
          <cell r="AZ40">
            <v>0</v>
          </cell>
          <cell r="BB40">
            <v>1553</v>
          </cell>
          <cell r="BC40">
            <v>1362.1363000000001</v>
          </cell>
          <cell r="BD40">
            <v>190.86369999999999</v>
          </cell>
          <cell r="BE40">
            <v>0</v>
          </cell>
          <cell r="BF40">
            <v>0</v>
          </cell>
          <cell r="BG40">
            <v>0</v>
          </cell>
          <cell r="BI40">
            <v>1553</v>
          </cell>
          <cell r="BJ40">
            <v>1362.1363000000001</v>
          </cell>
          <cell r="BK40">
            <v>190.86369999999999</v>
          </cell>
          <cell r="BL40">
            <v>0</v>
          </cell>
          <cell r="BM40">
            <v>0</v>
          </cell>
          <cell r="BN40">
            <v>0</v>
          </cell>
          <cell r="BP40">
            <v>1553</v>
          </cell>
          <cell r="BQ40">
            <v>1362.1363000000001</v>
          </cell>
          <cell r="BR40">
            <v>190.86369999999999</v>
          </cell>
          <cell r="BS40">
            <v>0</v>
          </cell>
          <cell r="BT40">
            <v>0</v>
          </cell>
          <cell r="BU40">
            <v>0</v>
          </cell>
          <cell r="BW40">
            <v>1553</v>
          </cell>
          <cell r="BX40">
            <v>1362.1363000000001</v>
          </cell>
          <cell r="BY40">
            <v>190.86369999999999</v>
          </cell>
          <cell r="BZ40">
            <v>0</v>
          </cell>
          <cell r="CA40">
            <v>0</v>
          </cell>
          <cell r="CB40">
            <v>0</v>
          </cell>
          <cell r="CD40">
            <v>1553</v>
          </cell>
          <cell r="CE40">
            <v>1362.1363000000001</v>
          </cell>
          <cell r="CF40">
            <v>190.86369999999999</v>
          </cell>
          <cell r="CG40">
            <v>0</v>
          </cell>
          <cell r="CH40">
            <v>0</v>
          </cell>
          <cell r="CI40">
            <v>0</v>
          </cell>
          <cell r="CK40">
            <v>1553</v>
          </cell>
          <cell r="CL40">
            <v>1362.1363000000001</v>
          </cell>
          <cell r="CM40">
            <v>190.86369999999999</v>
          </cell>
          <cell r="CN40">
            <v>0</v>
          </cell>
          <cell r="CO40">
            <v>0</v>
          </cell>
          <cell r="CP40">
            <v>0</v>
          </cell>
        </row>
        <row r="41">
          <cell r="L41">
            <v>45451.133333333331</v>
          </cell>
          <cell r="M41">
            <v>39865.189046666666</v>
          </cell>
          <cell r="N41">
            <v>5585.9442866666659</v>
          </cell>
          <cell r="O41">
            <v>44537.565553333334</v>
          </cell>
          <cell r="P41">
            <v>913.56777999999974</v>
          </cell>
          <cell r="Q41">
            <v>45451.133333333331</v>
          </cell>
          <cell r="S41">
            <v>45451.133333333331</v>
          </cell>
          <cell r="T41">
            <v>39865.189046666666</v>
          </cell>
          <cell r="U41">
            <v>5585.9442866666659</v>
          </cell>
          <cell r="V41">
            <v>44537.565553333334</v>
          </cell>
          <cell r="W41">
            <v>913.56777999999974</v>
          </cell>
          <cell r="X41">
            <v>45451.133333333331</v>
          </cell>
          <cell r="Z41">
            <v>45451.133333333331</v>
          </cell>
          <cell r="AA41">
            <v>39865.189046666666</v>
          </cell>
          <cell r="AB41">
            <v>5585.9442866666659</v>
          </cell>
          <cell r="AC41">
            <v>44537.565553333334</v>
          </cell>
          <cell r="AD41">
            <v>913.56777999999974</v>
          </cell>
          <cell r="AE41">
            <v>45451.133333333331</v>
          </cell>
          <cell r="AG41">
            <v>45451.133333333331</v>
          </cell>
          <cell r="AH41">
            <v>39865.189046666666</v>
          </cell>
          <cell r="AI41">
            <v>5585.9442866666659</v>
          </cell>
          <cell r="AJ41">
            <v>44537.565553333334</v>
          </cell>
          <cell r="AK41">
            <v>913.56777999999974</v>
          </cell>
          <cell r="AL41">
            <v>45451.133333333331</v>
          </cell>
          <cell r="AN41">
            <v>45451.133333333331</v>
          </cell>
          <cell r="AO41">
            <v>39865.189046666666</v>
          </cell>
          <cell r="AP41">
            <v>5585.9442866666659</v>
          </cell>
          <cell r="AQ41">
            <v>0</v>
          </cell>
          <cell r="AR41">
            <v>0</v>
          </cell>
          <cell r="AS41"/>
          <cell r="AU41">
            <v>45451.133333333331</v>
          </cell>
          <cell r="AV41">
            <v>39865.189046666666</v>
          </cell>
          <cell r="AW41">
            <v>5585.9442866666659</v>
          </cell>
          <cell r="AX41">
            <v>0</v>
          </cell>
          <cell r="AY41">
            <v>0</v>
          </cell>
          <cell r="AZ41"/>
          <cell r="BB41">
            <v>45451.133333333331</v>
          </cell>
          <cell r="BC41">
            <v>39865.189046666666</v>
          </cell>
          <cell r="BD41">
            <v>5585.9442866666659</v>
          </cell>
          <cell r="BE41">
            <v>0</v>
          </cell>
          <cell r="BF41">
            <v>0</v>
          </cell>
          <cell r="BG41"/>
          <cell r="BI41">
            <v>45451.133333333331</v>
          </cell>
          <cell r="BJ41">
            <v>39865.189046666666</v>
          </cell>
          <cell r="BK41">
            <v>5585.9442866666659</v>
          </cell>
          <cell r="BL41">
            <v>0</v>
          </cell>
          <cell r="BM41">
            <v>0</v>
          </cell>
          <cell r="BN41"/>
          <cell r="BP41">
            <v>45451.133333333331</v>
          </cell>
          <cell r="BQ41">
            <v>39865.189046666666</v>
          </cell>
          <cell r="BR41">
            <v>5585.9442866666659</v>
          </cell>
          <cell r="BS41">
            <v>0</v>
          </cell>
          <cell r="BT41">
            <v>0</v>
          </cell>
          <cell r="BU41"/>
          <cell r="BW41">
            <v>45451.133333333331</v>
          </cell>
          <cell r="BX41">
            <v>39865.189046666666</v>
          </cell>
          <cell r="BY41">
            <v>5585.9442866666659</v>
          </cell>
          <cell r="BZ41">
            <v>0</v>
          </cell>
          <cell r="CA41">
            <v>0</v>
          </cell>
          <cell r="CB41"/>
          <cell r="CD41">
            <v>45451.133333333331</v>
          </cell>
          <cell r="CE41">
            <v>39865.189046666666</v>
          </cell>
          <cell r="CF41">
            <v>5585.9442866666659</v>
          </cell>
          <cell r="CG41">
            <v>0</v>
          </cell>
          <cell r="CH41">
            <v>0</v>
          </cell>
          <cell r="CI41"/>
          <cell r="CK41">
            <v>45451.133333333331</v>
          </cell>
          <cell r="CL41">
            <v>39865.189046666666</v>
          </cell>
          <cell r="CM41">
            <v>5585.9442866666659</v>
          </cell>
          <cell r="CN41">
            <v>0</v>
          </cell>
          <cell r="CO41">
            <v>0</v>
          </cell>
          <cell r="CP41"/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/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/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/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/>
        </row>
        <row r="43">
          <cell r="L43">
            <v>2999.3089</v>
          </cell>
          <cell r="M43">
            <v>2630.6938361900002</v>
          </cell>
          <cell r="N43">
            <v>368.61506380999998</v>
          </cell>
          <cell r="O43">
            <v>3506.4275272968284</v>
          </cell>
          <cell r="P43">
            <v>71.924883456134538</v>
          </cell>
          <cell r="Q43">
            <v>3578.3524107529629</v>
          </cell>
          <cell r="S43">
            <v>2999.3089</v>
          </cell>
          <cell r="T43">
            <v>2630.6938361900002</v>
          </cell>
          <cell r="U43">
            <v>368.61506380999998</v>
          </cell>
          <cell r="V43">
            <v>5062.8110117603364</v>
          </cell>
          <cell r="W43">
            <v>103.84988400488085</v>
          </cell>
          <cell r="X43">
            <v>5166.660895765217</v>
          </cell>
          <cell r="Z43">
            <v>2999.3089</v>
          </cell>
          <cell r="AA43">
            <v>2630.6938361900002</v>
          </cell>
          <cell r="AB43">
            <v>368.61506380999998</v>
          </cell>
          <cell r="AC43">
            <v>3135.379356248362</v>
          </cell>
          <cell r="AD43">
            <v>64.313833106023125</v>
          </cell>
          <cell r="AE43">
            <v>3199.6931893543851</v>
          </cell>
          <cell r="AG43">
            <v>2999.3089</v>
          </cell>
          <cell r="AH43">
            <v>2630.6938361900002</v>
          </cell>
          <cell r="AI43">
            <v>368.61506380999998</v>
          </cell>
          <cell r="AJ43">
            <v>3402.2839162496339</v>
          </cell>
          <cell r="AK43">
            <v>69.788658757646317</v>
          </cell>
          <cell r="AL43">
            <v>3472.0725750072802</v>
          </cell>
          <cell r="AN43">
            <v>2999.3089</v>
          </cell>
          <cell r="AO43">
            <v>2630.6938361900002</v>
          </cell>
          <cell r="AP43">
            <v>368.61506380999998</v>
          </cell>
          <cell r="AQ43">
            <v>0</v>
          </cell>
          <cell r="AR43">
            <v>0</v>
          </cell>
          <cell r="AS43">
            <v>0</v>
          </cell>
          <cell r="AU43">
            <v>2999.3089</v>
          </cell>
          <cell r="AV43">
            <v>2630.6938361900002</v>
          </cell>
          <cell r="AW43">
            <v>368.61506380999998</v>
          </cell>
          <cell r="AX43">
            <v>0</v>
          </cell>
          <cell r="AY43">
            <v>0</v>
          </cell>
          <cell r="AZ43">
            <v>0</v>
          </cell>
          <cell r="BB43">
            <v>2999.3089</v>
          </cell>
          <cell r="BC43">
            <v>2630.6938361900002</v>
          </cell>
          <cell r="BD43">
            <v>368.61506380999998</v>
          </cell>
          <cell r="BE43">
            <v>0</v>
          </cell>
          <cell r="BF43">
            <v>0</v>
          </cell>
          <cell r="BG43">
            <v>0</v>
          </cell>
          <cell r="BI43">
            <v>2999.3089</v>
          </cell>
          <cell r="BJ43">
            <v>2630.6938361900002</v>
          </cell>
          <cell r="BK43">
            <v>368.61506380999998</v>
          </cell>
          <cell r="BL43">
            <v>0</v>
          </cell>
          <cell r="BM43">
            <v>0</v>
          </cell>
          <cell r="BN43">
            <v>0</v>
          </cell>
          <cell r="BP43">
            <v>2999.3089</v>
          </cell>
          <cell r="BQ43">
            <v>2630.6938361900002</v>
          </cell>
          <cell r="BR43">
            <v>368.61506380999998</v>
          </cell>
          <cell r="BS43">
            <v>0</v>
          </cell>
          <cell r="BT43">
            <v>0</v>
          </cell>
          <cell r="BU43">
            <v>0</v>
          </cell>
          <cell r="BW43">
            <v>2999.3089</v>
          </cell>
          <cell r="BX43">
            <v>2630.6938361900002</v>
          </cell>
          <cell r="BY43">
            <v>368.61506380999998</v>
          </cell>
          <cell r="BZ43">
            <v>0</v>
          </cell>
          <cell r="CA43">
            <v>0</v>
          </cell>
          <cell r="CB43">
            <v>0</v>
          </cell>
          <cell r="CD43">
            <v>2999.3089</v>
          </cell>
          <cell r="CE43">
            <v>2630.6938361900002</v>
          </cell>
          <cell r="CF43">
            <v>368.61506380999998</v>
          </cell>
          <cell r="CG43">
            <v>0</v>
          </cell>
          <cell r="CH43">
            <v>0</v>
          </cell>
          <cell r="CI43">
            <v>0</v>
          </cell>
          <cell r="CK43">
            <v>2999.3089</v>
          </cell>
          <cell r="CL43">
            <v>2630.6938361900002</v>
          </cell>
          <cell r="CM43">
            <v>368.61506380999998</v>
          </cell>
          <cell r="CN43">
            <v>0</v>
          </cell>
          <cell r="CO43">
            <v>0</v>
          </cell>
          <cell r="CP43">
            <v>0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</row>
        <row r="48">
          <cell r="L48">
            <v>2070.6666666666665</v>
          </cell>
          <cell r="M48">
            <v>1816.1817333333331</v>
          </cell>
          <cell r="N48">
            <v>254.48493333333332</v>
          </cell>
          <cell r="O48">
            <v>16.280918871369622</v>
          </cell>
          <cell r="P48">
            <v>0.33395904614198324</v>
          </cell>
          <cell r="Q48">
            <v>16.614877917511606</v>
          </cell>
          <cell r="S48">
            <v>2070.6666666666665</v>
          </cell>
          <cell r="T48">
            <v>1816.1817333333331</v>
          </cell>
          <cell r="U48">
            <v>254.48493333333332</v>
          </cell>
          <cell r="V48">
            <v>868.38803277914144</v>
          </cell>
          <cell r="W48">
            <v>17.812633389999736</v>
          </cell>
          <cell r="X48">
            <v>886.20066616914119</v>
          </cell>
          <cell r="Z48">
            <v>2070.6666666666665</v>
          </cell>
          <cell r="AA48">
            <v>1816.1817333333331</v>
          </cell>
          <cell r="AB48">
            <v>254.48493333333332</v>
          </cell>
          <cell r="AC48">
            <v>1514.2762042861839</v>
          </cell>
          <cell r="AD48">
            <v>31.061283504594645</v>
          </cell>
          <cell r="AE48">
            <v>1545.3374877907786</v>
          </cell>
          <cell r="AG48">
            <v>2070.6666666666665</v>
          </cell>
          <cell r="AH48">
            <v>1816.1817333333331</v>
          </cell>
          <cell r="AI48">
            <v>254.48493333333332</v>
          </cell>
          <cell r="AJ48">
            <v>969.93272677686912</v>
          </cell>
          <cell r="AK48">
            <v>19.895548329640846</v>
          </cell>
          <cell r="AL48">
            <v>989.82827510650998</v>
          </cell>
          <cell r="AN48">
            <v>2070.6666666666665</v>
          </cell>
          <cell r="AO48">
            <v>1816.1817333333331</v>
          </cell>
          <cell r="AP48">
            <v>254.48493333333332</v>
          </cell>
          <cell r="AQ48">
            <v>0</v>
          </cell>
          <cell r="AR48">
            <v>0</v>
          </cell>
          <cell r="AS48">
            <v>0</v>
          </cell>
          <cell r="AU48">
            <v>2070.6666666666665</v>
          </cell>
          <cell r="AV48">
            <v>1816.1817333333331</v>
          </cell>
          <cell r="AW48">
            <v>254.48493333333332</v>
          </cell>
          <cell r="AX48">
            <v>0</v>
          </cell>
          <cell r="AY48">
            <v>0</v>
          </cell>
          <cell r="AZ48">
            <v>0</v>
          </cell>
          <cell r="BB48">
            <v>2070.6666666666665</v>
          </cell>
          <cell r="BC48">
            <v>1816.1817333333331</v>
          </cell>
          <cell r="BD48">
            <v>254.48493333333332</v>
          </cell>
          <cell r="BE48">
            <v>0</v>
          </cell>
          <cell r="BF48">
            <v>0</v>
          </cell>
          <cell r="BG48">
            <v>0</v>
          </cell>
          <cell r="BI48">
            <v>2070.6666666666665</v>
          </cell>
          <cell r="BJ48">
            <v>1816.1817333333331</v>
          </cell>
          <cell r="BK48">
            <v>254.48493333333332</v>
          </cell>
          <cell r="BL48">
            <v>0</v>
          </cell>
          <cell r="BM48">
            <v>0</v>
          </cell>
          <cell r="BN48">
            <v>0</v>
          </cell>
          <cell r="BP48">
            <v>2070.6666666666665</v>
          </cell>
          <cell r="BQ48">
            <v>1816.1817333333331</v>
          </cell>
          <cell r="BR48">
            <v>254.48493333333332</v>
          </cell>
          <cell r="BS48">
            <v>0</v>
          </cell>
          <cell r="BT48">
            <v>0</v>
          </cell>
          <cell r="BU48">
            <v>0</v>
          </cell>
          <cell r="BW48">
            <v>2070.6666666666665</v>
          </cell>
          <cell r="BX48">
            <v>1816.1817333333331</v>
          </cell>
          <cell r="BY48">
            <v>254.48493333333332</v>
          </cell>
          <cell r="BZ48">
            <v>0</v>
          </cell>
          <cell r="CA48">
            <v>0</v>
          </cell>
          <cell r="CB48">
            <v>0</v>
          </cell>
          <cell r="CD48">
            <v>2070.6666666666665</v>
          </cell>
          <cell r="CE48">
            <v>1816.1817333333331</v>
          </cell>
          <cell r="CF48">
            <v>254.48493333333332</v>
          </cell>
          <cell r="CG48">
            <v>0</v>
          </cell>
          <cell r="CH48">
            <v>0</v>
          </cell>
          <cell r="CI48">
            <v>0</v>
          </cell>
          <cell r="CK48">
            <v>2070.6666666666665</v>
          </cell>
          <cell r="CL48">
            <v>1816.1817333333331</v>
          </cell>
          <cell r="CM48">
            <v>254.48493333333332</v>
          </cell>
          <cell r="CN48">
            <v>0</v>
          </cell>
          <cell r="CO48">
            <v>0</v>
          </cell>
          <cell r="CP48">
            <v>0</v>
          </cell>
        </row>
        <row r="49">
          <cell r="L49">
            <v>5409.6166666666668</v>
          </cell>
          <cell r="M49">
            <v>4744.7747783333334</v>
          </cell>
          <cell r="N49">
            <v>664.84188833333337</v>
          </cell>
          <cell r="O49">
            <v>13609.569822835105</v>
          </cell>
          <cell r="P49">
            <v>279.16354060514902</v>
          </cell>
          <cell r="Q49">
            <v>13888.733363440253</v>
          </cell>
          <cell r="S49">
            <v>5409.6166666666668</v>
          </cell>
          <cell r="T49">
            <v>4744.7747783333334</v>
          </cell>
          <cell r="U49">
            <v>664.84188833333337</v>
          </cell>
          <cell r="V49">
            <v>8894.8388265746999</v>
          </cell>
          <cell r="W49">
            <v>182.45357731824822</v>
          </cell>
          <cell r="X49">
            <v>9077.2924038929486</v>
          </cell>
          <cell r="Z49">
            <v>5409.6166666666668</v>
          </cell>
          <cell r="AA49">
            <v>4744.7747783333334</v>
          </cell>
          <cell r="AB49">
            <v>664.84188833333337</v>
          </cell>
          <cell r="AC49">
            <v>4957.0332788560518</v>
          </cell>
          <cell r="AD49">
            <v>101.68013971324281</v>
          </cell>
          <cell r="AE49">
            <v>5058.7134185692948</v>
          </cell>
          <cell r="AG49">
            <v>5409.6166666666668</v>
          </cell>
          <cell r="AH49">
            <v>4744.7747783333334</v>
          </cell>
          <cell r="AI49">
            <v>664.84188833333337</v>
          </cell>
          <cell r="AJ49">
            <v>6806.889370930925</v>
          </cell>
          <cell r="AK49">
            <v>139.62493760150176</v>
          </cell>
          <cell r="AL49">
            <v>6946.5143085324271</v>
          </cell>
          <cell r="AN49">
            <v>5409.6166666666668</v>
          </cell>
          <cell r="AO49">
            <v>4744.7747783333334</v>
          </cell>
          <cell r="AP49">
            <v>664.84188833333337</v>
          </cell>
          <cell r="AQ49">
            <v>0</v>
          </cell>
          <cell r="AR49">
            <v>0</v>
          </cell>
          <cell r="AS49">
            <v>0</v>
          </cell>
          <cell r="AU49">
            <v>5409.6166666666668</v>
          </cell>
          <cell r="AV49">
            <v>4744.7747783333334</v>
          </cell>
          <cell r="AW49">
            <v>664.84188833333337</v>
          </cell>
          <cell r="AX49">
            <v>0</v>
          </cell>
          <cell r="AY49">
            <v>0</v>
          </cell>
          <cell r="AZ49">
            <v>0</v>
          </cell>
          <cell r="BB49">
            <v>5409.6166666666668</v>
          </cell>
          <cell r="BC49">
            <v>4744.7747783333334</v>
          </cell>
          <cell r="BD49">
            <v>664.84188833333337</v>
          </cell>
          <cell r="BE49">
            <v>0</v>
          </cell>
          <cell r="BF49">
            <v>0</v>
          </cell>
          <cell r="BG49">
            <v>0</v>
          </cell>
          <cell r="BI49">
            <v>5409.6166666666668</v>
          </cell>
          <cell r="BJ49">
            <v>4744.7747783333334</v>
          </cell>
          <cell r="BK49">
            <v>664.84188833333337</v>
          </cell>
          <cell r="BL49">
            <v>0</v>
          </cell>
          <cell r="BM49">
            <v>0</v>
          </cell>
          <cell r="BN49">
            <v>0</v>
          </cell>
          <cell r="BP49">
            <v>5409.6166666666668</v>
          </cell>
          <cell r="BQ49">
            <v>4744.7747783333334</v>
          </cell>
          <cell r="BR49">
            <v>664.84188833333337</v>
          </cell>
          <cell r="BS49">
            <v>0</v>
          </cell>
          <cell r="BT49">
            <v>0</v>
          </cell>
          <cell r="BU49">
            <v>0</v>
          </cell>
          <cell r="BW49">
            <v>5409.6166666666668</v>
          </cell>
          <cell r="BX49">
            <v>4744.7747783333334</v>
          </cell>
          <cell r="BY49">
            <v>664.84188833333337</v>
          </cell>
          <cell r="BZ49">
            <v>0</v>
          </cell>
          <cell r="CA49">
            <v>0</v>
          </cell>
          <cell r="CB49">
            <v>0</v>
          </cell>
          <cell r="CD49">
            <v>5409.6166666666668</v>
          </cell>
          <cell r="CE49">
            <v>4744.7747783333334</v>
          </cell>
          <cell r="CF49">
            <v>664.84188833333337</v>
          </cell>
          <cell r="CG49">
            <v>0</v>
          </cell>
          <cell r="CH49">
            <v>0</v>
          </cell>
          <cell r="CI49">
            <v>0</v>
          </cell>
          <cell r="CK49">
            <v>5409.6166666666668</v>
          </cell>
          <cell r="CL49">
            <v>4744.7747783333334</v>
          </cell>
          <cell r="CM49">
            <v>664.84188833333337</v>
          </cell>
          <cell r="CN49">
            <v>0</v>
          </cell>
          <cell r="CO49">
            <v>0</v>
          </cell>
          <cell r="CP49">
            <v>0</v>
          </cell>
        </row>
        <row r="50">
          <cell r="L50">
            <v>357.22105999999997</v>
          </cell>
          <cell r="M50">
            <v>313.31859172599997</v>
          </cell>
          <cell r="N50">
            <v>43.902468273999993</v>
          </cell>
          <cell r="O50">
            <v>324.15309472896928</v>
          </cell>
          <cell r="P50">
            <v>6.6491246086868872</v>
          </cell>
          <cell r="Q50">
            <v>330.80221933765614</v>
          </cell>
          <cell r="S50">
            <v>357.22105999999997</v>
          </cell>
          <cell r="T50">
            <v>313.31859172599997</v>
          </cell>
          <cell r="U50">
            <v>43.902468273999993</v>
          </cell>
          <cell r="V50">
            <v>375.38371944421226</v>
          </cell>
          <cell r="W50">
            <v>7.6999824072136596</v>
          </cell>
          <cell r="X50">
            <v>383.08370185142593</v>
          </cell>
          <cell r="Z50">
            <v>357.22105999999997</v>
          </cell>
          <cell r="AA50">
            <v>313.31859172599997</v>
          </cell>
          <cell r="AB50">
            <v>43.902468273999993</v>
          </cell>
          <cell r="AC50">
            <v>661.92186161036523</v>
          </cell>
          <cell r="AD50">
            <v>13.577537930776955</v>
          </cell>
          <cell r="AE50">
            <v>675.49939954114222</v>
          </cell>
          <cell r="AG50">
            <v>357.22105999999997</v>
          </cell>
          <cell r="AH50">
            <v>313.31859172599997</v>
          </cell>
          <cell r="AI50">
            <v>43.902468273999993</v>
          </cell>
          <cell r="AJ50">
            <v>306.55764240798533</v>
          </cell>
          <cell r="AK50">
            <v>6.2882014617823279</v>
          </cell>
          <cell r="AL50">
            <v>312.84584386976763</v>
          </cell>
          <cell r="AN50">
            <v>357.22105999999997</v>
          </cell>
          <cell r="AO50">
            <v>313.31859172599997</v>
          </cell>
          <cell r="AP50">
            <v>43.902468273999993</v>
          </cell>
          <cell r="AQ50">
            <v>0</v>
          </cell>
          <cell r="AR50">
            <v>0</v>
          </cell>
          <cell r="AS50">
            <v>0</v>
          </cell>
          <cell r="AU50">
            <v>357.22105999999997</v>
          </cell>
          <cell r="AV50">
            <v>313.31859172599997</v>
          </cell>
          <cell r="AW50">
            <v>43.902468273999993</v>
          </cell>
          <cell r="AX50">
            <v>0</v>
          </cell>
          <cell r="AY50">
            <v>0</v>
          </cell>
          <cell r="AZ50">
            <v>0</v>
          </cell>
          <cell r="BB50">
            <v>357.22105999999997</v>
          </cell>
          <cell r="BC50">
            <v>313.31859172599997</v>
          </cell>
          <cell r="BD50">
            <v>43.902468273999993</v>
          </cell>
          <cell r="BE50">
            <v>0</v>
          </cell>
          <cell r="BF50">
            <v>0</v>
          </cell>
          <cell r="BG50">
            <v>0</v>
          </cell>
          <cell r="BI50">
            <v>357.22105999999997</v>
          </cell>
          <cell r="BJ50">
            <v>313.31859172599997</v>
          </cell>
          <cell r="BK50">
            <v>43.902468273999993</v>
          </cell>
          <cell r="BL50">
            <v>0</v>
          </cell>
          <cell r="BM50">
            <v>0</v>
          </cell>
          <cell r="BN50">
            <v>0</v>
          </cell>
          <cell r="BP50">
            <v>357.22105999999997</v>
          </cell>
          <cell r="BQ50">
            <v>313.31859172599997</v>
          </cell>
          <cell r="BR50">
            <v>43.902468273999993</v>
          </cell>
          <cell r="BS50">
            <v>0</v>
          </cell>
          <cell r="BT50">
            <v>0</v>
          </cell>
          <cell r="BU50">
            <v>0</v>
          </cell>
          <cell r="BW50">
            <v>357.22105999999997</v>
          </cell>
          <cell r="BX50">
            <v>313.31859172599997</v>
          </cell>
          <cell r="BY50">
            <v>43.902468273999993</v>
          </cell>
          <cell r="BZ50">
            <v>0</v>
          </cell>
          <cell r="CA50">
            <v>0</v>
          </cell>
          <cell r="CB50">
            <v>0</v>
          </cell>
          <cell r="CD50">
            <v>357.22105999999997</v>
          </cell>
          <cell r="CE50">
            <v>313.31859172599997</v>
          </cell>
          <cell r="CF50">
            <v>43.902468273999993</v>
          </cell>
          <cell r="CG50">
            <v>0</v>
          </cell>
          <cell r="CH50">
            <v>0</v>
          </cell>
          <cell r="CI50">
            <v>0</v>
          </cell>
          <cell r="CK50">
            <v>357.22105999999997</v>
          </cell>
          <cell r="CL50">
            <v>313.31859172599997</v>
          </cell>
          <cell r="CM50">
            <v>43.902468273999993</v>
          </cell>
          <cell r="CN50">
            <v>0</v>
          </cell>
          <cell r="CO50">
            <v>0</v>
          </cell>
          <cell r="CP50">
            <v>0</v>
          </cell>
        </row>
        <row r="51">
          <cell r="L51">
            <v>268.49206670999996</v>
          </cell>
          <cell r="M51">
            <v>235.49439171134097</v>
          </cell>
          <cell r="N51">
            <v>32.997674998658994</v>
          </cell>
          <cell r="O51">
            <v>258.13698369054151</v>
          </cell>
          <cell r="P51">
            <v>5.294982520848948</v>
          </cell>
          <cell r="Q51">
            <v>263.43196621139049</v>
          </cell>
          <cell r="S51">
            <v>268.49206670999996</v>
          </cell>
          <cell r="T51">
            <v>235.49439171134097</v>
          </cell>
          <cell r="U51">
            <v>32.997674998658994</v>
          </cell>
          <cell r="V51">
            <v>251.41356719366115</v>
          </cell>
          <cell r="W51">
            <v>5.1570698036458698</v>
          </cell>
          <cell r="X51">
            <v>256.57063699730702</v>
          </cell>
          <cell r="Z51">
            <v>268.49206670999996</v>
          </cell>
          <cell r="AA51">
            <v>235.49439171134097</v>
          </cell>
          <cell r="AB51">
            <v>32.997674998658994</v>
          </cell>
          <cell r="AC51">
            <v>233.82414484262958</v>
          </cell>
          <cell r="AD51">
            <v>4.7962703452769198</v>
          </cell>
          <cell r="AE51">
            <v>238.6204151879065</v>
          </cell>
          <cell r="AG51">
            <v>268.49206670999996</v>
          </cell>
          <cell r="AH51">
            <v>235.49439171134097</v>
          </cell>
          <cell r="AI51">
            <v>32.997674998658994</v>
          </cell>
          <cell r="AJ51">
            <v>311.84592605620418</v>
          </cell>
          <cell r="AK51">
            <v>6.3966763075106678</v>
          </cell>
          <cell r="AL51">
            <v>318.24260236371487</v>
          </cell>
          <cell r="AN51">
            <v>268.49206670999996</v>
          </cell>
          <cell r="AO51">
            <v>235.49439171134097</v>
          </cell>
          <cell r="AP51">
            <v>32.997674998658994</v>
          </cell>
          <cell r="AQ51">
            <v>0</v>
          </cell>
          <cell r="AR51">
            <v>0</v>
          </cell>
          <cell r="AS51">
            <v>0</v>
          </cell>
          <cell r="AU51">
            <v>268.49206670999996</v>
          </cell>
          <cell r="AV51">
            <v>235.49439171134097</v>
          </cell>
          <cell r="AW51">
            <v>32.997674998658994</v>
          </cell>
          <cell r="AX51">
            <v>0</v>
          </cell>
          <cell r="AY51">
            <v>0</v>
          </cell>
          <cell r="AZ51">
            <v>0</v>
          </cell>
          <cell r="BB51">
            <v>268.49206670999996</v>
          </cell>
          <cell r="BC51">
            <v>235.49439171134097</v>
          </cell>
          <cell r="BD51">
            <v>32.997674998658994</v>
          </cell>
          <cell r="BE51">
            <v>0</v>
          </cell>
          <cell r="BF51">
            <v>0</v>
          </cell>
          <cell r="BG51">
            <v>0</v>
          </cell>
          <cell r="BI51">
            <v>268.49206670999996</v>
          </cell>
          <cell r="BJ51">
            <v>235.49439171134097</v>
          </cell>
          <cell r="BK51">
            <v>32.997674998658994</v>
          </cell>
          <cell r="BL51">
            <v>0</v>
          </cell>
          <cell r="BM51">
            <v>0</v>
          </cell>
          <cell r="BN51">
            <v>0</v>
          </cell>
          <cell r="BP51">
            <v>268.49206670999996</v>
          </cell>
          <cell r="BQ51">
            <v>235.49439171134097</v>
          </cell>
          <cell r="BR51">
            <v>32.997674998658994</v>
          </cell>
          <cell r="BS51">
            <v>0</v>
          </cell>
          <cell r="BT51">
            <v>0</v>
          </cell>
          <cell r="BU51">
            <v>0</v>
          </cell>
          <cell r="BW51">
            <v>268.49206670999996</v>
          </cell>
          <cell r="BX51">
            <v>235.49439171134097</v>
          </cell>
          <cell r="BY51">
            <v>32.997674998658994</v>
          </cell>
          <cell r="BZ51">
            <v>0</v>
          </cell>
          <cell r="CA51">
            <v>0</v>
          </cell>
          <cell r="CB51">
            <v>0</v>
          </cell>
          <cell r="CD51">
            <v>268.49206670999996</v>
          </cell>
          <cell r="CE51">
            <v>235.49439171134097</v>
          </cell>
          <cell r="CF51">
            <v>32.997674998658994</v>
          </cell>
          <cell r="CG51">
            <v>0</v>
          </cell>
          <cell r="CH51">
            <v>0</v>
          </cell>
          <cell r="CI51">
            <v>0</v>
          </cell>
          <cell r="CK51">
            <v>268.49206670999996</v>
          </cell>
          <cell r="CL51">
            <v>235.49439171134097</v>
          </cell>
          <cell r="CM51">
            <v>32.997674998658994</v>
          </cell>
          <cell r="CN51">
            <v>0</v>
          </cell>
          <cell r="CO51">
            <v>0</v>
          </cell>
          <cell r="CP51">
            <v>0</v>
          </cell>
        </row>
        <row r="52">
          <cell r="L52">
            <v>2070.6666666666665</v>
          </cell>
          <cell r="M52">
            <v>1816.1817333333331</v>
          </cell>
          <cell r="N52">
            <v>254.48493333333332</v>
          </cell>
          <cell r="O52">
            <v>14570.759093181056</v>
          </cell>
          <cell r="P52">
            <v>298.87974055815812</v>
          </cell>
          <cell r="Q52">
            <v>14869.638833739213</v>
          </cell>
          <cell r="S52">
            <v>2070.6666666666665</v>
          </cell>
          <cell r="T52">
            <v>1816.1817333333331</v>
          </cell>
          <cell r="U52">
            <v>254.48493333333332</v>
          </cell>
          <cell r="V52">
            <v>2757.3846598147784</v>
          </cell>
          <cell r="W52">
            <v>56.560293562891147</v>
          </cell>
          <cell r="X52">
            <v>2813.9449533776697</v>
          </cell>
          <cell r="Z52">
            <v>2070.6666666666665</v>
          </cell>
          <cell r="AA52">
            <v>1816.1817333333331</v>
          </cell>
          <cell r="AB52">
            <v>254.48493333333332</v>
          </cell>
          <cell r="AC52">
            <v>16848.079755178667</v>
          </cell>
          <cell r="AD52">
            <v>345.59281873567824</v>
          </cell>
          <cell r="AE52">
            <v>17193.672573914344</v>
          </cell>
          <cell r="AG52">
            <v>2070.6666666666665</v>
          </cell>
          <cell r="AH52">
            <v>1816.1817333333331</v>
          </cell>
          <cell r="AI52">
            <v>254.48493333333332</v>
          </cell>
          <cell r="AJ52">
            <v>13415.344490669617</v>
          </cell>
          <cell r="AK52">
            <v>275.1795328732108</v>
          </cell>
          <cell r="AL52">
            <v>13690.524023542828</v>
          </cell>
          <cell r="AN52">
            <v>2070.6666666666665</v>
          </cell>
          <cell r="AO52">
            <v>1816.1817333333331</v>
          </cell>
          <cell r="AP52">
            <v>254.48493333333332</v>
          </cell>
          <cell r="AQ52">
            <v>0</v>
          </cell>
          <cell r="AR52">
            <v>0</v>
          </cell>
          <cell r="AS52">
            <v>0</v>
          </cell>
          <cell r="AU52">
            <v>2070.6666666666665</v>
          </cell>
          <cell r="AV52">
            <v>1816.1817333333331</v>
          </cell>
          <cell r="AW52">
            <v>254.48493333333332</v>
          </cell>
          <cell r="AX52">
            <v>0</v>
          </cell>
          <cell r="AY52">
            <v>0</v>
          </cell>
          <cell r="AZ52">
            <v>0</v>
          </cell>
          <cell r="BB52">
            <v>2070.6666666666665</v>
          </cell>
          <cell r="BC52">
            <v>1816.1817333333331</v>
          </cell>
          <cell r="BD52">
            <v>254.48493333333332</v>
          </cell>
          <cell r="BE52">
            <v>0</v>
          </cell>
          <cell r="BF52">
            <v>0</v>
          </cell>
          <cell r="BG52">
            <v>0</v>
          </cell>
          <cell r="BI52">
            <v>2070.6666666666665</v>
          </cell>
          <cell r="BJ52">
            <v>1816.1817333333331</v>
          </cell>
          <cell r="BK52">
            <v>254.48493333333332</v>
          </cell>
          <cell r="BL52">
            <v>0</v>
          </cell>
          <cell r="BM52">
            <v>0</v>
          </cell>
          <cell r="BN52">
            <v>0</v>
          </cell>
          <cell r="BP52">
            <v>2070.6666666666665</v>
          </cell>
          <cell r="BQ52">
            <v>1816.1817333333331</v>
          </cell>
          <cell r="BR52">
            <v>254.48493333333332</v>
          </cell>
          <cell r="BS52">
            <v>0</v>
          </cell>
          <cell r="BT52">
            <v>0</v>
          </cell>
          <cell r="BU52">
            <v>0</v>
          </cell>
          <cell r="BW52">
            <v>2070.6666666666665</v>
          </cell>
          <cell r="BX52">
            <v>1816.1817333333331</v>
          </cell>
          <cell r="BY52">
            <v>254.48493333333332</v>
          </cell>
          <cell r="BZ52">
            <v>0</v>
          </cell>
          <cell r="CA52">
            <v>0</v>
          </cell>
          <cell r="CB52">
            <v>0</v>
          </cell>
          <cell r="CD52">
            <v>2070.6666666666665</v>
          </cell>
          <cell r="CE52">
            <v>1816.1817333333331</v>
          </cell>
          <cell r="CF52">
            <v>254.48493333333332</v>
          </cell>
          <cell r="CG52">
            <v>0</v>
          </cell>
          <cell r="CH52">
            <v>0</v>
          </cell>
          <cell r="CI52">
            <v>0</v>
          </cell>
          <cell r="CK52">
            <v>2070.6666666666665</v>
          </cell>
          <cell r="CL52">
            <v>1816.1817333333331</v>
          </cell>
          <cell r="CM52">
            <v>254.48493333333332</v>
          </cell>
          <cell r="CN52">
            <v>0</v>
          </cell>
          <cell r="CO52">
            <v>0</v>
          </cell>
          <cell r="CP52">
            <v>0</v>
          </cell>
        </row>
        <row r="53">
          <cell r="L53">
            <v>1035.3333333333333</v>
          </cell>
          <cell r="M53">
            <v>908.09086666666656</v>
          </cell>
          <cell r="N53">
            <v>127.24246666666666</v>
          </cell>
          <cell r="O53">
            <v>0</v>
          </cell>
          <cell r="P53">
            <v>0</v>
          </cell>
          <cell r="Q53">
            <v>0</v>
          </cell>
          <cell r="S53">
            <v>1035.3333333333333</v>
          </cell>
          <cell r="T53">
            <v>908.09086666666656</v>
          </cell>
          <cell r="U53">
            <v>127.24246666666666</v>
          </cell>
          <cell r="V53">
            <v>32.513597983120377</v>
          </cell>
          <cell r="W53">
            <v>0.66692858399910138</v>
          </cell>
          <cell r="X53">
            <v>33.180526567119479</v>
          </cell>
          <cell r="Z53">
            <v>1035.3333333333333</v>
          </cell>
          <cell r="AA53">
            <v>908.09086666666656</v>
          </cell>
          <cell r="AB53">
            <v>127.24246666666666</v>
          </cell>
          <cell r="AC53">
            <v>0</v>
          </cell>
          <cell r="AD53">
            <v>0</v>
          </cell>
          <cell r="AE53">
            <v>0</v>
          </cell>
          <cell r="AG53">
            <v>1035.3333333333333</v>
          </cell>
          <cell r="AH53">
            <v>908.09086666666656</v>
          </cell>
          <cell r="AI53">
            <v>127.24246666666666</v>
          </cell>
          <cell r="AJ53">
            <v>0</v>
          </cell>
          <cell r="AK53">
            <v>0</v>
          </cell>
          <cell r="AL53">
            <v>0</v>
          </cell>
          <cell r="AN53">
            <v>1035.3333333333333</v>
          </cell>
          <cell r="AO53">
            <v>908.09086666666656</v>
          </cell>
          <cell r="AP53">
            <v>127.24246666666666</v>
          </cell>
          <cell r="AQ53">
            <v>0</v>
          </cell>
          <cell r="AR53">
            <v>0</v>
          </cell>
          <cell r="AS53">
            <v>0</v>
          </cell>
          <cell r="AU53">
            <v>1035.3333333333333</v>
          </cell>
          <cell r="AV53">
            <v>908.09086666666656</v>
          </cell>
          <cell r="AW53">
            <v>127.24246666666666</v>
          </cell>
          <cell r="AX53">
            <v>0</v>
          </cell>
          <cell r="AY53">
            <v>0</v>
          </cell>
          <cell r="AZ53">
            <v>0</v>
          </cell>
          <cell r="BB53">
            <v>1035.3333333333333</v>
          </cell>
          <cell r="BC53">
            <v>908.09086666666656</v>
          </cell>
          <cell r="BD53">
            <v>127.24246666666666</v>
          </cell>
          <cell r="BE53">
            <v>0</v>
          </cell>
          <cell r="BF53">
            <v>0</v>
          </cell>
          <cell r="BG53">
            <v>0</v>
          </cell>
          <cell r="BI53">
            <v>1035.3333333333333</v>
          </cell>
          <cell r="BJ53">
            <v>908.09086666666656</v>
          </cell>
          <cell r="BK53">
            <v>127.24246666666666</v>
          </cell>
          <cell r="BL53">
            <v>0</v>
          </cell>
          <cell r="BM53">
            <v>0</v>
          </cell>
          <cell r="BN53">
            <v>0</v>
          </cell>
          <cell r="BP53">
            <v>1035.3333333333333</v>
          </cell>
          <cell r="BQ53">
            <v>908.09086666666656</v>
          </cell>
          <cell r="BR53">
            <v>127.24246666666666</v>
          </cell>
          <cell r="BS53">
            <v>0</v>
          </cell>
          <cell r="BT53">
            <v>0</v>
          </cell>
          <cell r="BU53">
            <v>0</v>
          </cell>
          <cell r="BW53">
            <v>1035.3333333333333</v>
          </cell>
          <cell r="BX53">
            <v>908.09086666666656</v>
          </cell>
          <cell r="BY53">
            <v>127.24246666666666</v>
          </cell>
          <cell r="BZ53">
            <v>0</v>
          </cell>
          <cell r="CA53">
            <v>0</v>
          </cell>
          <cell r="CB53">
            <v>0</v>
          </cell>
          <cell r="CD53">
            <v>1035.3333333333333</v>
          </cell>
          <cell r="CE53">
            <v>908.09086666666656</v>
          </cell>
          <cell r="CF53">
            <v>127.24246666666666</v>
          </cell>
          <cell r="CG53">
            <v>0</v>
          </cell>
          <cell r="CH53">
            <v>0</v>
          </cell>
          <cell r="CI53">
            <v>0</v>
          </cell>
          <cell r="CK53">
            <v>1035.3333333333333</v>
          </cell>
          <cell r="CL53">
            <v>908.09086666666656</v>
          </cell>
          <cell r="CM53">
            <v>127.24246666666666</v>
          </cell>
          <cell r="CN53">
            <v>0</v>
          </cell>
          <cell r="CO53">
            <v>0</v>
          </cell>
          <cell r="CP53">
            <v>0</v>
          </cell>
        </row>
        <row r="54">
          <cell r="L54">
            <v>15754.771400135465</v>
          </cell>
          <cell r="M54">
            <v>13818.509995058817</v>
          </cell>
          <cell r="N54">
            <v>1936.2614050766485</v>
          </cell>
          <cell r="O54">
            <v>0</v>
          </cell>
          <cell r="P54">
            <v>0</v>
          </cell>
          <cell r="Q54">
            <v>0</v>
          </cell>
          <cell r="S54">
            <v>15754.771400135465</v>
          </cell>
          <cell r="T54">
            <v>13818.509995058817</v>
          </cell>
          <cell r="U54">
            <v>1936.2614050766485</v>
          </cell>
          <cell r="V54">
            <v>16780.532031772338</v>
          </cell>
          <cell r="W54">
            <v>344.20725975979582</v>
          </cell>
          <cell r="X54">
            <v>17124.739291532132</v>
          </cell>
          <cell r="Z54">
            <v>15754.771400135465</v>
          </cell>
          <cell r="AA54">
            <v>13818.509995058817</v>
          </cell>
          <cell r="AB54">
            <v>1936.2614050766485</v>
          </cell>
          <cell r="AC54">
            <v>11229.040195132944</v>
          </cell>
          <cell r="AD54">
            <v>230.33340945216054</v>
          </cell>
          <cell r="AE54">
            <v>11459.373604585104</v>
          </cell>
          <cell r="AG54">
            <v>15754.771400135465</v>
          </cell>
          <cell r="AH54">
            <v>13818.509995058817</v>
          </cell>
          <cell r="AI54">
            <v>1936.2614050766485</v>
          </cell>
          <cell r="AJ54">
            <v>0</v>
          </cell>
          <cell r="AK54">
            <v>0</v>
          </cell>
          <cell r="AL54">
            <v>0</v>
          </cell>
          <cell r="AN54">
            <v>15754.771400135465</v>
          </cell>
          <cell r="AO54">
            <v>13818.509995058817</v>
          </cell>
          <cell r="AP54">
            <v>1936.2614050766485</v>
          </cell>
          <cell r="AQ54">
            <v>0</v>
          </cell>
          <cell r="AR54">
            <v>0</v>
          </cell>
          <cell r="AS54">
            <v>0</v>
          </cell>
          <cell r="AU54">
            <v>15754.771400135465</v>
          </cell>
          <cell r="AV54">
            <v>13818.509995058817</v>
          </cell>
          <cell r="AW54">
            <v>1936.2614050766485</v>
          </cell>
          <cell r="AX54">
            <v>0</v>
          </cell>
          <cell r="AY54">
            <v>0</v>
          </cell>
          <cell r="AZ54">
            <v>0</v>
          </cell>
          <cell r="BB54">
            <v>15754.771400135465</v>
          </cell>
          <cell r="BC54">
            <v>13818.509995058817</v>
          </cell>
          <cell r="BD54">
            <v>1936.2614050766485</v>
          </cell>
          <cell r="BE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</row>
        <row r="56">
          <cell r="L56">
            <v>-9004.6862802768155</v>
          </cell>
          <cell r="M56">
            <v>-7898.0103364307952</v>
          </cell>
          <cell r="N56">
            <v>-1106.6759438460206</v>
          </cell>
          <cell r="O56">
            <v>0</v>
          </cell>
          <cell r="P56">
            <v>0</v>
          </cell>
          <cell r="Q56">
            <v>0</v>
          </cell>
          <cell r="S56">
            <v>-9004.6862802768155</v>
          </cell>
          <cell r="T56">
            <v>-7898.0103364307952</v>
          </cell>
          <cell r="U56">
            <v>-1106.6759438460206</v>
          </cell>
          <cell r="V56">
            <v>-42548.698097716231</v>
          </cell>
          <cell r="W56">
            <v>-872.77153971231348</v>
          </cell>
          <cell r="X56">
            <v>-43421.469637428541</v>
          </cell>
          <cell r="Z56">
            <v>-9004.6862802768155</v>
          </cell>
          <cell r="AA56">
            <v>-7898.0103364307952</v>
          </cell>
          <cell r="AB56">
            <v>-1106.6759438460206</v>
          </cell>
          <cell r="AC56">
            <v>1744.970794723539</v>
          </cell>
          <cell r="AD56">
            <v>35.79335949989094</v>
          </cell>
          <cell r="AE56">
            <v>1780.7641542234301</v>
          </cell>
          <cell r="AG56">
            <v>-9004.6862802768155</v>
          </cell>
          <cell r="AH56">
            <v>-7898.0103364307952</v>
          </cell>
          <cell r="AI56">
            <v>-1106.6759438460206</v>
          </cell>
          <cell r="AJ56">
            <v>-25926.265848124796</v>
          </cell>
          <cell r="AK56">
            <v>-531.80726966762768</v>
          </cell>
          <cell r="AL56">
            <v>-26458.073117792424</v>
          </cell>
          <cell r="AN56">
            <v>-9004.6862802768155</v>
          </cell>
          <cell r="AO56">
            <v>-7898.0103364307952</v>
          </cell>
          <cell r="AP56">
            <v>-1106.6759438460206</v>
          </cell>
          <cell r="AQ56">
            <v>0</v>
          </cell>
          <cell r="AR56">
            <v>0</v>
          </cell>
          <cell r="AS56">
            <v>0</v>
          </cell>
          <cell r="AU56">
            <v>-9004.6862802768155</v>
          </cell>
          <cell r="AV56">
            <v>-7898.0103364307952</v>
          </cell>
          <cell r="AW56">
            <v>-1106.6759438460206</v>
          </cell>
          <cell r="AX56">
            <v>0</v>
          </cell>
          <cell r="AY56">
            <v>0</v>
          </cell>
          <cell r="AZ56">
            <v>0</v>
          </cell>
          <cell r="BB56">
            <v>-9004.6862802768155</v>
          </cell>
          <cell r="BC56">
            <v>-7898.0103364307952</v>
          </cell>
          <cell r="BD56">
            <v>-1106.6759438460206</v>
          </cell>
          <cell r="BE56">
            <v>0</v>
          </cell>
          <cell r="BF56">
            <v>0</v>
          </cell>
          <cell r="BG56">
            <v>0</v>
          </cell>
          <cell r="BI56">
            <v>-9004.6862802768155</v>
          </cell>
          <cell r="BJ56">
            <v>-7898.0103364307952</v>
          </cell>
          <cell r="BK56">
            <v>-1106.6759438460206</v>
          </cell>
          <cell r="BL56">
            <v>0</v>
          </cell>
          <cell r="BM56">
            <v>0</v>
          </cell>
          <cell r="BN56">
            <v>0</v>
          </cell>
          <cell r="BP56">
            <v>-9004.6862802768155</v>
          </cell>
          <cell r="BQ56">
            <v>-7898.0103364307952</v>
          </cell>
          <cell r="BR56">
            <v>-1106.6759438460206</v>
          </cell>
          <cell r="BS56">
            <v>0</v>
          </cell>
          <cell r="BT56">
            <v>0</v>
          </cell>
          <cell r="BU56">
            <v>0</v>
          </cell>
          <cell r="BW56">
            <v>-9004.6862802768155</v>
          </cell>
          <cell r="BX56">
            <v>-7898.0103364307952</v>
          </cell>
          <cell r="BY56">
            <v>-1106.6759438460206</v>
          </cell>
          <cell r="BZ56">
            <v>0</v>
          </cell>
          <cell r="CA56">
            <v>0</v>
          </cell>
          <cell r="CB56">
            <v>0</v>
          </cell>
          <cell r="CD56">
            <v>-9004.6862802768155</v>
          </cell>
          <cell r="CE56">
            <v>-7898.0103364307952</v>
          </cell>
          <cell r="CF56">
            <v>-1106.6759438460206</v>
          </cell>
          <cell r="CG56">
            <v>0</v>
          </cell>
          <cell r="CH56">
            <v>0</v>
          </cell>
          <cell r="CI56">
            <v>0</v>
          </cell>
          <cell r="CK56">
            <v>-9004.6862802768155</v>
          </cell>
          <cell r="CL56">
            <v>-7898.0103364307952</v>
          </cell>
          <cell r="CM56">
            <v>-1106.6759438460206</v>
          </cell>
          <cell r="CN56">
            <v>0</v>
          </cell>
          <cell r="CO56">
            <v>0</v>
          </cell>
          <cell r="CP56">
            <v>0</v>
          </cell>
        </row>
        <row r="57">
          <cell r="L57">
            <v>-3001.5620934256053</v>
          </cell>
          <cell r="M57">
            <v>-2632.6701121435985</v>
          </cell>
          <cell r="N57">
            <v>-368.8919812820069</v>
          </cell>
          <cell r="O57">
            <v>-11488.069614376405</v>
          </cell>
          <cell r="P57">
            <v>-235.64669787627889</v>
          </cell>
          <cell r="Q57">
            <v>-11723.716312252684</v>
          </cell>
          <cell r="S57">
            <v>-3001.5620934256053</v>
          </cell>
          <cell r="T57">
            <v>-2632.6701121435985</v>
          </cell>
          <cell r="U57">
            <v>-368.8919812820069</v>
          </cell>
          <cell r="V57">
            <v>-1697.3762418895687</v>
          </cell>
          <cell r="W57">
            <v>-34.817085888335875</v>
          </cell>
          <cell r="X57">
            <v>-1732.1933277779046</v>
          </cell>
          <cell r="Z57">
            <v>-3001.5620934256053</v>
          </cell>
          <cell r="AA57">
            <v>-2632.6701121435985</v>
          </cell>
          <cell r="AB57">
            <v>-368.8919812820069</v>
          </cell>
          <cell r="AC57">
            <v>-7462.8053824687422</v>
          </cell>
          <cell r="AD57">
            <v>-153.07928175081304</v>
          </cell>
          <cell r="AE57">
            <v>-7615.8846642195549</v>
          </cell>
          <cell r="AG57">
            <v>-3001.5620934256053</v>
          </cell>
          <cell r="AH57">
            <v>-2632.6701121435985</v>
          </cell>
          <cell r="AI57">
            <v>-368.8919812820069</v>
          </cell>
          <cell r="AJ57">
            <v>0</v>
          </cell>
          <cell r="AK57">
            <v>0</v>
          </cell>
          <cell r="AL57">
            <v>0</v>
          </cell>
          <cell r="AN57">
            <v>-3001.5620934256053</v>
          </cell>
          <cell r="AO57">
            <v>-2632.6701121435985</v>
          </cell>
          <cell r="AP57">
            <v>-368.8919812820069</v>
          </cell>
          <cell r="AQ57">
            <v>0</v>
          </cell>
          <cell r="AR57">
            <v>0</v>
          </cell>
          <cell r="AS57">
            <v>0</v>
          </cell>
          <cell r="AU57">
            <v>-3001.5620934256053</v>
          </cell>
          <cell r="AV57">
            <v>-2632.6701121435985</v>
          </cell>
          <cell r="AW57">
            <v>-368.8919812820069</v>
          </cell>
          <cell r="AX57">
            <v>0</v>
          </cell>
          <cell r="AY57">
            <v>0</v>
          </cell>
          <cell r="AZ57">
            <v>0</v>
          </cell>
          <cell r="BB57">
            <v>-3001.5620934256053</v>
          </cell>
          <cell r="BC57">
            <v>-2632.6701121435985</v>
          </cell>
          <cell r="BD57">
            <v>-368.8919812820069</v>
          </cell>
          <cell r="BE57">
            <v>0</v>
          </cell>
          <cell r="BF57">
            <v>0</v>
          </cell>
          <cell r="BG57">
            <v>0</v>
          </cell>
          <cell r="BI57">
            <v>-3001.5620934256053</v>
          </cell>
          <cell r="BJ57">
            <v>-2632.6701121435985</v>
          </cell>
          <cell r="BK57">
            <v>-368.8919812820069</v>
          </cell>
          <cell r="BL57">
            <v>0</v>
          </cell>
          <cell r="BM57">
            <v>0</v>
          </cell>
          <cell r="BN57">
            <v>0</v>
          </cell>
          <cell r="BP57">
            <v>-3001.5620934256053</v>
          </cell>
          <cell r="BQ57">
            <v>-2632.6701121435985</v>
          </cell>
          <cell r="BR57">
            <v>-368.8919812820069</v>
          </cell>
          <cell r="BS57">
            <v>0</v>
          </cell>
          <cell r="BT57">
            <v>0</v>
          </cell>
          <cell r="BU57">
            <v>0</v>
          </cell>
          <cell r="BW57">
            <v>-3001.5620934256053</v>
          </cell>
          <cell r="BX57">
            <v>-2632.6701121435985</v>
          </cell>
          <cell r="BY57">
            <v>-368.8919812820069</v>
          </cell>
          <cell r="BZ57">
            <v>0</v>
          </cell>
          <cell r="CA57">
            <v>0</v>
          </cell>
          <cell r="CB57">
            <v>0</v>
          </cell>
          <cell r="CD57">
            <v>-3001.5620934256053</v>
          </cell>
          <cell r="CE57">
            <v>-2632.6701121435985</v>
          </cell>
          <cell r="CF57">
            <v>-368.8919812820069</v>
          </cell>
          <cell r="CG57">
            <v>0</v>
          </cell>
          <cell r="CH57">
            <v>0</v>
          </cell>
          <cell r="CI57">
            <v>0</v>
          </cell>
          <cell r="CK57">
            <v>-3001.5620934256053</v>
          </cell>
          <cell r="CL57">
            <v>-2632.6701121435985</v>
          </cell>
          <cell r="CM57">
            <v>-368.8919812820069</v>
          </cell>
          <cell r="CN57">
            <v>0</v>
          </cell>
          <cell r="CO57">
            <v>0</v>
          </cell>
          <cell r="CP57">
            <v>0</v>
          </cell>
        </row>
      </sheetData>
      <sheetData sheetId="9">
        <row r="4">
          <cell r="L4">
            <v>20880.773831400002</v>
          </cell>
          <cell r="M4">
            <v>18314.526727520941</v>
          </cell>
          <cell r="N4">
            <v>2566.24710387906</v>
          </cell>
          <cell r="O4">
            <v>20527.150862256614</v>
          </cell>
          <cell r="P4">
            <v>433.8936207992565</v>
          </cell>
          <cell r="Q4">
            <v>20961.04448305587</v>
          </cell>
          <cell r="S4">
            <v>31469.939831399999</v>
          </cell>
          <cell r="T4">
            <v>27602.284226120941</v>
          </cell>
          <cell r="U4">
            <v>3867.6556052790597</v>
          </cell>
          <cell r="V4">
            <v>19916.520252988099</v>
          </cell>
          <cell r="W4">
            <v>420.98638745721809</v>
          </cell>
          <cell r="X4">
            <v>20337.506640445317</v>
          </cell>
          <cell r="Z4">
            <v>20880.773831400002</v>
          </cell>
          <cell r="AA4">
            <v>18314.526727520941</v>
          </cell>
          <cell r="AB4">
            <v>2566.24710387906</v>
          </cell>
          <cell r="AC4">
            <v>25777.63272257783</v>
          </cell>
          <cell r="AD4">
            <v>544.87592908951399</v>
          </cell>
          <cell r="AE4">
            <v>26322.508651667344</v>
          </cell>
          <cell r="AG4">
            <v>20880.773831400002</v>
          </cell>
          <cell r="AH4">
            <v>18314.526727520941</v>
          </cell>
          <cell r="AI4">
            <v>2566.24710387906</v>
          </cell>
          <cell r="AJ4">
            <v>39868.092280570214</v>
          </cell>
          <cell r="AK4">
            <v>842.71368345532881</v>
          </cell>
          <cell r="AL4">
            <v>40710.805964025545</v>
          </cell>
          <cell r="AN4">
            <v>20880.773831400002</v>
          </cell>
          <cell r="AO4">
            <v>18314.526727520941</v>
          </cell>
          <cell r="AP4">
            <v>2566.24710387906</v>
          </cell>
          <cell r="AQ4">
            <v>0</v>
          </cell>
          <cell r="AR4">
            <v>0</v>
          </cell>
          <cell r="AS4">
            <v>0</v>
          </cell>
          <cell r="AU4">
            <v>20880.773831400002</v>
          </cell>
          <cell r="AV4">
            <v>18314.526727520941</v>
          </cell>
          <cell r="AW4">
            <v>2566.24710387906</v>
          </cell>
          <cell r="AX4">
            <v>0</v>
          </cell>
          <cell r="AY4">
            <v>0</v>
          </cell>
          <cell r="AZ4">
            <v>0</v>
          </cell>
          <cell r="BB4">
            <v>20880.773831400002</v>
          </cell>
          <cell r="BC4">
            <v>18314.526727520941</v>
          </cell>
          <cell r="BD4">
            <v>2566.24710387906</v>
          </cell>
          <cell r="BE4">
            <v>0</v>
          </cell>
          <cell r="BF4">
            <v>0</v>
          </cell>
          <cell r="BG4">
            <v>0</v>
          </cell>
          <cell r="BI4">
            <v>22551.235737912004</v>
          </cell>
          <cell r="BJ4">
            <v>19779.688865722619</v>
          </cell>
          <cell r="BK4">
            <v>2771.5468721893853</v>
          </cell>
          <cell r="BL4">
            <v>0</v>
          </cell>
          <cell r="BM4">
            <v>0</v>
          </cell>
          <cell r="BN4">
            <v>0</v>
          </cell>
          <cell r="BP4">
            <v>22551.235737912004</v>
          </cell>
          <cell r="BQ4">
            <v>19779.688865722619</v>
          </cell>
          <cell r="BR4">
            <v>2771.5468721893853</v>
          </cell>
          <cell r="BS4">
            <v>0</v>
          </cell>
          <cell r="BT4">
            <v>0</v>
          </cell>
          <cell r="BU4">
            <v>0</v>
          </cell>
          <cell r="BW4">
            <v>22551.235737912004</v>
          </cell>
          <cell r="BX4">
            <v>19779.688865722619</v>
          </cell>
          <cell r="BY4">
            <v>2771.5468721893853</v>
          </cell>
          <cell r="BZ4">
            <v>0</v>
          </cell>
          <cell r="CA4">
            <v>0</v>
          </cell>
          <cell r="CB4">
            <v>0</v>
          </cell>
          <cell r="CD4">
            <v>22551.235737912004</v>
          </cell>
          <cell r="CE4">
            <v>19779.688865722619</v>
          </cell>
          <cell r="CF4">
            <v>2771.5468721893853</v>
          </cell>
          <cell r="CG4">
            <v>0</v>
          </cell>
          <cell r="CH4">
            <v>0</v>
          </cell>
          <cell r="CI4">
            <v>0</v>
          </cell>
          <cell r="CK4">
            <v>22551.235737912004</v>
          </cell>
          <cell r="CL4">
            <v>19779.688865722619</v>
          </cell>
          <cell r="CM4">
            <v>2771.5468721893853</v>
          </cell>
          <cell r="CN4">
            <v>0</v>
          </cell>
          <cell r="CO4">
            <v>0</v>
          </cell>
          <cell r="CP4">
            <v>0</v>
          </cell>
        </row>
        <row r="5">
          <cell r="L5">
            <v>976.5</v>
          </cell>
          <cell r="M5">
            <v>856.48815000000002</v>
          </cell>
          <cell r="N5">
            <v>120.01185</v>
          </cell>
          <cell r="O5">
            <v>796.30308595206111</v>
          </cell>
          <cell r="P5">
            <v>16.831894086804517</v>
          </cell>
          <cell r="Q5">
            <v>813.13498003886559</v>
          </cell>
          <cell r="S5">
            <v>976.5</v>
          </cell>
          <cell r="T5">
            <v>856.48815000000002</v>
          </cell>
          <cell r="U5">
            <v>120.01185</v>
          </cell>
          <cell r="V5">
            <v>737.20069106102972</v>
          </cell>
          <cell r="W5">
            <v>15.582614423530393</v>
          </cell>
          <cell r="X5">
            <v>752.78330548456006</v>
          </cell>
          <cell r="Z5">
            <v>976.5</v>
          </cell>
          <cell r="AA5">
            <v>856.48815000000002</v>
          </cell>
          <cell r="AB5">
            <v>120.01185</v>
          </cell>
          <cell r="AC5">
            <v>336.16657947604438</v>
          </cell>
          <cell r="AD5">
            <v>7.1057369500195229</v>
          </cell>
          <cell r="AE5">
            <v>343.27231642606392</v>
          </cell>
          <cell r="AG5">
            <v>976.5</v>
          </cell>
          <cell r="AH5">
            <v>856.48815000000002</v>
          </cell>
          <cell r="AI5">
            <v>120.01185</v>
          </cell>
          <cell r="AJ5">
            <v>1524.1289367623467</v>
          </cell>
          <cell r="AK5">
            <v>32.216347381783493</v>
          </cell>
          <cell r="AL5">
            <v>1556.3452841441301</v>
          </cell>
          <cell r="AN5">
            <v>976.5</v>
          </cell>
          <cell r="AO5">
            <v>856.48815000000002</v>
          </cell>
          <cell r="AP5">
            <v>120.01185</v>
          </cell>
          <cell r="AQ5">
            <v>0</v>
          </cell>
          <cell r="AR5">
            <v>0</v>
          </cell>
          <cell r="AS5">
            <v>0</v>
          </cell>
          <cell r="AU5">
            <v>976.5</v>
          </cell>
          <cell r="AV5">
            <v>856.48815000000002</v>
          </cell>
          <cell r="AW5">
            <v>120.01185</v>
          </cell>
          <cell r="AX5">
            <v>0</v>
          </cell>
          <cell r="AY5">
            <v>0</v>
          </cell>
          <cell r="AZ5">
            <v>0</v>
          </cell>
          <cell r="BB5">
            <v>976.5</v>
          </cell>
          <cell r="BC5">
            <v>856.48815000000002</v>
          </cell>
          <cell r="BD5">
            <v>120.01185</v>
          </cell>
          <cell r="BE5">
            <v>0</v>
          </cell>
          <cell r="BF5">
            <v>0</v>
          </cell>
          <cell r="BG5">
            <v>0</v>
          </cell>
          <cell r="BI5">
            <v>976.5</v>
          </cell>
          <cell r="BJ5">
            <v>856.48815000000002</v>
          </cell>
          <cell r="BK5">
            <v>120.01185</v>
          </cell>
          <cell r="BL5">
            <v>0</v>
          </cell>
          <cell r="BM5">
            <v>0</v>
          </cell>
          <cell r="BN5">
            <v>0</v>
          </cell>
          <cell r="BP5">
            <v>976.5</v>
          </cell>
          <cell r="BQ5">
            <v>856.48815000000002</v>
          </cell>
          <cell r="BR5">
            <v>120.01185</v>
          </cell>
          <cell r="BS5">
            <v>0</v>
          </cell>
          <cell r="BT5">
            <v>0</v>
          </cell>
          <cell r="BU5">
            <v>0</v>
          </cell>
          <cell r="BW5">
            <v>976.5</v>
          </cell>
          <cell r="BX5">
            <v>856.48815000000002</v>
          </cell>
          <cell r="BY5">
            <v>120.01185</v>
          </cell>
          <cell r="BZ5">
            <v>0</v>
          </cell>
          <cell r="CA5">
            <v>0</v>
          </cell>
          <cell r="CB5">
            <v>0</v>
          </cell>
          <cell r="CD5">
            <v>976.5</v>
          </cell>
          <cell r="CE5">
            <v>856.48815000000002</v>
          </cell>
          <cell r="CF5">
            <v>120.01185</v>
          </cell>
          <cell r="CG5">
            <v>0</v>
          </cell>
          <cell r="CH5">
            <v>0</v>
          </cell>
          <cell r="CI5">
            <v>0</v>
          </cell>
          <cell r="CK5">
            <v>976.5</v>
          </cell>
          <cell r="CL5">
            <v>856.48815000000002</v>
          </cell>
          <cell r="CM5">
            <v>120.01185</v>
          </cell>
          <cell r="CN5">
            <v>0</v>
          </cell>
          <cell r="CO5">
            <v>0</v>
          </cell>
          <cell r="CP5">
            <v>0</v>
          </cell>
        </row>
        <row r="6">
          <cell r="L6">
            <v>2746.0672222200001</v>
          </cell>
          <cell r="M6">
            <v>2408.575560609162</v>
          </cell>
          <cell r="N6">
            <v>337.49166161083798</v>
          </cell>
          <cell r="O6">
            <v>2658.3417771262725</v>
          </cell>
          <cell r="P6">
            <v>56.190824861139426</v>
          </cell>
          <cell r="Q6">
            <v>2714.5326019874119</v>
          </cell>
          <cell r="S6">
            <v>2746.0672222200001</v>
          </cell>
          <cell r="T6">
            <v>2408.575560609162</v>
          </cell>
          <cell r="U6">
            <v>337.49166161083798</v>
          </cell>
          <cell r="V6">
            <v>2509.5194342815294</v>
          </cell>
          <cell r="W6">
            <v>53.045085560734876</v>
          </cell>
          <cell r="X6">
            <v>2562.5645198422644</v>
          </cell>
          <cell r="Z6">
            <v>2746.0672222200001</v>
          </cell>
          <cell r="AA6">
            <v>2408.575560609162</v>
          </cell>
          <cell r="AB6">
            <v>337.49166161083798</v>
          </cell>
          <cell r="AC6">
            <v>2668.7716115188073</v>
          </cell>
          <cell r="AD6">
            <v>56.411285978187792</v>
          </cell>
          <cell r="AE6">
            <v>2725.1828974969949</v>
          </cell>
          <cell r="AG6">
            <v>2746.0672222200001</v>
          </cell>
          <cell r="AH6">
            <v>2408.575560609162</v>
          </cell>
          <cell r="AI6">
            <v>337.49166161083798</v>
          </cell>
          <cell r="AJ6">
            <v>2710.2896886680523</v>
          </cell>
          <cell r="AK6">
            <v>57.288876294729583</v>
          </cell>
          <cell r="AL6">
            <v>2767.5785649627819</v>
          </cell>
          <cell r="AN6">
            <v>2746.0672222200001</v>
          </cell>
          <cell r="AO6">
            <v>2408.575560609162</v>
          </cell>
          <cell r="AP6">
            <v>337.49166161083798</v>
          </cell>
          <cell r="AQ6">
            <v>0</v>
          </cell>
          <cell r="AR6">
            <v>0</v>
          </cell>
          <cell r="AS6">
            <v>0</v>
          </cell>
          <cell r="AU6">
            <v>2746.0672222200001</v>
          </cell>
          <cell r="AV6">
            <v>2408.575560609162</v>
          </cell>
          <cell r="AW6">
            <v>337.49166161083798</v>
          </cell>
          <cell r="AX6">
            <v>0</v>
          </cell>
          <cell r="AY6">
            <v>0</v>
          </cell>
          <cell r="AZ6">
            <v>0</v>
          </cell>
          <cell r="BB6">
            <v>2746.0672222200001</v>
          </cell>
          <cell r="BC6">
            <v>2408.575560609162</v>
          </cell>
          <cell r="BD6">
            <v>337.49166161083798</v>
          </cell>
          <cell r="BE6">
            <v>0</v>
          </cell>
          <cell r="BF6">
            <v>0</v>
          </cell>
          <cell r="BG6">
            <v>0</v>
          </cell>
          <cell r="BI6">
            <v>2956.6906799976</v>
          </cell>
          <cell r="BJ6">
            <v>2593.3133954258951</v>
          </cell>
          <cell r="BK6">
            <v>363.37728457170505</v>
          </cell>
          <cell r="BL6">
            <v>0</v>
          </cell>
          <cell r="BM6">
            <v>0</v>
          </cell>
          <cell r="BN6">
            <v>0</v>
          </cell>
          <cell r="BP6">
            <v>2956.6906799976</v>
          </cell>
          <cell r="BQ6">
            <v>2593.3133954258951</v>
          </cell>
          <cell r="BR6">
            <v>363.37728457170505</v>
          </cell>
          <cell r="BS6">
            <v>0</v>
          </cell>
          <cell r="BT6">
            <v>0</v>
          </cell>
          <cell r="BU6">
            <v>0</v>
          </cell>
          <cell r="BW6">
            <v>2956.6906799976</v>
          </cell>
          <cell r="BX6">
            <v>2593.3133954258951</v>
          </cell>
          <cell r="BY6">
            <v>363.37728457170505</v>
          </cell>
          <cell r="BZ6">
            <v>0</v>
          </cell>
          <cell r="CA6">
            <v>0</v>
          </cell>
          <cell r="CB6">
            <v>0</v>
          </cell>
          <cell r="CD6">
            <v>2956.6906799976</v>
          </cell>
          <cell r="CE6">
            <v>2593.3133954258951</v>
          </cell>
          <cell r="CF6">
            <v>363.37728457170505</v>
          </cell>
          <cell r="CG6">
            <v>0</v>
          </cell>
          <cell r="CH6">
            <v>0</v>
          </cell>
          <cell r="CI6">
            <v>0</v>
          </cell>
          <cell r="CK6">
            <v>2956.6906799976</v>
          </cell>
          <cell r="CL6">
            <v>2593.3133954258951</v>
          </cell>
          <cell r="CM6">
            <v>363.37728457170505</v>
          </cell>
          <cell r="CN6">
            <v>0</v>
          </cell>
          <cell r="CO6">
            <v>0</v>
          </cell>
          <cell r="CP6">
            <v>0</v>
          </cell>
        </row>
        <row r="7">
          <cell r="L7">
            <v>2130.56939655</v>
          </cell>
          <cell r="M7">
            <v>1868.7224177140049</v>
          </cell>
          <cell r="N7">
            <v>261.846978835995</v>
          </cell>
          <cell r="O7">
            <v>1929.6654387309127</v>
          </cell>
          <cell r="P7">
            <v>40.788394344664447</v>
          </cell>
          <cell r="Q7">
            <v>1970.4538330755772</v>
          </cell>
          <cell r="S7">
            <v>2130.56939655</v>
          </cell>
          <cell r="T7">
            <v>1868.7224177140049</v>
          </cell>
          <cell r="U7">
            <v>261.846978835995</v>
          </cell>
          <cell r="V7">
            <v>1752.0596095622955</v>
          </cell>
          <cell r="W7">
            <v>37.034242742713694</v>
          </cell>
          <cell r="X7">
            <v>1789.0938523050092</v>
          </cell>
          <cell r="Z7">
            <v>2130.56939655</v>
          </cell>
          <cell r="AA7">
            <v>1868.7224177140049</v>
          </cell>
          <cell r="AB7">
            <v>261.846978835995</v>
          </cell>
          <cell r="AC7">
            <v>1833.4824343577998</v>
          </cell>
          <cell r="AD7">
            <v>38.755321547234203</v>
          </cell>
          <cell r="AE7">
            <v>1872.237755905034</v>
          </cell>
          <cell r="AG7">
            <v>2130.56939655</v>
          </cell>
          <cell r="AH7">
            <v>1868.7224177140049</v>
          </cell>
          <cell r="AI7">
            <v>261.846978835995</v>
          </cell>
          <cell r="AJ7">
            <v>1878.2434011921184</v>
          </cell>
          <cell r="AK7">
            <v>39.701458597648163</v>
          </cell>
          <cell r="AL7">
            <v>1917.9448597897665</v>
          </cell>
          <cell r="AN7">
            <v>2130.56939655</v>
          </cell>
          <cell r="AO7">
            <v>1868.7224177140049</v>
          </cell>
          <cell r="AP7">
            <v>261.846978835995</v>
          </cell>
          <cell r="AQ7">
            <v>0</v>
          </cell>
          <cell r="AR7">
            <v>0</v>
          </cell>
          <cell r="AS7">
            <v>0</v>
          </cell>
          <cell r="AU7">
            <v>2130.56939655</v>
          </cell>
          <cell r="AV7">
            <v>1868.7224177140049</v>
          </cell>
          <cell r="AW7">
            <v>261.846978835995</v>
          </cell>
          <cell r="AX7">
            <v>0</v>
          </cell>
          <cell r="AY7">
            <v>0</v>
          </cell>
          <cell r="AZ7">
            <v>0</v>
          </cell>
          <cell r="BB7">
            <v>2130.56939655</v>
          </cell>
          <cell r="BC7">
            <v>1868.7224177140049</v>
          </cell>
          <cell r="BD7">
            <v>261.846978835995</v>
          </cell>
          <cell r="BE7">
            <v>0</v>
          </cell>
          <cell r="BF7">
            <v>0</v>
          </cell>
          <cell r="BG7">
            <v>0</v>
          </cell>
          <cell r="BI7">
            <v>2293.9841482739998</v>
          </cell>
          <cell r="BJ7">
            <v>2012.0534964511253</v>
          </cell>
          <cell r="BK7">
            <v>281.93065182287455</v>
          </cell>
          <cell r="BL7">
            <v>0</v>
          </cell>
          <cell r="BM7">
            <v>0</v>
          </cell>
          <cell r="BN7">
            <v>0</v>
          </cell>
          <cell r="BP7">
            <v>2293.9841482739998</v>
          </cell>
          <cell r="BQ7">
            <v>2012.0534964511253</v>
          </cell>
          <cell r="BR7">
            <v>281.93065182287455</v>
          </cell>
          <cell r="BS7">
            <v>0</v>
          </cell>
          <cell r="BT7">
            <v>0</v>
          </cell>
          <cell r="BU7">
            <v>0</v>
          </cell>
          <cell r="BW7">
            <v>2293.9841482739998</v>
          </cell>
          <cell r="BX7">
            <v>2012.0534964511253</v>
          </cell>
          <cell r="BY7">
            <v>281.93065182287455</v>
          </cell>
          <cell r="BZ7">
            <v>0</v>
          </cell>
          <cell r="CA7">
            <v>0</v>
          </cell>
          <cell r="CB7">
            <v>0</v>
          </cell>
          <cell r="CD7">
            <v>2293.9841482739998</v>
          </cell>
          <cell r="CE7">
            <v>2012.0534964511253</v>
          </cell>
          <cell r="CF7">
            <v>281.93065182287455</v>
          </cell>
          <cell r="CG7">
            <v>0</v>
          </cell>
          <cell r="CH7">
            <v>0</v>
          </cell>
          <cell r="CI7">
            <v>0</v>
          </cell>
          <cell r="CK7">
            <v>2293.9841482739998</v>
          </cell>
          <cell r="CL7">
            <v>2012.0534964511253</v>
          </cell>
          <cell r="CM7">
            <v>281.93065182287455</v>
          </cell>
          <cell r="CN7">
            <v>0</v>
          </cell>
          <cell r="CO7">
            <v>0</v>
          </cell>
          <cell r="CP7">
            <v>0</v>
          </cell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B8">
            <v>24060.519405153002</v>
          </cell>
          <cell r="BC8">
            <v>21103.481570259697</v>
          </cell>
          <cell r="BD8">
            <v>2957.0378348933036</v>
          </cell>
          <cell r="BE8">
            <v>0</v>
          </cell>
          <cell r="BF8">
            <v>0</v>
          </cell>
          <cell r="BG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</row>
        <row r="9">
          <cell r="L9">
            <v>1586.0905507650002</v>
          </cell>
          <cell r="M9">
            <v>1391.1600220759817</v>
          </cell>
          <cell r="N9">
            <v>194.93052868901853</v>
          </cell>
          <cell r="O9">
            <v>4400.9129316840927</v>
          </cell>
          <cell r="P9">
            <v>93.024504938078962</v>
          </cell>
          <cell r="Q9">
            <v>4493.9374366221718</v>
          </cell>
          <cell r="S9">
            <v>1586.0905507650002</v>
          </cell>
          <cell r="T9">
            <v>1391.1600220759817</v>
          </cell>
          <cell r="U9">
            <v>194.93052868901853</v>
          </cell>
          <cell r="V9">
            <v>2024.098775896563</v>
          </cell>
          <cell r="W9">
            <v>42.784483468864345</v>
          </cell>
          <cell r="X9">
            <v>2066.8832593654274</v>
          </cell>
          <cell r="Z9">
            <v>1586.0905507650002</v>
          </cell>
          <cell r="AA9">
            <v>1391.1600220759817</v>
          </cell>
          <cell r="AB9">
            <v>194.93052868901853</v>
          </cell>
          <cell r="AC9">
            <v>76.9496496343112</v>
          </cell>
          <cell r="AD9">
            <v>1.6265268532934154</v>
          </cell>
          <cell r="AE9">
            <v>78.576176487604613</v>
          </cell>
          <cell r="AG9">
            <v>1586.0905507650002</v>
          </cell>
          <cell r="AH9">
            <v>1391.1600220759817</v>
          </cell>
          <cell r="AI9">
            <v>194.93052868901853</v>
          </cell>
          <cell r="AJ9">
            <v>0</v>
          </cell>
          <cell r="AK9">
            <v>0</v>
          </cell>
          <cell r="AL9">
            <v>0</v>
          </cell>
          <cell r="AN9">
            <v>1586.0905507650002</v>
          </cell>
          <cell r="AO9">
            <v>1391.1600220759817</v>
          </cell>
          <cell r="AP9">
            <v>194.93052868901853</v>
          </cell>
          <cell r="AQ9">
            <v>0</v>
          </cell>
          <cell r="AR9">
            <v>0</v>
          </cell>
          <cell r="AS9">
            <v>0</v>
          </cell>
          <cell r="AU9">
            <v>1586.0905507650002</v>
          </cell>
          <cell r="AV9">
            <v>1391.1600220759817</v>
          </cell>
          <cell r="AW9">
            <v>194.93052868901853</v>
          </cell>
          <cell r="AX9">
            <v>0</v>
          </cell>
          <cell r="AY9">
            <v>0</v>
          </cell>
          <cell r="AZ9">
            <v>0</v>
          </cell>
          <cell r="BB9">
            <v>1586.0905507650002</v>
          </cell>
          <cell r="BC9">
            <v>1391.1600220759817</v>
          </cell>
          <cell r="BD9">
            <v>194.93052868901853</v>
          </cell>
          <cell r="BE9">
            <v>0</v>
          </cell>
          <cell r="BF9">
            <v>0</v>
          </cell>
          <cell r="BG9">
            <v>0</v>
          </cell>
          <cell r="BI9">
            <v>1707.7437548262001</v>
          </cell>
          <cell r="BJ9">
            <v>1497.8620473580602</v>
          </cell>
          <cell r="BK9">
            <v>209.88170746813998</v>
          </cell>
          <cell r="BL9">
            <v>0</v>
          </cell>
          <cell r="BM9">
            <v>0</v>
          </cell>
          <cell r="BN9">
            <v>0</v>
          </cell>
          <cell r="BP9">
            <v>1707.7437548262001</v>
          </cell>
          <cell r="BQ9">
            <v>1497.8620473580602</v>
          </cell>
          <cell r="BR9">
            <v>209.88170746813998</v>
          </cell>
          <cell r="BS9">
            <v>0</v>
          </cell>
          <cell r="BT9">
            <v>0</v>
          </cell>
          <cell r="BU9">
            <v>0</v>
          </cell>
          <cell r="BW9">
            <v>1707.7437548262001</v>
          </cell>
          <cell r="BX9">
            <v>1497.8620473580602</v>
          </cell>
          <cell r="BY9">
            <v>209.88170746813998</v>
          </cell>
          <cell r="BZ9">
            <v>0</v>
          </cell>
          <cell r="CA9">
            <v>0</v>
          </cell>
          <cell r="CB9">
            <v>0</v>
          </cell>
          <cell r="CD9">
            <v>1707.7437548262001</v>
          </cell>
          <cell r="CE9">
            <v>1497.8620473580602</v>
          </cell>
          <cell r="CF9">
            <v>209.88170746813998</v>
          </cell>
          <cell r="CG9">
            <v>0</v>
          </cell>
          <cell r="CH9">
            <v>0</v>
          </cell>
          <cell r="CI9">
            <v>0</v>
          </cell>
          <cell r="CK9">
            <v>1707.7437548262001</v>
          </cell>
          <cell r="CL9">
            <v>1497.8620473580602</v>
          </cell>
          <cell r="CM9">
            <v>209.88170746813998</v>
          </cell>
          <cell r="CN9">
            <v>0</v>
          </cell>
          <cell r="CO9">
            <v>0</v>
          </cell>
          <cell r="CP9">
            <v>0</v>
          </cell>
        </row>
        <row r="10">
          <cell r="L10">
            <v>748.65</v>
          </cell>
          <cell r="M10">
            <v>656.64091499999995</v>
          </cell>
          <cell r="N10">
            <v>92.009084999999999</v>
          </cell>
          <cell r="O10">
            <v>0</v>
          </cell>
          <cell r="P10">
            <v>0</v>
          </cell>
          <cell r="Q10">
            <v>0</v>
          </cell>
          <cell r="S10">
            <v>748.65</v>
          </cell>
          <cell r="T10">
            <v>656.64091499999995</v>
          </cell>
          <cell r="U10">
            <v>92.009084999999999</v>
          </cell>
          <cell r="V10">
            <v>438.22833582079772</v>
          </cell>
          <cell r="W10">
            <v>9.2630721448897297</v>
          </cell>
          <cell r="X10">
            <v>447.49140796568747</v>
          </cell>
          <cell r="Z10">
            <v>748.65</v>
          </cell>
          <cell r="AA10">
            <v>656.64091499999995</v>
          </cell>
          <cell r="AB10">
            <v>92.009084999999999</v>
          </cell>
          <cell r="AC10">
            <v>525.87400298495731</v>
          </cell>
          <cell r="AD10">
            <v>11.115686573867679</v>
          </cell>
          <cell r="AE10">
            <v>536.98968955882503</v>
          </cell>
          <cell r="AG10">
            <v>748.65</v>
          </cell>
          <cell r="AH10">
            <v>656.64091499999995</v>
          </cell>
          <cell r="AI10">
            <v>92.009084999999999</v>
          </cell>
          <cell r="AJ10">
            <v>1051.7480059699146</v>
          </cell>
          <cell r="AK10">
            <v>22.231373147735358</v>
          </cell>
          <cell r="AL10">
            <v>1073.9793791176501</v>
          </cell>
          <cell r="AN10">
            <v>748.65</v>
          </cell>
          <cell r="AO10">
            <v>656.64091499999995</v>
          </cell>
          <cell r="AP10">
            <v>92.009084999999999</v>
          </cell>
          <cell r="AQ10">
            <v>0</v>
          </cell>
          <cell r="AR10">
            <v>0</v>
          </cell>
          <cell r="AS10">
            <v>0</v>
          </cell>
          <cell r="AU10">
            <v>748.65</v>
          </cell>
          <cell r="AV10">
            <v>656.64091499999995</v>
          </cell>
          <cell r="AW10">
            <v>92.009084999999999</v>
          </cell>
          <cell r="AX10">
            <v>0</v>
          </cell>
          <cell r="AY10">
            <v>0</v>
          </cell>
          <cell r="AZ10">
            <v>0</v>
          </cell>
          <cell r="BB10">
            <v>748.65</v>
          </cell>
          <cell r="BC10">
            <v>656.64091499999995</v>
          </cell>
          <cell r="BD10">
            <v>92.009084999999999</v>
          </cell>
          <cell r="BE10">
            <v>0</v>
          </cell>
          <cell r="BF10">
            <v>0</v>
          </cell>
          <cell r="BG10">
            <v>0</v>
          </cell>
          <cell r="BI10">
            <v>748.65</v>
          </cell>
          <cell r="BJ10">
            <v>656.64091499999995</v>
          </cell>
          <cell r="BK10">
            <v>92.009084999999999</v>
          </cell>
          <cell r="BL10">
            <v>0</v>
          </cell>
          <cell r="BM10">
            <v>0</v>
          </cell>
          <cell r="BN10">
            <v>0</v>
          </cell>
          <cell r="BP10">
            <v>748.65</v>
          </cell>
          <cell r="BQ10">
            <v>656.64091499999995</v>
          </cell>
          <cell r="BR10">
            <v>92.009084999999999</v>
          </cell>
          <cell r="BS10">
            <v>0</v>
          </cell>
          <cell r="BT10">
            <v>0</v>
          </cell>
          <cell r="BU10">
            <v>0</v>
          </cell>
          <cell r="BW10">
            <v>748.65</v>
          </cell>
          <cell r="BX10">
            <v>656.64091499999995</v>
          </cell>
          <cell r="BY10">
            <v>92.009084999999999</v>
          </cell>
          <cell r="BZ10">
            <v>0</v>
          </cell>
          <cell r="CA10">
            <v>0</v>
          </cell>
          <cell r="CB10">
            <v>0</v>
          </cell>
          <cell r="CD10">
            <v>748.65</v>
          </cell>
          <cell r="CE10">
            <v>656.64091499999995</v>
          </cell>
          <cell r="CF10">
            <v>92.009084999999999</v>
          </cell>
          <cell r="CG10">
            <v>0</v>
          </cell>
          <cell r="CH10">
            <v>0</v>
          </cell>
          <cell r="CI10">
            <v>0</v>
          </cell>
          <cell r="CK10">
            <v>748.65</v>
          </cell>
          <cell r="CL10">
            <v>656.64091499999995</v>
          </cell>
          <cell r="CM10">
            <v>92.009084999999999</v>
          </cell>
          <cell r="CN10">
            <v>0</v>
          </cell>
          <cell r="CO10">
            <v>0</v>
          </cell>
          <cell r="CP10">
            <v>0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</row>
        <row r="12">
          <cell r="L12">
            <v>1010.6775</v>
          </cell>
          <cell r="M12">
            <v>886.46523524999998</v>
          </cell>
          <cell r="N12">
            <v>124.21226475</v>
          </cell>
          <cell r="O12">
            <v>939.72385879083515</v>
          </cell>
          <cell r="P12">
            <v>19.863457446104654</v>
          </cell>
          <cell r="Q12">
            <v>959.58731623693984</v>
          </cell>
          <cell r="S12">
            <v>1010.6775</v>
          </cell>
          <cell r="T12">
            <v>886.46523524999998</v>
          </cell>
          <cell r="U12">
            <v>124.21226475</v>
          </cell>
          <cell r="V12">
            <v>0</v>
          </cell>
          <cell r="W12">
            <v>0</v>
          </cell>
          <cell r="X12">
            <v>0</v>
          </cell>
          <cell r="Z12">
            <v>1010.6775</v>
          </cell>
          <cell r="AA12">
            <v>886.46523524999998</v>
          </cell>
          <cell r="AB12">
            <v>124.21226475</v>
          </cell>
          <cell r="AC12">
            <v>1007.1947918281334</v>
          </cell>
          <cell r="AD12">
            <v>21.289627479671562</v>
          </cell>
          <cell r="AE12">
            <v>1028.484419307805</v>
          </cell>
          <cell r="AG12">
            <v>1010.6775</v>
          </cell>
          <cell r="AH12">
            <v>886.46523524999998</v>
          </cell>
          <cell r="AI12">
            <v>124.21226475</v>
          </cell>
          <cell r="AJ12">
            <v>1007.1947918281334</v>
          </cell>
          <cell r="AK12">
            <v>21.289627479671562</v>
          </cell>
          <cell r="AL12">
            <v>1028.484419307805</v>
          </cell>
          <cell r="AN12">
            <v>1010.6775</v>
          </cell>
          <cell r="AO12">
            <v>886.46523524999998</v>
          </cell>
          <cell r="AP12">
            <v>124.21226475</v>
          </cell>
          <cell r="AQ12">
            <v>0</v>
          </cell>
          <cell r="AR12">
            <v>0</v>
          </cell>
          <cell r="AS12">
            <v>0</v>
          </cell>
          <cell r="AU12">
            <v>1010.6775</v>
          </cell>
          <cell r="AV12">
            <v>886.46523524999998</v>
          </cell>
          <cell r="AW12">
            <v>124.21226475</v>
          </cell>
          <cell r="AX12">
            <v>0</v>
          </cell>
          <cell r="AY12">
            <v>0</v>
          </cell>
          <cell r="AZ12">
            <v>0</v>
          </cell>
          <cell r="BB12">
            <v>1010.6775</v>
          </cell>
          <cell r="BC12">
            <v>886.46523524999998</v>
          </cell>
          <cell r="BD12">
            <v>124.21226475</v>
          </cell>
          <cell r="BE12">
            <v>0</v>
          </cell>
          <cell r="BF12">
            <v>0</v>
          </cell>
          <cell r="BG12">
            <v>0</v>
          </cell>
          <cell r="BI12">
            <v>1010.6775</v>
          </cell>
          <cell r="BJ12">
            <v>886.46523524999998</v>
          </cell>
          <cell r="BK12">
            <v>124.21226475</v>
          </cell>
          <cell r="BL12">
            <v>0</v>
          </cell>
          <cell r="BM12">
            <v>0</v>
          </cell>
          <cell r="BN12">
            <v>0</v>
          </cell>
          <cell r="BP12">
            <v>1010.6775</v>
          </cell>
          <cell r="BQ12">
            <v>886.46523524999998</v>
          </cell>
          <cell r="BR12">
            <v>124.21226475</v>
          </cell>
          <cell r="BS12">
            <v>0</v>
          </cell>
          <cell r="BT12">
            <v>0</v>
          </cell>
          <cell r="BU12">
            <v>0</v>
          </cell>
          <cell r="BW12">
            <v>1010.6775</v>
          </cell>
          <cell r="BX12">
            <v>886.46523524999998</v>
          </cell>
          <cell r="BY12">
            <v>124.21226475</v>
          </cell>
          <cell r="BZ12">
            <v>0</v>
          </cell>
          <cell r="CA12">
            <v>0</v>
          </cell>
          <cell r="CB12">
            <v>0</v>
          </cell>
          <cell r="CD12">
            <v>1010.6775</v>
          </cell>
          <cell r="CE12">
            <v>886.46523524999998</v>
          </cell>
          <cell r="CF12">
            <v>124.21226475</v>
          </cell>
          <cell r="CG12">
            <v>0</v>
          </cell>
          <cell r="CH12">
            <v>0</v>
          </cell>
          <cell r="CI12">
            <v>0</v>
          </cell>
          <cell r="CK12">
            <v>1010.6775</v>
          </cell>
          <cell r="CL12">
            <v>886.46523524999998</v>
          </cell>
          <cell r="CM12">
            <v>124.21226475</v>
          </cell>
          <cell r="CN12">
            <v>0</v>
          </cell>
          <cell r="CO12">
            <v>0</v>
          </cell>
          <cell r="CP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</row>
        <row r="14">
          <cell r="L14">
            <v>1078.638645</v>
          </cell>
          <cell r="M14">
            <v>946.07395552950004</v>
          </cell>
          <cell r="N14">
            <v>132.56468947049999</v>
          </cell>
          <cell r="O14">
            <v>1118.0568223833325</v>
          </cell>
          <cell r="P14">
            <v>23.632978886280998</v>
          </cell>
          <cell r="Q14">
            <v>1141.6898012696136</v>
          </cell>
          <cell r="S14">
            <v>1078.638645</v>
          </cell>
          <cell r="T14">
            <v>946.07395552950004</v>
          </cell>
          <cell r="U14">
            <v>132.56468947049999</v>
          </cell>
          <cell r="V14">
            <v>3321.9947688932889</v>
          </cell>
          <cell r="W14">
            <v>70.218821317360437</v>
          </cell>
          <cell r="X14">
            <v>3392.2135902106493</v>
          </cell>
          <cell r="Z14">
            <v>1078.638645</v>
          </cell>
          <cell r="AA14">
            <v>946.07395552950004</v>
          </cell>
          <cell r="AB14">
            <v>132.56468947049999</v>
          </cell>
          <cell r="AC14">
            <v>1288.2906771026976</v>
          </cell>
          <cell r="AD14">
            <v>27.231305030149944</v>
          </cell>
          <cell r="AE14">
            <v>1315.5219821328476</v>
          </cell>
          <cell r="AG14">
            <v>1078.638645</v>
          </cell>
          <cell r="AH14">
            <v>946.07395552950004</v>
          </cell>
          <cell r="AI14">
            <v>132.56468947049999</v>
          </cell>
          <cell r="AJ14">
            <v>1281.798405460908</v>
          </cell>
          <cell r="AK14">
            <v>27.094074331707134</v>
          </cell>
          <cell r="AL14">
            <v>1308.8924797926152</v>
          </cell>
          <cell r="AN14">
            <v>1078.638645</v>
          </cell>
          <cell r="AO14">
            <v>946.07395552950004</v>
          </cell>
          <cell r="AP14">
            <v>132.56468947049999</v>
          </cell>
          <cell r="AQ14">
            <v>0</v>
          </cell>
          <cell r="AR14">
            <v>0</v>
          </cell>
          <cell r="AS14">
            <v>0</v>
          </cell>
          <cell r="AU14">
            <v>1078.638645</v>
          </cell>
          <cell r="AV14">
            <v>946.07395552950004</v>
          </cell>
          <cell r="AW14">
            <v>132.56468947049999</v>
          </cell>
          <cell r="AX14">
            <v>0</v>
          </cell>
          <cell r="AY14">
            <v>0</v>
          </cell>
          <cell r="AZ14">
            <v>0</v>
          </cell>
          <cell r="BB14">
            <v>1078.638645</v>
          </cell>
          <cell r="BC14">
            <v>946.07395552950004</v>
          </cell>
          <cell r="BD14">
            <v>132.56468947049999</v>
          </cell>
          <cell r="BE14">
            <v>0</v>
          </cell>
          <cell r="BF14">
            <v>0</v>
          </cell>
          <cell r="BG14">
            <v>0</v>
          </cell>
          <cell r="BI14">
            <v>1078.638645</v>
          </cell>
          <cell r="BJ14">
            <v>946.07395552950004</v>
          </cell>
          <cell r="BK14">
            <v>132.56468947049999</v>
          </cell>
          <cell r="BL14">
            <v>0</v>
          </cell>
          <cell r="BM14">
            <v>0</v>
          </cell>
          <cell r="BN14">
            <v>0</v>
          </cell>
          <cell r="BP14">
            <v>1078.638645</v>
          </cell>
          <cell r="BQ14">
            <v>946.07395552950004</v>
          </cell>
          <cell r="BR14">
            <v>132.56468947049999</v>
          </cell>
          <cell r="BS14">
            <v>0</v>
          </cell>
          <cell r="BT14">
            <v>0</v>
          </cell>
          <cell r="BU14">
            <v>0</v>
          </cell>
          <cell r="BW14">
            <v>1078.638645</v>
          </cell>
          <cell r="BX14">
            <v>946.07395552950004</v>
          </cell>
          <cell r="BY14">
            <v>132.56468947049999</v>
          </cell>
          <cell r="BZ14">
            <v>0</v>
          </cell>
          <cell r="CA14">
            <v>0</v>
          </cell>
          <cell r="CB14">
            <v>0</v>
          </cell>
          <cell r="CD14">
            <v>1078.638645</v>
          </cell>
          <cell r="CE14">
            <v>946.07395552950004</v>
          </cell>
          <cell r="CF14">
            <v>132.56468947049999</v>
          </cell>
          <cell r="CG14">
            <v>0</v>
          </cell>
          <cell r="CH14">
            <v>0</v>
          </cell>
          <cell r="CI14">
            <v>0</v>
          </cell>
          <cell r="CK14">
            <v>1078.638645</v>
          </cell>
          <cell r="CL14">
            <v>946.07395552950004</v>
          </cell>
          <cell r="CM14">
            <v>132.56468947049999</v>
          </cell>
          <cell r="CN14">
            <v>0</v>
          </cell>
          <cell r="CO14">
            <v>0</v>
          </cell>
          <cell r="CP14">
            <v>0</v>
          </cell>
        </row>
        <row r="15">
          <cell r="L15">
            <v>2510.4838500000001</v>
          </cell>
          <cell r="M15">
            <v>2201.9453848349999</v>
          </cell>
          <cell r="N15">
            <v>308.53846516499999</v>
          </cell>
          <cell r="O15">
            <v>2281.8094987174009</v>
          </cell>
          <cell r="P15">
            <v>48.231856043551723</v>
          </cell>
          <cell r="Q15">
            <v>2330.0413547609528</v>
          </cell>
          <cell r="S15">
            <v>2510.4838500000001</v>
          </cell>
          <cell r="T15">
            <v>2201.9453848349999</v>
          </cell>
          <cell r="U15">
            <v>308.53846516499999</v>
          </cell>
          <cell r="V15">
            <v>2235.2501726383066</v>
          </cell>
          <cell r="W15">
            <v>47.247706089669094</v>
          </cell>
          <cell r="X15">
            <v>2282.4978787279756</v>
          </cell>
          <cell r="Z15">
            <v>2510.4838500000001</v>
          </cell>
          <cell r="AA15">
            <v>2201.9453848349999</v>
          </cell>
          <cell r="AB15">
            <v>308.53846516499999</v>
          </cell>
          <cell r="AC15">
            <v>3348.5676367231331</v>
          </cell>
          <cell r="AD15">
            <v>70.780506566086856</v>
          </cell>
          <cell r="AE15">
            <v>3419.3481432892199</v>
          </cell>
          <cell r="AG15">
            <v>2510.4838500000001</v>
          </cell>
          <cell r="AH15">
            <v>2201.9453848349999</v>
          </cell>
          <cell r="AI15">
            <v>308.53846516499999</v>
          </cell>
          <cell r="AJ15">
            <v>3952.4008375826998</v>
          </cell>
          <cell r="AK15">
            <v>83.544059366855805</v>
          </cell>
          <cell r="AL15">
            <v>4035.9448969495556</v>
          </cell>
          <cell r="AN15">
            <v>2510.4838500000001</v>
          </cell>
          <cell r="AO15">
            <v>2201.9453848349999</v>
          </cell>
          <cell r="AP15">
            <v>308.53846516499999</v>
          </cell>
          <cell r="AQ15">
            <v>0</v>
          </cell>
          <cell r="AR15">
            <v>0</v>
          </cell>
          <cell r="AS15">
            <v>0</v>
          </cell>
          <cell r="AU15">
            <v>2510.4838500000001</v>
          </cell>
          <cell r="AV15">
            <v>2201.9453848349999</v>
          </cell>
          <cell r="AW15">
            <v>308.53846516499999</v>
          </cell>
          <cell r="AX15">
            <v>0</v>
          </cell>
          <cell r="AY15">
            <v>0</v>
          </cell>
          <cell r="AZ15">
            <v>0</v>
          </cell>
          <cell r="BB15">
            <v>2706.3371999999999</v>
          </cell>
          <cell r="BC15">
            <v>2373.7283581199999</v>
          </cell>
          <cell r="BD15">
            <v>332.60884188</v>
          </cell>
          <cell r="BE15">
            <v>0</v>
          </cell>
          <cell r="BF15">
            <v>0</v>
          </cell>
          <cell r="BG15">
            <v>0</v>
          </cell>
          <cell r="BI15">
            <v>2510.4838500000001</v>
          </cell>
          <cell r="BJ15">
            <v>2201.9453848349999</v>
          </cell>
          <cell r="BK15">
            <v>308.53846516499999</v>
          </cell>
          <cell r="BL15">
            <v>0</v>
          </cell>
          <cell r="BM15">
            <v>0</v>
          </cell>
          <cell r="BN15">
            <v>0</v>
          </cell>
          <cell r="BP15">
            <v>2510.4838500000001</v>
          </cell>
          <cell r="BQ15">
            <v>2201.9453848349999</v>
          </cell>
          <cell r="BR15">
            <v>308.53846516499999</v>
          </cell>
          <cell r="BS15">
            <v>0</v>
          </cell>
          <cell r="BT15">
            <v>0</v>
          </cell>
          <cell r="BU15">
            <v>0</v>
          </cell>
          <cell r="BW15">
            <v>2510.4838500000001</v>
          </cell>
          <cell r="BX15">
            <v>2201.9453848349999</v>
          </cell>
          <cell r="BY15">
            <v>308.53846516499999</v>
          </cell>
          <cell r="BZ15">
            <v>0</v>
          </cell>
          <cell r="CA15">
            <v>0</v>
          </cell>
          <cell r="CB15">
            <v>0</v>
          </cell>
          <cell r="CD15">
            <v>2510.4838500000001</v>
          </cell>
          <cell r="CE15">
            <v>2201.9453848349999</v>
          </cell>
          <cell r="CF15">
            <v>308.53846516499999</v>
          </cell>
          <cell r="CG15">
            <v>0</v>
          </cell>
          <cell r="CH15">
            <v>0</v>
          </cell>
          <cell r="CI15">
            <v>0</v>
          </cell>
          <cell r="CK15">
            <v>2510.4838500000001</v>
          </cell>
          <cell r="CL15">
            <v>2201.9453848349999</v>
          </cell>
          <cell r="CM15">
            <v>308.53846516499999</v>
          </cell>
          <cell r="CN15">
            <v>0</v>
          </cell>
          <cell r="CO15">
            <v>0</v>
          </cell>
          <cell r="CP15">
            <v>0</v>
          </cell>
        </row>
        <row r="16">
          <cell r="L16">
            <v>488.25</v>
          </cell>
          <cell r="M16">
            <v>428.24407500000001</v>
          </cell>
          <cell r="N16">
            <v>60.005924999999998</v>
          </cell>
          <cell r="O16">
            <v>542.49421838793864</v>
          </cell>
          <cell r="P16">
            <v>11.466997161881272</v>
          </cell>
          <cell r="Q16">
            <v>553.96121554981994</v>
          </cell>
          <cell r="S16">
            <v>488.25</v>
          </cell>
          <cell r="T16">
            <v>428.24407500000001</v>
          </cell>
          <cell r="U16">
            <v>60.005924999999998</v>
          </cell>
          <cell r="V16">
            <v>511.41246790287096</v>
          </cell>
          <cell r="W16">
            <v>10.810005193086315</v>
          </cell>
          <cell r="X16">
            <v>522.2224730959573</v>
          </cell>
          <cell r="Z16">
            <v>488.25</v>
          </cell>
          <cell r="AA16">
            <v>428.24407500000001</v>
          </cell>
          <cell r="AB16">
            <v>60.005924999999998</v>
          </cell>
          <cell r="AC16">
            <v>639.59587919836474</v>
          </cell>
          <cell r="AD16">
            <v>13.519488103141171</v>
          </cell>
          <cell r="AE16">
            <v>653.1153673015059</v>
          </cell>
          <cell r="AG16">
            <v>488.25</v>
          </cell>
          <cell r="AH16">
            <v>428.24407500000001</v>
          </cell>
          <cell r="AI16">
            <v>60.005924999999998</v>
          </cell>
          <cell r="AJ16">
            <v>515.6973671864522</v>
          </cell>
          <cell r="AK16">
            <v>10.900577454058572</v>
          </cell>
          <cell r="AL16">
            <v>526.59794464051072</v>
          </cell>
          <cell r="AN16">
            <v>488.25</v>
          </cell>
          <cell r="AO16">
            <v>428.24407500000001</v>
          </cell>
          <cell r="AP16">
            <v>60.005924999999998</v>
          </cell>
          <cell r="AQ16">
            <v>0</v>
          </cell>
          <cell r="AR16">
            <v>0</v>
          </cell>
          <cell r="AS16">
            <v>0</v>
          </cell>
          <cell r="AU16">
            <v>488.25</v>
          </cell>
          <cell r="AV16">
            <v>428.24407500000001</v>
          </cell>
          <cell r="AW16">
            <v>60.005924999999998</v>
          </cell>
          <cell r="AX16">
            <v>0</v>
          </cell>
          <cell r="AY16">
            <v>0</v>
          </cell>
          <cell r="AZ16">
            <v>0</v>
          </cell>
          <cell r="BB16">
            <v>488.25</v>
          </cell>
          <cell r="BC16">
            <v>428.24407500000001</v>
          </cell>
          <cell r="BD16">
            <v>60.005924999999998</v>
          </cell>
          <cell r="BE16">
            <v>0</v>
          </cell>
          <cell r="BF16">
            <v>0</v>
          </cell>
          <cell r="BG16">
            <v>0</v>
          </cell>
          <cell r="BI16">
            <v>488.25</v>
          </cell>
          <cell r="BJ16">
            <v>428.24407500000001</v>
          </cell>
          <cell r="BK16">
            <v>60.005924999999998</v>
          </cell>
          <cell r="BL16">
            <v>0</v>
          </cell>
          <cell r="BM16">
            <v>0</v>
          </cell>
          <cell r="BN16">
            <v>0</v>
          </cell>
          <cell r="BP16">
            <v>488.25</v>
          </cell>
          <cell r="BQ16">
            <v>428.24407500000001</v>
          </cell>
          <cell r="BR16">
            <v>60.005924999999998</v>
          </cell>
          <cell r="BS16">
            <v>0</v>
          </cell>
          <cell r="BT16">
            <v>0</v>
          </cell>
          <cell r="BU16">
            <v>0</v>
          </cell>
          <cell r="BW16">
            <v>488.25</v>
          </cell>
          <cell r="BX16">
            <v>428.24407500000001</v>
          </cell>
          <cell r="BY16">
            <v>60.005924999999998</v>
          </cell>
          <cell r="BZ16">
            <v>0</v>
          </cell>
          <cell r="CA16">
            <v>0</v>
          </cell>
          <cell r="CB16">
            <v>0</v>
          </cell>
          <cell r="CD16">
            <v>488.25</v>
          </cell>
          <cell r="CE16">
            <v>428.24407500000001</v>
          </cell>
          <cell r="CF16">
            <v>60.005924999999998</v>
          </cell>
          <cell r="CG16">
            <v>0</v>
          </cell>
          <cell r="CH16">
            <v>0</v>
          </cell>
          <cell r="CI16">
            <v>0</v>
          </cell>
          <cell r="CK16">
            <v>488.25</v>
          </cell>
          <cell r="CL16">
            <v>428.24407500000001</v>
          </cell>
          <cell r="CM16">
            <v>60.005924999999998</v>
          </cell>
          <cell r="CN16">
            <v>0</v>
          </cell>
          <cell r="CO16">
            <v>0</v>
          </cell>
          <cell r="CP16">
            <v>0</v>
          </cell>
        </row>
        <row r="17">
          <cell r="L17">
            <v>14491.26</v>
          </cell>
          <cell r="M17">
            <v>12710.284146</v>
          </cell>
          <cell r="N17">
            <v>1780.975854</v>
          </cell>
          <cell r="O17">
            <v>15476.29722201099</v>
          </cell>
          <cell r="P17">
            <v>327.13096343881085</v>
          </cell>
          <cell r="Q17">
            <v>15803.4281854498</v>
          </cell>
          <cell r="S17">
            <v>14491.26</v>
          </cell>
          <cell r="T17">
            <v>12710.284146</v>
          </cell>
          <cell r="U17">
            <v>1780.975854</v>
          </cell>
          <cell r="V17">
            <v>26740.171375004222</v>
          </cell>
          <cell r="W17">
            <v>565.22163531357842</v>
          </cell>
          <cell r="X17">
            <v>27305.393010317799</v>
          </cell>
          <cell r="Z17">
            <v>14491.26</v>
          </cell>
          <cell r="AA17">
            <v>12710.284146</v>
          </cell>
          <cell r="AB17">
            <v>1780.975854</v>
          </cell>
          <cell r="AC17">
            <v>13305.358138481914</v>
          </cell>
          <cell r="AD17">
            <v>281.24263603244725</v>
          </cell>
          <cell r="AE17">
            <v>13586.600774514362</v>
          </cell>
          <cell r="AG17">
            <v>14491.26</v>
          </cell>
          <cell r="AH17">
            <v>12710.284146</v>
          </cell>
          <cell r="AI17">
            <v>1780.975854</v>
          </cell>
          <cell r="AJ17">
            <v>14656.550855473733</v>
          </cell>
          <cell r="AK17">
            <v>309.80353590146666</v>
          </cell>
          <cell r="AL17">
            <v>14966.3543913752</v>
          </cell>
          <cell r="AN17">
            <v>14491.26</v>
          </cell>
          <cell r="AO17">
            <v>12710.284146</v>
          </cell>
          <cell r="AP17">
            <v>1780.975854</v>
          </cell>
          <cell r="AQ17">
            <v>0</v>
          </cell>
          <cell r="AR17">
            <v>0</v>
          </cell>
          <cell r="AS17"/>
          <cell r="AU17">
            <v>14491.26</v>
          </cell>
          <cell r="AV17">
            <v>12710.284146</v>
          </cell>
          <cell r="AW17">
            <v>1780.975854</v>
          </cell>
          <cell r="AX17">
            <v>0</v>
          </cell>
          <cell r="AY17">
            <v>0</v>
          </cell>
          <cell r="AZ17"/>
          <cell r="BB17">
            <v>14491.26</v>
          </cell>
          <cell r="BC17">
            <v>12710.284146</v>
          </cell>
          <cell r="BD17">
            <v>1780.975854</v>
          </cell>
          <cell r="BE17">
            <v>0</v>
          </cell>
          <cell r="BF17">
            <v>0</v>
          </cell>
          <cell r="BG17"/>
          <cell r="BI17">
            <v>14491.26</v>
          </cell>
          <cell r="BJ17">
            <v>12710.284146</v>
          </cell>
          <cell r="BK17">
            <v>1780.975854</v>
          </cell>
          <cell r="BL17">
            <v>0</v>
          </cell>
          <cell r="BM17">
            <v>0</v>
          </cell>
          <cell r="BN17"/>
          <cell r="BP17">
            <v>14491.26</v>
          </cell>
          <cell r="BQ17">
            <v>12710.284146</v>
          </cell>
          <cell r="BR17">
            <v>1780.975854</v>
          </cell>
          <cell r="BS17">
            <v>0</v>
          </cell>
          <cell r="BT17">
            <v>0</v>
          </cell>
          <cell r="BU17"/>
          <cell r="BW17">
            <v>14491.26</v>
          </cell>
          <cell r="BX17">
            <v>12710.284146</v>
          </cell>
          <cell r="BY17">
            <v>1780.975854</v>
          </cell>
          <cell r="BZ17">
            <v>0</v>
          </cell>
          <cell r="CA17">
            <v>0</v>
          </cell>
          <cell r="CB17"/>
          <cell r="CD17">
            <v>14491.26</v>
          </cell>
          <cell r="CE17">
            <v>12710.284146</v>
          </cell>
          <cell r="CF17">
            <v>1780.975854</v>
          </cell>
          <cell r="CG17">
            <v>0</v>
          </cell>
          <cell r="CH17">
            <v>0</v>
          </cell>
          <cell r="CI17"/>
          <cell r="CK17">
            <v>14491.26</v>
          </cell>
          <cell r="CL17">
            <v>12710.284146</v>
          </cell>
          <cell r="CM17">
            <v>1780.975854</v>
          </cell>
          <cell r="CN17">
            <v>0</v>
          </cell>
          <cell r="CO17">
            <v>0</v>
          </cell>
          <cell r="CP17"/>
        </row>
        <row r="18">
          <cell r="L18">
            <v>2222.1299100000001</v>
          </cell>
          <cell r="M18">
            <v>1949.0301440610001</v>
          </cell>
          <cell r="N18">
            <v>273.09976593900001</v>
          </cell>
          <cell r="O18">
            <v>5218.5889231947076</v>
          </cell>
          <cell r="P18">
            <v>110.30816982551868</v>
          </cell>
          <cell r="Q18">
            <v>5328.8970930202258</v>
          </cell>
          <cell r="S18">
            <v>2222.1299100000001</v>
          </cell>
          <cell r="T18">
            <v>1949.0301440610001</v>
          </cell>
          <cell r="U18">
            <v>273.09976593900001</v>
          </cell>
          <cell r="V18">
            <v>0</v>
          </cell>
          <cell r="W18">
            <v>0</v>
          </cell>
          <cell r="X18">
            <v>0</v>
          </cell>
          <cell r="Z18">
            <v>2222.1299100000001</v>
          </cell>
          <cell r="AA18">
            <v>1949.0301440610001</v>
          </cell>
          <cell r="AB18">
            <v>273.09976593900001</v>
          </cell>
          <cell r="AC18">
            <v>7486.3485809074609</v>
          </cell>
          <cell r="AD18">
            <v>158.24304669129421</v>
          </cell>
          <cell r="AE18">
            <v>7644.5916275987547</v>
          </cell>
          <cell r="AG18">
            <v>2222.1299100000001</v>
          </cell>
          <cell r="AH18">
            <v>1949.0301440610001</v>
          </cell>
          <cell r="AI18">
            <v>273.09976593900001</v>
          </cell>
          <cell r="AJ18">
            <v>0</v>
          </cell>
          <cell r="AK18">
            <v>0</v>
          </cell>
          <cell r="AL18">
            <v>0</v>
          </cell>
          <cell r="AN18">
            <v>2222.1299100000001</v>
          </cell>
          <cell r="AO18">
            <v>1949.0301440610001</v>
          </cell>
          <cell r="AP18">
            <v>273.09976593900001</v>
          </cell>
          <cell r="AQ18">
            <v>0</v>
          </cell>
          <cell r="AR18">
            <v>0</v>
          </cell>
          <cell r="AS18"/>
          <cell r="AU18">
            <v>2222.1299100000001</v>
          </cell>
          <cell r="AV18">
            <v>1949.0301440610001</v>
          </cell>
          <cell r="AW18">
            <v>273.09976593900001</v>
          </cell>
          <cell r="AX18">
            <v>0</v>
          </cell>
          <cell r="AY18">
            <v>0</v>
          </cell>
          <cell r="AZ18"/>
          <cell r="BB18">
            <v>2222.1299100000001</v>
          </cell>
          <cell r="BC18">
            <v>1949.0301440610001</v>
          </cell>
          <cell r="BD18">
            <v>273.09976593900001</v>
          </cell>
          <cell r="BE18">
            <v>0</v>
          </cell>
          <cell r="BF18">
            <v>0</v>
          </cell>
          <cell r="BG18"/>
          <cell r="BI18">
            <v>2222.1299100000001</v>
          </cell>
          <cell r="BJ18">
            <v>1949.0301440610001</v>
          </cell>
          <cell r="BK18">
            <v>273.09976593900001</v>
          </cell>
          <cell r="BL18">
            <v>0</v>
          </cell>
          <cell r="BM18">
            <v>0</v>
          </cell>
          <cell r="BN18"/>
          <cell r="BP18">
            <v>2222.1299100000001</v>
          </cell>
          <cell r="BQ18">
            <v>1949.0301440610001</v>
          </cell>
          <cell r="BR18">
            <v>273.09976593900001</v>
          </cell>
          <cell r="BS18">
            <v>0</v>
          </cell>
          <cell r="BT18">
            <v>0</v>
          </cell>
          <cell r="BU18"/>
          <cell r="BW18">
            <v>2222.1299100000001</v>
          </cell>
          <cell r="BX18">
            <v>1949.0301440610001</v>
          </cell>
          <cell r="BY18">
            <v>273.09976593900001</v>
          </cell>
          <cell r="BZ18">
            <v>0</v>
          </cell>
          <cell r="CA18">
            <v>0</v>
          </cell>
          <cell r="CB18"/>
          <cell r="CD18">
            <v>2222.1299100000001</v>
          </cell>
          <cell r="CE18">
            <v>1949.0301440610001</v>
          </cell>
          <cell r="CF18">
            <v>273.09976593900001</v>
          </cell>
          <cell r="CG18">
            <v>0</v>
          </cell>
          <cell r="CH18">
            <v>0</v>
          </cell>
          <cell r="CI18"/>
          <cell r="CK18">
            <v>2222.1299100000001</v>
          </cell>
          <cell r="CL18">
            <v>1949.0301440610001</v>
          </cell>
          <cell r="CM18">
            <v>273.09976593900001</v>
          </cell>
          <cell r="CN18">
            <v>0</v>
          </cell>
          <cell r="CO18">
            <v>0</v>
          </cell>
          <cell r="CP18"/>
        </row>
        <row r="19">
          <cell r="L19">
            <v>949.375</v>
          </cell>
          <cell r="M19">
            <v>832.69681249999996</v>
          </cell>
          <cell r="N19">
            <v>116.67818749999999</v>
          </cell>
          <cell r="O19">
            <v>1675.3904492094482</v>
          </cell>
          <cell r="P19">
            <v>35.413644744854054</v>
          </cell>
          <cell r="Q19">
            <v>1710.8040939543023</v>
          </cell>
          <cell r="S19">
            <v>949.375</v>
          </cell>
          <cell r="T19">
            <v>832.69681249999996</v>
          </cell>
          <cell r="U19">
            <v>116.67818749999999</v>
          </cell>
          <cell r="V19">
            <v>646.81558003426312</v>
          </cell>
          <cell r="W19">
            <v>13.672094870529202</v>
          </cell>
          <cell r="X19">
            <v>660.48767490479236</v>
          </cell>
          <cell r="Z19">
            <v>949.375</v>
          </cell>
          <cell r="AA19">
            <v>832.69681249999996</v>
          </cell>
          <cell r="AB19">
            <v>116.67818749999999</v>
          </cell>
          <cell r="AC19">
            <v>923.45260457177244</v>
          </cell>
          <cell r="AD19">
            <v>19.519523041596742</v>
          </cell>
          <cell r="AE19">
            <v>942.97212761336914</v>
          </cell>
          <cell r="AG19">
            <v>949.375</v>
          </cell>
          <cell r="AH19">
            <v>832.69681249999996</v>
          </cell>
          <cell r="AI19">
            <v>116.67818749999999</v>
          </cell>
          <cell r="AJ19">
            <v>805.48198235704058</v>
          </cell>
          <cell r="AK19">
            <v>17.025913443062127</v>
          </cell>
          <cell r="AL19">
            <v>822.50789580010269</v>
          </cell>
          <cell r="AN19">
            <v>949.375</v>
          </cell>
          <cell r="AO19">
            <v>832.69681249999996</v>
          </cell>
          <cell r="AP19">
            <v>116.67818749999999</v>
          </cell>
          <cell r="AQ19">
            <v>0</v>
          </cell>
          <cell r="AR19">
            <v>0</v>
          </cell>
          <cell r="AS19"/>
          <cell r="AU19">
            <v>949.375</v>
          </cell>
          <cell r="AV19">
            <v>832.69681249999996</v>
          </cell>
          <cell r="AW19">
            <v>116.67818749999999</v>
          </cell>
          <cell r="AX19">
            <v>0</v>
          </cell>
          <cell r="AY19">
            <v>0</v>
          </cell>
          <cell r="AZ19"/>
          <cell r="BB19">
            <v>949.375</v>
          </cell>
          <cell r="BC19">
            <v>832.69681249999996</v>
          </cell>
          <cell r="BD19">
            <v>116.67818749999999</v>
          </cell>
          <cell r="BE19">
            <v>0</v>
          </cell>
          <cell r="BF19">
            <v>0</v>
          </cell>
          <cell r="BG19"/>
          <cell r="BI19">
            <v>949.375</v>
          </cell>
          <cell r="BJ19">
            <v>832.69681249999996</v>
          </cell>
          <cell r="BK19">
            <v>116.67818749999999</v>
          </cell>
          <cell r="BL19">
            <v>0</v>
          </cell>
          <cell r="BM19">
            <v>0</v>
          </cell>
          <cell r="BN19"/>
          <cell r="BP19">
            <v>949.375</v>
          </cell>
          <cell r="BQ19">
            <v>832.69681249999996</v>
          </cell>
          <cell r="BR19">
            <v>116.67818749999999</v>
          </cell>
          <cell r="BS19">
            <v>0</v>
          </cell>
          <cell r="BT19">
            <v>0</v>
          </cell>
          <cell r="BU19"/>
          <cell r="BW19">
            <v>949.375</v>
          </cell>
          <cell r="BX19">
            <v>832.69681249999996</v>
          </cell>
          <cell r="BY19">
            <v>116.67818749999999</v>
          </cell>
          <cell r="BZ19">
            <v>0</v>
          </cell>
          <cell r="CA19">
            <v>0</v>
          </cell>
          <cell r="CB19"/>
          <cell r="CD19">
            <v>949.375</v>
          </cell>
          <cell r="CE19">
            <v>832.69681249999996</v>
          </cell>
          <cell r="CF19">
            <v>116.67818749999999</v>
          </cell>
          <cell r="CG19">
            <v>0</v>
          </cell>
          <cell r="CH19">
            <v>0</v>
          </cell>
          <cell r="CI19"/>
          <cell r="CK19">
            <v>949.375</v>
          </cell>
          <cell r="CL19">
            <v>832.69681249999996</v>
          </cell>
          <cell r="CM19">
            <v>116.67818749999999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470.06400000000002</v>
          </cell>
          <cell r="W20">
            <v>9.9359999999999999</v>
          </cell>
          <cell r="X20">
            <v>480</v>
          </cell>
          <cell r="Z20">
            <v>98382.737216399997</v>
          </cell>
          <cell r="AA20">
            <v>86291.498812504433</v>
          </cell>
          <cell r="AB20">
            <v>12091.238403895559</v>
          </cell>
          <cell r="AC20">
            <v>27677.094116</v>
          </cell>
          <cell r="AD20">
            <v>585.02588400000002</v>
          </cell>
          <cell r="AE20">
            <v>28262.12</v>
          </cell>
          <cell r="AG20">
            <v>0</v>
          </cell>
          <cell r="AH20">
            <v>0</v>
          </cell>
          <cell r="AI20">
            <v>0</v>
          </cell>
          <cell r="AJ20">
            <v>24503.545156999997</v>
          </cell>
          <cell r="AK20">
            <v>517.94484299999999</v>
          </cell>
          <cell r="AL20">
            <v>25021.489999999998</v>
          </cell>
          <cell r="AN20">
            <v>2429.9283808800001</v>
          </cell>
          <cell r="AO20">
            <v>2131.2901828698482</v>
          </cell>
          <cell r="AP20">
            <v>298.638198010152</v>
          </cell>
          <cell r="AQ20">
            <v>0</v>
          </cell>
          <cell r="AR20">
            <v>0</v>
          </cell>
          <cell r="AS20"/>
          <cell r="AU20">
            <v>2429.9283808800001</v>
          </cell>
          <cell r="AV20">
            <v>2131.2901828698482</v>
          </cell>
          <cell r="AW20">
            <v>298.638198010152</v>
          </cell>
          <cell r="AX20">
            <v>0</v>
          </cell>
          <cell r="AY20">
            <v>0</v>
          </cell>
          <cell r="AZ20"/>
          <cell r="BB20">
            <v>46323.277880879679</v>
          </cell>
          <cell r="BC20">
            <v>40630.147029319567</v>
          </cell>
          <cell r="BD20">
            <v>5693.1308515601122</v>
          </cell>
          <cell r="BE20">
            <v>0</v>
          </cell>
          <cell r="BF20">
            <v>0</v>
          </cell>
          <cell r="BG20"/>
          <cell r="BI20">
            <v>6376.9780972799999</v>
          </cell>
          <cell r="BJ20">
            <v>5593.2474891242882</v>
          </cell>
          <cell r="BK20">
            <v>783.73060815571193</v>
          </cell>
          <cell r="BL20">
            <v>0</v>
          </cell>
          <cell r="BM20">
            <v>0</v>
          </cell>
          <cell r="BN20"/>
          <cell r="BP20">
            <v>46323.277880879679</v>
          </cell>
          <cell r="BQ20">
            <v>40630.147029319567</v>
          </cell>
          <cell r="BR20">
            <v>5693.1308515601122</v>
          </cell>
          <cell r="BS20">
            <v>0</v>
          </cell>
          <cell r="BT20">
            <v>0</v>
          </cell>
          <cell r="BU20"/>
          <cell r="BW20">
            <v>2429.9283808800001</v>
          </cell>
          <cell r="BX20">
            <v>2131.2901828698482</v>
          </cell>
          <cell r="BY20">
            <v>298.638198010152</v>
          </cell>
          <cell r="BZ20">
            <v>0</v>
          </cell>
          <cell r="CA20">
            <v>0</v>
          </cell>
          <cell r="CB20"/>
          <cell r="CD20">
            <v>2429.9283808800001</v>
          </cell>
          <cell r="CE20">
            <v>2131.2901828698482</v>
          </cell>
          <cell r="CF20">
            <v>298.638198010152</v>
          </cell>
          <cell r="CG20">
            <v>0</v>
          </cell>
          <cell r="CH20">
            <v>0</v>
          </cell>
          <cell r="CI20"/>
          <cell r="CK20">
            <v>2429.9283808800001</v>
          </cell>
          <cell r="CL20">
            <v>2131.2901828698482</v>
          </cell>
          <cell r="CM20">
            <v>298.638198010152</v>
          </cell>
          <cell r="CN20">
            <v>0</v>
          </cell>
          <cell r="CO20">
            <v>0</v>
          </cell>
          <cell r="CP20"/>
        </row>
        <row r="21">
          <cell r="L21">
            <v>10708.218438750002</v>
          </cell>
          <cell r="M21">
            <v>9392.1783926276275</v>
          </cell>
          <cell r="N21">
            <v>1316.0400461223751</v>
          </cell>
          <cell r="O21">
            <v>2075.1367</v>
          </cell>
          <cell r="P21">
            <v>43.863300000000002</v>
          </cell>
          <cell r="Q21">
            <v>2119</v>
          </cell>
          <cell r="S21">
            <v>0</v>
          </cell>
          <cell r="T21">
            <v>0</v>
          </cell>
          <cell r="U21">
            <v>0</v>
          </cell>
          <cell r="V21">
            <v>5397.9016000000001</v>
          </cell>
          <cell r="W21">
            <v>114.0984</v>
          </cell>
          <cell r="X21">
            <v>5512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5128.1444339999671</v>
          </cell>
          <cell r="M22">
            <v>4497.8954830613711</v>
          </cell>
          <cell r="N22">
            <v>630.24895093859595</v>
          </cell>
          <cell r="O22">
            <v>44632.934579891502</v>
          </cell>
          <cell r="P22">
            <v>943.43076258935378</v>
          </cell>
          <cell r="Q22">
            <v>45576.365342480858</v>
          </cell>
          <cell r="S22">
            <v>5128.1444339999671</v>
          </cell>
          <cell r="T22">
            <v>4497.8954830613711</v>
          </cell>
          <cell r="U22">
            <v>630.24895093859595</v>
          </cell>
          <cell r="V22">
            <v>7214.7392206471941</v>
          </cell>
          <cell r="W22">
            <v>152.50189101133148</v>
          </cell>
          <cell r="X22">
            <v>7367.2411116585254</v>
          </cell>
          <cell r="Z22">
            <v>5128.1444339999671</v>
          </cell>
          <cell r="AA22">
            <v>4497.8954830613711</v>
          </cell>
          <cell r="AB22">
            <v>630.24895093859595</v>
          </cell>
          <cell r="AC22">
            <v>1845.0573188821479</v>
          </cell>
          <cell r="AD22">
            <v>38.999986215521766</v>
          </cell>
          <cell r="AE22">
            <v>1884.0573050976698</v>
          </cell>
          <cell r="AG22">
            <v>5128.1444339999671</v>
          </cell>
          <cell r="AH22">
            <v>4497.8954830613711</v>
          </cell>
          <cell r="AI22">
            <v>630.24895093859595</v>
          </cell>
          <cell r="AJ22">
            <v>1423.1245900069862</v>
          </cell>
          <cell r="AK22">
            <v>30.081363232048009</v>
          </cell>
          <cell r="AL22">
            <v>1453.2059532390342</v>
          </cell>
          <cell r="AN22">
            <v>5128.1444339999671</v>
          </cell>
          <cell r="AO22">
            <v>4497.8954830613711</v>
          </cell>
          <cell r="AP22">
            <v>630.24895093859595</v>
          </cell>
          <cell r="AQ22">
            <v>0</v>
          </cell>
          <cell r="AR22">
            <v>0</v>
          </cell>
          <cell r="AS22"/>
          <cell r="AU22">
            <v>5128.1444339999671</v>
          </cell>
          <cell r="AV22">
            <v>4497.8954830613711</v>
          </cell>
          <cell r="AW22">
            <v>630.24895093859595</v>
          </cell>
          <cell r="AX22">
            <v>0</v>
          </cell>
          <cell r="AY22">
            <v>0</v>
          </cell>
          <cell r="AZ22"/>
          <cell r="BB22">
            <v>5128.1444339999671</v>
          </cell>
          <cell r="BC22">
            <v>4497.8954830613711</v>
          </cell>
          <cell r="BD22">
            <v>630.24895093859595</v>
          </cell>
          <cell r="BE22">
            <v>0</v>
          </cell>
          <cell r="BF22">
            <v>0</v>
          </cell>
          <cell r="BG22"/>
          <cell r="BI22">
            <v>5128.1444339999671</v>
          </cell>
          <cell r="BJ22">
            <v>4497.8954830613711</v>
          </cell>
          <cell r="BK22">
            <v>630.24895093859595</v>
          </cell>
          <cell r="BL22">
            <v>0</v>
          </cell>
          <cell r="BM22">
            <v>0</v>
          </cell>
          <cell r="BN22"/>
          <cell r="BP22">
            <v>5128.1444339999671</v>
          </cell>
          <cell r="BQ22">
            <v>4497.8954830613711</v>
          </cell>
          <cell r="BR22">
            <v>630.24895093859595</v>
          </cell>
          <cell r="BS22">
            <v>0</v>
          </cell>
          <cell r="BT22">
            <v>0</v>
          </cell>
          <cell r="BU22"/>
          <cell r="BW22">
            <v>5128.1444339999671</v>
          </cell>
          <cell r="BX22">
            <v>4497.8954830613711</v>
          </cell>
          <cell r="BY22">
            <v>630.24895093859595</v>
          </cell>
          <cell r="BZ22">
            <v>0</v>
          </cell>
          <cell r="CA22">
            <v>0</v>
          </cell>
          <cell r="CB22"/>
          <cell r="CD22">
            <v>5128.1444339999671</v>
          </cell>
          <cell r="CE22">
            <v>4497.8954830613711</v>
          </cell>
          <cell r="CF22">
            <v>630.24895093859595</v>
          </cell>
          <cell r="CG22">
            <v>0</v>
          </cell>
          <cell r="CH22">
            <v>0</v>
          </cell>
          <cell r="CI22"/>
          <cell r="CK22">
            <v>5128.1444339999671</v>
          </cell>
          <cell r="CL22">
            <v>4497.8954830613711</v>
          </cell>
          <cell r="CM22">
            <v>630.24895093859595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4469.1125625850846</v>
          </cell>
          <cell r="M24">
            <v>3919.8586286433774</v>
          </cell>
          <cell r="N24">
            <v>549.25393394170692</v>
          </cell>
          <cell r="O24">
            <v>22.543485999999998</v>
          </cell>
          <cell r="P24">
            <v>0.47651399999999999</v>
          </cell>
          <cell r="Q24">
            <v>23.02</v>
          </cell>
          <cell r="S24">
            <v>4469.1125625850846</v>
          </cell>
          <cell r="T24">
            <v>3919.8586286433774</v>
          </cell>
          <cell r="U24">
            <v>549.25393394170692</v>
          </cell>
          <cell r="V24">
            <v>22.886241000000002</v>
          </cell>
          <cell r="W24">
            <v>0.48375899999999999</v>
          </cell>
          <cell r="X24">
            <v>23.37</v>
          </cell>
          <cell r="Z24">
            <v>4469.1125625850846</v>
          </cell>
          <cell r="AA24">
            <v>3919.8586286433774</v>
          </cell>
          <cell r="AB24">
            <v>549.25393394170692</v>
          </cell>
          <cell r="AC24">
            <v>0</v>
          </cell>
          <cell r="AD24">
            <v>0</v>
          </cell>
          <cell r="AE24">
            <v>0</v>
          </cell>
          <cell r="AG24">
            <v>4469.1125625850846</v>
          </cell>
          <cell r="AH24">
            <v>3919.8586286433774</v>
          </cell>
          <cell r="AI24">
            <v>549.25393394170692</v>
          </cell>
          <cell r="AJ24">
            <v>0</v>
          </cell>
          <cell r="AK24">
            <v>0</v>
          </cell>
          <cell r="AL24">
            <v>0</v>
          </cell>
          <cell r="AN24">
            <v>4469.1125625850846</v>
          </cell>
          <cell r="AO24">
            <v>3919.8586286433774</v>
          </cell>
          <cell r="AP24">
            <v>549.25393394170692</v>
          </cell>
          <cell r="AQ24">
            <v>0</v>
          </cell>
          <cell r="AR24">
            <v>0</v>
          </cell>
          <cell r="AS24"/>
          <cell r="AU24">
            <v>4469.1125625850846</v>
          </cell>
          <cell r="AV24">
            <v>3919.8586286433774</v>
          </cell>
          <cell r="AW24">
            <v>549.25393394170692</v>
          </cell>
          <cell r="AX24">
            <v>0</v>
          </cell>
          <cell r="AY24">
            <v>0</v>
          </cell>
          <cell r="AZ24"/>
          <cell r="BB24">
            <v>3692.6276732986844</v>
          </cell>
          <cell r="BC24">
            <v>3238.803732250276</v>
          </cell>
          <cell r="BD24">
            <v>453.8239410484083</v>
          </cell>
          <cell r="BE24">
            <v>0</v>
          </cell>
          <cell r="BF24">
            <v>0</v>
          </cell>
          <cell r="BG24"/>
          <cell r="BI24">
            <v>4469.1125625850846</v>
          </cell>
          <cell r="BJ24">
            <v>3919.8586286433774</v>
          </cell>
          <cell r="BK24">
            <v>549.25393394170692</v>
          </cell>
          <cell r="BL24">
            <v>0</v>
          </cell>
          <cell r="BM24">
            <v>0</v>
          </cell>
          <cell r="BN24"/>
          <cell r="BP24">
            <v>4469.1125625850846</v>
          </cell>
          <cell r="BQ24">
            <v>3919.8586286433774</v>
          </cell>
          <cell r="BR24">
            <v>549.25393394170692</v>
          </cell>
          <cell r="BS24">
            <v>0</v>
          </cell>
          <cell r="BT24">
            <v>0</v>
          </cell>
          <cell r="BU24"/>
          <cell r="BW24">
            <v>4469.1125625850846</v>
          </cell>
          <cell r="BX24">
            <v>3919.8586286433774</v>
          </cell>
          <cell r="BY24">
            <v>549.25393394170692</v>
          </cell>
          <cell r="BZ24">
            <v>0</v>
          </cell>
          <cell r="CA24">
            <v>0</v>
          </cell>
          <cell r="CB24"/>
          <cell r="CD24">
            <v>4469.1125625850846</v>
          </cell>
          <cell r="CE24">
            <v>3919.8586286433774</v>
          </cell>
          <cell r="CF24">
            <v>549.25393394170692</v>
          </cell>
          <cell r="CG24">
            <v>0</v>
          </cell>
          <cell r="CH24">
            <v>0</v>
          </cell>
          <cell r="CI24"/>
          <cell r="CK24">
            <v>4469.1125625850846</v>
          </cell>
          <cell r="CL24">
            <v>3919.8586286433774</v>
          </cell>
          <cell r="CM24">
            <v>549.25393394170692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2197.5491999999999</v>
          </cell>
          <cell r="P25">
            <v>46.450800000000001</v>
          </cell>
          <cell r="Q25">
            <v>2244</v>
          </cell>
          <cell r="S25">
            <v>0</v>
          </cell>
          <cell r="T25">
            <v>0</v>
          </cell>
          <cell r="U25">
            <v>0</v>
          </cell>
          <cell r="V25">
            <v>343.03099893301635</v>
          </cell>
          <cell r="W25">
            <v>7.2508339404814039</v>
          </cell>
          <cell r="X25">
            <v>350.28183287349776</v>
          </cell>
          <cell r="Z25">
            <v>14754.812272200001</v>
          </cell>
          <cell r="AA25">
            <v>12941.445843946622</v>
          </cell>
          <cell r="AB25">
            <v>1813.36642825338</v>
          </cell>
          <cell r="AC25">
            <v>14938.819987000004</v>
          </cell>
          <cell r="AD25">
            <v>315.77001300000006</v>
          </cell>
          <cell r="AE25">
            <v>15254.590000000004</v>
          </cell>
          <cell r="AG25">
            <v>18624.457970118001</v>
          </cell>
          <cell r="AH25">
            <v>16335.512085590499</v>
          </cell>
          <cell r="AI25">
            <v>2288.9458845275021</v>
          </cell>
          <cell r="AJ25">
            <v>19461.491797999999</v>
          </cell>
          <cell r="AK25">
            <v>411.368202</v>
          </cell>
          <cell r="AL25">
            <v>19872.86</v>
          </cell>
          <cell r="AN25">
            <v>18624.457970118001</v>
          </cell>
          <cell r="AO25">
            <v>16335.512085590499</v>
          </cell>
          <cell r="AP25">
            <v>2288.9458845275021</v>
          </cell>
          <cell r="AQ25">
            <v>0</v>
          </cell>
          <cell r="AR25">
            <v>0</v>
          </cell>
          <cell r="AS25"/>
          <cell r="AU25">
            <v>19518.755129874</v>
          </cell>
          <cell r="AV25">
            <v>17119.900124412485</v>
          </cell>
          <cell r="AW25">
            <v>2398.8550054615143</v>
          </cell>
          <cell r="AX25">
            <v>0</v>
          </cell>
          <cell r="AY25">
            <v>0</v>
          </cell>
          <cell r="AZ25"/>
          <cell r="BB25">
            <v>4763.9428576740002</v>
          </cell>
          <cell r="BC25">
            <v>4178.4542804658658</v>
          </cell>
          <cell r="BD25">
            <v>585.48857720813464</v>
          </cell>
          <cell r="BE25">
            <v>0</v>
          </cell>
          <cell r="BF25">
            <v>0</v>
          </cell>
          <cell r="BG25"/>
          <cell r="BI25">
            <v>4763.9428576740002</v>
          </cell>
          <cell r="BJ25">
            <v>4178.4542804658658</v>
          </cell>
          <cell r="BK25">
            <v>585.48857720813464</v>
          </cell>
          <cell r="BL25">
            <v>0</v>
          </cell>
          <cell r="BM25">
            <v>0</v>
          </cell>
          <cell r="BN25"/>
          <cell r="BP25">
            <v>4763.9428576740002</v>
          </cell>
          <cell r="BQ25">
            <v>4178.4542804658658</v>
          </cell>
          <cell r="BR25">
            <v>585.48857720813464</v>
          </cell>
          <cell r="BS25">
            <v>0</v>
          </cell>
          <cell r="BT25">
            <v>0</v>
          </cell>
          <cell r="BU25"/>
          <cell r="BW25">
            <v>2704.6499665185002</v>
          </cell>
          <cell r="BX25">
            <v>2372.2484856333767</v>
          </cell>
          <cell r="BY25">
            <v>332.40148088512365</v>
          </cell>
          <cell r="BZ25">
            <v>0</v>
          </cell>
          <cell r="CA25">
            <v>0</v>
          </cell>
          <cell r="CB25"/>
          <cell r="CD25">
            <v>2072.165418823497</v>
          </cell>
          <cell r="CE25">
            <v>1817.4962888500893</v>
          </cell>
          <cell r="CF25">
            <v>254.66912997340776</v>
          </cell>
          <cell r="CG25">
            <v>0</v>
          </cell>
          <cell r="CH25">
            <v>0</v>
          </cell>
          <cell r="CI25"/>
          <cell r="CK25">
            <v>2072.165418823497</v>
          </cell>
          <cell r="CL25">
            <v>1817.4962888500893</v>
          </cell>
          <cell r="CM25">
            <v>254.66912997340776</v>
          </cell>
          <cell r="CN25">
            <v>0</v>
          </cell>
          <cell r="CO25">
            <v>0</v>
          </cell>
          <cell r="CP25"/>
        </row>
        <row r="26">
          <cell r="L26">
            <v>18924.260325812778</v>
          </cell>
          <cell r="M26">
            <v>16598.468731770387</v>
          </cell>
          <cell r="N26">
            <v>2325.7915940423904</v>
          </cell>
          <cell r="O26">
            <v>21653.089415562667</v>
          </cell>
          <cell r="P26">
            <v>457.69320014515188</v>
          </cell>
          <cell r="Q26">
            <v>22110.78261570782</v>
          </cell>
          <cell r="S26">
            <v>38603.348971028776</v>
          </cell>
          <cell r="T26">
            <v>33858.997382489339</v>
          </cell>
          <cell r="U26">
            <v>4744.3515885394363</v>
          </cell>
          <cell r="V26">
            <v>31356.585466141718</v>
          </cell>
          <cell r="W26">
            <v>662.80130618720875</v>
          </cell>
          <cell r="X26">
            <v>32019.386772328926</v>
          </cell>
          <cell r="Z26">
            <v>59544.53669317146</v>
          </cell>
          <cell r="AA26">
            <v>52226.513133580687</v>
          </cell>
          <cell r="AB26">
            <v>7318.0235595907725</v>
          </cell>
          <cell r="AC26">
            <v>54602.497784089974</v>
          </cell>
          <cell r="AD26">
            <v>1154.1628756567573</v>
          </cell>
          <cell r="AE26">
            <v>55756.660659746733</v>
          </cell>
          <cell r="AG26">
            <v>59544.53669317146</v>
          </cell>
          <cell r="AH26">
            <v>52226.513133580687</v>
          </cell>
          <cell r="AI26">
            <v>7318.0235595907725</v>
          </cell>
          <cell r="AJ26">
            <v>61223.169200981894</v>
          </cell>
          <cell r="AK26">
            <v>1294.1076304098083</v>
          </cell>
          <cell r="AL26">
            <v>62517.276831391704</v>
          </cell>
          <cell r="AN26">
            <v>66752.560821788778</v>
          </cell>
          <cell r="AO26">
            <v>58548.671096790938</v>
          </cell>
          <cell r="AP26">
            <v>8203.8897249978399</v>
          </cell>
          <cell r="AQ26">
            <v>0</v>
          </cell>
          <cell r="AR26">
            <v>0</v>
          </cell>
          <cell r="AS26"/>
          <cell r="AU26">
            <v>51606.966144263461</v>
          </cell>
          <cell r="AV26">
            <v>45264.47000513348</v>
          </cell>
          <cell r="AW26">
            <v>6342.4961391299794</v>
          </cell>
          <cell r="AX26">
            <v>0</v>
          </cell>
          <cell r="AY26">
            <v>0</v>
          </cell>
          <cell r="AZ26"/>
          <cell r="BB26">
            <v>44398.942015646149</v>
          </cell>
          <cell r="BC26">
            <v>38942.312041923236</v>
          </cell>
          <cell r="BD26">
            <v>5456.6299737229119</v>
          </cell>
          <cell r="BE26">
            <v>0</v>
          </cell>
          <cell r="BF26">
            <v>0</v>
          </cell>
          <cell r="BG26"/>
          <cell r="BI26">
            <v>59544.53669317146</v>
          </cell>
          <cell r="BJ26">
            <v>52226.513133580687</v>
          </cell>
          <cell r="BK26">
            <v>7318.0235595907725</v>
          </cell>
          <cell r="BL26">
            <v>0</v>
          </cell>
          <cell r="BM26">
            <v>0</v>
          </cell>
          <cell r="BN26"/>
          <cell r="BP26">
            <v>74710.530673410976</v>
          </cell>
          <cell r="BQ26">
            <v>65528.606453648768</v>
          </cell>
          <cell r="BR26">
            <v>9181.9242197622079</v>
          </cell>
          <cell r="BS26">
            <v>0</v>
          </cell>
          <cell r="BT26">
            <v>0</v>
          </cell>
          <cell r="BU26"/>
          <cell r="BW26">
            <v>71196.172198879285</v>
          </cell>
          <cell r="BX26">
            <v>62446.162635637025</v>
          </cell>
          <cell r="BY26">
            <v>8750.0095632422635</v>
          </cell>
          <cell r="BZ26">
            <v>0</v>
          </cell>
          <cell r="CA26">
            <v>0</v>
          </cell>
          <cell r="CB26"/>
          <cell r="CD26">
            <v>51556.414831539973</v>
          </cell>
          <cell r="CE26">
            <v>45220.131448743712</v>
          </cell>
          <cell r="CF26">
            <v>6336.2833827962622</v>
          </cell>
          <cell r="CG26">
            <v>0</v>
          </cell>
          <cell r="CH26">
            <v>0</v>
          </cell>
          <cell r="CI26"/>
          <cell r="CK26">
            <v>50294.315754613272</v>
          </cell>
          <cell r="CL26">
            <v>44113.144348371301</v>
          </cell>
          <cell r="CM26">
            <v>6181.1714062419705</v>
          </cell>
          <cell r="CN26">
            <v>0</v>
          </cell>
          <cell r="CO26">
            <v>0</v>
          </cell>
          <cell r="CP26"/>
        </row>
        <row r="27">
          <cell r="L27">
            <v>871.8271260552001</v>
          </cell>
          <cell r="M27">
            <v>764.67957226301598</v>
          </cell>
          <cell r="N27">
            <v>107.14755379218408</v>
          </cell>
          <cell r="O27">
            <v>1492.4527628659725</v>
          </cell>
          <cell r="P27">
            <v>31.546790760058851</v>
          </cell>
          <cell r="Q27">
            <v>1523.9995536260315</v>
          </cell>
          <cell r="S27">
            <v>3147.3556797816</v>
          </cell>
          <cell r="T27">
            <v>2760.5456667364415</v>
          </cell>
          <cell r="U27">
            <v>386.8100130451586</v>
          </cell>
          <cell r="V27">
            <v>5455.317959</v>
          </cell>
          <cell r="W27">
            <v>115.31204099999999</v>
          </cell>
          <cell r="X27">
            <v>5570.63</v>
          </cell>
          <cell r="Z27">
            <v>3147.3556797816</v>
          </cell>
          <cell r="AA27">
            <v>2760.5456667364415</v>
          </cell>
          <cell r="AB27">
            <v>386.8100130451586</v>
          </cell>
          <cell r="AC27">
            <v>1903.7885789999993</v>
          </cell>
          <cell r="AD27">
            <v>40.241420999999981</v>
          </cell>
          <cell r="AE27">
            <v>1944.0299999999993</v>
          </cell>
          <cell r="AG27">
            <v>3282.0337449900003</v>
          </cell>
          <cell r="AH27">
            <v>2878.6717977307294</v>
          </cell>
          <cell r="AI27">
            <v>403.36194725927101</v>
          </cell>
          <cell r="AJ27">
            <v>5371.5976020000007</v>
          </cell>
          <cell r="AK27">
            <v>113.54239800000001</v>
          </cell>
          <cell r="AL27">
            <v>5485.14</v>
          </cell>
          <cell r="AN27">
            <v>1285.63574139</v>
          </cell>
          <cell r="AO27">
            <v>1127.631108773169</v>
          </cell>
          <cell r="AP27">
            <v>158.004632616831</v>
          </cell>
          <cell r="AQ27">
            <v>0</v>
          </cell>
          <cell r="AR27">
            <v>0</v>
          </cell>
          <cell r="AS27"/>
          <cell r="AU27">
            <v>4153.8608710451999</v>
          </cell>
          <cell r="AV27">
            <v>3643.3513699937448</v>
          </cell>
          <cell r="AW27">
            <v>510.50950105145506</v>
          </cell>
          <cell r="AX27">
            <v>0</v>
          </cell>
          <cell r="AY27">
            <v>0</v>
          </cell>
          <cell r="AZ27"/>
          <cell r="BB27">
            <v>2157.4628674452001</v>
          </cell>
          <cell r="BC27">
            <v>1892.3106810361851</v>
          </cell>
          <cell r="BD27">
            <v>265.15218640901509</v>
          </cell>
          <cell r="BE27">
            <v>0</v>
          </cell>
          <cell r="BF27">
            <v>0</v>
          </cell>
          <cell r="BG27"/>
          <cell r="BI27">
            <v>4153.8608710451999</v>
          </cell>
          <cell r="BJ27">
            <v>3643.3513699937448</v>
          </cell>
          <cell r="BK27">
            <v>510.50950105145506</v>
          </cell>
          <cell r="BL27">
            <v>0</v>
          </cell>
          <cell r="BM27">
            <v>0</v>
          </cell>
          <cell r="BN27"/>
          <cell r="BP27">
            <v>4153.8608710451999</v>
          </cell>
          <cell r="BQ27">
            <v>3643.3513699937448</v>
          </cell>
          <cell r="BR27">
            <v>510.50950105145506</v>
          </cell>
          <cell r="BS27">
            <v>0</v>
          </cell>
          <cell r="BT27">
            <v>0</v>
          </cell>
          <cell r="BU27"/>
          <cell r="BW27">
            <v>3165.7716241977</v>
          </cell>
          <cell r="BX27">
            <v>2776.6982915838025</v>
          </cell>
          <cell r="BY27">
            <v>389.07333261389732</v>
          </cell>
          <cell r="BZ27">
            <v>0</v>
          </cell>
          <cell r="CA27">
            <v>0</v>
          </cell>
          <cell r="CB27"/>
          <cell r="CD27">
            <v>2293.9444981424972</v>
          </cell>
          <cell r="CE27">
            <v>2012.0187193207844</v>
          </cell>
          <cell r="CF27">
            <v>281.92577882171287</v>
          </cell>
          <cell r="CG27">
            <v>0</v>
          </cell>
          <cell r="CH27">
            <v>0</v>
          </cell>
          <cell r="CI27"/>
          <cell r="CK27">
            <v>2293.9444981424972</v>
          </cell>
          <cell r="CL27">
            <v>2012.0187193207844</v>
          </cell>
          <cell r="CM27">
            <v>281.92577882171287</v>
          </cell>
          <cell r="CN27">
            <v>0</v>
          </cell>
          <cell r="CO27">
            <v>0</v>
          </cell>
          <cell r="CP27"/>
        </row>
        <row r="28">
          <cell r="L28">
            <v>2708.5091833799997</v>
          </cell>
          <cell r="M28">
            <v>2375.633404742598</v>
          </cell>
          <cell r="N28">
            <v>332.87577863740194</v>
          </cell>
          <cell r="O28">
            <v>5162.0660713337738</v>
          </cell>
          <cell r="P28">
            <v>109.11341537486891</v>
          </cell>
          <cell r="Q28">
            <v>5271.1794867086428</v>
          </cell>
          <cell r="S28">
            <v>2708.5091833799997</v>
          </cell>
          <cell r="T28">
            <v>2375.633404742598</v>
          </cell>
          <cell r="U28">
            <v>332.87577863740194</v>
          </cell>
          <cell r="V28">
            <v>4080.4688959999994</v>
          </cell>
          <cell r="W28">
            <v>86.251103999999984</v>
          </cell>
          <cell r="X28">
            <v>4166.7199999999993</v>
          </cell>
          <cell r="Z28">
            <v>3611.3455778400003</v>
          </cell>
          <cell r="AA28">
            <v>3167.5112063234642</v>
          </cell>
          <cell r="AB28">
            <v>443.83437151653601</v>
          </cell>
          <cell r="AC28">
            <v>2911.429521</v>
          </cell>
          <cell r="AD28">
            <v>61.540478999999998</v>
          </cell>
          <cell r="AE28">
            <v>2972.97</v>
          </cell>
          <cell r="AG28">
            <v>3693.6295496100001</v>
          </cell>
          <cell r="AH28">
            <v>3239.682477962931</v>
          </cell>
          <cell r="AI28">
            <v>453.94707164706898</v>
          </cell>
          <cell r="AJ28">
            <v>553.64725499999997</v>
          </cell>
          <cell r="AK28">
            <v>11.702745</v>
          </cell>
          <cell r="AL28">
            <v>565.35</v>
          </cell>
          <cell r="AN28">
            <v>3159.92738061</v>
          </cell>
          <cell r="AO28">
            <v>2771.5723055330309</v>
          </cell>
          <cell r="AP28">
            <v>388.355075076969</v>
          </cell>
          <cell r="AQ28">
            <v>0</v>
          </cell>
          <cell r="AR28">
            <v>0</v>
          </cell>
          <cell r="AS28"/>
          <cell r="AU28">
            <v>2790.7931551500001</v>
          </cell>
          <cell r="AV28">
            <v>2447.8046763820648</v>
          </cell>
          <cell r="AW28">
            <v>342.98847876793502</v>
          </cell>
          <cell r="AX28">
            <v>0</v>
          </cell>
          <cell r="AY28">
            <v>0</v>
          </cell>
          <cell r="AZ28"/>
          <cell r="BB28">
            <v>2257.0909861499999</v>
          </cell>
          <cell r="BC28">
            <v>1979.694503952165</v>
          </cell>
          <cell r="BD28">
            <v>277.39648219783498</v>
          </cell>
          <cell r="BE28">
            <v>0</v>
          </cell>
          <cell r="BF28">
            <v>0</v>
          </cell>
          <cell r="BG28"/>
          <cell r="BI28">
            <v>3693.6295496100001</v>
          </cell>
          <cell r="BJ28">
            <v>3239.682477962931</v>
          </cell>
          <cell r="BK28">
            <v>453.94707164706898</v>
          </cell>
          <cell r="BL28">
            <v>0</v>
          </cell>
          <cell r="BM28">
            <v>0</v>
          </cell>
          <cell r="BN28"/>
          <cell r="BP28">
            <v>3693.6295496100001</v>
          </cell>
          <cell r="BQ28">
            <v>3239.682477962931</v>
          </cell>
          <cell r="BR28">
            <v>453.94707164706898</v>
          </cell>
          <cell r="BS28">
            <v>0</v>
          </cell>
          <cell r="BT28">
            <v>0</v>
          </cell>
          <cell r="BU28"/>
          <cell r="BW28">
            <v>3397.0491618524998</v>
          </cell>
          <cell r="BX28">
            <v>2979.5518198608274</v>
          </cell>
          <cell r="BY28">
            <v>417.49734199167222</v>
          </cell>
          <cell r="BZ28">
            <v>0</v>
          </cell>
          <cell r="CA28">
            <v>0</v>
          </cell>
          <cell r="CB28"/>
          <cell r="CD28">
            <v>2494.2127673925002</v>
          </cell>
          <cell r="CE28">
            <v>2187.6740182799617</v>
          </cell>
          <cell r="CF28">
            <v>306.53874911253826</v>
          </cell>
          <cell r="CG28">
            <v>0</v>
          </cell>
          <cell r="CH28">
            <v>0</v>
          </cell>
          <cell r="CI28"/>
          <cell r="CK28">
            <v>2494.2127673925002</v>
          </cell>
          <cell r="CL28">
            <v>2187.6740182799617</v>
          </cell>
          <cell r="CM28">
            <v>306.53874911253826</v>
          </cell>
          <cell r="CN28">
            <v>0</v>
          </cell>
          <cell r="CO28">
            <v>0</v>
          </cell>
          <cell r="CP28"/>
        </row>
        <row r="29">
          <cell r="L29">
            <v>4802.7183224999999</v>
          </cell>
          <cell r="M29">
            <v>4212.4642406647499</v>
          </cell>
          <cell r="N29">
            <v>590.25408183524996</v>
          </cell>
          <cell r="O29">
            <v>0</v>
          </cell>
          <cell r="P29">
            <v>0</v>
          </cell>
          <cell r="Q29">
            <v>0</v>
          </cell>
          <cell r="S29">
            <v>6106.4402175000005</v>
          </cell>
          <cell r="T29">
            <v>5355.9587147692509</v>
          </cell>
          <cell r="U29">
            <v>750.48150273074998</v>
          </cell>
          <cell r="V29">
            <v>0</v>
          </cell>
          <cell r="W29">
            <v>0</v>
          </cell>
          <cell r="X29">
            <v>0</v>
          </cell>
          <cell r="Z29">
            <v>4802.7183224999999</v>
          </cell>
          <cell r="AA29">
            <v>4212.4642406647499</v>
          </cell>
          <cell r="AB29">
            <v>590.25408183524996</v>
          </cell>
          <cell r="AC29">
            <v>0</v>
          </cell>
          <cell r="AD29">
            <v>0</v>
          </cell>
          <cell r="AE29">
            <v>0</v>
          </cell>
          <cell r="AG29">
            <v>6106.4402175000005</v>
          </cell>
          <cell r="AH29">
            <v>5355.9587147692509</v>
          </cell>
          <cell r="AI29">
            <v>750.48150273074998</v>
          </cell>
          <cell r="AJ29">
            <v>0</v>
          </cell>
          <cell r="AK29">
            <v>0</v>
          </cell>
          <cell r="AL29">
            <v>0</v>
          </cell>
          <cell r="AN29">
            <v>4802.7183224999999</v>
          </cell>
          <cell r="AO29">
            <v>4212.4642406647499</v>
          </cell>
          <cell r="AP29">
            <v>590.25408183524996</v>
          </cell>
          <cell r="AQ29">
            <v>0</v>
          </cell>
          <cell r="AR29">
            <v>0</v>
          </cell>
          <cell r="AS29"/>
          <cell r="AU29">
            <v>6106.4402175000005</v>
          </cell>
          <cell r="AV29">
            <v>5355.9587147692509</v>
          </cell>
          <cell r="AW29">
            <v>750.48150273074998</v>
          </cell>
          <cell r="AX29">
            <v>0</v>
          </cell>
          <cell r="AY29">
            <v>0</v>
          </cell>
          <cell r="AZ29"/>
          <cell r="BB29">
            <v>4802.7183224999999</v>
          </cell>
          <cell r="BC29">
            <v>4212.4642406647499</v>
          </cell>
          <cell r="BD29">
            <v>590.25408183524996</v>
          </cell>
          <cell r="BE29">
            <v>0</v>
          </cell>
          <cell r="BF29">
            <v>0</v>
          </cell>
          <cell r="BG29"/>
          <cell r="BI29">
            <v>6106.4402175000005</v>
          </cell>
          <cell r="BJ29">
            <v>5355.9587147692509</v>
          </cell>
          <cell r="BK29">
            <v>750.48150273074998</v>
          </cell>
          <cell r="BL29">
            <v>0</v>
          </cell>
          <cell r="BM29">
            <v>0</v>
          </cell>
          <cell r="BN29"/>
          <cell r="BP29">
            <v>4802.7183224999999</v>
          </cell>
          <cell r="BQ29">
            <v>4212.4642406647499</v>
          </cell>
          <cell r="BR29">
            <v>590.25408183524996</v>
          </cell>
          <cell r="BS29">
            <v>0</v>
          </cell>
          <cell r="BT29">
            <v>0</v>
          </cell>
          <cell r="BU29"/>
          <cell r="BW29">
            <v>6106.4402175000005</v>
          </cell>
          <cell r="BX29">
            <v>5355.9587147692509</v>
          </cell>
          <cell r="BY29">
            <v>750.48150273074998</v>
          </cell>
          <cell r="BZ29">
            <v>0</v>
          </cell>
          <cell r="CA29">
            <v>0</v>
          </cell>
          <cell r="CB29"/>
          <cell r="CD29">
            <v>4802.7183224999999</v>
          </cell>
          <cell r="CE29">
            <v>4212.4642406647499</v>
          </cell>
          <cell r="CF29">
            <v>590.25408183524996</v>
          </cell>
          <cell r="CG29">
            <v>0</v>
          </cell>
          <cell r="CH29">
            <v>0</v>
          </cell>
          <cell r="CI29"/>
          <cell r="CK29">
            <v>6106.4402175000005</v>
          </cell>
          <cell r="CL29">
            <v>5355.9587147692509</v>
          </cell>
          <cell r="CM29">
            <v>750.48150273074998</v>
          </cell>
          <cell r="CN29">
            <v>0</v>
          </cell>
          <cell r="CO29">
            <v>0</v>
          </cell>
          <cell r="CP29"/>
        </row>
        <row r="30">
          <cell r="L30">
            <v>2170</v>
          </cell>
          <cell r="M30">
            <v>1903.307</v>
          </cell>
          <cell r="N30">
            <v>266.69299999999998</v>
          </cell>
          <cell r="O30">
            <v>0</v>
          </cell>
          <cell r="P30">
            <v>0</v>
          </cell>
          <cell r="Q30">
            <v>0</v>
          </cell>
          <cell r="S30">
            <v>2170</v>
          </cell>
          <cell r="T30">
            <v>1903.307</v>
          </cell>
          <cell r="U30">
            <v>266.69299999999998</v>
          </cell>
          <cell r="V30">
            <v>0</v>
          </cell>
          <cell r="W30">
            <v>0</v>
          </cell>
          <cell r="X30">
            <v>0</v>
          </cell>
          <cell r="Z30">
            <v>2170</v>
          </cell>
          <cell r="AA30">
            <v>1903.307</v>
          </cell>
          <cell r="AB30">
            <v>266.69299999999998</v>
          </cell>
          <cell r="AC30">
            <v>0</v>
          </cell>
          <cell r="AD30">
            <v>0</v>
          </cell>
          <cell r="AE30">
            <v>0</v>
          </cell>
          <cell r="AG30">
            <v>2170</v>
          </cell>
          <cell r="AH30">
            <v>1903.307</v>
          </cell>
          <cell r="AI30">
            <v>266.69299999999998</v>
          </cell>
          <cell r="AJ30">
            <v>0</v>
          </cell>
          <cell r="AK30">
            <v>0</v>
          </cell>
          <cell r="AL30">
            <v>0</v>
          </cell>
          <cell r="AN30">
            <v>2170</v>
          </cell>
          <cell r="AO30">
            <v>1903.307</v>
          </cell>
          <cell r="AP30">
            <v>266.69299999999998</v>
          </cell>
          <cell r="AQ30">
            <v>0</v>
          </cell>
          <cell r="AR30">
            <v>0</v>
          </cell>
          <cell r="AS30">
            <v>0</v>
          </cell>
          <cell r="AU30">
            <v>2170</v>
          </cell>
          <cell r="AV30">
            <v>1903.307</v>
          </cell>
          <cell r="AW30">
            <v>266.69299999999998</v>
          </cell>
          <cell r="AX30">
            <v>0</v>
          </cell>
          <cell r="AY30">
            <v>0</v>
          </cell>
          <cell r="AZ30">
            <v>0</v>
          </cell>
          <cell r="BB30">
            <v>2170</v>
          </cell>
          <cell r="BC30">
            <v>1903.307</v>
          </cell>
          <cell r="BD30">
            <v>266.69299999999998</v>
          </cell>
          <cell r="BE30">
            <v>0</v>
          </cell>
          <cell r="BF30">
            <v>0</v>
          </cell>
          <cell r="BG30">
            <v>0</v>
          </cell>
          <cell r="BI30">
            <v>2170</v>
          </cell>
          <cell r="BJ30">
            <v>1903.307</v>
          </cell>
          <cell r="BK30">
            <v>266.69299999999998</v>
          </cell>
          <cell r="BL30">
            <v>0</v>
          </cell>
          <cell r="BM30">
            <v>0</v>
          </cell>
          <cell r="BN30">
            <v>0</v>
          </cell>
          <cell r="BP30">
            <v>2170</v>
          </cell>
          <cell r="BQ30">
            <v>1903.307</v>
          </cell>
          <cell r="BR30">
            <v>266.69299999999998</v>
          </cell>
          <cell r="BS30">
            <v>0</v>
          </cell>
          <cell r="BT30">
            <v>0</v>
          </cell>
          <cell r="BU30">
            <v>0</v>
          </cell>
          <cell r="BW30">
            <v>2170</v>
          </cell>
          <cell r="BX30">
            <v>1903.307</v>
          </cell>
          <cell r="BY30">
            <v>266.69299999999998</v>
          </cell>
          <cell r="BZ30">
            <v>0</v>
          </cell>
          <cell r="CA30">
            <v>0</v>
          </cell>
          <cell r="CB30">
            <v>0</v>
          </cell>
          <cell r="CD30">
            <v>2170</v>
          </cell>
          <cell r="CE30">
            <v>1903.307</v>
          </cell>
          <cell r="CF30">
            <v>266.69299999999998</v>
          </cell>
          <cell r="CG30">
            <v>0</v>
          </cell>
          <cell r="CH30">
            <v>0</v>
          </cell>
          <cell r="CI30">
            <v>0</v>
          </cell>
          <cell r="CK30">
            <v>2170</v>
          </cell>
          <cell r="CL30">
            <v>1903.307</v>
          </cell>
          <cell r="CM30">
            <v>266.69299999999998</v>
          </cell>
          <cell r="CN30">
            <v>0</v>
          </cell>
          <cell r="CO30">
            <v>0</v>
          </cell>
          <cell r="CP30">
            <v>0</v>
          </cell>
        </row>
        <row r="31">
          <cell r="L31">
            <v>949.375</v>
          </cell>
          <cell r="M31">
            <v>832.69681249999996</v>
          </cell>
          <cell r="N31">
            <v>116.67818749999999</v>
          </cell>
          <cell r="O31">
            <v>71.674678925357156</v>
          </cell>
          <cell r="P31">
            <v>1.5150269108086318</v>
          </cell>
          <cell r="Q31">
            <v>73.189705836165786</v>
          </cell>
          <cell r="S31">
            <v>949.375</v>
          </cell>
          <cell r="T31">
            <v>832.69681249999996</v>
          </cell>
          <cell r="U31">
            <v>116.67818749999999</v>
          </cell>
          <cell r="V31">
            <v>71.674678925357156</v>
          </cell>
          <cell r="W31">
            <v>1.5150269108086318</v>
          </cell>
          <cell r="X31">
            <v>73.189705836165786</v>
          </cell>
          <cell r="Z31">
            <v>949.375</v>
          </cell>
          <cell r="AA31">
            <v>832.69681249999996</v>
          </cell>
          <cell r="AB31">
            <v>116.67818749999999</v>
          </cell>
          <cell r="AC31">
            <v>0</v>
          </cell>
          <cell r="AD31">
            <v>0</v>
          </cell>
          <cell r="AE31">
            <v>0</v>
          </cell>
          <cell r="AG31">
            <v>949.375</v>
          </cell>
          <cell r="AH31">
            <v>832.69681249999996</v>
          </cell>
          <cell r="AI31">
            <v>116.67818749999999</v>
          </cell>
          <cell r="AJ31">
            <v>188.74332117010715</v>
          </cell>
          <cell r="AK31">
            <v>3.9895708651293966</v>
          </cell>
          <cell r="AL31">
            <v>192.73289203523655</v>
          </cell>
          <cell r="AN31">
            <v>949.375</v>
          </cell>
          <cell r="AO31">
            <v>832.69681249999996</v>
          </cell>
          <cell r="AP31">
            <v>116.67818749999999</v>
          </cell>
          <cell r="AQ31">
            <v>0</v>
          </cell>
          <cell r="AR31">
            <v>0</v>
          </cell>
          <cell r="AS31">
            <v>0</v>
          </cell>
          <cell r="AU31">
            <v>949.375</v>
          </cell>
          <cell r="AV31">
            <v>832.69681249999996</v>
          </cell>
          <cell r="AW31">
            <v>116.67818749999999</v>
          </cell>
          <cell r="AX31">
            <v>0</v>
          </cell>
          <cell r="AY31">
            <v>0</v>
          </cell>
          <cell r="AZ31">
            <v>0</v>
          </cell>
          <cell r="BB31">
            <v>949.375</v>
          </cell>
          <cell r="BC31">
            <v>832.69681249999996</v>
          </cell>
          <cell r="BD31">
            <v>116.67818749999999</v>
          </cell>
          <cell r="BE31">
            <v>0</v>
          </cell>
          <cell r="BF31">
            <v>0</v>
          </cell>
          <cell r="BG31">
            <v>0</v>
          </cell>
          <cell r="BI31">
            <v>949.375</v>
          </cell>
          <cell r="BJ31">
            <v>832.69681249999996</v>
          </cell>
          <cell r="BK31">
            <v>116.67818749999999</v>
          </cell>
          <cell r="BL31">
            <v>0</v>
          </cell>
          <cell r="BM31">
            <v>0</v>
          </cell>
          <cell r="BN31">
            <v>0</v>
          </cell>
          <cell r="BP31">
            <v>949.375</v>
          </cell>
          <cell r="BQ31">
            <v>832.69681249999996</v>
          </cell>
          <cell r="BR31">
            <v>116.67818749999999</v>
          </cell>
          <cell r="BS31">
            <v>0</v>
          </cell>
          <cell r="BT31">
            <v>0</v>
          </cell>
          <cell r="BU31">
            <v>0</v>
          </cell>
          <cell r="BW31">
            <v>949.375</v>
          </cell>
          <cell r="BX31">
            <v>832.69681249999996</v>
          </cell>
          <cell r="BY31">
            <v>116.67818749999999</v>
          </cell>
          <cell r="BZ31">
            <v>0</v>
          </cell>
          <cell r="CA31">
            <v>0</v>
          </cell>
          <cell r="CB31">
            <v>0</v>
          </cell>
          <cell r="CD31">
            <v>949.375</v>
          </cell>
          <cell r="CE31">
            <v>832.69681249999996</v>
          </cell>
          <cell r="CF31">
            <v>116.67818749999999</v>
          </cell>
          <cell r="CG31">
            <v>0</v>
          </cell>
          <cell r="CH31">
            <v>0</v>
          </cell>
          <cell r="CI31">
            <v>0</v>
          </cell>
          <cell r="CK31">
            <v>949.375</v>
          </cell>
          <cell r="CL31">
            <v>832.69681249999996</v>
          </cell>
          <cell r="CM31">
            <v>116.67818749999999</v>
          </cell>
          <cell r="CN31">
            <v>0</v>
          </cell>
          <cell r="CO31">
            <v>0</v>
          </cell>
          <cell r="CP31">
            <v>0</v>
          </cell>
        </row>
        <row r="32">
          <cell r="L32">
            <v>110391.3761676</v>
          </cell>
          <cell r="M32">
            <v>96824.276036601965</v>
          </cell>
          <cell r="N32">
            <v>13567.10013099804</v>
          </cell>
          <cell r="O32">
            <v>0</v>
          </cell>
          <cell r="P32">
            <v>0</v>
          </cell>
          <cell r="Q32"/>
          <cell r="S32">
            <v>78461.247264399994</v>
          </cell>
          <cell r="T32">
            <v>68818.359975605243</v>
          </cell>
          <cell r="U32">
            <v>9642.8872887947582</v>
          </cell>
          <cell r="V32">
            <v>0</v>
          </cell>
          <cell r="W32">
            <v>0</v>
          </cell>
          <cell r="X32"/>
          <cell r="Z32">
            <v>78461.247264399994</v>
          </cell>
          <cell r="AA32">
            <v>68818.359975605243</v>
          </cell>
          <cell r="AB32">
            <v>9642.8872887947582</v>
          </cell>
          <cell r="AC32">
            <v>0</v>
          </cell>
          <cell r="AD32">
            <v>0</v>
          </cell>
          <cell r="AE32"/>
          <cell r="AG32">
            <v>85124.183716</v>
          </cell>
          <cell r="AH32">
            <v>74662.421537303599</v>
          </cell>
          <cell r="AI32">
            <v>10461.762178696399</v>
          </cell>
          <cell r="AJ32">
            <v>0</v>
          </cell>
          <cell r="AK32">
            <v>0</v>
          </cell>
          <cell r="AL32"/>
          <cell r="AN32">
            <v>85124.183716</v>
          </cell>
          <cell r="AO32">
            <v>74662.421537303599</v>
          </cell>
          <cell r="AP32">
            <v>10461.762178696399</v>
          </cell>
          <cell r="AQ32">
            <v>0</v>
          </cell>
          <cell r="AR32">
            <v>0</v>
          </cell>
          <cell r="AS32"/>
          <cell r="AU32">
            <v>106190.767716</v>
          </cell>
          <cell r="AV32">
            <v>93139.922363703605</v>
          </cell>
          <cell r="AW32">
            <v>13050.845352296399</v>
          </cell>
          <cell r="AX32">
            <v>0</v>
          </cell>
          <cell r="AY32">
            <v>0</v>
          </cell>
          <cell r="AZ32"/>
          <cell r="BB32">
            <v>92848.301458000002</v>
          </cell>
          <cell r="BC32">
            <v>81437.245208811801</v>
          </cell>
          <cell r="BD32">
            <v>11411.056249188199</v>
          </cell>
          <cell r="BE32">
            <v>0</v>
          </cell>
          <cell r="BF32">
            <v>0</v>
          </cell>
          <cell r="BG32"/>
          <cell r="BI32">
            <v>19151.440000000002</v>
          </cell>
          <cell r="BJ32">
            <v>16797.728024000004</v>
          </cell>
          <cell r="BK32">
            <v>2353.711976</v>
          </cell>
          <cell r="BL32">
            <v>0</v>
          </cell>
          <cell r="BM32">
            <v>0</v>
          </cell>
          <cell r="BN32"/>
          <cell r="BP32">
            <v>1367.96</v>
          </cell>
          <cell r="BQ32">
            <v>1199.837716</v>
          </cell>
          <cell r="BR32">
            <v>168.12228400000001</v>
          </cell>
          <cell r="BS32">
            <v>0</v>
          </cell>
          <cell r="BT32">
            <v>0</v>
          </cell>
          <cell r="BU32"/>
          <cell r="BW32">
            <v>1367.96</v>
          </cell>
          <cell r="BX32">
            <v>1199.837716</v>
          </cell>
          <cell r="BY32">
            <v>168.12228400000001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69793.877551020414</v>
          </cell>
          <cell r="M33">
            <v>61216.210000000006</v>
          </cell>
          <cell r="N33">
            <v>8577.6675510204077</v>
          </cell>
          <cell r="O33">
            <v>0</v>
          </cell>
          <cell r="P33">
            <v>0</v>
          </cell>
          <cell r="Q33"/>
          <cell r="S33">
            <v>57104.081632653069</v>
          </cell>
          <cell r="T33">
            <v>50085.990000000005</v>
          </cell>
          <cell r="U33">
            <v>7018.0916326530623</v>
          </cell>
          <cell r="V33">
            <v>0</v>
          </cell>
          <cell r="W33">
            <v>0</v>
          </cell>
          <cell r="X33"/>
          <cell r="Z33">
            <v>57104.081632653069</v>
          </cell>
          <cell r="AA33">
            <v>50085.990000000005</v>
          </cell>
          <cell r="AB33">
            <v>7018.0916326530623</v>
          </cell>
          <cell r="AC33">
            <v>0</v>
          </cell>
          <cell r="AD33">
            <v>0</v>
          </cell>
          <cell r="AE33"/>
          <cell r="AG33">
            <v>63448.979591836745</v>
          </cell>
          <cell r="AH33">
            <v>55651.100000000006</v>
          </cell>
          <cell r="AI33">
            <v>7797.8795918367359</v>
          </cell>
          <cell r="AJ33">
            <v>0</v>
          </cell>
          <cell r="AK33">
            <v>0</v>
          </cell>
          <cell r="AL33"/>
          <cell r="AN33">
            <v>63448.979591836745</v>
          </cell>
          <cell r="AO33">
            <v>55651.100000000006</v>
          </cell>
          <cell r="AP33">
            <v>7797.8795918367359</v>
          </cell>
          <cell r="AQ33">
            <v>0</v>
          </cell>
          <cell r="AR33">
            <v>0</v>
          </cell>
          <cell r="AS33"/>
          <cell r="AU33">
            <v>63448.979591836745</v>
          </cell>
          <cell r="AV33">
            <v>55651.100000000006</v>
          </cell>
          <cell r="AW33">
            <v>7797.8795918367359</v>
          </cell>
          <cell r="AX33">
            <v>0</v>
          </cell>
          <cell r="AY33">
            <v>0</v>
          </cell>
          <cell r="AZ33"/>
          <cell r="BB33">
            <v>31724.489795918373</v>
          </cell>
          <cell r="BC33">
            <v>27825.550000000003</v>
          </cell>
          <cell r="BD33">
            <v>3898.939795918368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188891.67857142858</v>
          </cell>
          <cell r="M34">
            <v>165676.891275</v>
          </cell>
          <cell r="N34">
            <v>23214.787296428571</v>
          </cell>
          <cell r="O34">
            <v>193774.88423299999</v>
          </cell>
          <cell r="P34">
            <v>4095.9257669999997</v>
          </cell>
          <cell r="Q34">
            <v>197870.81</v>
          </cell>
          <cell r="S34">
            <v>0</v>
          </cell>
          <cell r="T34">
            <v>0</v>
          </cell>
          <cell r="U34">
            <v>0</v>
          </cell>
          <cell r="V34">
            <v>8026.6561759999995</v>
          </cell>
          <cell r="W34">
            <v>169.66382400000001</v>
          </cell>
          <cell r="X34">
            <v>8196.32</v>
          </cell>
          <cell r="Z34">
            <v>0</v>
          </cell>
          <cell r="AA34">
            <v>0</v>
          </cell>
          <cell r="AB34">
            <v>0</v>
          </cell>
          <cell r="AC34">
            <v>7740.5732669999998</v>
          </cell>
          <cell r="AD34">
            <v>163.61673299999998</v>
          </cell>
          <cell r="AE34">
            <v>7904.19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67346.938775510192</v>
          </cell>
          <cell r="M35">
            <v>59069.999999999993</v>
          </cell>
          <cell r="N35">
            <v>8276.9387755102016</v>
          </cell>
          <cell r="O35">
            <v>33997.760727000001</v>
          </cell>
          <cell r="P35">
            <v>718.62927300000001</v>
          </cell>
          <cell r="Q35">
            <v>34716.39</v>
          </cell>
          <cell r="S35">
            <v>0</v>
          </cell>
          <cell r="T35">
            <v>0</v>
          </cell>
          <cell r="U35">
            <v>0</v>
          </cell>
          <cell r="V35">
            <v>2972.0971560000003</v>
          </cell>
          <cell r="W35">
            <v>62.822844000000003</v>
          </cell>
          <cell r="X35">
            <v>3034.92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4068.75</v>
          </cell>
          <cell r="M36">
            <v>3568.7006249999999</v>
          </cell>
          <cell r="N36">
            <v>500.049375</v>
          </cell>
          <cell r="O36">
            <v>12548.025661336</v>
          </cell>
          <cell r="P36">
            <v>265.23448502977146</v>
          </cell>
          <cell r="Q36">
            <v>12813.260146365772</v>
          </cell>
          <cell r="S36">
            <v>4068.75</v>
          </cell>
          <cell r="T36">
            <v>3568.7006249999999</v>
          </cell>
          <cell r="U36">
            <v>500.049375</v>
          </cell>
          <cell r="V36">
            <v>3804.4322284588525</v>
          </cell>
          <cell r="W36">
            <v>80.41636590329648</v>
          </cell>
          <cell r="X36">
            <v>3884.848594362149</v>
          </cell>
          <cell r="Z36">
            <v>4068.75</v>
          </cell>
          <cell r="AA36">
            <v>3568.7006249999999</v>
          </cell>
          <cell r="AB36">
            <v>500.049375</v>
          </cell>
          <cell r="AC36">
            <v>5518.1776969271286</v>
          </cell>
          <cell r="AD36">
            <v>116.64074167914997</v>
          </cell>
          <cell r="AE36">
            <v>5634.8184386062785</v>
          </cell>
          <cell r="AG36">
            <v>4068.75</v>
          </cell>
          <cell r="AH36">
            <v>3568.7006249999999</v>
          </cell>
          <cell r="AI36">
            <v>500.049375</v>
          </cell>
          <cell r="AJ36">
            <v>4577.64555031689</v>
          </cell>
          <cell r="AK36">
            <v>96.760199011089156</v>
          </cell>
          <cell r="AL36">
            <v>4674.4057493279788</v>
          </cell>
          <cell r="AN36">
            <v>4068.75</v>
          </cell>
          <cell r="AO36">
            <v>3568.7006249999999</v>
          </cell>
          <cell r="AP36">
            <v>500.049375</v>
          </cell>
          <cell r="AQ36">
            <v>0</v>
          </cell>
          <cell r="AR36">
            <v>0</v>
          </cell>
          <cell r="AS36">
            <v>0</v>
          </cell>
          <cell r="AU36">
            <v>4068.75</v>
          </cell>
          <cell r="AV36">
            <v>3568.7006249999999</v>
          </cell>
          <cell r="AW36">
            <v>500.049375</v>
          </cell>
          <cell r="AX36">
            <v>0</v>
          </cell>
          <cell r="AY36">
            <v>0</v>
          </cell>
          <cell r="AZ36">
            <v>0</v>
          </cell>
          <cell r="BB36">
            <v>4068.75</v>
          </cell>
          <cell r="BC36">
            <v>3568.7006249999999</v>
          </cell>
          <cell r="BD36">
            <v>500.049375</v>
          </cell>
          <cell r="BE36">
            <v>0</v>
          </cell>
          <cell r="BF36">
            <v>0</v>
          </cell>
          <cell r="BG36">
            <v>0</v>
          </cell>
          <cell r="BI36">
            <v>4068.75</v>
          </cell>
          <cell r="BJ36">
            <v>3568.7006249999999</v>
          </cell>
          <cell r="BK36">
            <v>500.049375</v>
          </cell>
          <cell r="BL36">
            <v>0</v>
          </cell>
          <cell r="BM36">
            <v>0</v>
          </cell>
          <cell r="BN36">
            <v>0</v>
          </cell>
          <cell r="BP36">
            <v>4068.75</v>
          </cell>
          <cell r="BQ36">
            <v>3568.7006249999999</v>
          </cell>
          <cell r="BR36">
            <v>500.049375</v>
          </cell>
          <cell r="BS36">
            <v>0</v>
          </cell>
          <cell r="BT36">
            <v>0</v>
          </cell>
          <cell r="BU36">
            <v>0</v>
          </cell>
          <cell r="BW36">
            <v>4068.75</v>
          </cell>
          <cell r="BX36">
            <v>3568.7006249999999</v>
          </cell>
          <cell r="BY36">
            <v>500.049375</v>
          </cell>
          <cell r="BZ36">
            <v>0</v>
          </cell>
          <cell r="CA36">
            <v>0</v>
          </cell>
          <cell r="CB36">
            <v>0</v>
          </cell>
          <cell r="CD36">
            <v>4068.75</v>
          </cell>
          <cell r="CE36">
            <v>3568.7006249999999</v>
          </cell>
          <cell r="CF36">
            <v>500.049375</v>
          </cell>
          <cell r="CG36">
            <v>0</v>
          </cell>
          <cell r="CH36">
            <v>0</v>
          </cell>
          <cell r="CI36">
            <v>0</v>
          </cell>
          <cell r="CK36">
            <v>4068.75</v>
          </cell>
          <cell r="CL36">
            <v>3568.7006249999999</v>
          </cell>
          <cell r="CM36">
            <v>500.049375</v>
          </cell>
          <cell r="CN36">
            <v>0</v>
          </cell>
          <cell r="CO36">
            <v>0</v>
          </cell>
          <cell r="CP36">
            <v>0</v>
          </cell>
        </row>
        <row r="37">
          <cell r="L37">
            <v>3797.5</v>
          </cell>
          <cell r="M37">
            <v>3330.7872499999999</v>
          </cell>
          <cell r="N37">
            <v>466.71274999999997</v>
          </cell>
          <cell r="O37">
            <v>374.89947209096698</v>
          </cell>
          <cell r="P37">
            <v>7.9244552969294562</v>
          </cell>
          <cell r="Q37">
            <v>382.82392738789645</v>
          </cell>
          <cell r="S37">
            <v>3797.5</v>
          </cell>
          <cell r="T37">
            <v>3330.7872499999999</v>
          </cell>
          <cell r="U37">
            <v>466.71274999999997</v>
          </cell>
          <cell r="V37">
            <v>2252.4222311308408</v>
          </cell>
          <cell r="W37">
            <v>47.610681287050348</v>
          </cell>
          <cell r="X37">
            <v>2300.0329124178911</v>
          </cell>
          <cell r="Z37">
            <v>3797.5</v>
          </cell>
          <cell r="AA37">
            <v>3330.7872499999999</v>
          </cell>
          <cell r="AB37">
            <v>466.71274999999997</v>
          </cell>
          <cell r="AC37">
            <v>4657.7049980676165</v>
          </cell>
          <cell r="AD37">
            <v>98.452459368936644</v>
          </cell>
          <cell r="AE37">
            <v>4756.1574574365532</v>
          </cell>
          <cell r="AG37">
            <v>3797.5</v>
          </cell>
          <cell r="AH37">
            <v>3330.7872499999999</v>
          </cell>
          <cell r="AI37">
            <v>466.71274999999997</v>
          </cell>
          <cell r="AJ37">
            <v>11235.707086887045</v>
          </cell>
          <cell r="AK37">
            <v>237.49528918468479</v>
          </cell>
          <cell r="AL37">
            <v>11473.202376071729</v>
          </cell>
          <cell r="AN37">
            <v>3797.5</v>
          </cell>
          <cell r="AO37">
            <v>3330.7872499999999</v>
          </cell>
          <cell r="AP37">
            <v>466.71274999999997</v>
          </cell>
          <cell r="AQ37">
            <v>0</v>
          </cell>
          <cell r="AR37">
            <v>0</v>
          </cell>
          <cell r="AS37">
            <v>0</v>
          </cell>
          <cell r="AU37">
            <v>3797.5</v>
          </cell>
          <cell r="AV37">
            <v>3330.7872499999999</v>
          </cell>
          <cell r="AW37">
            <v>466.71274999999997</v>
          </cell>
          <cell r="AX37">
            <v>0</v>
          </cell>
          <cell r="AY37">
            <v>0</v>
          </cell>
          <cell r="AZ37">
            <v>0</v>
          </cell>
          <cell r="BB37">
            <v>3797.5</v>
          </cell>
          <cell r="BC37">
            <v>3330.7872499999999</v>
          </cell>
          <cell r="BD37">
            <v>466.71274999999997</v>
          </cell>
          <cell r="BE37">
            <v>0</v>
          </cell>
          <cell r="BF37">
            <v>0</v>
          </cell>
          <cell r="BG37">
            <v>0</v>
          </cell>
          <cell r="BI37">
            <v>3797.5</v>
          </cell>
          <cell r="BJ37">
            <v>3330.7872499999999</v>
          </cell>
          <cell r="BK37">
            <v>466.71274999999997</v>
          </cell>
          <cell r="BL37">
            <v>0</v>
          </cell>
          <cell r="BM37">
            <v>0</v>
          </cell>
          <cell r="BN37">
            <v>0</v>
          </cell>
          <cell r="BP37">
            <v>3797.5</v>
          </cell>
          <cell r="BQ37">
            <v>3330.7872499999999</v>
          </cell>
          <cell r="BR37">
            <v>466.71274999999997</v>
          </cell>
          <cell r="BS37">
            <v>0</v>
          </cell>
          <cell r="BT37">
            <v>0</v>
          </cell>
          <cell r="BU37">
            <v>0</v>
          </cell>
          <cell r="BW37">
            <v>3797.5</v>
          </cell>
          <cell r="BX37">
            <v>3330.7872499999999</v>
          </cell>
          <cell r="BY37">
            <v>466.71274999999997</v>
          </cell>
          <cell r="BZ37">
            <v>0</v>
          </cell>
          <cell r="CA37">
            <v>0</v>
          </cell>
          <cell r="CB37">
            <v>0</v>
          </cell>
          <cell r="CD37">
            <v>3797.5</v>
          </cell>
          <cell r="CE37">
            <v>3330.7872499999999</v>
          </cell>
          <cell r="CF37">
            <v>466.71274999999997</v>
          </cell>
          <cell r="CG37">
            <v>0</v>
          </cell>
          <cell r="CH37">
            <v>0</v>
          </cell>
          <cell r="CI37">
            <v>0</v>
          </cell>
          <cell r="CK37">
            <v>3797.5</v>
          </cell>
          <cell r="CL37">
            <v>3330.7872499999999</v>
          </cell>
          <cell r="CM37">
            <v>466.71274999999997</v>
          </cell>
          <cell r="CN37">
            <v>0</v>
          </cell>
          <cell r="CO37">
            <v>0</v>
          </cell>
          <cell r="CP37">
            <v>0</v>
          </cell>
        </row>
        <row r="38">
          <cell r="L38">
            <v>732.375</v>
          </cell>
          <cell r="M38">
            <v>642.36611249999999</v>
          </cell>
          <cell r="N38">
            <v>90.0088875</v>
          </cell>
          <cell r="O38">
            <v>435.0081690864701</v>
          </cell>
          <cell r="P38">
            <v>9.195005718462097</v>
          </cell>
          <cell r="Q38">
            <v>444.20317480493219</v>
          </cell>
          <cell r="S38">
            <v>732.375</v>
          </cell>
          <cell r="T38">
            <v>642.36611249999999</v>
          </cell>
          <cell r="U38">
            <v>90.0088875</v>
          </cell>
          <cell r="V38">
            <v>0</v>
          </cell>
          <cell r="W38">
            <v>0</v>
          </cell>
          <cell r="X38">
            <v>0</v>
          </cell>
          <cell r="Z38">
            <v>732.375</v>
          </cell>
          <cell r="AA38">
            <v>642.36611249999999</v>
          </cell>
          <cell r="AB38">
            <v>90.0088875</v>
          </cell>
          <cell r="AC38">
            <v>3131.7614713813905</v>
          </cell>
          <cell r="AD38">
            <v>66.197756006938405</v>
          </cell>
          <cell r="AE38">
            <v>3197.9592273883291</v>
          </cell>
          <cell r="AG38">
            <v>732.375</v>
          </cell>
          <cell r="AH38">
            <v>642.36611249999999</v>
          </cell>
          <cell r="AI38">
            <v>90.0088875</v>
          </cell>
          <cell r="AJ38">
            <v>3486.8660072365356</v>
          </cell>
          <cell r="AK38">
            <v>73.703794904315615</v>
          </cell>
          <cell r="AL38">
            <v>3560.5698021408512</v>
          </cell>
          <cell r="AN38">
            <v>732.375</v>
          </cell>
          <cell r="AO38">
            <v>642.36611249999999</v>
          </cell>
          <cell r="AP38">
            <v>90.0088875</v>
          </cell>
          <cell r="AQ38">
            <v>0</v>
          </cell>
          <cell r="AR38">
            <v>0</v>
          </cell>
          <cell r="AS38">
            <v>0</v>
          </cell>
          <cell r="AU38">
            <v>732.375</v>
          </cell>
          <cell r="AV38">
            <v>642.36611249999999</v>
          </cell>
          <cell r="AW38">
            <v>90.0088875</v>
          </cell>
          <cell r="AX38">
            <v>0</v>
          </cell>
          <cell r="AY38">
            <v>0</v>
          </cell>
          <cell r="AZ38">
            <v>0</v>
          </cell>
          <cell r="BB38">
            <v>732.375</v>
          </cell>
          <cell r="BC38">
            <v>642.36611249999999</v>
          </cell>
          <cell r="BD38">
            <v>90.0088875</v>
          </cell>
          <cell r="BE38">
            <v>0</v>
          </cell>
          <cell r="BF38">
            <v>0</v>
          </cell>
          <cell r="BG38">
            <v>0</v>
          </cell>
          <cell r="BI38">
            <v>732.375</v>
          </cell>
          <cell r="BJ38">
            <v>642.36611249999999</v>
          </cell>
          <cell r="BK38">
            <v>90.0088875</v>
          </cell>
          <cell r="BL38">
            <v>0</v>
          </cell>
          <cell r="BM38">
            <v>0</v>
          </cell>
          <cell r="BN38">
            <v>0</v>
          </cell>
          <cell r="BP38">
            <v>732.375</v>
          </cell>
          <cell r="BQ38">
            <v>642.36611249999999</v>
          </cell>
          <cell r="BR38">
            <v>90.0088875</v>
          </cell>
          <cell r="BS38">
            <v>0</v>
          </cell>
          <cell r="BT38">
            <v>0</v>
          </cell>
          <cell r="BU38">
            <v>0</v>
          </cell>
          <cell r="BW38">
            <v>732.375</v>
          </cell>
          <cell r="BX38">
            <v>642.36611249999999</v>
          </cell>
          <cell r="BY38">
            <v>90.0088875</v>
          </cell>
          <cell r="BZ38">
            <v>0</v>
          </cell>
          <cell r="CA38">
            <v>0</v>
          </cell>
          <cell r="CB38">
            <v>0</v>
          </cell>
          <cell r="CD38">
            <v>732.375</v>
          </cell>
          <cell r="CE38">
            <v>642.36611249999999</v>
          </cell>
          <cell r="CF38">
            <v>90.0088875</v>
          </cell>
          <cell r="CG38">
            <v>0</v>
          </cell>
          <cell r="CH38">
            <v>0</v>
          </cell>
          <cell r="CI38">
            <v>0</v>
          </cell>
          <cell r="CK38">
            <v>732.375</v>
          </cell>
          <cell r="CL38">
            <v>642.36611249999999</v>
          </cell>
          <cell r="CM38">
            <v>90.0088875</v>
          </cell>
          <cell r="CN38">
            <v>0</v>
          </cell>
          <cell r="CO38">
            <v>0</v>
          </cell>
          <cell r="CP38">
            <v>0</v>
          </cell>
        </row>
        <row r="39">
          <cell r="L39">
            <v>271.25</v>
          </cell>
          <cell r="M39">
            <v>237.913375</v>
          </cell>
          <cell r="N39">
            <v>33.336624999999998</v>
          </cell>
          <cell r="O39">
            <v>679.72136408044537</v>
          </cell>
          <cell r="P39">
            <v>14.367642434866966</v>
          </cell>
          <cell r="Q39">
            <v>694.08900651531235</v>
          </cell>
          <cell r="S39">
            <v>271.25</v>
          </cell>
          <cell r="T39">
            <v>237.913375</v>
          </cell>
          <cell r="U39">
            <v>33.336624999999998</v>
          </cell>
          <cell r="V39">
            <v>457.00723154467414</v>
          </cell>
          <cell r="W39">
            <v>9.6600119401355613</v>
          </cell>
          <cell r="X39">
            <v>466.66724348480972</v>
          </cell>
          <cell r="Z39">
            <v>271.25</v>
          </cell>
          <cell r="AA39">
            <v>237.913375</v>
          </cell>
          <cell r="AB39">
            <v>33.336624999999998</v>
          </cell>
          <cell r="AC39">
            <v>242.97326619397563</v>
          </cell>
          <cell r="AD39">
            <v>5.1358588892221952</v>
          </cell>
          <cell r="AE39">
            <v>248.10912508319782</v>
          </cell>
          <cell r="AG39">
            <v>271.25</v>
          </cell>
          <cell r="AH39">
            <v>237.913375</v>
          </cell>
          <cell r="AI39">
            <v>33.336624999999998</v>
          </cell>
          <cell r="AJ39">
            <v>2620.3782187009078</v>
          </cell>
          <cell r="AK39">
            <v>55.388368351995091</v>
          </cell>
          <cell r="AL39">
            <v>2675.7665870529031</v>
          </cell>
          <cell r="AN39">
            <v>271.25</v>
          </cell>
          <cell r="AO39">
            <v>237.913375</v>
          </cell>
          <cell r="AP39">
            <v>33.336624999999998</v>
          </cell>
          <cell r="AQ39">
            <v>0</v>
          </cell>
          <cell r="AR39">
            <v>0</v>
          </cell>
          <cell r="AS39">
            <v>0</v>
          </cell>
          <cell r="AU39">
            <v>271.25</v>
          </cell>
          <cell r="AV39">
            <v>237.913375</v>
          </cell>
          <cell r="AW39">
            <v>33.336624999999998</v>
          </cell>
          <cell r="AX39">
            <v>0</v>
          </cell>
          <cell r="AY39">
            <v>0</v>
          </cell>
          <cell r="AZ39">
            <v>0</v>
          </cell>
          <cell r="BB39">
            <v>271.25</v>
          </cell>
          <cell r="BC39">
            <v>237.913375</v>
          </cell>
          <cell r="BD39">
            <v>33.336624999999998</v>
          </cell>
          <cell r="BE39">
            <v>0</v>
          </cell>
          <cell r="BF39">
            <v>0</v>
          </cell>
          <cell r="BG39">
            <v>0</v>
          </cell>
          <cell r="BI39">
            <v>271.25</v>
          </cell>
          <cell r="BJ39">
            <v>237.913375</v>
          </cell>
          <cell r="BK39">
            <v>33.336624999999998</v>
          </cell>
          <cell r="BL39">
            <v>0</v>
          </cell>
          <cell r="BM39">
            <v>0</v>
          </cell>
          <cell r="BN39">
            <v>0</v>
          </cell>
          <cell r="BP39">
            <v>271.25</v>
          </cell>
          <cell r="BQ39">
            <v>237.913375</v>
          </cell>
          <cell r="BR39">
            <v>33.336624999999998</v>
          </cell>
          <cell r="BS39">
            <v>0</v>
          </cell>
          <cell r="BT39">
            <v>0</v>
          </cell>
          <cell r="BU39">
            <v>0</v>
          </cell>
          <cell r="BW39">
            <v>271.25</v>
          </cell>
          <cell r="BX39">
            <v>237.913375</v>
          </cell>
          <cell r="BY39">
            <v>33.336624999999998</v>
          </cell>
          <cell r="BZ39">
            <v>0</v>
          </cell>
          <cell r="CA39">
            <v>0</v>
          </cell>
          <cell r="CB39">
            <v>0</v>
          </cell>
          <cell r="CD39">
            <v>271.25</v>
          </cell>
          <cell r="CE39">
            <v>237.913375</v>
          </cell>
          <cell r="CF39">
            <v>33.336624999999998</v>
          </cell>
          <cell r="CG39">
            <v>0</v>
          </cell>
          <cell r="CH39">
            <v>0</v>
          </cell>
          <cell r="CI39">
            <v>0</v>
          </cell>
          <cell r="CK39">
            <v>271.25</v>
          </cell>
          <cell r="CL39">
            <v>237.913375</v>
          </cell>
          <cell r="CM39">
            <v>33.336624999999998</v>
          </cell>
          <cell r="CN39">
            <v>0</v>
          </cell>
          <cell r="CO39">
            <v>0</v>
          </cell>
          <cell r="CP39">
            <v>0</v>
          </cell>
        </row>
        <row r="40">
          <cell r="L40">
            <v>813.75</v>
          </cell>
          <cell r="M40">
            <v>713.74012500000003</v>
          </cell>
          <cell r="N40">
            <v>100.00987499999999</v>
          </cell>
          <cell r="O40">
            <v>545.22097247749025</v>
          </cell>
          <cell r="P40">
            <v>11.524634055227251</v>
          </cell>
          <cell r="Q40">
            <v>556.74560653271749</v>
          </cell>
          <cell r="S40">
            <v>813.75</v>
          </cell>
          <cell r="T40">
            <v>713.74012500000003</v>
          </cell>
          <cell r="U40">
            <v>100.00987499999999</v>
          </cell>
          <cell r="V40">
            <v>545.22097247749025</v>
          </cell>
          <cell r="W40">
            <v>11.524634055227251</v>
          </cell>
          <cell r="X40">
            <v>556.74560653271749</v>
          </cell>
          <cell r="Z40">
            <v>813.75</v>
          </cell>
          <cell r="AA40">
            <v>713.74012500000003</v>
          </cell>
          <cell r="AB40">
            <v>100.00987499999999</v>
          </cell>
          <cell r="AC40">
            <v>2817.5160471038489</v>
          </cell>
          <cell r="AD40">
            <v>59.555378510211042</v>
          </cell>
          <cell r="AE40">
            <v>2877.07142561406</v>
          </cell>
          <cell r="AG40">
            <v>813.75</v>
          </cell>
          <cell r="AH40">
            <v>713.74012500000003</v>
          </cell>
          <cell r="AI40">
            <v>100.00987499999999</v>
          </cell>
          <cell r="AJ40">
            <v>1291.5075977012043</v>
          </cell>
          <cell r="AK40">
            <v>27.299302841228357</v>
          </cell>
          <cell r="AL40">
            <v>1318.8069005424327</v>
          </cell>
          <cell r="AN40">
            <v>813.75</v>
          </cell>
          <cell r="AO40">
            <v>713.74012500000003</v>
          </cell>
          <cell r="AP40">
            <v>100.00987499999999</v>
          </cell>
          <cell r="AQ40">
            <v>0</v>
          </cell>
          <cell r="AR40">
            <v>0</v>
          </cell>
          <cell r="AS40">
            <v>0</v>
          </cell>
          <cell r="AU40">
            <v>813.75</v>
          </cell>
          <cell r="AV40">
            <v>713.74012500000003</v>
          </cell>
          <cell r="AW40">
            <v>100.00987499999999</v>
          </cell>
          <cell r="AX40">
            <v>0</v>
          </cell>
          <cell r="AY40">
            <v>0</v>
          </cell>
          <cell r="AZ40">
            <v>0</v>
          </cell>
          <cell r="BB40">
            <v>813.75</v>
          </cell>
          <cell r="BC40">
            <v>713.74012500000003</v>
          </cell>
          <cell r="BD40">
            <v>100.00987499999999</v>
          </cell>
          <cell r="BE40">
            <v>0</v>
          </cell>
          <cell r="BF40">
            <v>0</v>
          </cell>
          <cell r="BG40">
            <v>0</v>
          </cell>
          <cell r="BI40">
            <v>813.75</v>
          </cell>
          <cell r="BJ40">
            <v>713.74012500000003</v>
          </cell>
          <cell r="BK40">
            <v>100.00987499999999</v>
          </cell>
          <cell r="BL40">
            <v>0</v>
          </cell>
          <cell r="BM40">
            <v>0</v>
          </cell>
          <cell r="BN40">
            <v>0</v>
          </cell>
          <cell r="BP40">
            <v>813.75</v>
          </cell>
          <cell r="BQ40">
            <v>713.74012500000003</v>
          </cell>
          <cell r="BR40">
            <v>100.00987499999999</v>
          </cell>
          <cell r="BS40">
            <v>0</v>
          </cell>
          <cell r="BT40">
            <v>0</v>
          </cell>
          <cell r="BU40">
            <v>0</v>
          </cell>
          <cell r="BW40">
            <v>813.75</v>
          </cell>
          <cell r="BX40">
            <v>713.74012500000003</v>
          </cell>
          <cell r="BY40">
            <v>100.00987499999999</v>
          </cell>
          <cell r="BZ40">
            <v>0</v>
          </cell>
          <cell r="CA40">
            <v>0</v>
          </cell>
          <cell r="CB40">
            <v>0</v>
          </cell>
          <cell r="CD40">
            <v>813.75</v>
          </cell>
          <cell r="CE40">
            <v>713.74012500000003</v>
          </cell>
          <cell r="CF40">
            <v>100.00987499999999</v>
          </cell>
          <cell r="CG40">
            <v>0</v>
          </cell>
          <cell r="CH40">
            <v>0</v>
          </cell>
          <cell r="CI40">
            <v>0</v>
          </cell>
          <cell r="CK40">
            <v>813.75</v>
          </cell>
          <cell r="CL40">
            <v>713.74012500000003</v>
          </cell>
          <cell r="CM40">
            <v>100.00987499999999</v>
          </cell>
          <cell r="CN40">
            <v>0</v>
          </cell>
          <cell r="CO40">
            <v>0</v>
          </cell>
          <cell r="CP40">
            <v>0</v>
          </cell>
        </row>
        <row r="41">
          <cell r="L41">
            <v>23815.750000000004</v>
          </cell>
          <cell r="M41">
            <v>20888.794325000003</v>
          </cell>
          <cell r="N41">
            <v>2926.9556750000002</v>
          </cell>
          <cell r="O41">
            <v>23322.763975000005</v>
          </cell>
          <cell r="P41">
            <v>492.98602500000004</v>
          </cell>
          <cell r="Q41">
            <v>23815.750000000004</v>
          </cell>
          <cell r="S41">
            <v>23815.750000000004</v>
          </cell>
          <cell r="T41">
            <v>20888.794325000003</v>
          </cell>
          <cell r="U41">
            <v>2926.9556750000002</v>
          </cell>
          <cell r="V41">
            <v>23322.763975000005</v>
          </cell>
          <cell r="W41">
            <v>492.98602500000004</v>
          </cell>
          <cell r="X41">
            <v>23815.750000000004</v>
          </cell>
          <cell r="Z41">
            <v>23815.750000000004</v>
          </cell>
          <cell r="AA41">
            <v>20888.794325000003</v>
          </cell>
          <cell r="AB41">
            <v>2926.9556750000002</v>
          </cell>
          <cell r="AC41">
            <v>23322.763975000005</v>
          </cell>
          <cell r="AD41">
            <v>492.98602500000004</v>
          </cell>
          <cell r="AE41">
            <v>23815.750000000004</v>
          </cell>
          <cell r="AG41">
            <v>23815.750000000004</v>
          </cell>
          <cell r="AH41">
            <v>20888.794325000003</v>
          </cell>
          <cell r="AI41">
            <v>2926.9556750000002</v>
          </cell>
          <cell r="AJ41">
            <v>23322.763975000005</v>
          </cell>
          <cell r="AK41">
            <v>492.98602500000004</v>
          </cell>
          <cell r="AL41">
            <v>23815.750000000004</v>
          </cell>
          <cell r="AN41">
            <v>23815.750000000004</v>
          </cell>
          <cell r="AO41">
            <v>20888.794325000003</v>
          </cell>
          <cell r="AP41">
            <v>2926.9556750000002</v>
          </cell>
          <cell r="AQ41">
            <v>0</v>
          </cell>
          <cell r="AR41">
            <v>0</v>
          </cell>
          <cell r="AS41"/>
          <cell r="AU41">
            <v>23815.750000000004</v>
          </cell>
          <cell r="AV41">
            <v>20888.794325000003</v>
          </cell>
          <cell r="AW41">
            <v>2926.9556750000002</v>
          </cell>
          <cell r="AX41">
            <v>0</v>
          </cell>
          <cell r="AY41">
            <v>0</v>
          </cell>
          <cell r="AZ41"/>
          <cell r="BB41">
            <v>23815.750000000004</v>
          </cell>
          <cell r="BC41">
            <v>20888.794325000003</v>
          </cell>
          <cell r="BD41">
            <v>2926.9556750000002</v>
          </cell>
          <cell r="BE41">
            <v>0</v>
          </cell>
          <cell r="BF41">
            <v>0</v>
          </cell>
          <cell r="BG41"/>
          <cell r="BI41">
            <v>23815.750000000004</v>
          </cell>
          <cell r="BJ41">
            <v>20888.794325000003</v>
          </cell>
          <cell r="BK41">
            <v>2926.9556750000002</v>
          </cell>
          <cell r="BL41">
            <v>0</v>
          </cell>
          <cell r="BM41">
            <v>0</v>
          </cell>
          <cell r="BN41"/>
          <cell r="BP41">
            <v>23815.750000000004</v>
          </cell>
          <cell r="BQ41">
            <v>20888.794325000003</v>
          </cell>
          <cell r="BR41">
            <v>2926.9556750000002</v>
          </cell>
          <cell r="BS41">
            <v>0</v>
          </cell>
          <cell r="BT41">
            <v>0</v>
          </cell>
          <cell r="BU41"/>
          <cell r="BW41">
            <v>23815.750000000004</v>
          </cell>
          <cell r="BX41">
            <v>20888.794325000003</v>
          </cell>
          <cell r="BY41">
            <v>2926.9556750000002</v>
          </cell>
          <cell r="BZ41">
            <v>0</v>
          </cell>
          <cell r="CA41">
            <v>0</v>
          </cell>
          <cell r="CB41"/>
          <cell r="CD41">
            <v>23815.750000000004</v>
          </cell>
          <cell r="CE41">
            <v>20888.794325000003</v>
          </cell>
          <cell r="CF41">
            <v>2926.9556750000002</v>
          </cell>
          <cell r="CG41">
            <v>0</v>
          </cell>
          <cell r="CH41">
            <v>0</v>
          </cell>
          <cell r="CI41"/>
          <cell r="CK41">
            <v>23815.750000000004</v>
          </cell>
          <cell r="CL41">
            <v>20888.794325000003</v>
          </cell>
          <cell r="CM41">
            <v>2926.9556750000002</v>
          </cell>
          <cell r="CN41">
            <v>0</v>
          </cell>
          <cell r="CO41">
            <v>0</v>
          </cell>
          <cell r="CP41"/>
        </row>
        <row r="42">
          <cell r="L42">
            <v>14550.199999999999</v>
          </cell>
          <cell r="M42">
            <v>12761.98042</v>
          </cell>
          <cell r="N42">
            <v>1788.2195799999997</v>
          </cell>
          <cell r="O42">
            <v>14710.055506999999</v>
          </cell>
          <cell r="P42">
            <v>310.93449299999997</v>
          </cell>
          <cell r="Q42">
            <v>15020.99</v>
          </cell>
          <cell r="S42">
            <v>14550.199999999999</v>
          </cell>
          <cell r="T42">
            <v>12761.98042</v>
          </cell>
          <cell r="U42">
            <v>1788.2195799999997</v>
          </cell>
          <cell r="V42">
            <v>14710.055506999999</v>
          </cell>
          <cell r="W42">
            <v>310.93449299999997</v>
          </cell>
          <cell r="X42">
            <v>15020.99</v>
          </cell>
          <cell r="Z42">
            <v>14550.199999999999</v>
          </cell>
          <cell r="AA42">
            <v>12761.98042</v>
          </cell>
          <cell r="AB42">
            <v>1788.2195799999997</v>
          </cell>
          <cell r="AC42">
            <v>14710.055506999999</v>
          </cell>
          <cell r="AD42">
            <v>310.93449299999997</v>
          </cell>
          <cell r="AE42">
            <v>15020.99</v>
          </cell>
          <cell r="AG42">
            <v>14550.199999999999</v>
          </cell>
          <cell r="AH42">
            <v>12761.98042</v>
          </cell>
          <cell r="AI42">
            <v>1788.2195799999997</v>
          </cell>
          <cell r="AJ42">
            <v>14710.055506999999</v>
          </cell>
          <cell r="AK42">
            <v>310.93449299999997</v>
          </cell>
          <cell r="AL42">
            <v>15020.99</v>
          </cell>
          <cell r="AN42">
            <v>14550.199999999999</v>
          </cell>
          <cell r="AO42">
            <v>12761.98042</v>
          </cell>
          <cell r="AP42">
            <v>1788.2195799999997</v>
          </cell>
          <cell r="AQ42">
            <v>0</v>
          </cell>
          <cell r="AR42">
            <v>0</v>
          </cell>
          <cell r="AS42"/>
          <cell r="AU42">
            <v>14550.199999999999</v>
          </cell>
          <cell r="AV42">
            <v>12761.98042</v>
          </cell>
          <cell r="AW42">
            <v>1788.2195799999997</v>
          </cell>
          <cell r="AX42">
            <v>0</v>
          </cell>
          <cell r="AY42">
            <v>0</v>
          </cell>
          <cell r="AZ42"/>
          <cell r="BB42">
            <v>14550.199999999999</v>
          </cell>
          <cell r="BC42">
            <v>12761.98042</v>
          </cell>
          <cell r="BD42">
            <v>1788.2195799999997</v>
          </cell>
          <cell r="BE42">
            <v>0</v>
          </cell>
          <cell r="BF42">
            <v>0</v>
          </cell>
          <cell r="BG42"/>
          <cell r="BI42">
            <v>14550.199999999999</v>
          </cell>
          <cell r="BJ42">
            <v>12761.98042</v>
          </cell>
          <cell r="BK42">
            <v>1788.2195799999997</v>
          </cell>
          <cell r="BL42">
            <v>0</v>
          </cell>
          <cell r="BM42">
            <v>0</v>
          </cell>
          <cell r="BN42"/>
          <cell r="BP42">
            <v>14550.199999999999</v>
          </cell>
          <cell r="BQ42">
            <v>12761.98042</v>
          </cell>
          <cell r="BR42">
            <v>1788.2195799999997</v>
          </cell>
          <cell r="BS42">
            <v>0</v>
          </cell>
          <cell r="BT42">
            <v>0</v>
          </cell>
          <cell r="BU42"/>
          <cell r="BW42">
            <v>14550.199999999999</v>
          </cell>
          <cell r="BX42">
            <v>12761.98042</v>
          </cell>
          <cell r="BY42">
            <v>1788.2195799999997</v>
          </cell>
          <cell r="BZ42">
            <v>0</v>
          </cell>
          <cell r="CA42">
            <v>0</v>
          </cell>
          <cell r="CB42"/>
          <cell r="CD42">
            <v>14550.199999999999</v>
          </cell>
          <cell r="CE42">
            <v>12761.98042</v>
          </cell>
          <cell r="CF42">
            <v>1788.2195799999997</v>
          </cell>
          <cell r="CG42">
            <v>0</v>
          </cell>
          <cell r="CH42">
            <v>0</v>
          </cell>
          <cell r="CI42"/>
          <cell r="CK42">
            <v>14550.199999999999</v>
          </cell>
          <cell r="CL42">
            <v>12761.98042</v>
          </cell>
          <cell r="CM42">
            <v>1788.2195799999997</v>
          </cell>
          <cell r="CN42">
            <v>0</v>
          </cell>
          <cell r="CO42">
            <v>0</v>
          </cell>
          <cell r="CP42"/>
        </row>
        <row r="43">
          <cell r="L43">
            <v>1571.5953750000001</v>
          </cell>
          <cell r="M43">
            <v>1378.4463034125001</v>
          </cell>
          <cell r="N43">
            <v>193.1490715875</v>
          </cell>
          <cell r="O43">
            <v>1887.6279798503251</v>
          </cell>
          <cell r="P43">
            <v>39.899825572247245</v>
          </cell>
          <cell r="Q43">
            <v>1927.5278054225723</v>
          </cell>
          <cell r="S43">
            <v>1571.5953750000001</v>
          </cell>
          <cell r="T43">
            <v>1378.4463034125001</v>
          </cell>
          <cell r="U43">
            <v>193.1490715875</v>
          </cell>
          <cell r="V43">
            <v>2725.4816043098399</v>
          </cell>
          <cell r="W43">
            <v>57.609996129085758</v>
          </cell>
          <cell r="X43">
            <v>2783.0916004389255</v>
          </cell>
          <cell r="Z43">
            <v>1571.5953750000001</v>
          </cell>
          <cell r="AA43">
            <v>1378.4463034125001</v>
          </cell>
          <cell r="AB43">
            <v>193.1490715875</v>
          </cell>
          <cell r="AC43">
            <v>1687.8802582473847</v>
          </cell>
          <cell r="AD43">
            <v>35.677648673257288</v>
          </cell>
          <cell r="AE43">
            <v>1723.5579069206419</v>
          </cell>
          <cell r="AG43">
            <v>1571.5953750000001</v>
          </cell>
          <cell r="AH43">
            <v>1378.4463034125001</v>
          </cell>
          <cell r="AI43">
            <v>193.1490715875</v>
          </cell>
          <cell r="AJ43">
            <v>1831.5639680876511</v>
          </cell>
          <cell r="AK43">
            <v>38.714769875844354</v>
          </cell>
          <cell r="AL43">
            <v>1870.2787379634954</v>
          </cell>
          <cell r="AN43">
            <v>1571.5953750000001</v>
          </cell>
          <cell r="AO43">
            <v>1378.4463034125001</v>
          </cell>
          <cell r="AP43">
            <v>193.1490715875</v>
          </cell>
          <cell r="AQ43">
            <v>0</v>
          </cell>
          <cell r="AR43">
            <v>0</v>
          </cell>
          <cell r="AS43">
            <v>0</v>
          </cell>
          <cell r="AU43">
            <v>1571.5953750000001</v>
          </cell>
          <cell r="AV43">
            <v>1378.4463034125001</v>
          </cell>
          <cell r="AW43">
            <v>193.1490715875</v>
          </cell>
          <cell r="AX43">
            <v>0</v>
          </cell>
          <cell r="AY43">
            <v>0</v>
          </cell>
          <cell r="AZ43">
            <v>0</v>
          </cell>
          <cell r="BB43">
            <v>1571.5953750000001</v>
          </cell>
          <cell r="BC43">
            <v>1378.4463034125001</v>
          </cell>
          <cell r="BD43">
            <v>193.1490715875</v>
          </cell>
          <cell r="BE43">
            <v>0</v>
          </cell>
          <cell r="BF43">
            <v>0</v>
          </cell>
          <cell r="BG43">
            <v>0</v>
          </cell>
          <cell r="BI43">
            <v>1571.5953750000001</v>
          </cell>
          <cell r="BJ43">
            <v>1378.4463034125001</v>
          </cell>
          <cell r="BK43">
            <v>193.1490715875</v>
          </cell>
          <cell r="BL43">
            <v>0</v>
          </cell>
          <cell r="BM43">
            <v>0</v>
          </cell>
          <cell r="BN43">
            <v>0</v>
          </cell>
          <cell r="BP43">
            <v>1571.5953750000001</v>
          </cell>
          <cell r="BQ43">
            <v>1378.4463034125001</v>
          </cell>
          <cell r="BR43">
            <v>193.1490715875</v>
          </cell>
          <cell r="BS43">
            <v>0</v>
          </cell>
          <cell r="BT43">
            <v>0</v>
          </cell>
          <cell r="BU43">
            <v>0</v>
          </cell>
          <cell r="BW43">
            <v>1571.5953750000001</v>
          </cell>
          <cell r="BX43">
            <v>1378.4463034125001</v>
          </cell>
          <cell r="BY43">
            <v>193.1490715875</v>
          </cell>
          <cell r="BZ43">
            <v>0</v>
          </cell>
          <cell r="CA43">
            <v>0</v>
          </cell>
          <cell r="CB43">
            <v>0</v>
          </cell>
          <cell r="CD43">
            <v>1571.5953750000001</v>
          </cell>
          <cell r="CE43">
            <v>1378.4463034125001</v>
          </cell>
          <cell r="CF43">
            <v>193.1490715875</v>
          </cell>
          <cell r="CG43">
            <v>0</v>
          </cell>
          <cell r="CH43">
            <v>0</v>
          </cell>
          <cell r="CI43">
            <v>0</v>
          </cell>
          <cell r="CK43">
            <v>1571.5953750000001</v>
          </cell>
          <cell r="CL43">
            <v>1378.4463034125001</v>
          </cell>
          <cell r="CM43">
            <v>193.1490715875</v>
          </cell>
          <cell r="CN43">
            <v>0</v>
          </cell>
          <cell r="CO43">
            <v>0</v>
          </cell>
          <cell r="CP43">
            <v>0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</row>
        <row r="48">
          <cell r="L48">
            <v>1085</v>
          </cell>
          <cell r="M48">
            <v>951.65350000000001</v>
          </cell>
          <cell r="N48">
            <v>133.34649999999999</v>
          </cell>
          <cell r="O48">
            <v>8.7645667164159544</v>
          </cell>
          <cell r="P48">
            <v>0.18526144289779461</v>
          </cell>
          <cell r="Q48">
            <v>8.9498281593137499</v>
          </cell>
          <cell r="S48">
            <v>1085</v>
          </cell>
          <cell r="T48">
            <v>951.65350000000001</v>
          </cell>
          <cell r="U48">
            <v>133.34649999999999</v>
          </cell>
          <cell r="V48">
            <v>467.48251183870161</v>
          </cell>
          <cell r="W48">
            <v>9.8814336720730349</v>
          </cell>
          <cell r="X48">
            <v>477.36394551077467</v>
          </cell>
          <cell r="Z48">
            <v>1085</v>
          </cell>
          <cell r="AA48">
            <v>951.65350000000001</v>
          </cell>
          <cell r="AB48">
            <v>133.34649999999999</v>
          </cell>
          <cell r="AC48">
            <v>815.18585802220616</v>
          </cell>
          <cell r="AD48">
            <v>17.231029573225435</v>
          </cell>
          <cell r="AE48">
            <v>832.4168875954316</v>
          </cell>
          <cell r="AG48">
            <v>1085</v>
          </cell>
          <cell r="AH48">
            <v>951.65350000000001</v>
          </cell>
          <cell r="AI48">
            <v>133.34649999999999</v>
          </cell>
          <cell r="AJ48">
            <v>522.14743906257013</v>
          </cell>
          <cell r="AK48">
            <v>11.036916152961503</v>
          </cell>
          <cell r="AL48">
            <v>533.18435521553158</v>
          </cell>
          <cell r="AN48">
            <v>1085</v>
          </cell>
          <cell r="AO48">
            <v>951.65350000000001</v>
          </cell>
          <cell r="AP48">
            <v>133.34649999999999</v>
          </cell>
          <cell r="AQ48">
            <v>0</v>
          </cell>
          <cell r="AR48">
            <v>0</v>
          </cell>
          <cell r="AS48">
            <v>0</v>
          </cell>
          <cell r="AU48">
            <v>1085</v>
          </cell>
          <cell r="AV48">
            <v>951.65350000000001</v>
          </cell>
          <cell r="AW48">
            <v>133.34649999999999</v>
          </cell>
          <cell r="AX48">
            <v>0</v>
          </cell>
          <cell r="AY48">
            <v>0</v>
          </cell>
          <cell r="AZ48">
            <v>0</v>
          </cell>
          <cell r="BB48">
            <v>1085</v>
          </cell>
          <cell r="BC48">
            <v>951.65350000000001</v>
          </cell>
          <cell r="BD48">
            <v>133.34649999999999</v>
          </cell>
          <cell r="BE48">
            <v>0</v>
          </cell>
          <cell r="BF48">
            <v>0</v>
          </cell>
          <cell r="BG48">
            <v>0</v>
          </cell>
          <cell r="BI48">
            <v>1085</v>
          </cell>
          <cell r="BJ48">
            <v>951.65350000000001</v>
          </cell>
          <cell r="BK48">
            <v>133.34649999999999</v>
          </cell>
          <cell r="BL48">
            <v>0</v>
          </cell>
          <cell r="BM48">
            <v>0</v>
          </cell>
          <cell r="BN48">
            <v>0</v>
          </cell>
          <cell r="BP48">
            <v>1085</v>
          </cell>
          <cell r="BQ48">
            <v>951.65350000000001</v>
          </cell>
          <cell r="BR48">
            <v>133.34649999999999</v>
          </cell>
          <cell r="BS48">
            <v>0</v>
          </cell>
          <cell r="BT48">
            <v>0</v>
          </cell>
          <cell r="BU48">
            <v>0</v>
          </cell>
          <cell r="BW48">
            <v>1085</v>
          </cell>
          <cell r="BX48">
            <v>951.65350000000001</v>
          </cell>
          <cell r="BY48">
            <v>133.34649999999999</v>
          </cell>
          <cell r="BZ48">
            <v>0</v>
          </cell>
          <cell r="CA48">
            <v>0</v>
          </cell>
          <cell r="CB48">
            <v>0</v>
          </cell>
          <cell r="CD48">
            <v>1085</v>
          </cell>
          <cell r="CE48">
            <v>951.65350000000001</v>
          </cell>
          <cell r="CF48">
            <v>133.34649999999999</v>
          </cell>
          <cell r="CG48">
            <v>0</v>
          </cell>
          <cell r="CH48">
            <v>0</v>
          </cell>
          <cell r="CI48">
            <v>0</v>
          </cell>
          <cell r="CK48">
            <v>1085</v>
          </cell>
          <cell r="CL48">
            <v>951.65350000000001</v>
          </cell>
          <cell r="CM48">
            <v>133.34649999999999</v>
          </cell>
          <cell r="CN48">
            <v>0</v>
          </cell>
          <cell r="CO48">
            <v>0</v>
          </cell>
          <cell r="CP48">
            <v>0</v>
          </cell>
        </row>
        <row r="49">
          <cell r="L49">
            <v>2834.5625000000005</v>
          </cell>
          <cell r="M49">
            <v>2486.1947687500005</v>
          </cell>
          <cell r="N49">
            <v>348.36773125000002</v>
          </cell>
          <cell r="O49">
            <v>7326.4895941297082</v>
          </cell>
          <cell r="P49">
            <v>154.86401980852133</v>
          </cell>
          <cell r="Q49">
            <v>7481.3536139382295</v>
          </cell>
          <cell r="S49">
            <v>2834.5625000000005</v>
          </cell>
          <cell r="T49">
            <v>2486.1947687500005</v>
          </cell>
          <cell r="U49">
            <v>348.36773125000002</v>
          </cell>
          <cell r="V49">
            <v>4788.391180081022</v>
          </cell>
          <cell r="W49">
            <v>101.21484471324125</v>
          </cell>
          <cell r="X49">
            <v>4889.6060247942632</v>
          </cell>
          <cell r="Z49">
            <v>2834.5625000000005</v>
          </cell>
          <cell r="AA49">
            <v>2486.1947687500005</v>
          </cell>
          <cell r="AB49">
            <v>348.36773125000002</v>
          </cell>
          <cell r="AC49">
            <v>2668.5378897397031</v>
          </cell>
          <cell r="AD49">
            <v>56.406345673043859</v>
          </cell>
          <cell r="AE49">
            <v>2724.9442354127468</v>
          </cell>
          <cell r="AG49">
            <v>2834.5625000000005</v>
          </cell>
          <cell r="AH49">
            <v>2486.1947687500005</v>
          </cell>
          <cell r="AI49">
            <v>348.36773125000002</v>
          </cell>
          <cell r="AJ49">
            <v>3664.3776984663464</v>
          </cell>
          <cell r="AK49">
            <v>77.455956661138941</v>
          </cell>
          <cell r="AL49">
            <v>3741.8336551274851</v>
          </cell>
          <cell r="AN49">
            <v>2834.5625000000005</v>
          </cell>
          <cell r="AO49">
            <v>2486.1947687500005</v>
          </cell>
          <cell r="AP49">
            <v>348.36773125000002</v>
          </cell>
          <cell r="AQ49">
            <v>0</v>
          </cell>
          <cell r="AR49">
            <v>0</v>
          </cell>
          <cell r="AS49">
            <v>0</v>
          </cell>
          <cell r="AU49">
            <v>2834.5625000000005</v>
          </cell>
          <cell r="AV49">
            <v>2486.1947687500005</v>
          </cell>
          <cell r="AW49">
            <v>348.36773125000002</v>
          </cell>
          <cell r="AX49">
            <v>0</v>
          </cell>
          <cell r="AY49">
            <v>0</v>
          </cell>
          <cell r="AZ49">
            <v>0</v>
          </cell>
          <cell r="BB49">
            <v>2834.5625000000005</v>
          </cell>
          <cell r="BC49">
            <v>2486.1947687500005</v>
          </cell>
          <cell r="BD49">
            <v>348.36773125000002</v>
          </cell>
          <cell r="BE49">
            <v>0</v>
          </cell>
          <cell r="BF49">
            <v>0</v>
          </cell>
          <cell r="BG49">
            <v>0</v>
          </cell>
          <cell r="BI49">
            <v>2834.5625000000005</v>
          </cell>
          <cell r="BJ49">
            <v>2486.1947687500005</v>
          </cell>
          <cell r="BK49">
            <v>348.36773125000002</v>
          </cell>
          <cell r="BL49">
            <v>0</v>
          </cell>
          <cell r="BM49">
            <v>0</v>
          </cell>
          <cell r="BN49">
            <v>0</v>
          </cell>
          <cell r="BP49">
            <v>2834.5625000000005</v>
          </cell>
          <cell r="BQ49">
            <v>2486.1947687500005</v>
          </cell>
          <cell r="BR49">
            <v>348.36773125000002</v>
          </cell>
          <cell r="BS49">
            <v>0</v>
          </cell>
          <cell r="BT49">
            <v>0</v>
          </cell>
          <cell r="BU49">
            <v>0</v>
          </cell>
          <cell r="BW49">
            <v>2834.5625000000005</v>
          </cell>
          <cell r="BX49">
            <v>2486.1947687500005</v>
          </cell>
          <cell r="BY49">
            <v>348.36773125000002</v>
          </cell>
          <cell r="BZ49">
            <v>0</v>
          </cell>
          <cell r="CA49">
            <v>0</v>
          </cell>
          <cell r="CB49">
            <v>0</v>
          </cell>
          <cell r="CD49">
            <v>2834.5625000000005</v>
          </cell>
          <cell r="CE49">
            <v>2486.1947687500005</v>
          </cell>
          <cell r="CF49">
            <v>348.36773125000002</v>
          </cell>
          <cell r="CG49">
            <v>0</v>
          </cell>
          <cell r="CH49">
            <v>0</v>
          </cell>
          <cell r="CI49">
            <v>0</v>
          </cell>
          <cell r="CK49">
            <v>2834.5625000000005</v>
          </cell>
          <cell r="CL49">
            <v>2486.1947687500005</v>
          </cell>
          <cell r="CM49">
            <v>348.36773125000002</v>
          </cell>
          <cell r="CN49">
            <v>0</v>
          </cell>
          <cell r="CO49">
            <v>0</v>
          </cell>
          <cell r="CP49">
            <v>0</v>
          </cell>
        </row>
        <row r="50">
          <cell r="L50">
            <v>187.178775</v>
          </cell>
          <cell r="M50">
            <v>164.1745035525</v>
          </cell>
          <cell r="N50">
            <v>23.004271447499999</v>
          </cell>
          <cell r="O50">
            <v>174.5025233238417</v>
          </cell>
          <cell r="P50">
            <v>3.6885553280950911</v>
          </cell>
          <cell r="Q50">
            <v>178.19107865193678</v>
          </cell>
          <cell r="S50">
            <v>187.178775</v>
          </cell>
          <cell r="T50">
            <v>164.1745035525</v>
          </cell>
          <cell r="U50">
            <v>23.004271447499999</v>
          </cell>
          <cell r="V50">
            <v>202.08169325816385</v>
          </cell>
          <cell r="W50">
            <v>4.2715113350801515</v>
          </cell>
          <cell r="X50">
            <v>206.35320459324402</v>
          </cell>
          <cell r="Z50">
            <v>187.178775</v>
          </cell>
          <cell r="AA50">
            <v>164.1745035525</v>
          </cell>
          <cell r="AB50">
            <v>23.004271447499999</v>
          </cell>
          <cell r="AC50">
            <v>356.33482133126381</v>
          </cell>
          <cell r="AD50">
            <v>7.5320441147321153</v>
          </cell>
          <cell r="AE50">
            <v>363.86686544599593</v>
          </cell>
          <cell r="AG50">
            <v>187.178775</v>
          </cell>
          <cell r="AH50">
            <v>164.1745035525</v>
          </cell>
          <cell r="AI50">
            <v>23.004271447499999</v>
          </cell>
          <cell r="AJ50">
            <v>165.03029899847064</v>
          </cell>
          <cell r="AK50">
            <v>3.4883357390670295</v>
          </cell>
          <cell r="AL50">
            <v>168.51863473753767</v>
          </cell>
          <cell r="AN50">
            <v>187.178775</v>
          </cell>
          <cell r="AO50">
            <v>164.1745035525</v>
          </cell>
          <cell r="AP50">
            <v>23.004271447499999</v>
          </cell>
          <cell r="AQ50">
            <v>0</v>
          </cell>
          <cell r="AR50">
            <v>0</v>
          </cell>
          <cell r="AS50">
            <v>0</v>
          </cell>
          <cell r="AU50">
            <v>187.178775</v>
          </cell>
          <cell r="AV50">
            <v>164.1745035525</v>
          </cell>
          <cell r="AW50">
            <v>23.004271447499999</v>
          </cell>
          <cell r="AX50">
            <v>0</v>
          </cell>
          <cell r="AY50">
            <v>0</v>
          </cell>
          <cell r="AZ50">
            <v>0</v>
          </cell>
          <cell r="BB50">
            <v>187.178775</v>
          </cell>
          <cell r="BC50">
            <v>164.1745035525</v>
          </cell>
          <cell r="BD50">
            <v>23.004271447499999</v>
          </cell>
          <cell r="BE50">
            <v>0</v>
          </cell>
          <cell r="BF50">
            <v>0</v>
          </cell>
          <cell r="BG50">
            <v>0</v>
          </cell>
          <cell r="BI50">
            <v>187.178775</v>
          </cell>
          <cell r="BJ50">
            <v>164.1745035525</v>
          </cell>
          <cell r="BK50">
            <v>23.004271447499999</v>
          </cell>
          <cell r="BL50">
            <v>0</v>
          </cell>
          <cell r="BM50">
            <v>0</v>
          </cell>
          <cell r="BN50">
            <v>0</v>
          </cell>
          <cell r="BP50">
            <v>187.178775</v>
          </cell>
          <cell r="BQ50">
            <v>164.1745035525</v>
          </cell>
          <cell r="BR50">
            <v>23.004271447499999</v>
          </cell>
          <cell r="BS50">
            <v>0</v>
          </cell>
          <cell r="BT50">
            <v>0</v>
          </cell>
          <cell r="BU50">
            <v>0</v>
          </cell>
          <cell r="BW50">
            <v>187.178775</v>
          </cell>
          <cell r="BX50">
            <v>164.1745035525</v>
          </cell>
          <cell r="BY50">
            <v>23.004271447499999</v>
          </cell>
          <cell r="BZ50">
            <v>0</v>
          </cell>
          <cell r="CA50">
            <v>0</v>
          </cell>
          <cell r="CB50">
            <v>0</v>
          </cell>
          <cell r="CD50">
            <v>187.178775</v>
          </cell>
          <cell r="CE50">
            <v>164.1745035525</v>
          </cell>
          <cell r="CF50">
            <v>23.004271447499999</v>
          </cell>
          <cell r="CG50">
            <v>0</v>
          </cell>
          <cell r="CH50">
            <v>0</v>
          </cell>
          <cell r="CI50">
            <v>0</v>
          </cell>
          <cell r="CK50">
            <v>187.178775</v>
          </cell>
          <cell r="CL50">
            <v>164.1745035525</v>
          </cell>
          <cell r="CM50">
            <v>23.004271447499999</v>
          </cell>
          <cell r="CN50">
            <v>0</v>
          </cell>
          <cell r="CO50">
            <v>0</v>
          </cell>
          <cell r="CP50">
            <v>0</v>
          </cell>
        </row>
        <row r="51">
          <cell r="L51">
            <v>140.68603946249999</v>
          </cell>
          <cell r="M51">
            <v>123.39572521255874</v>
          </cell>
          <cell r="N51">
            <v>17.290314249941247</v>
          </cell>
          <cell r="O51">
            <v>138.96382835668541</v>
          </cell>
          <cell r="P51">
            <v>2.937354484819144</v>
          </cell>
          <cell r="Q51">
            <v>141.90118284150455</v>
          </cell>
          <cell r="S51">
            <v>140.68603946249999</v>
          </cell>
          <cell r="T51">
            <v>123.39572521255874</v>
          </cell>
          <cell r="U51">
            <v>17.290314249941247</v>
          </cell>
          <cell r="V51">
            <v>135.34438691638772</v>
          </cell>
          <cell r="W51">
            <v>2.8608483704372776</v>
          </cell>
          <cell r="X51">
            <v>138.205235286825</v>
          </cell>
          <cell r="Z51">
            <v>140.68603946249999</v>
          </cell>
          <cell r="AA51">
            <v>123.39572521255874</v>
          </cell>
          <cell r="AB51">
            <v>17.290314249941247</v>
          </cell>
          <cell r="AC51">
            <v>125.87540872683759</v>
          </cell>
          <cell r="AD51">
            <v>2.6606973967584375</v>
          </cell>
          <cell r="AE51">
            <v>128.53610612359603</v>
          </cell>
          <cell r="AG51">
            <v>140.68603946249999</v>
          </cell>
          <cell r="AH51">
            <v>123.39572521255874</v>
          </cell>
          <cell r="AI51">
            <v>17.290314249941247</v>
          </cell>
          <cell r="AJ51">
            <v>167.87716011339538</v>
          </cell>
          <cell r="AK51">
            <v>3.5485114003342022</v>
          </cell>
          <cell r="AL51">
            <v>171.42567151372958</v>
          </cell>
          <cell r="AN51">
            <v>140.68603946249999</v>
          </cell>
          <cell r="AO51">
            <v>123.39572521255874</v>
          </cell>
          <cell r="AP51">
            <v>17.290314249941247</v>
          </cell>
          <cell r="AQ51">
            <v>0</v>
          </cell>
          <cell r="AR51">
            <v>0</v>
          </cell>
          <cell r="AS51">
            <v>0</v>
          </cell>
          <cell r="AU51">
            <v>140.68603946249999</v>
          </cell>
          <cell r="AV51">
            <v>123.39572521255874</v>
          </cell>
          <cell r="AW51">
            <v>17.290314249941247</v>
          </cell>
          <cell r="AX51">
            <v>0</v>
          </cell>
          <cell r="AY51">
            <v>0</v>
          </cell>
          <cell r="AZ51">
            <v>0</v>
          </cell>
          <cell r="BB51">
            <v>140.68603946249999</v>
          </cell>
          <cell r="BC51">
            <v>123.39572521255874</v>
          </cell>
          <cell r="BD51">
            <v>17.290314249941247</v>
          </cell>
          <cell r="BE51">
            <v>0</v>
          </cell>
          <cell r="BF51">
            <v>0</v>
          </cell>
          <cell r="BG51">
            <v>0</v>
          </cell>
          <cell r="BI51">
            <v>140.68603946249999</v>
          </cell>
          <cell r="BJ51">
            <v>123.39572521255874</v>
          </cell>
          <cell r="BK51">
            <v>17.290314249941247</v>
          </cell>
          <cell r="BL51">
            <v>0</v>
          </cell>
          <cell r="BM51">
            <v>0</v>
          </cell>
          <cell r="BN51">
            <v>0</v>
          </cell>
          <cell r="BP51">
            <v>140.68603946249999</v>
          </cell>
          <cell r="BQ51">
            <v>123.39572521255874</v>
          </cell>
          <cell r="BR51">
            <v>17.290314249941247</v>
          </cell>
          <cell r="BS51">
            <v>0</v>
          </cell>
          <cell r="BT51">
            <v>0</v>
          </cell>
          <cell r="BU51">
            <v>0</v>
          </cell>
          <cell r="BW51">
            <v>140.68603946249999</v>
          </cell>
          <cell r="BX51">
            <v>123.39572521255874</v>
          </cell>
          <cell r="BY51">
            <v>17.290314249941247</v>
          </cell>
          <cell r="BZ51">
            <v>0</v>
          </cell>
          <cell r="CA51">
            <v>0</v>
          </cell>
          <cell r="CB51">
            <v>0</v>
          </cell>
          <cell r="CD51">
            <v>140.68603946249999</v>
          </cell>
          <cell r="CE51">
            <v>123.39572521255874</v>
          </cell>
          <cell r="CF51">
            <v>17.290314249941247</v>
          </cell>
          <cell r="CG51">
            <v>0</v>
          </cell>
          <cell r="CH51">
            <v>0</v>
          </cell>
          <cell r="CI51">
            <v>0</v>
          </cell>
          <cell r="CK51">
            <v>140.68603946249999</v>
          </cell>
          <cell r="CL51">
            <v>123.39572521255874</v>
          </cell>
          <cell r="CM51">
            <v>17.290314249941247</v>
          </cell>
          <cell r="CN51">
            <v>0</v>
          </cell>
          <cell r="CO51">
            <v>0</v>
          </cell>
          <cell r="CP51">
            <v>0</v>
          </cell>
        </row>
        <row r="52">
          <cell r="L52">
            <v>1085</v>
          </cell>
          <cell r="M52">
            <v>951.65350000000001</v>
          </cell>
          <cell r="N52">
            <v>133.34649999999999</v>
          </cell>
          <cell r="O52">
            <v>7843.9301362519818</v>
          </cell>
          <cell r="P52">
            <v>165.80144370511184</v>
          </cell>
          <cell r="Q52">
            <v>8009.7315799570933</v>
          </cell>
          <cell r="S52">
            <v>1085</v>
          </cell>
          <cell r="T52">
            <v>951.65350000000001</v>
          </cell>
          <cell r="U52">
            <v>133.34649999999999</v>
          </cell>
          <cell r="V52">
            <v>1484.3929881787733</v>
          </cell>
          <cell r="W52">
            <v>31.376426891964265</v>
          </cell>
          <cell r="X52">
            <v>1515.7694150707375</v>
          </cell>
          <cell r="Z52">
            <v>1085</v>
          </cell>
          <cell r="AA52">
            <v>951.65350000000001</v>
          </cell>
          <cell r="AB52">
            <v>133.34649999999999</v>
          </cell>
          <cell r="AC52">
            <v>9069.8885133218573</v>
          </cell>
          <cell r="AD52">
            <v>191.71519679951234</v>
          </cell>
          <cell r="AE52">
            <v>9261.6037101213697</v>
          </cell>
          <cell r="AG52">
            <v>1085</v>
          </cell>
          <cell r="AH52">
            <v>951.65350000000001</v>
          </cell>
          <cell r="AI52">
            <v>133.34649999999999</v>
          </cell>
          <cell r="AJ52">
            <v>7221.9315593386873</v>
          </cell>
          <cell r="AK52">
            <v>152.65391941009989</v>
          </cell>
          <cell r="AL52">
            <v>7374.585478748787</v>
          </cell>
          <cell r="AN52">
            <v>1085</v>
          </cell>
          <cell r="AO52">
            <v>951.65350000000001</v>
          </cell>
          <cell r="AP52">
            <v>133.34649999999999</v>
          </cell>
          <cell r="AQ52">
            <v>0</v>
          </cell>
          <cell r="AR52">
            <v>0</v>
          </cell>
          <cell r="AS52">
            <v>0</v>
          </cell>
          <cell r="AU52">
            <v>1085</v>
          </cell>
          <cell r="AV52">
            <v>951.65350000000001</v>
          </cell>
          <cell r="AW52">
            <v>133.34649999999999</v>
          </cell>
          <cell r="AX52">
            <v>0</v>
          </cell>
          <cell r="AY52">
            <v>0</v>
          </cell>
          <cell r="AZ52">
            <v>0</v>
          </cell>
          <cell r="BB52">
            <v>1085</v>
          </cell>
          <cell r="BC52">
            <v>951.65350000000001</v>
          </cell>
          <cell r="BD52">
            <v>133.34649999999999</v>
          </cell>
          <cell r="BE52">
            <v>0</v>
          </cell>
          <cell r="BF52">
            <v>0</v>
          </cell>
          <cell r="BG52">
            <v>0</v>
          </cell>
          <cell r="BI52">
            <v>1085</v>
          </cell>
          <cell r="BJ52">
            <v>951.65350000000001</v>
          </cell>
          <cell r="BK52">
            <v>133.34649999999999</v>
          </cell>
          <cell r="BL52">
            <v>0</v>
          </cell>
          <cell r="BM52">
            <v>0</v>
          </cell>
          <cell r="BN52">
            <v>0</v>
          </cell>
          <cell r="BP52">
            <v>1085</v>
          </cell>
          <cell r="BQ52">
            <v>951.65350000000001</v>
          </cell>
          <cell r="BR52">
            <v>133.34649999999999</v>
          </cell>
          <cell r="BS52">
            <v>0</v>
          </cell>
          <cell r="BT52">
            <v>0</v>
          </cell>
          <cell r="BU52">
            <v>0</v>
          </cell>
          <cell r="BW52">
            <v>1085</v>
          </cell>
          <cell r="BX52">
            <v>951.65350000000001</v>
          </cell>
          <cell r="BY52">
            <v>133.34649999999999</v>
          </cell>
          <cell r="BZ52">
            <v>0</v>
          </cell>
          <cell r="CA52">
            <v>0</v>
          </cell>
          <cell r="CB52">
            <v>0</v>
          </cell>
          <cell r="CD52">
            <v>1085</v>
          </cell>
          <cell r="CE52">
            <v>951.65350000000001</v>
          </cell>
          <cell r="CF52">
            <v>133.34649999999999</v>
          </cell>
          <cell r="CG52">
            <v>0</v>
          </cell>
          <cell r="CH52">
            <v>0</v>
          </cell>
          <cell r="CI52">
            <v>0</v>
          </cell>
          <cell r="CK52">
            <v>1085</v>
          </cell>
          <cell r="CL52">
            <v>951.65350000000001</v>
          </cell>
          <cell r="CM52">
            <v>133.34649999999999</v>
          </cell>
          <cell r="CN52">
            <v>0</v>
          </cell>
          <cell r="CO52">
            <v>0</v>
          </cell>
          <cell r="CP52">
            <v>0</v>
          </cell>
        </row>
        <row r="53">
          <cell r="L53">
            <v>542.5</v>
          </cell>
          <cell r="M53">
            <v>475.82675</v>
          </cell>
          <cell r="N53">
            <v>66.673249999999996</v>
          </cell>
          <cell r="O53">
            <v>0</v>
          </cell>
          <cell r="P53">
            <v>0</v>
          </cell>
          <cell r="Q53">
            <v>0</v>
          </cell>
          <cell r="S53">
            <v>542.5</v>
          </cell>
          <cell r="T53">
            <v>475.82675</v>
          </cell>
          <cell r="U53">
            <v>66.673249999999996</v>
          </cell>
          <cell r="V53">
            <v>17.50316434626475</v>
          </cell>
          <cell r="W53">
            <v>0.36997396300181795</v>
          </cell>
          <cell r="X53">
            <v>17.873138309266569</v>
          </cell>
          <cell r="Z53">
            <v>542.5</v>
          </cell>
          <cell r="AA53">
            <v>475.82675</v>
          </cell>
          <cell r="AB53">
            <v>66.673249999999996</v>
          </cell>
          <cell r="AC53">
            <v>0</v>
          </cell>
          <cell r="AD53">
            <v>0</v>
          </cell>
          <cell r="AE53">
            <v>0</v>
          </cell>
          <cell r="AG53">
            <v>542.5</v>
          </cell>
          <cell r="AH53">
            <v>475.82675</v>
          </cell>
          <cell r="AI53">
            <v>66.673249999999996</v>
          </cell>
          <cell r="AJ53">
            <v>0</v>
          </cell>
          <cell r="AK53">
            <v>0</v>
          </cell>
          <cell r="AL53">
            <v>0</v>
          </cell>
          <cell r="AN53">
            <v>542.5</v>
          </cell>
          <cell r="AO53">
            <v>475.82675</v>
          </cell>
          <cell r="AP53">
            <v>66.673249999999996</v>
          </cell>
          <cell r="AQ53">
            <v>0</v>
          </cell>
          <cell r="AR53">
            <v>0</v>
          </cell>
          <cell r="AS53">
            <v>0</v>
          </cell>
          <cell r="AU53">
            <v>542.5</v>
          </cell>
          <cell r="AV53">
            <v>475.82675</v>
          </cell>
          <cell r="AW53">
            <v>66.673249999999996</v>
          </cell>
          <cell r="AX53">
            <v>0</v>
          </cell>
          <cell r="AY53">
            <v>0</v>
          </cell>
          <cell r="AZ53">
            <v>0</v>
          </cell>
          <cell r="BB53">
            <v>542.5</v>
          </cell>
          <cell r="BC53">
            <v>475.82675</v>
          </cell>
          <cell r="BD53">
            <v>66.673249999999996</v>
          </cell>
          <cell r="BE53">
            <v>0</v>
          </cell>
          <cell r="BF53">
            <v>0</v>
          </cell>
          <cell r="BG53">
            <v>0</v>
          </cell>
          <cell r="BI53">
            <v>542.5</v>
          </cell>
          <cell r="BJ53">
            <v>475.82675</v>
          </cell>
          <cell r="BK53">
            <v>66.673249999999996</v>
          </cell>
          <cell r="BL53">
            <v>0</v>
          </cell>
          <cell r="BM53">
            <v>0</v>
          </cell>
          <cell r="BN53">
            <v>0</v>
          </cell>
          <cell r="BP53">
            <v>542.5</v>
          </cell>
          <cell r="BQ53">
            <v>475.82675</v>
          </cell>
          <cell r="BR53">
            <v>66.673249999999996</v>
          </cell>
          <cell r="BS53">
            <v>0</v>
          </cell>
          <cell r="BT53">
            <v>0</v>
          </cell>
          <cell r="BU53">
            <v>0</v>
          </cell>
          <cell r="BW53">
            <v>542.5</v>
          </cell>
          <cell r="BX53">
            <v>475.82675</v>
          </cell>
          <cell r="BY53">
            <v>66.673249999999996</v>
          </cell>
          <cell r="BZ53">
            <v>0</v>
          </cell>
          <cell r="CA53">
            <v>0</v>
          </cell>
          <cell r="CB53">
            <v>0</v>
          </cell>
          <cell r="CD53">
            <v>542.5</v>
          </cell>
          <cell r="CE53">
            <v>475.82675</v>
          </cell>
          <cell r="CF53">
            <v>66.673249999999996</v>
          </cell>
          <cell r="CG53">
            <v>0</v>
          </cell>
          <cell r="CH53">
            <v>0</v>
          </cell>
          <cell r="CI53">
            <v>0</v>
          </cell>
          <cell r="CK53">
            <v>542.5</v>
          </cell>
          <cell r="CL53">
            <v>475.82675</v>
          </cell>
          <cell r="CM53">
            <v>66.673249999999996</v>
          </cell>
          <cell r="CN53">
            <v>0</v>
          </cell>
          <cell r="CO53">
            <v>0</v>
          </cell>
          <cell r="CP53">
            <v>0</v>
          </cell>
        </row>
        <row r="54">
          <cell r="L54">
            <v>8782.4395366890403</v>
          </cell>
          <cell r="M54">
            <v>7703.0777176299571</v>
          </cell>
          <cell r="N54">
            <v>1079.361819059083</v>
          </cell>
          <cell r="O54">
            <v>1859.2500149999998</v>
          </cell>
          <cell r="P54">
            <v>39.299985</v>
          </cell>
          <cell r="Q54">
            <v>1898.55</v>
          </cell>
          <cell r="S54">
            <v>8782.4395366890403</v>
          </cell>
          <cell r="T54">
            <v>7703.0777176299571</v>
          </cell>
          <cell r="U54">
            <v>1079.361819059083</v>
          </cell>
          <cell r="V54">
            <v>9033.5252998561937</v>
          </cell>
          <cell r="W54">
            <v>190.94656765753416</v>
          </cell>
          <cell r="X54">
            <v>9224.4718675137283</v>
          </cell>
          <cell r="Z54">
            <v>8782.4395366890403</v>
          </cell>
          <cell r="AA54">
            <v>7703.0777176299571</v>
          </cell>
          <cell r="AB54">
            <v>1079.361819059083</v>
          </cell>
          <cell r="AC54">
            <v>6044.9703563494131</v>
          </cell>
          <cell r="AD54">
            <v>127.7758463968476</v>
          </cell>
          <cell r="AE54">
            <v>6172.7462027462607</v>
          </cell>
          <cell r="AG54">
            <v>8782.4395366890403</v>
          </cell>
          <cell r="AH54">
            <v>7703.0777176299571</v>
          </cell>
          <cell r="AI54">
            <v>1079.361819059083</v>
          </cell>
          <cell r="AJ54">
            <v>0</v>
          </cell>
          <cell r="AK54">
            <v>0</v>
          </cell>
          <cell r="AL54">
            <v>0</v>
          </cell>
          <cell r="AN54">
            <v>8782.4395366890403</v>
          </cell>
          <cell r="AO54">
            <v>7703.0777176299571</v>
          </cell>
          <cell r="AP54">
            <v>1079.361819059083</v>
          </cell>
          <cell r="AQ54">
            <v>0</v>
          </cell>
          <cell r="AR54">
            <v>0</v>
          </cell>
          <cell r="AS54">
            <v>0</v>
          </cell>
          <cell r="AU54">
            <v>8782.4395366890403</v>
          </cell>
          <cell r="AV54">
            <v>7703.0777176299571</v>
          </cell>
          <cell r="AW54">
            <v>1079.361819059083</v>
          </cell>
          <cell r="AX54">
            <v>0</v>
          </cell>
          <cell r="AY54">
            <v>0</v>
          </cell>
          <cell r="AZ54">
            <v>0</v>
          </cell>
          <cell r="BB54">
            <v>8782.4395366890403</v>
          </cell>
          <cell r="BC54">
            <v>7703.0777176299571</v>
          </cell>
          <cell r="BD54">
            <v>1079.361819059083</v>
          </cell>
          <cell r="BE54">
            <v>0</v>
          </cell>
          <cell r="BF54">
            <v>0</v>
          </cell>
          <cell r="BG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</row>
        <row r="56">
          <cell r="L56">
            <v>-4718.3280493079583</v>
          </cell>
          <cell r="M56">
            <v>-4138.4455320480101</v>
          </cell>
          <cell r="N56">
            <v>-579.88251725994803</v>
          </cell>
          <cell r="O56">
            <v>0</v>
          </cell>
          <cell r="P56">
            <v>0</v>
          </cell>
          <cell r="Q56">
            <v>0</v>
          </cell>
          <cell r="S56">
            <v>-4718.3280493079583</v>
          </cell>
          <cell r="T56">
            <v>-4138.4455320480101</v>
          </cell>
          <cell r="U56">
            <v>-579.88251725994803</v>
          </cell>
          <cell r="V56">
            <v>-22905.396563941154</v>
          </cell>
          <cell r="W56">
            <v>-484.16390163747769</v>
          </cell>
          <cell r="X56">
            <v>-23389.560465578634</v>
          </cell>
          <cell r="Z56">
            <v>-4718.3280493079583</v>
          </cell>
          <cell r="AA56">
            <v>-4138.4455320480101</v>
          </cell>
          <cell r="AB56">
            <v>-579.88251725994803</v>
          </cell>
          <cell r="AC56">
            <v>939.37652225799934</v>
          </cell>
          <cell r="AD56">
            <v>19.856115603737962</v>
          </cell>
          <cell r="AE56">
            <v>959.23263786173732</v>
          </cell>
          <cell r="AG56">
            <v>-4718.3280493079583</v>
          </cell>
          <cell r="AH56">
            <v>-4138.4455320480101</v>
          </cell>
          <cell r="AI56">
            <v>-579.88251725994803</v>
          </cell>
          <cell r="AJ56">
            <v>-13956.981699173006</v>
          </cell>
          <cell r="AK56">
            <v>-295.01635982117966</v>
          </cell>
          <cell r="AL56">
            <v>-14251.998058994186</v>
          </cell>
          <cell r="AN56">
            <v>-4718.3280493079583</v>
          </cell>
          <cell r="AO56">
            <v>-4138.4455320480101</v>
          </cell>
          <cell r="AP56">
            <v>-579.88251725994803</v>
          </cell>
          <cell r="AQ56">
            <v>0</v>
          </cell>
          <cell r="AR56">
            <v>0</v>
          </cell>
          <cell r="AS56">
            <v>0</v>
          </cell>
          <cell r="AU56">
            <v>-4718.3280493079583</v>
          </cell>
          <cell r="AV56">
            <v>-4138.4455320480101</v>
          </cell>
          <cell r="AW56">
            <v>-579.88251725994803</v>
          </cell>
          <cell r="AX56">
            <v>0</v>
          </cell>
          <cell r="AY56">
            <v>0</v>
          </cell>
          <cell r="AZ56">
            <v>0</v>
          </cell>
          <cell r="BB56">
            <v>-4718.3280493079583</v>
          </cell>
          <cell r="BC56">
            <v>-4138.4455320480101</v>
          </cell>
          <cell r="BD56">
            <v>-579.88251725994803</v>
          </cell>
          <cell r="BE56">
            <v>0</v>
          </cell>
          <cell r="BF56">
            <v>0</v>
          </cell>
          <cell r="BG56">
            <v>0</v>
          </cell>
          <cell r="BI56">
            <v>-4718.3280493079583</v>
          </cell>
          <cell r="BJ56">
            <v>-4138.4455320480101</v>
          </cell>
          <cell r="BK56">
            <v>-579.88251725994803</v>
          </cell>
          <cell r="BL56">
            <v>0</v>
          </cell>
          <cell r="BM56">
            <v>0</v>
          </cell>
          <cell r="BN56">
            <v>0</v>
          </cell>
          <cell r="BP56">
            <v>-4718.3280493079583</v>
          </cell>
          <cell r="BQ56">
            <v>-4138.4455320480101</v>
          </cell>
          <cell r="BR56">
            <v>-579.88251725994803</v>
          </cell>
          <cell r="BS56">
            <v>0</v>
          </cell>
          <cell r="BT56">
            <v>0</v>
          </cell>
          <cell r="BU56">
            <v>0</v>
          </cell>
          <cell r="BW56">
            <v>-4718.3280493079583</v>
          </cell>
          <cell r="BX56">
            <v>-4138.4455320480101</v>
          </cell>
          <cell r="BY56">
            <v>-579.88251725994803</v>
          </cell>
          <cell r="BZ56">
            <v>0</v>
          </cell>
          <cell r="CA56">
            <v>0</v>
          </cell>
          <cell r="CB56">
            <v>0</v>
          </cell>
          <cell r="CD56">
            <v>-4718.3280493079583</v>
          </cell>
          <cell r="CE56">
            <v>-4138.4455320480101</v>
          </cell>
          <cell r="CF56">
            <v>-579.88251725994803</v>
          </cell>
          <cell r="CG56">
            <v>0</v>
          </cell>
          <cell r="CH56">
            <v>0</v>
          </cell>
          <cell r="CI56">
            <v>0</v>
          </cell>
          <cell r="CK56">
            <v>-4718.3280493079583</v>
          </cell>
          <cell r="CL56">
            <v>-4138.4455320480101</v>
          </cell>
          <cell r="CM56">
            <v>-579.88251725994803</v>
          </cell>
          <cell r="CN56">
            <v>0</v>
          </cell>
          <cell r="CO56">
            <v>0</v>
          </cell>
          <cell r="CP56">
            <v>0</v>
          </cell>
        </row>
        <row r="57">
          <cell r="L57">
            <v>-1572.7760164359861</v>
          </cell>
          <cell r="M57">
            <v>-1379.4818440160034</v>
          </cell>
          <cell r="N57">
            <v>-193.29417241998269</v>
          </cell>
          <cell r="O57">
            <v>-6184.4146128075745</v>
          </cell>
          <cell r="P57">
            <v>-130.72335595335116</v>
          </cell>
          <cell r="Q57">
            <v>-6315.137968760926</v>
          </cell>
          <cell r="S57">
            <v>-1572.7760164359861</v>
          </cell>
          <cell r="T57">
            <v>-1379.4818440160034</v>
          </cell>
          <cell r="U57">
            <v>-193.29417241998269</v>
          </cell>
          <cell r="V57">
            <v>-913.7547722236767</v>
          </cell>
          <cell r="W57">
            <v>-19.31453465233341</v>
          </cell>
          <cell r="X57">
            <v>-933.06930687601016</v>
          </cell>
          <cell r="Z57">
            <v>-1572.7760164359861</v>
          </cell>
          <cell r="AA57">
            <v>-1379.4818440160034</v>
          </cell>
          <cell r="AB57">
            <v>-193.29417241998269</v>
          </cell>
          <cell r="AC57">
            <v>-4017.4793685199988</v>
          </cell>
          <cell r="AD57">
            <v>-84.919659888046539</v>
          </cell>
          <cell r="AE57">
            <v>-4102.3990284080455</v>
          </cell>
          <cell r="AG57">
            <v>-1572.7760164359861</v>
          </cell>
          <cell r="AH57">
            <v>-1379.4818440160034</v>
          </cell>
          <cell r="AI57">
            <v>-193.29417241998269</v>
          </cell>
          <cell r="AJ57">
            <v>0</v>
          </cell>
          <cell r="AK57">
            <v>0</v>
          </cell>
          <cell r="AL57">
            <v>0</v>
          </cell>
          <cell r="AN57">
            <v>-1572.7760164359861</v>
          </cell>
          <cell r="AO57">
            <v>-1379.4818440160034</v>
          </cell>
          <cell r="AP57">
            <v>-193.29417241998269</v>
          </cell>
          <cell r="AQ57">
            <v>0</v>
          </cell>
          <cell r="AR57">
            <v>0</v>
          </cell>
          <cell r="AS57">
            <v>0</v>
          </cell>
          <cell r="AU57">
            <v>-1572.7760164359861</v>
          </cell>
          <cell r="AV57">
            <v>-1379.4818440160034</v>
          </cell>
          <cell r="AW57">
            <v>-193.29417241998269</v>
          </cell>
          <cell r="AX57">
            <v>0</v>
          </cell>
          <cell r="AY57">
            <v>0</v>
          </cell>
          <cell r="AZ57">
            <v>0</v>
          </cell>
          <cell r="BB57">
            <v>-1572.7760164359861</v>
          </cell>
          <cell r="BC57">
            <v>-1379.4818440160034</v>
          </cell>
          <cell r="BD57">
            <v>-193.29417241998269</v>
          </cell>
          <cell r="BE57">
            <v>0</v>
          </cell>
          <cell r="BF57">
            <v>0</v>
          </cell>
          <cell r="BG57">
            <v>0</v>
          </cell>
          <cell r="BI57">
            <v>-1572.7760164359861</v>
          </cell>
          <cell r="BJ57">
            <v>-1379.4818440160034</v>
          </cell>
          <cell r="BK57">
            <v>-193.29417241998269</v>
          </cell>
          <cell r="BL57">
            <v>0</v>
          </cell>
          <cell r="BM57">
            <v>0</v>
          </cell>
          <cell r="BN57">
            <v>0</v>
          </cell>
          <cell r="BP57">
            <v>-1572.7760164359861</v>
          </cell>
          <cell r="BQ57">
            <v>-1379.4818440160034</v>
          </cell>
          <cell r="BR57">
            <v>-193.29417241998269</v>
          </cell>
          <cell r="BS57">
            <v>0</v>
          </cell>
          <cell r="BT57">
            <v>0</v>
          </cell>
          <cell r="BU57">
            <v>0</v>
          </cell>
          <cell r="BW57">
            <v>-1572.7760164359861</v>
          </cell>
          <cell r="BX57">
            <v>-1379.4818440160034</v>
          </cell>
          <cell r="BY57">
            <v>-193.29417241998269</v>
          </cell>
          <cell r="BZ57">
            <v>0</v>
          </cell>
          <cell r="CA57">
            <v>0</v>
          </cell>
          <cell r="CB57">
            <v>0</v>
          </cell>
          <cell r="CD57">
            <v>-1572.7760164359861</v>
          </cell>
          <cell r="CE57">
            <v>-1379.4818440160034</v>
          </cell>
          <cell r="CF57">
            <v>-193.29417241998269</v>
          </cell>
          <cell r="CG57">
            <v>0</v>
          </cell>
          <cell r="CH57">
            <v>0</v>
          </cell>
          <cell r="CI57">
            <v>0</v>
          </cell>
          <cell r="CK57">
            <v>-1572.7760164359861</v>
          </cell>
          <cell r="CL57">
            <v>-1379.4818440160034</v>
          </cell>
          <cell r="CM57">
            <v>-193.29417241998269</v>
          </cell>
          <cell r="CN57">
            <v>0</v>
          </cell>
          <cell r="CO57">
            <v>0</v>
          </cell>
          <cell r="CP57">
            <v>0</v>
          </cell>
        </row>
      </sheetData>
      <sheetData sheetId="10">
        <row r="4">
          <cell r="L4">
            <v>3419.18662124</v>
          </cell>
          <cell r="M4">
            <v>2998.9685854896043</v>
          </cell>
          <cell r="N4">
            <v>420.21803575039598</v>
          </cell>
          <cell r="O4">
            <v>3361.546080481437</v>
          </cell>
          <cell r="P4"/>
          <cell r="Q4">
            <v>3361.546080481437</v>
          </cell>
          <cell r="S4">
            <v>5153.1422212400003</v>
          </cell>
          <cell r="T4">
            <v>4519.821042249604</v>
          </cell>
          <cell r="U4">
            <v>633.32117899039599</v>
          </cell>
          <cell r="V4">
            <v>3261.5486212635187</v>
          </cell>
          <cell r="W4"/>
          <cell r="X4">
            <v>3261.5486212635187</v>
          </cell>
          <cell r="Z4">
            <v>3419.18662124</v>
          </cell>
          <cell r="AA4">
            <v>2998.9685854896043</v>
          </cell>
          <cell r="AB4">
            <v>420.21803575039598</v>
          </cell>
          <cell r="AC4">
            <v>4221.370068556389</v>
          </cell>
          <cell r="AD4"/>
          <cell r="AE4">
            <v>4221.370068556389</v>
          </cell>
          <cell r="AG4">
            <v>3419.18662124</v>
          </cell>
          <cell r="AH4">
            <v>2998.9685854896043</v>
          </cell>
          <cell r="AI4">
            <v>420.21803575039598</v>
          </cell>
          <cell r="AJ4">
            <v>6528.8373550390506</v>
          </cell>
          <cell r="AK4"/>
          <cell r="AL4">
            <v>6528.8373550390506</v>
          </cell>
          <cell r="AN4">
            <v>3419.18662124</v>
          </cell>
          <cell r="AO4">
            <v>2998.9685854896043</v>
          </cell>
          <cell r="AP4">
            <v>420.21803575039598</v>
          </cell>
          <cell r="AQ4">
            <v>0</v>
          </cell>
          <cell r="AR4"/>
          <cell r="AS4">
            <v>0</v>
          </cell>
          <cell r="AU4">
            <v>3419.18662124</v>
          </cell>
          <cell r="AV4">
            <v>2998.9685854896043</v>
          </cell>
          <cell r="AW4">
            <v>420.21803575039598</v>
          </cell>
          <cell r="AX4">
            <v>0</v>
          </cell>
          <cell r="AY4"/>
          <cell r="BB4">
            <v>3419.18662124</v>
          </cell>
          <cell r="BC4">
            <v>2998.9685854896043</v>
          </cell>
          <cell r="BD4">
            <v>420.21803575039598</v>
          </cell>
          <cell r="BE4">
            <v>0</v>
          </cell>
          <cell r="BF4"/>
          <cell r="BG4">
            <v>0</v>
          </cell>
          <cell r="BI4">
            <v>3692.7215509392004</v>
          </cell>
          <cell r="BJ4">
            <v>3238.8860723287726</v>
          </cell>
          <cell r="BK4">
            <v>453.83547861042769</v>
          </cell>
          <cell r="BL4">
            <v>0</v>
          </cell>
          <cell r="BM4"/>
          <cell r="BN4">
            <v>0</v>
          </cell>
          <cell r="BP4">
            <v>3692.7215509392004</v>
          </cell>
          <cell r="BQ4">
            <v>3238.8860723287726</v>
          </cell>
          <cell r="BR4">
            <v>453.83547861042769</v>
          </cell>
          <cell r="BS4">
            <v>0</v>
          </cell>
          <cell r="BT4"/>
          <cell r="BU4">
            <v>0</v>
          </cell>
          <cell r="BW4">
            <v>3692.7215509392004</v>
          </cell>
          <cell r="BX4">
            <v>3238.8860723287726</v>
          </cell>
          <cell r="BY4">
            <v>453.83547861042769</v>
          </cell>
          <cell r="BZ4">
            <v>0</v>
          </cell>
          <cell r="CA4"/>
          <cell r="CB4">
            <v>0</v>
          </cell>
          <cell r="CD4">
            <v>3692.7215509392004</v>
          </cell>
          <cell r="CE4">
            <v>3238.8860723287726</v>
          </cell>
          <cell r="CF4">
            <v>453.83547861042769</v>
          </cell>
          <cell r="CG4">
            <v>0</v>
          </cell>
          <cell r="CH4"/>
          <cell r="CI4">
            <v>0</v>
          </cell>
          <cell r="CK4">
            <v>3692.7215509392004</v>
          </cell>
          <cell r="CL4">
            <v>3238.8860723287726</v>
          </cell>
          <cell r="CM4">
            <v>453.83547861042769</v>
          </cell>
          <cell r="CN4">
            <v>0</v>
          </cell>
          <cell r="CO4"/>
          <cell r="CP4">
            <v>0</v>
          </cell>
        </row>
        <row r="5">
          <cell r="L5">
            <v>159.9</v>
          </cell>
          <cell r="M5">
            <v>140.24829</v>
          </cell>
          <cell r="N5">
            <v>19.651710000000001</v>
          </cell>
          <cell r="O5">
            <v>130.4033635948615</v>
          </cell>
          <cell r="P5"/>
          <cell r="Q5">
            <v>130.4033635948615</v>
          </cell>
          <cell r="S5">
            <v>159.9</v>
          </cell>
          <cell r="T5">
            <v>140.24829</v>
          </cell>
          <cell r="U5">
            <v>19.651710000000001</v>
          </cell>
          <cell r="V5">
            <v>120.72469823958716</v>
          </cell>
          <cell r="W5"/>
          <cell r="X5">
            <v>120.72469823958716</v>
          </cell>
          <cell r="Z5">
            <v>159.9</v>
          </cell>
          <cell r="AA5">
            <v>140.24829</v>
          </cell>
          <cell r="AB5">
            <v>19.651710000000001</v>
          </cell>
          <cell r="AC5">
            <v>55.050964218534503</v>
          </cell>
          <cell r="AD5"/>
          <cell r="AE5">
            <v>55.050964218534503</v>
          </cell>
          <cell r="AG5">
            <v>159.9</v>
          </cell>
          <cell r="AH5">
            <v>140.24829</v>
          </cell>
          <cell r="AI5">
            <v>19.651710000000001</v>
          </cell>
          <cell r="AJ5">
            <v>249.59282892699369</v>
          </cell>
          <cell r="AK5"/>
          <cell r="AL5">
            <v>249.59282892699369</v>
          </cell>
          <cell r="AN5">
            <v>159.9</v>
          </cell>
          <cell r="AO5">
            <v>140.24829</v>
          </cell>
          <cell r="AP5">
            <v>19.651710000000001</v>
          </cell>
          <cell r="AQ5">
            <v>0</v>
          </cell>
          <cell r="AR5"/>
          <cell r="AS5">
            <v>0</v>
          </cell>
          <cell r="AU5">
            <v>159.9</v>
          </cell>
          <cell r="AV5">
            <v>140.24829</v>
          </cell>
          <cell r="AW5">
            <v>19.651710000000001</v>
          </cell>
          <cell r="AX5">
            <v>0</v>
          </cell>
          <cell r="AY5"/>
          <cell r="BB5">
            <v>159.9</v>
          </cell>
          <cell r="BC5">
            <v>140.24829</v>
          </cell>
          <cell r="BD5">
            <v>19.651710000000001</v>
          </cell>
          <cell r="BE5">
            <v>0</v>
          </cell>
          <cell r="BF5"/>
          <cell r="BG5">
            <v>0</v>
          </cell>
          <cell r="BI5">
            <v>159.9</v>
          </cell>
          <cell r="BJ5">
            <v>140.24829</v>
          </cell>
          <cell r="BK5">
            <v>19.651710000000001</v>
          </cell>
          <cell r="BL5">
            <v>0</v>
          </cell>
          <cell r="BM5"/>
          <cell r="BN5">
            <v>0</v>
          </cell>
          <cell r="BP5">
            <v>159.9</v>
          </cell>
          <cell r="BQ5">
            <v>140.24829</v>
          </cell>
          <cell r="BR5">
            <v>19.651710000000001</v>
          </cell>
          <cell r="BS5">
            <v>0</v>
          </cell>
          <cell r="BT5"/>
          <cell r="BU5">
            <v>0</v>
          </cell>
          <cell r="BW5">
            <v>159.9</v>
          </cell>
          <cell r="BX5">
            <v>140.24829</v>
          </cell>
          <cell r="BY5">
            <v>19.651710000000001</v>
          </cell>
          <cell r="BZ5">
            <v>0</v>
          </cell>
          <cell r="CA5"/>
          <cell r="CB5">
            <v>0</v>
          </cell>
          <cell r="CD5">
            <v>159.9</v>
          </cell>
          <cell r="CE5">
            <v>140.24829</v>
          </cell>
          <cell r="CF5">
            <v>19.651710000000001</v>
          </cell>
          <cell r="CG5">
            <v>0</v>
          </cell>
          <cell r="CH5"/>
          <cell r="CI5">
            <v>0</v>
          </cell>
          <cell r="CK5">
            <v>159.9</v>
          </cell>
          <cell r="CL5">
            <v>140.24829</v>
          </cell>
          <cell r="CM5">
            <v>19.651710000000001</v>
          </cell>
          <cell r="CN5">
            <v>0</v>
          </cell>
          <cell r="CO5"/>
          <cell r="CP5">
            <v>0</v>
          </cell>
        </row>
        <row r="6">
          <cell r="L6">
            <v>449.66323485200002</v>
          </cell>
          <cell r="M6">
            <v>394.39962328868921</v>
          </cell>
          <cell r="N6">
            <v>55.263611563310803</v>
          </cell>
          <cell r="O6">
            <v>435.33262075399887</v>
          </cell>
          <cell r="P6"/>
          <cell r="Q6">
            <v>435.33262075399887</v>
          </cell>
          <cell r="S6">
            <v>449.66323485200002</v>
          </cell>
          <cell r="T6">
            <v>394.39962328868921</v>
          </cell>
          <cell r="U6">
            <v>55.263611563310803</v>
          </cell>
          <cell r="V6">
            <v>410.96132993849341</v>
          </cell>
          <cell r="W6"/>
          <cell r="X6">
            <v>410.96132993849341</v>
          </cell>
          <cell r="Z6">
            <v>449.66323485200002</v>
          </cell>
          <cell r="AA6">
            <v>394.39962328868921</v>
          </cell>
          <cell r="AB6">
            <v>55.263611563310803</v>
          </cell>
          <cell r="AC6">
            <v>437.04062052257666</v>
          </cell>
          <cell r="AD6"/>
          <cell r="AE6">
            <v>437.04062052257666</v>
          </cell>
          <cell r="AG6">
            <v>449.66323485200002</v>
          </cell>
          <cell r="AH6">
            <v>394.39962328868921</v>
          </cell>
          <cell r="AI6">
            <v>55.263611563310803</v>
          </cell>
          <cell r="AJ6">
            <v>443.8396609956892</v>
          </cell>
          <cell r="AK6"/>
          <cell r="AL6">
            <v>443.8396609956892</v>
          </cell>
          <cell r="AN6">
            <v>449.66323485200002</v>
          </cell>
          <cell r="AO6">
            <v>394.39962328868921</v>
          </cell>
          <cell r="AP6">
            <v>55.263611563310803</v>
          </cell>
          <cell r="AQ6">
            <v>0</v>
          </cell>
          <cell r="AR6"/>
          <cell r="AS6">
            <v>0</v>
          </cell>
          <cell r="AU6">
            <v>449.66323485200002</v>
          </cell>
          <cell r="AV6">
            <v>394.39962328868921</v>
          </cell>
          <cell r="AW6">
            <v>55.263611563310803</v>
          </cell>
          <cell r="AX6">
            <v>0</v>
          </cell>
          <cell r="AY6"/>
          <cell r="BB6">
            <v>449.66323485200002</v>
          </cell>
          <cell r="BC6">
            <v>394.39962328868921</v>
          </cell>
          <cell r="BD6">
            <v>55.263611563310803</v>
          </cell>
          <cell r="BE6">
            <v>0</v>
          </cell>
          <cell r="BF6"/>
          <cell r="BG6">
            <v>0</v>
          </cell>
          <cell r="BI6">
            <v>484.15242164016001</v>
          </cell>
          <cell r="BJ6">
            <v>424.65008902058435</v>
          </cell>
          <cell r="BK6">
            <v>59.502332619575661</v>
          </cell>
          <cell r="BL6">
            <v>0</v>
          </cell>
          <cell r="BM6"/>
          <cell r="BN6">
            <v>0</v>
          </cell>
          <cell r="BP6">
            <v>484.15242164016001</v>
          </cell>
          <cell r="BQ6">
            <v>424.65008902058435</v>
          </cell>
          <cell r="BR6">
            <v>59.502332619575661</v>
          </cell>
          <cell r="BS6">
            <v>0</v>
          </cell>
          <cell r="BT6"/>
          <cell r="BU6">
            <v>0</v>
          </cell>
          <cell r="BW6">
            <v>484.15242164016001</v>
          </cell>
          <cell r="BX6">
            <v>424.65008902058435</v>
          </cell>
          <cell r="BY6">
            <v>59.502332619575661</v>
          </cell>
          <cell r="BZ6">
            <v>0</v>
          </cell>
          <cell r="CA6"/>
          <cell r="CB6">
            <v>0</v>
          </cell>
          <cell r="CD6">
            <v>484.15242164016001</v>
          </cell>
          <cell r="CE6">
            <v>424.65008902058435</v>
          </cell>
          <cell r="CF6">
            <v>59.502332619575661</v>
          </cell>
          <cell r="CG6">
            <v>0</v>
          </cell>
          <cell r="CH6"/>
          <cell r="CI6">
            <v>0</v>
          </cell>
          <cell r="CK6">
            <v>484.15242164016001</v>
          </cell>
          <cell r="CL6">
            <v>424.65008902058435</v>
          </cell>
          <cell r="CM6">
            <v>59.502332619575661</v>
          </cell>
          <cell r="CN6">
            <v>0</v>
          </cell>
          <cell r="CO6"/>
          <cell r="CP6">
            <v>0</v>
          </cell>
        </row>
        <row r="7">
          <cell r="L7">
            <v>348.87664773</v>
          </cell>
          <cell r="M7">
            <v>305.99970772398302</v>
          </cell>
          <cell r="N7">
            <v>42.876940006017001</v>
          </cell>
          <cell r="O7">
            <v>316.00387875228455</v>
          </cell>
          <cell r="P7"/>
          <cell r="Q7">
            <v>316.00387875228455</v>
          </cell>
          <cell r="S7">
            <v>348.87664773</v>
          </cell>
          <cell r="T7">
            <v>305.99970772398302</v>
          </cell>
          <cell r="U7">
            <v>42.876940006017001</v>
          </cell>
          <cell r="V7">
            <v>286.91897637500512</v>
          </cell>
          <cell r="W7"/>
          <cell r="X7">
            <v>286.91897637500512</v>
          </cell>
          <cell r="Z7">
            <v>348.87664773</v>
          </cell>
          <cell r="AA7">
            <v>305.99970772398302</v>
          </cell>
          <cell r="AB7">
            <v>42.876940006017001</v>
          </cell>
          <cell r="AC7">
            <v>300.25285692129762</v>
          </cell>
          <cell r="AD7"/>
          <cell r="AE7">
            <v>300.25285692129762</v>
          </cell>
          <cell r="AG7">
            <v>348.87664773</v>
          </cell>
          <cell r="AH7">
            <v>305.99970772398302</v>
          </cell>
          <cell r="AI7">
            <v>42.876940006017001</v>
          </cell>
          <cell r="AJ7">
            <v>307.58295614598472</v>
          </cell>
          <cell r="AK7"/>
          <cell r="AL7">
            <v>307.58295614598472</v>
          </cell>
          <cell r="AN7">
            <v>348.87664773</v>
          </cell>
          <cell r="AO7">
            <v>305.99970772398302</v>
          </cell>
          <cell r="AP7">
            <v>42.876940006017001</v>
          </cell>
          <cell r="AQ7">
            <v>0</v>
          </cell>
          <cell r="AR7"/>
          <cell r="AS7">
            <v>0</v>
          </cell>
          <cell r="AU7">
            <v>348.87664773</v>
          </cell>
          <cell r="AV7">
            <v>305.99970772398302</v>
          </cell>
          <cell r="AW7">
            <v>42.876940006017001</v>
          </cell>
          <cell r="AX7">
            <v>0</v>
          </cell>
          <cell r="AY7"/>
          <cell r="BB7">
            <v>348.87664773</v>
          </cell>
          <cell r="BC7">
            <v>305.99970772398302</v>
          </cell>
          <cell r="BD7">
            <v>42.876940006017001</v>
          </cell>
          <cell r="BE7">
            <v>0</v>
          </cell>
          <cell r="BF7"/>
          <cell r="BG7">
            <v>0</v>
          </cell>
          <cell r="BI7">
            <v>375.63549954839993</v>
          </cell>
          <cell r="BJ7">
            <v>329.46989665390157</v>
          </cell>
          <cell r="BK7">
            <v>46.165602894498349</v>
          </cell>
          <cell r="BL7">
            <v>0</v>
          </cell>
          <cell r="BM7"/>
          <cell r="BN7">
            <v>0</v>
          </cell>
          <cell r="BP7">
            <v>375.63549954839993</v>
          </cell>
          <cell r="BQ7">
            <v>329.46989665390157</v>
          </cell>
          <cell r="BR7">
            <v>46.165602894498349</v>
          </cell>
          <cell r="BS7">
            <v>0</v>
          </cell>
          <cell r="BT7"/>
          <cell r="BU7">
            <v>0</v>
          </cell>
          <cell r="BW7">
            <v>375.63549954839993</v>
          </cell>
          <cell r="BX7">
            <v>329.46989665390157</v>
          </cell>
          <cell r="BY7">
            <v>46.165602894498349</v>
          </cell>
          <cell r="BZ7">
            <v>0</v>
          </cell>
          <cell r="CA7"/>
          <cell r="CB7">
            <v>0</v>
          </cell>
          <cell r="CD7">
            <v>375.63549954839993</v>
          </cell>
          <cell r="CE7">
            <v>329.46989665390157</v>
          </cell>
          <cell r="CF7">
            <v>46.165602894498349</v>
          </cell>
          <cell r="CG7">
            <v>0</v>
          </cell>
          <cell r="CH7"/>
          <cell r="CI7">
            <v>0</v>
          </cell>
          <cell r="CK7">
            <v>375.63549954839993</v>
          </cell>
          <cell r="CL7">
            <v>329.46989665390157</v>
          </cell>
          <cell r="CM7">
            <v>46.165602894498349</v>
          </cell>
          <cell r="CN7">
            <v>0</v>
          </cell>
          <cell r="CO7"/>
          <cell r="CP7">
            <v>0</v>
          </cell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/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/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/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/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/>
          <cell r="AS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/>
          <cell r="BB8">
            <v>3939.8638534398001</v>
          </cell>
          <cell r="BC8">
            <v>3455.6545858520485</v>
          </cell>
          <cell r="BD8">
            <v>484.20926758775141</v>
          </cell>
          <cell r="BE8">
            <v>0</v>
          </cell>
          <cell r="BF8"/>
          <cell r="BG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/>
          <cell r="BN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/>
          <cell r="BU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/>
          <cell r="CB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/>
          <cell r="CI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/>
          <cell r="CP8">
            <v>0</v>
          </cell>
        </row>
        <row r="9">
          <cell r="L9">
            <v>259.71928219900002</v>
          </cell>
          <cell r="M9">
            <v>227.79978241674291</v>
          </cell>
          <cell r="N9">
            <v>31.919499782257102</v>
          </cell>
          <cell r="O9">
            <v>720.69775855958198</v>
          </cell>
          <cell r="P9"/>
          <cell r="Q9">
            <v>720.69775855958198</v>
          </cell>
          <cell r="S9">
            <v>259.71928219900002</v>
          </cell>
          <cell r="T9">
            <v>227.79978241674291</v>
          </cell>
          <cell r="U9">
            <v>31.919499782257102</v>
          </cell>
          <cell r="V9">
            <v>331.46837338897848</v>
          </cell>
          <cell r="W9"/>
          <cell r="X9">
            <v>331.46837338897848</v>
          </cell>
          <cell r="Z9">
            <v>259.71928219900002</v>
          </cell>
          <cell r="AA9">
            <v>227.79978241674291</v>
          </cell>
          <cell r="AB9">
            <v>31.919499782257102</v>
          </cell>
          <cell r="AC9">
            <v>12.601349055131475</v>
          </cell>
          <cell r="AD9"/>
          <cell r="AE9">
            <v>12.601349055131475</v>
          </cell>
          <cell r="AG9">
            <v>259.71928219900002</v>
          </cell>
          <cell r="AH9">
            <v>227.79978241674291</v>
          </cell>
          <cell r="AI9">
            <v>31.919499782257102</v>
          </cell>
          <cell r="AJ9">
            <v>0</v>
          </cell>
          <cell r="AK9"/>
          <cell r="AL9">
            <v>0</v>
          </cell>
          <cell r="AN9">
            <v>259.71928219900002</v>
          </cell>
          <cell r="AO9">
            <v>227.79978241674291</v>
          </cell>
          <cell r="AP9">
            <v>31.919499782257102</v>
          </cell>
          <cell r="AQ9">
            <v>0</v>
          </cell>
          <cell r="AR9"/>
          <cell r="AS9">
            <v>0</v>
          </cell>
          <cell r="AU9">
            <v>259.71928219900002</v>
          </cell>
          <cell r="AV9">
            <v>227.79978241674291</v>
          </cell>
          <cell r="AW9">
            <v>31.919499782257102</v>
          </cell>
          <cell r="AX9">
            <v>0</v>
          </cell>
          <cell r="AY9"/>
          <cell r="BB9">
            <v>259.71928219900002</v>
          </cell>
          <cell r="BC9">
            <v>227.79978241674291</v>
          </cell>
          <cell r="BD9">
            <v>31.919499782257102</v>
          </cell>
          <cell r="BE9">
            <v>0</v>
          </cell>
          <cell r="BF9"/>
          <cell r="BG9">
            <v>0</v>
          </cell>
          <cell r="BI9">
            <v>279.63976077491998</v>
          </cell>
          <cell r="BJ9">
            <v>245.27203417568231</v>
          </cell>
          <cell r="BK9">
            <v>34.367726599237663</v>
          </cell>
          <cell r="BL9">
            <v>0</v>
          </cell>
          <cell r="BM9"/>
          <cell r="BN9">
            <v>0</v>
          </cell>
          <cell r="BP9">
            <v>279.63976077491998</v>
          </cell>
          <cell r="BQ9">
            <v>245.27203417568231</v>
          </cell>
          <cell r="BR9">
            <v>34.367726599237663</v>
          </cell>
          <cell r="BS9">
            <v>0</v>
          </cell>
          <cell r="BT9"/>
          <cell r="BU9">
            <v>0</v>
          </cell>
          <cell r="BW9">
            <v>279.63976077491998</v>
          </cell>
          <cell r="BX9">
            <v>245.27203417568231</v>
          </cell>
          <cell r="BY9">
            <v>34.367726599237663</v>
          </cell>
          <cell r="BZ9">
            <v>0</v>
          </cell>
          <cell r="CA9"/>
          <cell r="CB9">
            <v>0</v>
          </cell>
          <cell r="CD9">
            <v>279.63976077491998</v>
          </cell>
          <cell r="CE9">
            <v>245.27203417568231</v>
          </cell>
          <cell r="CF9">
            <v>34.367726599237663</v>
          </cell>
          <cell r="CG9">
            <v>0</v>
          </cell>
          <cell r="CH9"/>
          <cell r="CI9">
            <v>0</v>
          </cell>
          <cell r="CK9">
            <v>279.63976077491998</v>
          </cell>
          <cell r="CL9">
            <v>245.27203417568231</v>
          </cell>
          <cell r="CM9">
            <v>34.367726599237663</v>
          </cell>
          <cell r="CN9">
            <v>0</v>
          </cell>
          <cell r="CO9"/>
          <cell r="CP9">
            <v>0</v>
          </cell>
        </row>
        <row r="10">
          <cell r="L10">
            <v>122.59</v>
          </cell>
          <cell r="M10">
            <v>107.523689</v>
          </cell>
          <cell r="N10">
            <v>15.066311000000001</v>
          </cell>
          <cell r="O10">
            <v>0</v>
          </cell>
          <cell r="P10"/>
          <cell r="Q10">
            <v>0</v>
          </cell>
          <cell r="S10">
            <v>122.59</v>
          </cell>
          <cell r="T10">
            <v>107.523689</v>
          </cell>
          <cell r="U10">
            <v>15.066311000000001</v>
          </cell>
          <cell r="V10">
            <v>71.764696158732306</v>
          </cell>
          <cell r="W10"/>
          <cell r="X10">
            <v>71.764696158732306</v>
          </cell>
          <cell r="Z10">
            <v>122.59</v>
          </cell>
          <cell r="AA10">
            <v>107.523689</v>
          </cell>
          <cell r="AB10">
            <v>15.066311000000001</v>
          </cell>
          <cell r="AC10">
            <v>86.117635390478753</v>
          </cell>
          <cell r="AD10"/>
          <cell r="AE10">
            <v>86.117635390478753</v>
          </cell>
          <cell r="AG10">
            <v>122.59</v>
          </cell>
          <cell r="AH10">
            <v>107.523689</v>
          </cell>
          <cell r="AI10">
            <v>15.066311000000001</v>
          </cell>
          <cell r="AJ10">
            <v>172.23527078095751</v>
          </cell>
          <cell r="AK10"/>
          <cell r="AL10">
            <v>172.23527078095751</v>
          </cell>
          <cell r="AN10">
            <v>122.59</v>
          </cell>
          <cell r="AO10">
            <v>107.523689</v>
          </cell>
          <cell r="AP10">
            <v>15.066311000000001</v>
          </cell>
          <cell r="AQ10">
            <v>0</v>
          </cell>
          <cell r="AR10"/>
          <cell r="AS10">
            <v>0</v>
          </cell>
          <cell r="AU10">
            <v>122.59</v>
          </cell>
          <cell r="AV10">
            <v>107.523689</v>
          </cell>
          <cell r="AW10">
            <v>15.066311000000001</v>
          </cell>
          <cell r="AX10">
            <v>0</v>
          </cell>
          <cell r="AY10"/>
          <cell r="BB10">
            <v>122.59</v>
          </cell>
          <cell r="BC10">
            <v>107.523689</v>
          </cell>
          <cell r="BD10">
            <v>15.066311000000001</v>
          </cell>
          <cell r="BE10">
            <v>0</v>
          </cell>
          <cell r="BF10"/>
          <cell r="BG10">
            <v>0</v>
          </cell>
          <cell r="BI10">
            <v>122.59</v>
          </cell>
          <cell r="BJ10">
            <v>107.523689</v>
          </cell>
          <cell r="BK10">
            <v>15.066311000000001</v>
          </cell>
          <cell r="BL10">
            <v>0</v>
          </cell>
          <cell r="BM10"/>
          <cell r="BN10">
            <v>0</v>
          </cell>
          <cell r="BP10">
            <v>122.59</v>
          </cell>
          <cell r="BQ10">
            <v>107.523689</v>
          </cell>
          <cell r="BR10">
            <v>15.066311000000001</v>
          </cell>
          <cell r="BS10">
            <v>0</v>
          </cell>
          <cell r="BT10"/>
          <cell r="BU10">
            <v>0</v>
          </cell>
          <cell r="BW10">
            <v>122.59</v>
          </cell>
          <cell r="BX10">
            <v>107.523689</v>
          </cell>
          <cell r="BY10">
            <v>15.066311000000001</v>
          </cell>
          <cell r="BZ10">
            <v>0</v>
          </cell>
          <cell r="CA10"/>
          <cell r="CB10">
            <v>0</v>
          </cell>
          <cell r="CD10">
            <v>122.59</v>
          </cell>
          <cell r="CE10">
            <v>107.523689</v>
          </cell>
          <cell r="CF10">
            <v>15.066311000000001</v>
          </cell>
          <cell r="CG10">
            <v>0</v>
          </cell>
          <cell r="CH10"/>
          <cell r="CI10">
            <v>0</v>
          </cell>
          <cell r="CK10">
            <v>122.59</v>
          </cell>
          <cell r="CL10">
            <v>107.523689</v>
          </cell>
          <cell r="CM10">
            <v>15.066311000000001</v>
          </cell>
          <cell r="CN10">
            <v>0</v>
          </cell>
          <cell r="CO10"/>
          <cell r="CP10">
            <v>0</v>
          </cell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/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/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/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/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/>
          <cell r="AS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/>
          <cell r="BG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/>
          <cell r="BN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/>
          <cell r="BU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/>
          <cell r="CB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/>
          <cell r="CI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/>
          <cell r="CP11">
            <v>0</v>
          </cell>
        </row>
        <row r="12">
          <cell r="L12">
            <v>165.4965</v>
          </cell>
          <cell r="M12">
            <v>145.15698015000001</v>
          </cell>
          <cell r="N12">
            <v>20.339519849999999</v>
          </cell>
          <cell r="O12">
            <v>153.89008808141787</v>
          </cell>
          <cell r="P12"/>
          <cell r="Q12">
            <v>153.89008808141787</v>
          </cell>
          <cell r="S12">
            <v>165.4965</v>
          </cell>
          <cell r="T12">
            <v>145.15698015000001</v>
          </cell>
          <cell r="U12">
            <v>20.339519849999999</v>
          </cell>
          <cell r="V12">
            <v>0</v>
          </cell>
          <cell r="W12"/>
          <cell r="X12">
            <v>0</v>
          </cell>
          <cell r="Z12">
            <v>165.4965</v>
          </cell>
          <cell r="AA12">
            <v>145.15698015000001</v>
          </cell>
          <cell r="AB12">
            <v>20.339519849999999</v>
          </cell>
          <cell r="AC12">
            <v>164.93919333815307</v>
          </cell>
          <cell r="AD12"/>
          <cell r="AE12">
            <v>164.93919333815307</v>
          </cell>
          <cell r="AG12">
            <v>165.4965</v>
          </cell>
          <cell r="AH12">
            <v>145.15698015000001</v>
          </cell>
          <cell r="AI12">
            <v>20.339519849999999</v>
          </cell>
          <cell r="AJ12">
            <v>164.93919333815307</v>
          </cell>
          <cell r="AK12"/>
          <cell r="AL12">
            <v>164.93919333815307</v>
          </cell>
          <cell r="AN12">
            <v>165.4965</v>
          </cell>
          <cell r="AO12">
            <v>145.15698015000001</v>
          </cell>
          <cell r="AP12">
            <v>20.339519849999999</v>
          </cell>
          <cell r="AQ12">
            <v>0</v>
          </cell>
          <cell r="AR12"/>
          <cell r="AS12">
            <v>0</v>
          </cell>
          <cell r="AU12">
            <v>165.4965</v>
          </cell>
          <cell r="AV12">
            <v>145.15698015000001</v>
          </cell>
          <cell r="AW12">
            <v>20.339519849999999</v>
          </cell>
          <cell r="AX12">
            <v>0</v>
          </cell>
          <cell r="AY12"/>
          <cell r="BB12">
            <v>165.4965</v>
          </cell>
          <cell r="BC12">
            <v>145.15698015000001</v>
          </cell>
          <cell r="BD12">
            <v>20.339519849999999</v>
          </cell>
          <cell r="BE12">
            <v>0</v>
          </cell>
          <cell r="BF12"/>
          <cell r="BG12">
            <v>0</v>
          </cell>
          <cell r="BI12">
            <v>165.4965</v>
          </cell>
          <cell r="BJ12">
            <v>145.15698015000001</v>
          </cell>
          <cell r="BK12">
            <v>20.339519849999999</v>
          </cell>
          <cell r="BL12">
            <v>0</v>
          </cell>
          <cell r="BM12"/>
          <cell r="BN12">
            <v>0</v>
          </cell>
          <cell r="BP12">
            <v>165.4965</v>
          </cell>
          <cell r="BQ12">
            <v>145.15698015000001</v>
          </cell>
          <cell r="BR12">
            <v>20.339519849999999</v>
          </cell>
          <cell r="BS12">
            <v>0</v>
          </cell>
          <cell r="BT12"/>
          <cell r="BU12">
            <v>0</v>
          </cell>
          <cell r="BW12">
            <v>165.4965</v>
          </cell>
          <cell r="BX12">
            <v>145.15698015000001</v>
          </cell>
          <cell r="BY12">
            <v>20.339519849999999</v>
          </cell>
          <cell r="BZ12">
            <v>0</v>
          </cell>
          <cell r="CA12"/>
          <cell r="CB12">
            <v>0</v>
          </cell>
          <cell r="CD12">
            <v>165.4965</v>
          </cell>
          <cell r="CE12">
            <v>145.15698015000001</v>
          </cell>
          <cell r="CF12">
            <v>20.339519849999999</v>
          </cell>
          <cell r="CG12">
            <v>0</v>
          </cell>
          <cell r="CH12"/>
          <cell r="CI12">
            <v>0</v>
          </cell>
          <cell r="CK12">
            <v>165.4965</v>
          </cell>
          <cell r="CL12">
            <v>145.15698015000001</v>
          </cell>
          <cell r="CM12">
            <v>20.339519849999999</v>
          </cell>
          <cell r="CN12">
            <v>0</v>
          </cell>
          <cell r="CO12"/>
          <cell r="CP12">
            <v>0</v>
          </cell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/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/>
          <cell r="X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/>
          <cell r="AE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/>
          <cell r="AL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/>
          <cell r="AS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/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/>
          <cell r="BG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/>
          <cell r="BN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/>
          <cell r="BU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/>
          <cell r="CB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/>
          <cell r="CI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/>
          <cell r="CP13">
            <v>0</v>
          </cell>
        </row>
        <row r="14">
          <cell r="L14">
            <v>176.62500700000001</v>
          </cell>
          <cell r="M14">
            <v>154.91779363970002</v>
          </cell>
          <cell r="N14">
            <v>21.707213360299999</v>
          </cell>
          <cell r="O14">
            <v>183.09406669528659</v>
          </cell>
          <cell r="P14"/>
          <cell r="Q14">
            <v>183.09406669528659</v>
          </cell>
          <cell r="S14">
            <v>176.62500700000001</v>
          </cell>
          <cell r="T14">
            <v>154.91779363970002</v>
          </cell>
          <cell r="U14">
            <v>21.707213360299999</v>
          </cell>
          <cell r="V14">
            <v>544.01307661678311</v>
          </cell>
          <cell r="W14"/>
          <cell r="X14">
            <v>544.01307661678311</v>
          </cell>
          <cell r="Z14">
            <v>176.62500700000001</v>
          </cell>
          <cell r="AA14">
            <v>154.91779363970002</v>
          </cell>
          <cell r="AB14">
            <v>21.707213360299999</v>
          </cell>
          <cell r="AC14">
            <v>210.97172740607354</v>
          </cell>
          <cell r="AD14"/>
          <cell r="AE14">
            <v>210.97172740607354</v>
          </cell>
          <cell r="AG14">
            <v>176.62500700000001</v>
          </cell>
          <cell r="AH14">
            <v>154.91779363970002</v>
          </cell>
          <cell r="AI14">
            <v>21.707213360299999</v>
          </cell>
          <cell r="AJ14">
            <v>209.90854672224049</v>
          </cell>
          <cell r="AK14"/>
          <cell r="AL14">
            <v>209.90854672224049</v>
          </cell>
          <cell r="AN14">
            <v>176.62500700000001</v>
          </cell>
          <cell r="AO14">
            <v>154.91779363970002</v>
          </cell>
          <cell r="AP14">
            <v>21.707213360299999</v>
          </cell>
          <cell r="AQ14">
            <v>0</v>
          </cell>
          <cell r="AR14"/>
          <cell r="AS14">
            <v>0</v>
          </cell>
          <cell r="AU14">
            <v>176.62500700000001</v>
          </cell>
          <cell r="AV14">
            <v>154.91779363970002</v>
          </cell>
          <cell r="AW14">
            <v>21.707213360299999</v>
          </cell>
          <cell r="AX14">
            <v>0</v>
          </cell>
          <cell r="AY14"/>
          <cell r="BB14">
            <v>176.62500700000001</v>
          </cell>
          <cell r="BC14">
            <v>154.91779363970002</v>
          </cell>
          <cell r="BD14">
            <v>21.707213360299999</v>
          </cell>
          <cell r="BE14">
            <v>0</v>
          </cell>
          <cell r="BF14"/>
          <cell r="BG14">
            <v>0</v>
          </cell>
          <cell r="BI14">
            <v>176.62500700000001</v>
          </cell>
          <cell r="BJ14">
            <v>154.91779363970002</v>
          </cell>
          <cell r="BK14">
            <v>21.707213360299999</v>
          </cell>
          <cell r="BL14">
            <v>0</v>
          </cell>
          <cell r="BM14"/>
          <cell r="BN14">
            <v>0</v>
          </cell>
          <cell r="BP14">
            <v>176.62500700000001</v>
          </cell>
          <cell r="BQ14">
            <v>154.91779363970002</v>
          </cell>
          <cell r="BR14">
            <v>21.707213360299999</v>
          </cell>
          <cell r="BS14">
            <v>0</v>
          </cell>
          <cell r="BT14"/>
          <cell r="BU14">
            <v>0</v>
          </cell>
          <cell r="BW14">
            <v>176.62500700000001</v>
          </cell>
          <cell r="BX14">
            <v>154.91779363970002</v>
          </cell>
          <cell r="BY14">
            <v>21.707213360299999</v>
          </cell>
          <cell r="BZ14">
            <v>0</v>
          </cell>
          <cell r="CA14"/>
          <cell r="CB14">
            <v>0</v>
          </cell>
          <cell r="CD14">
            <v>176.62500700000001</v>
          </cell>
          <cell r="CE14">
            <v>154.91779363970002</v>
          </cell>
          <cell r="CF14">
            <v>21.707213360299999</v>
          </cell>
          <cell r="CG14">
            <v>0</v>
          </cell>
          <cell r="CH14"/>
          <cell r="CI14">
            <v>0</v>
          </cell>
          <cell r="CK14">
            <v>176.62500700000001</v>
          </cell>
          <cell r="CL14">
            <v>154.91779363970002</v>
          </cell>
          <cell r="CM14">
            <v>21.707213360299999</v>
          </cell>
          <cell r="CN14">
            <v>0</v>
          </cell>
          <cell r="CO14"/>
          <cell r="CP14">
            <v>0</v>
          </cell>
        </row>
        <row r="15">
          <cell r="L15">
            <v>411.08690999999999</v>
          </cell>
          <cell r="M15">
            <v>360.56432876100001</v>
          </cell>
          <cell r="N15">
            <v>50.522581238999997</v>
          </cell>
          <cell r="O15">
            <v>373.67133063373217</v>
          </cell>
          <cell r="P15"/>
          <cell r="Q15">
            <v>373.67133063373217</v>
          </cell>
          <cell r="S15">
            <v>411.08690999999999</v>
          </cell>
          <cell r="T15">
            <v>360.56432876100001</v>
          </cell>
          <cell r="U15">
            <v>50.522581238999997</v>
          </cell>
          <cell r="V15">
            <v>366.04673035962327</v>
          </cell>
          <cell r="W15"/>
          <cell r="X15">
            <v>366.04673035962327</v>
          </cell>
          <cell r="Z15">
            <v>411.08690999999999</v>
          </cell>
          <cell r="AA15">
            <v>360.56432876100001</v>
          </cell>
          <cell r="AB15">
            <v>50.522581238999997</v>
          </cell>
          <cell r="AC15">
            <v>548.36467515571178</v>
          </cell>
          <cell r="AD15"/>
          <cell r="AE15">
            <v>548.36467515571178</v>
          </cell>
          <cell r="AG15">
            <v>411.08690999999999</v>
          </cell>
          <cell r="AH15">
            <v>360.56432876100001</v>
          </cell>
          <cell r="AI15">
            <v>50.522581238999997</v>
          </cell>
          <cell r="AJ15">
            <v>647.24898419765805</v>
          </cell>
          <cell r="AK15"/>
          <cell r="AL15">
            <v>647.24898419765805</v>
          </cell>
          <cell r="AN15">
            <v>411.08690999999999</v>
          </cell>
          <cell r="AO15">
            <v>360.56432876100001</v>
          </cell>
          <cell r="AP15">
            <v>50.522581238999997</v>
          </cell>
          <cell r="AQ15">
            <v>0</v>
          </cell>
          <cell r="AR15"/>
          <cell r="AS15">
            <v>0</v>
          </cell>
          <cell r="AU15">
            <v>411.08690999999999</v>
          </cell>
          <cell r="AV15">
            <v>360.56432876100001</v>
          </cell>
          <cell r="AW15">
            <v>50.522581238999997</v>
          </cell>
          <cell r="AX15">
            <v>0</v>
          </cell>
          <cell r="AY15"/>
          <cell r="BB15">
            <v>443.15751999999998</v>
          </cell>
          <cell r="BC15">
            <v>388.693460792</v>
          </cell>
          <cell r="BD15">
            <v>54.464059207999995</v>
          </cell>
          <cell r="BE15">
            <v>0</v>
          </cell>
          <cell r="BF15"/>
          <cell r="BG15">
            <v>0</v>
          </cell>
          <cell r="BI15">
            <v>411.08690999999999</v>
          </cell>
          <cell r="BJ15">
            <v>360.56432876100001</v>
          </cell>
          <cell r="BK15">
            <v>50.522581238999997</v>
          </cell>
          <cell r="BL15">
            <v>0</v>
          </cell>
          <cell r="BM15"/>
          <cell r="BN15">
            <v>0</v>
          </cell>
          <cell r="BP15">
            <v>411.08690999999999</v>
          </cell>
          <cell r="BQ15">
            <v>360.56432876100001</v>
          </cell>
          <cell r="BR15">
            <v>50.522581238999997</v>
          </cell>
          <cell r="BS15">
            <v>0</v>
          </cell>
          <cell r="BT15"/>
          <cell r="BU15">
            <v>0</v>
          </cell>
          <cell r="BW15">
            <v>411.08690999999999</v>
          </cell>
          <cell r="BX15">
            <v>360.56432876100001</v>
          </cell>
          <cell r="BY15">
            <v>50.522581238999997</v>
          </cell>
          <cell r="BZ15">
            <v>0</v>
          </cell>
          <cell r="CA15"/>
          <cell r="CB15">
            <v>0</v>
          </cell>
          <cell r="CD15">
            <v>411.08690999999999</v>
          </cell>
          <cell r="CE15">
            <v>360.56432876100001</v>
          </cell>
          <cell r="CF15">
            <v>50.522581238999997</v>
          </cell>
          <cell r="CG15">
            <v>0</v>
          </cell>
          <cell r="CH15"/>
          <cell r="CI15">
            <v>0</v>
          </cell>
          <cell r="CK15">
            <v>411.08690999999999</v>
          </cell>
          <cell r="CL15">
            <v>360.56432876100001</v>
          </cell>
          <cell r="CM15">
            <v>50.522581238999997</v>
          </cell>
          <cell r="CN15">
            <v>0</v>
          </cell>
          <cell r="CO15"/>
          <cell r="CP15">
            <v>0</v>
          </cell>
        </row>
        <row r="16">
          <cell r="L16">
            <v>79.95</v>
          </cell>
          <cell r="M16">
            <v>70.124144999999999</v>
          </cell>
          <cell r="N16">
            <v>9.8258550000000007</v>
          </cell>
          <cell r="O16">
            <v>88.839377941091428</v>
          </cell>
          <cell r="P16"/>
          <cell r="Q16">
            <v>88.839377941091428</v>
          </cell>
          <cell r="S16">
            <v>79.95</v>
          </cell>
          <cell r="T16">
            <v>70.124144999999999</v>
          </cell>
          <cell r="U16">
            <v>9.8258550000000007</v>
          </cell>
          <cell r="V16">
            <v>83.749400417240594</v>
          </cell>
          <cell r="W16"/>
          <cell r="X16">
            <v>83.749400417240594</v>
          </cell>
          <cell r="Z16">
            <v>79.95</v>
          </cell>
          <cell r="AA16">
            <v>70.124144999999999</v>
          </cell>
          <cell r="AB16">
            <v>9.8258550000000007</v>
          </cell>
          <cell r="AC16">
            <v>104.74083983884074</v>
          </cell>
          <cell r="AD16"/>
          <cell r="AE16">
            <v>104.74083983884074</v>
          </cell>
          <cell r="AG16">
            <v>79.95</v>
          </cell>
          <cell r="AH16">
            <v>70.124144999999999</v>
          </cell>
          <cell r="AI16">
            <v>9.8258550000000007</v>
          </cell>
          <cell r="AJ16">
            <v>84.451099668570421</v>
          </cell>
          <cell r="AK16"/>
          <cell r="AL16">
            <v>84.451099668570421</v>
          </cell>
          <cell r="AN16">
            <v>79.95</v>
          </cell>
          <cell r="AO16">
            <v>70.124144999999999</v>
          </cell>
          <cell r="AP16">
            <v>9.8258550000000007</v>
          </cell>
          <cell r="AQ16">
            <v>0</v>
          </cell>
          <cell r="AR16"/>
          <cell r="AS16">
            <v>0</v>
          </cell>
          <cell r="AU16">
            <v>79.95</v>
          </cell>
          <cell r="AV16">
            <v>70.124144999999999</v>
          </cell>
          <cell r="AW16">
            <v>9.8258550000000007</v>
          </cell>
          <cell r="AX16">
            <v>0</v>
          </cell>
          <cell r="AY16"/>
          <cell r="BB16">
            <v>79.95</v>
          </cell>
          <cell r="BC16">
            <v>70.124144999999999</v>
          </cell>
          <cell r="BD16">
            <v>9.8258550000000007</v>
          </cell>
          <cell r="BE16">
            <v>0</v>
          </cell>
          <cell r="BF16"/>
          <cell r="BG16">
            <v>0</v>
          </cell>
          <cell r="BI16">
            <v>79.95</v>
          </cell>
          <cell r="BJ16">
            <v>70.124144999999999</v>
          </cell>
          <cell r="BK16">
            <v>9.8258550000000007</v>
          </cell>
          <cell r="BL16">
            <v>0</v>
          </cell>
          <cell r="BM16"/>
          <cell r="BN16">
            <v>0</v>
          </cell>
          <cell r="BP16">
            <v>79.95</v>
          </cell>
          <cell r="BQ16">
            <v>70.124144999999999</v>
          </cell>
          <cell r="BR16">
            <v>9.8258550000000007</v>
          </cell>
          <cell r="BS16">
            <v>0</v>
          </cell>
          <cell r="BT16"/>
          <cell r="BU16">
            <v>0</v>
          </cell>
          <cell r="BW16">
            <v>79.95</v>
          </cell>
          <cell r="BX16">
            <v>70.124144999999999</v>
          </cell>
          <cell r="BY16">
            <v>9.8258550000000007</v>
          </cell>
          <cell r="BZ16">
            <v>0</v>
          </cell>
          <cell r="CA16"/>
          <cell r="CB16">
            <v>0</v>
          </cell>
          <cell r="CD16">
            <v>79.95</v>
          </cell>
          <cell r="CE16">
            <v>70.124144999999999</v>
          </cell>
          <cell r="CF16">
            <v>9.8258550000000007</v>
          </cell>
          <cell r="CG16">
            <v>0</v>
          </cell>
          <cell r="CH16"/>
          <cell r="CI16">
            <v>0</v>
          </cell>
          <cell r="CK16">
            <v>79.95</v>
          </cell>
          <cell r="CL16">
            <v>70.124144999999999</v>
          </cell>
          <cell r="CM16">
            <v>9.8258550000000007</v>
          </cell>
          <cell r="CN16">
            <v>0</v>
          </cell>
          <cell r="CO16"/>
          <cell r="CP16">
            <v>0</v>
          </cell>
        </row>
        <row r="17">
          <cell r="L17">
            <v>2372.9160000000002</v>
          </cell>
          <cell r="M17">
            <v>2081.2846236</v>
          </cell>
          <cell r="N17">
            <v>291.63137640000002</v>
          </cell>
          <cell r="O17">
            <v>2066.2512984501882</v>
          </cell>
          <cell r="P17"/>
          <cell r="Q17">
            <v>2066.2512984501882</v>
          </cell>
          <cell r="S17">
            <v>2372.9160000000002</v>
          </cell>
          <cell r="T17">
            <v>2081.2846236</v>
          </cell>
          <cell r="U17">
            <v>291.63137640000002</v>
          </cell>
          <cell r="V17">
            <v>2706.0458206730409</v>
          </cell>
          <cell r="W17"/>
          <cell r="X17">
            <v>2706.0458206730409</v>
          </cell>
          <cell r="Z17">
            <v>2372.9160000000002</v>
          </cell>
          <cell r="AA17">
            <v>2081.2846236</v>
          </cell>
          <cell r="AB17">
            <v>291.63137640000002</v>
          </cell>
          <cell r="AC17">
            <v>1605.9151133018186</v>
          </cell>
          <cell r="AD17"/>
          <cell r="AE17">
            <v>1605.9151133018186</v>
          </cell>
          <cell r="AG17">
            <v>2372.9160000000002</v>
          </cell>
          <cell r="AH17">
            <v>2081.2846236</v>
          </cell>
          <cell r="AI17">
            <v>291.63137640000002</v>
          </cell>
          <cell r="AJ17">
            <v>1152.9031082412475</v>
          </cell>
          <cell r="AK17"/>
          <cell r="AL17">
            <v>1152.9031082412475</v>
          </cell>
          <cell r="AN17">
            <v>2372.9160000000002</v>
          </cell>
          <cell r="AO17">
            <v>2081.2846236</v>
          </cell>
          <cell r="AP17">
            <v>291.63137640000002</v>
          </cell>
          <cell r="AQ17">
            <v>0</v>
          </cell>
          <cell r="AR17"/>
          <cell r="AS17"/>
          <cell r="AU17">
            <v>2372.9160000000002</v>
          </cell>
          <cell r="AV17">
            <v>2081.2846236</v>
          </cell>
          <cell r="AW17">
            <v>291.63137640000002</v>
          </cell>
          <cell r="AX17">
            <v>0</v>
          </cell>
          <cell r="AY17"/>
          <cell r="BB17">
            <v>2372.9160000000002</v>
          </cell>
          <cell r="BC17">
            <v>2081.2846236</v>
          </cell>
          <cell r="BD17">
            <v>291.63137640000002</v>
          </cell>
          <cell r="BE17">
            <v>0</v>
          </cell>
          <cell r="BF17"/>
          <cell r="BG17"/>
          <cell r="BI17">
            <v>2372.9160000000002</v>
          </cell>
          <cell r="BJ17">
            <v>2081.2846236</v>
          </cell>
          <cell r="BK17">
            <v>291.63137640000002</v>
          </cell>
          <cell r="BL17">
            <v>0</v>
          </cell>
          <cell r="BM17"/>
          <cell r="BN17"/>
          <cell r="BP17">
            <v>2372.9160000000002</v>
          </cell>
          <cell r="BQ17">
            <v>2081.2846236</v>
          </cell>
          <cell r="BR17">
            <v>291.63137640000002</v>
          </cell>
          <cell r="BS17">
            <v>0</v>
          </cell>
          <cell r="BT17"/>
          <cell r="BU17"/>
          <cell r="BW17">
            <v>2372.9160000000002</v>
          </cell>
          <cell r="BX17">
            <v>2081.2846236</v>
          </cell>
          <cell r="BY17">
            <v>291.63137640000002</v>
          </cell>
          <cell r="BZ17">
            <v>0</v>
          </cell>
          <cell r="CA17"/>
          <cell r="CB17"/>
          <cell r="CD17">
            <v>2372.9160000000002</v>
          </cell>
          <cell r="CE17">
            <v>2081.2846236</v>
          </cell>
          <cell r="CF17">
            <v>291.63137640000002</v>
          </cell>
          <cell r="CG17">
            <v>0</v>
          </cell>
          <cell r="CH17"/>
          <cell r="CI17"/>
          <cell r="CK17">
            <v>2372.9160000000002</v>
          </cell>
          <cell r="CL17">
            <v>2081.2846236</v>
          </cell>
          <cell r="CM17">
            <v>291.63137640000002</v>
          </cell>
          <cell r="CN17">
            <v>0</v>
          </cell>
          <cell r="CO17"/>
          <cell r="CP17"/>
        </row>
        <row r="18">
          <cell r="L18">
            <v>363.869506</v>
          </cell>
          <cell r="M18">
            <v>319.14994371260002</v>
          </cell>
          <cell r="N18">
            <v>44.719562287399995</v>
          </cell>
          <cell r="O18">
            <v>696.73746788042752</v>
          </cell>
          <cell r="P18"/>
          <cell r="Q18">
            <v>696.73746788042752</v>
          </cell>
          <cell r="S18">
            <v>363.869506</v>
          </cell>
          <cell r="T18">
            <v>319.14994371260002</v>
          </cell>
          <cell r="U18">
            <v>44.719562287399995</v>
          </cell>
          <cell r="V18">
            <v>0</v>
          </cell>
          <cell r="W18"/>
          <cell r="X18">
            <v>0</v>
          </cell>
          <cell r="Z18">
            <v>363.869506</v>
          </cell>
          <cell r="AA18">
            <v>319.14994371260002</v>
          </cell>
          <cell r="AB18">
            <v>44.719562287399995</v>
          </cell>
          <cell r="AC18">
            <v>903.57885931333681</v>
          </cell>
          <cell r="AD18"/>
          <cell r="AE18">
            <v>903.57885931333681</v>
          </cell>
          <cell r="AG18">
            <v>363.869506</v>
          </cell>
          <cell r="AH18">
            <v>319.14994371260002</v>
          </cell>
          <cell r="AI18">
            <v>44.719562287399995</v>
          </cell>
          <cell r="AJ18">
            <v>0</v>
          </cell>
          <cell r="AK18"/>
          <cell r="AL18">
            <v>0</v>
          </cell>
          <cell r="AN18">
            <v>363.869506</v>
          </cell>
          <cell r="AO18">
            <v>319.14994371260002</v>
          </cell>
          <cell r="AP18">
            <v>44.719562287399995</v>
          </cell>
          <cell r="AQ18">
            <v>0</v>
          </cell>
          <cell r="AR18"/>
          <cell r="AS18"/>
          <cell r="AU18">
            <v>363.869506</v>
          </cell>
          <cell r="AV18">
            <v>319.14994371260002</v>
          </cell>
          <cell r="AW18">
            <v>44.719562287399995</v>
          </cell>
          <cell r="AX18">
            <v>0</v>
          </cell>
          <cell r="AY18"/>
          <cell r="BB18">
            <v>363.869506</v>
          </cell>
          <cell r="BC18">
            <v>319.14994371260002</v>
          </cell>
          <cell r="BD18">
            <v>44.719562287399995</v>
          </cell>
          <cell r="BE18">
            <v>0</v>
          </cell>
          <cell r="BF18"/>
          <cell r="BG18"/>
          <cell r="BI18">
            <v>363.869506</v>
          </cell>
          <cell r="BJ18">
            <v>319.14994371260002</v>
          </cell>
          <cell r="BK18">
            <v>44.719562287399995</v>
          </cell>
          <cell r="BL18">
            <v>0</v>
          </cell>
          <cell r="BM18"/>
          <cell r="BN18"/>
          <cell r="BP18">
            <v>363.869506</v>
          </cell>
          <cell r="BQ18">
            <v>319.14994371260002</v>
          </cell>
          <cell r="BR18">
            <v>44.719562287399995</v>
          </cell>
          <cell r="BS18">
            <v>0</v>
          </cell>
          <cell r="BT18"/>
          <cell r="BU18"/>
          <cell r="BW18">
            <v>363.869506</v>
          </cell>
          <cell r="BX18">
            <v>319.14994371260002</v>
          </cell>
          <cell r="BY18">
            <v>44.719562287399995</v>
          </cell>
          <cell r="BZ18">
            <v>0</v>
          </cell>
          <cell r="CA18"/>
          <cell r="CB18"/>
          <cell r="CD18">
            <v>363.869506</v>
          </cell>
          <cell r="CE18">
            <v>319.14994371260002</v>
          </cell>
          <cell r="CF18">
            <v>44.719562287399995</v>
          </cell>
          <cell r="CG18">
            <v>0</v>
          </cell>
          <cell r="CH18"/>
          <cell r="CI18"/>
          <cell r="CK18">
            <v>363.869506</v>
          </cell>
          <cell r="CL18">
            <v>319.14994371260002</v>
          </cell>
          <cell r="CM18">
            <v>44.719562287399995</v>
          </cell>
          <cell r="CN18">
            <v>0</v>
          </cell>
          <cell r="CO18"/>
          <cell r="CP18"/>
        </row>
        <row r="19">
          <cell r="L19">
            <v>155.45833333333331</v>
          </cell>
          <cell r="M19">
            <v>136.35250416666665</v>
          </cell>
          <cell r="N19">
            <v>19.105829166666663</v>
          </cell>
          <cell r="O19">
            <v>223.68255412971723</v>
          </cell>
          <cell r="P19"/>
          <cell r="Q19">
            <v>223.68255412971723</v>
          </cell>
          <cell r="S19">
            <v>155.45833333333331</v>
          </cell>
          <cell r="T19">
            <v>136.35250416666665</v>
          </cell>
          <cell r="U19">
            <v>19.105829166666663</v>
          </cell>
          <cell r="V19">
            <v>65.456296915660673</v>
          </cell>
          <cell r="W19"/>
          <cell r="X19">
            <v>65.456296915660673</v>
          </cell>
          <cell r="Z19">
            <v>155.45833333333331</v>
          </cell>
          <cell r="AA19">
            <v>136.35250416666665</v>
          </cell>
          <cell r="AB19">
            <v>19.105829166666663</v>
          </cell>
          <cell r="AC19">
            <v>111.45784116931252</v>
          </cell>
          <cell r="AD19"/>
          <cell r="AE19">
            <v>111.45784116931252</v>
          </cell>
          <cell r="AG19">
            <v>155.45833333333331</v>
          </cell>
          <cell r="AH19">
            <v>136.35250416666665</v>
          </cell>
          <cell r="AI19">
            <v>19.105829166666663</v>
          </cell>
          <cell r="AJ19">
            <v>63.360246912726851</v>
          </cell>
          <cell r="AK19"/>
          <cell r="AL19">
            <v>63.360246912726851</v>
          </cell>
          <cell r="AN19">
            <v>155.45833333333331</v>
          </cell>
          <cell r="AO19">
            <v>136.35250416666665</v>
          </cell>
          <cell r="AP19">
            <v>19.105829166666663</v>
          </cell>
          <cell r="AQ19">
            <v>0</v>
          </cell>
          <cell r="AR19"/>
          <cell r="AS19"/>
          <cell r="AU19">
            <v>155.45833333333331</v>
          </cell>
          <cell r="AV19">
            <v>136.35250416666665</v>
          </cell>
          <cell r="AW19">
            <v>19.105829166666663</v>
          </cell>
          <cell r="AX19">
            <v>0</v>
          </cell>
          <cell r="AY19"/>
          <cell r="BB19">
            <v>155.45833333333331</v>
          </cell>
          <cell r="BC19">
            <v>136.35250416666665</v>
          </cell>
          <cell r="BD19">
            <v>19.105829166666663</v>
          </cell>
          <cell r="BE19">
            <v>0</v>
          </cell>
          <cell r="BF19"/>
          <cell r="BG19"/>
          <cell r="BI19">
            <v>155.45833333333331</v>
          </cell>
          <cell r="BJ19">
            <v>136.35250416666665</v>
          </cell>
          <cell r="BK19">
            <v>19.105829166666663</v>
          </cell>
          <cell r="BL19">
            <v>0</v>
          </cell>
          <cell r="BM19"/>
          <cell r="BN19"/>
          <cell r="BP19">
            <v>155.45833333333331</v>
          </cell>
          <cell r="BQ19">
            <v>136.35250416666665</v>
          </cell>
          <cell r="BR19">
            <v>19.105829166666663</v>
          </cell>
          <cell r="BS19">
            <v>0</v>
          </cell>
          <cell r="BT19"/>
          <cell r="BU19"/>
          <cell r="BW19">
            <v>155.45833333333331</v>
          </cell>
          <cell r="BX19">
            <v>136.35250416666665</v>
          </cell>
          <cell r="BY19">
            <v>19.105829166666663</v>
          </cell>
          <cell r="BZ19">
            <v>0</v>
          </cell>
          <cell r="CA19"/>
          <cell r="CB19"/>
          <cell r="CD19">
            <v>155.45833333333331</v>
          </cell>
          <cell r="CE19">
            <v>136.35250416666665</v>
          </cell>
          <cell r="CF19">
            <v>19.105829166666663</v>
          </cell>
          <cell r="CG19">
            <v>0</v>
          </cell>
          <cell r="CH19"/>
          <cell r="CI19"/>
          <cell r="CK19">
            <v>155.45833333333331</v>
          </cell>
          <cell r="CL19">
            <v>136.35250416666665</v>
          </cell>
          <cell r="CM19">
            <v>19.105829166666663</v>
          </cell>
          <cell r="CN19">
            <v>0</v>
          </cell>
          <cell r="CO19"/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/>
          <cell r="Q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/>
          <cell r="X20">
            <v>0</v>
          </cell>
          <cell r="Z20">
            <v>16109.98431224</v>
          </cell>
          <cell r="AA20">
            <v>14130.067240265704</v>
          </cell>
          <cell r="AB20">
            <v>1979.9170719742958</v>
          </cell>
          <cell r="AC20">
            <v>6176.1900000000005</v>
          </cell>
          <cell r="AD20"/>
          <cell r="AE20">
            <v>6176.1900000000005</v>
          </cell>
          <cell r="AG20">
            <v>0</v>
          </cell>
          <cell r="AH20">
            <v>0</v>
          </cell>
          <cell r="AI20">
            <v>0</v>
          </cell>
          <cell r="AJ20">
            <v>2613.5699999999997</v>
          </cell>
          <cell r="AK20"/>
          <cell r="AL20">
            <v>2613.5699999999997</v>
          </cell>
          <cell r="AN20">
            <v>397.89610660800003</v>
          </cell>
          <cell r="AO20">
            <v>348.99467510587681</v>
          </cell>
          <cell r="AP20">
            <v>48.901431502123202</v>
          </cell>
          <cell r="AQ20">
            <v>0</v>
          </cell>
          <cell r="AR20"/>
          <cell r="AS20"/>
          <cell r="AU20">
            <v>397.89610660800003</v>
          </cell>
          <cell r="AV20">
            <v>348.99467510587681</v>
          </cell>
          <cell r="AW20">
            <v>48.901431502123202</v>
          </cell>
          <cell r="AX20">
            <v>0</v>
          </cell>
          <cell r="AY20"/>
          <cell r="BB20">
            <v>7585.3478066079469</v>
          </cell>
          <cell r="BC20">
            <v>6653.1085611758299</v>
          </cell>
          <cell r="BD20">
            <v>932.2392454321166</v>
          </cell>
          <cell r="BE20">
            <v>0</v>
          </cell>
          <cell r="BF20"/>
          <cell r="BG20"/>
          <cell r="BI20">
            <v>1044.217918848</v>
          </cell>
          <cell r="BJ20">
            <v>915.88353662158079</v>
          </cell>
          <cell r="BK20">
            <v>128.33438222641919</v>
          </cell>
          <cell r="BL20">
            <v>0</v>
          </cell>
          <cell r="BM20"/>
          <cell r="BN20"/>
          <cell r="BP20">
            <v>7585.3478066079469</v>
          </cell>
          <cell r="BQ20">
            <v>6653.1085611758299</v>
          </cell>
          <cell r="BR20">
            <v>932.2392454321166</v>
          </cell>
          <cell r="BS20">
            <v>0</v>
          </cell>
          <cell r="BT20"/>
          <cell r="BU20"/>
          <cell r="BW20">
            <v>397.89610660800003</v>
          </cell>
          <cell r="BX20">
            <v>348.99467510587681</v>
          </cell>
          <cell r="BY20">
            <v>48.901431502123202</v>
          </cell>
          <cell r="BZ20">
            <v>0</v>
          </cell>
          <cell r="CA20"/>
          <cell r="CB20"/>
          <cell r="CD20">
            <v>397.89610660800003</v>
          </cell>
          <cell r="CE20">
            <v>348.99467510587681</v>
          </cell>
          <cell r="CF20">
            <v>48.901431502123202</v>
          </cell>
          <cell r="CG20">
            <v>0</v>
          </cell>
          <cell r="CH20"/>
          <cell r="CI20"/>
          <cell r="CK20">
            <v>397.89610660800003</v>
          </cell>
          <cell r="CL20">
            <v>348.99467510587681</v>
          </cell>
          <cell r="CM20">
            <v>48.901431502123202</v>
          </cell>
          <cell r="CN20">
            <v>0</v>
          </cell>
          <cell r="CO20"/>
          <cell r="CP20"/>
        </row>
        <row r="21">
          <cell r="L21">
            <v>1753.4502082500001</v>
          </cell>
          <cell r="M21">
            <v>1537.9511776560751</v>
          </cell>
          <cell r="N21">
            <v>215.499030593925</v>
          </cell>
          <cell r="O21">
            <v>169</v>
          </cell>
          <cell r="P21"/>
          <cell r="Q21">
            <v>169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/>
          <cell r="X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/>
          <cell r="AE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/>
          <cell r="AL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/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/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/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/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/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/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/>
          <cell r="CP21"/>
        </row>
        <row r="22">
          <cell r="L22">
            <v>839.72380439999461</v>
          </cell>
          <cell r="M22">
            <v>736.52174883923522</v>
          </cell>
          <cell r="N22">
            <v>103.20205556075933</v>
          </cell>
          <cell r="O22">
            <v>16917.929371009395</v>
          </cell>
          <cell r="P22"/>
          <cell r="Q22">
            <v>16917.929371009395</v>
          </cell>
          <cell r="S22">
            <v>839.72380439999461</v>
          </cell>
          <cell r="T22">
            <v>736.52174883923522</v>
          </cell>
          <cell r="U22">
            <v>103.20205556075933</v>
          </cell>
          <cell r="V22">
            <v>594.86588054261131</v>
          </cell>
          <cell r="W22"/>
          <cell r="X22">
            <v>594.86588054261131</v>
          </cell>
          <cell r="Z22">
            <v>839.72380439999461</v>
          </cell>
          <cell r="AA22">
            <v>736.52174883923522</v>
          </cell>
          <cell r="AB22">
            <v>103.20205556075933</v>
          </cell>
          <cell r="AC22">
            <v>297.63027294072782</v>
          </cell>
          <cell r="AD22"/>
          <cell r="AE22">
            <v>297.63027294072782</v>
          </cell>
          <cell r="AG22">
            <v>839.72380439999461</v>
          </cell>
          <cell r="AH22">
            <v>736.52174883923522</v>
          </cell>
          <cell r="AI22">
            <v>103.20205556075933</v>
          </cell>
          <cell r="AJ22">
            <v>183.62435319802324</v>
          </cell>
          <cell r="AK22"/>
          <cell r="AL22">
            <v>183.62435319802324</v>
          </cell>
          <cell r="AN22">
            <v>839.72380439999461</v>
          </cell>
          <cell r="AO22">
            <v>736.52174883923522</v>
          </cell>
          <cell r="AP22">
            <v>103.20205556075933</v>
          </cell>
          <cell r="AQ22">
            <v>0</v>
          </cell>
          <cell r="AR22"/>
          <cell r="AS22"/>
          <cell r="AU22">
            <v>839.72380439999461</v>
          </cell>
          <cell r="AV22">
            <v>736.52174883923522</v>
          </cell>
          <cell r="AW22">
            <v>103.20205556075933</v>
          </cell>
          <cell r="AX22">
            <v>0</v>
          </cell>
          <cell r="AY22"/>
          <cell r="BB22">
            <v>839.72380439999461</v>
          </cell>
          <cell r="BC22">
            <v>736.52174883923522</v>
          </cell>
          <cell r="BD22">
            <v>103.20205556075933</v>
          </cell>
          <cell r="BE22">
            <v>0</v>
          </cell>
          <cell r="BF22"/>
          <cell r="BG22"/>
          <cell r="BI22">
            <v>839.72380439999461</v>
          </cell>
          <cell r="BJ22">
            <v>736.52174883923522</v>
          </cell>
          <cell r="BK22">
            <v>103.20205556075933</v>
          </cell>
          <cell r="BL22">
            <v>0</v>
          </cell>
          <cell r="BM22"/>
          <cell r="BN22"/>
          <cell r="BP22">
            <v>839.72380439999461</v>
          </cell>
          <cell r="BQ22">
            <v>736.52174883923522</v>
          </cell>
          <cell r="BR22">
            <v>103.20205556075933</v>
          </cell>
          <cell r="BS22">
            <v>0</v>
          </cell>
          <cell r="BT22"/>
          <cell r="BU22"/>
          <cell r="BW22">
            <v>839.72380439999461</v>
          </cell>
          <cell r="BX22">
            <v>736.52174883923522</v>
          </cell>
          <cell r="BY22">
            <v>103.20205556075933</v>
          </cell>
          <cell r="BZ22">
            <v>0</v>
          </cell>
          <cell r="CA22"/>
          <cell r="CB22"/>
          <cell r="CD22">
            <v>839.72380439999461</v>
          </cell>
          <cell r="CE22">
            <v>736.52174883923522</v>
          </cell>
          <cell r="CF22">
            <v>103.20205556075933</v>
          </cell>
          <cell r="CG22">
            <v>0</v>
          </cell>
          <cell r="CH22"/>
          <cell r="CI22"/>
          <cell r="CK22">
            <v>839.72380439999461</v>
          </cell>
          <cell r="CL22">
            <v>736.52174883923522</v>
          </cell>
          <cell r="CM22">
            <v>103.20205556075933</v>
          </cell>
          <cell r="CN22">
            <v>0</v>
          </cell>
          <cell r="CO22"/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/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/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/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/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/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/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/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/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/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/>
          <cell r="CP23"/>
        </row>
        <row r="24">
          <cell r="L24">
            <v>731.80860087798771</v>
          </cell>
          <cell r="M24">
            <v>641.86932383008298</v>
          </cell>
          <cell r="N24">
            <v>89.939277047904682</v>
          </cell>
          <cell r="O24">
            <v>5.93</v>
          </cell>
          <cell r="P24"/>
          <cell r="Q24">
            <v>5.93</v>
          </cell>
          <cell r="S24">
            <v>731.80860087798771</v>
          </cell>
          <cell r="T24">
            <v>641.86932383008298</v>
          </cell>
          <cell r="U24">
            <v>89.939277047904682</v>
          </cell>
          <cell r="V24">
            <v>0</v>
          </cell>
          <cell r="W24"/>
          <cell r="X24">
            <v>0</v>
          </cell>
          <cell r="Z24">
            <v>731.80860087798771</v>
          </cell>
          <cell r="AA24">
            <v>641.86932383008298</v>
          </cell>
          <cell r="AB24">
            <v>89.939277047904682</v>
          </cell>
          <cell r="AC24">
            <v>0</v>
          </cell>
          <cell r="AD24"/>
          <cell r="AE24">
            <v>0</v>
          </cell>
          <cell r="AG24">
            <v>731.80860087798771</v>
          </cell>
          <cell r="AH24">
            <v>641.86932383008298</v>
          </cell>
          <cell r="AI24">
            <v>89.939277047904682</v>
          </cell>
          <cell r="AJ24">
            <v>0</v>
          </cell>
          <cell r="AK24"/>
          <cell r="AL24">
            <v>0</v>
          </cell>
          <cell r="AN24">
            <v>731.80860087798771</v>
          </cell>
          <cell r="AO24">
            <v>641.86932383008298</v>
          </cell>
          <cell r="AP24">
            <v>89.939277047904682</v>
          </cell>
          <cell r="AQ24">
            <v>0</v>
          </cell>
          <cell r="AR24"/>
          <cell r="AS24"/>
          <cell r="AU24">
            <v>731.80860087798771</v>
          </cell>
          <cell r="AV24">
            <v>641.86932383008298</v>
          </cell>
          <cell r="AW24">
            <v>89.939277047904682</v>
          </cell>
          <cell r="AX24">
            <v>0</v>
          </cell>
          <cell r="AY24"/>
          <cell r="BB24">
            <v>604.66069120374766</v>
          </cell>
          <cell r="BC24">
            <v>530.34789225480711</v>
          </cell>
          <cell r="BD24">
            <v>74.312798948940582</v>
          </cell>
          <cell r="BE24">
            <v>0</v>
          </cell>
          <cell r="BF24"/>
          <cell r="BG24"/>
          <cell r="BI24">
            <v>731.80860087798771</v>
          </cell>
          <cell r="BJ24">
            <v>641.86932383008298</v>
          </cell>
          <cell r="BK24">
            <v>89.939277047904682</v>
          </cell>
          <cell r="BL24">
            <v>0</v>
          </cell>
          <cell r="BM24"/>
          <cell r="BN24"/>
          <cell r="BP24">
            <v>731.80860087798771</v>
          </cell>
          <cell r="BQ24">
            <v>641.86932383008298</v>
          </cell>
          <cell r="BR24">
            <v>89.939277047904682</v>
          </cell>
          <cell r="BS24">
            <v>0</v>
          </cell>
          <cell r="BT24"/>
          <cell r="BU24"/>
          <cell r="BW24">
            <v>731.80860087798771</v>
          </cell>
          <cell r="BX24">
            <v>641.86932383008298</v>
          </cell>
          <cell r="BY24">
            <v>89.939277047904682</v>
          </cell>
          <cell r="BZ24">
            <v>0</v>
          </cell>
          <cell r="CA24"/>
          <cell r="CB24"/>
          <cell r="CD24">
            <v>731.80860087798771</v>
          </cell>
          <cell r="CE24">
            <v>641.86932383008298</v>
          </cell>
          <cell r="CF24">
            <v>89.939277047904682</v>
          </cell>
          <cell r="CG24">
            <v>0</v>
          </cell>
          <cell r="CH24"/>
          <cell r="CI24"/>
          <cell r="CK24">
            <v>731.80860087798771</v>
          </cell>
          <cell r="CL24">
            <v>641.86932383008298</v>
          </cell>
          <cell r="CM24">
            <v>89.939277047904682</v>
          </cell>
          <cell r="CN24">
            <v>0</v>
          </cell>
          <cell r="CO24"/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594</v>
          </cell>
          <cell r="P25"/>
          <cell r="Q25">
            <v>594</v>
          </cell>
          <cell r="S25">
            <v>0</v>
          </cell>
          <cell r="T25">
            <v>0</v>
          </cell>
          <cell r="U25">
            <v>0</v>
          </cell>
          <cell r="V25">
            <v>9.4745863123322955</v>
          </cell>
          <cell r="W25"/>
          <cell r="X25">
            <v>9.4745863123322955</v>
          </cell>
          <cell r="Z25">
            <v>2416.0721785199999</v>
          </cell>
          <cell r="AA25">
            <v>2119.1369077798918</v>
          </cell>
          <cell r="AB25">
            <v>296.93527074010797</v>
          </cell>
          <cell r="AC25">
            <v>1433.01</v>
          </cell>
          <cell r="AD25"/>
          <cell r="AE25">
            <v>1433.01</v>
          </cell>
          <cell r="AG25">
            <v>3049.7192313587998</v>
          </cell>
          <cell r="AH25">
            <v>2674.9087378248032</v>
          </cell>
          <cell r="AI25">
            <v>374.81049353399646</v>
          </cell>
          <cell r="AJ25">
            <v>2297.31</v>
          </cell>
          <cell r="AK25"/>
          <cell r="AL25">
            <v>2297.31</v>
          </cell>
          <cell r="AN25">
            <v>3049.7192313587998</v>
          </cell>
          <cell r="AO25">
            <v>2674.9087378248032</v>
          </cell>
          <cell r="AP25">
            <v>374.81049353399646</v>
          </cell>
          <cell r="AQ25">
            <v>0</v>
          </cell>
          <cell r="AR25"/>
          <cell r="AS25"/>
          <cell r="AU25">
            <v>3196.1586741083997</v>
          </cell>
          <cell r="AV25">
            <v>2803.3507730604774</v>
          </cell>
          <cell r="AW25">
            <v>392.80790104792231</v>
          </cell>
          <cell r="AX25">
            <v>0</v>
          </cell>
          <cell r="AY25"/>
          <cell r="BB25">
            <v>780.0864955884</v>
          </cell>
          <cell r="BC25">
            <v>684.21386528058565</v>
          </cell>
          <cell r="BD25">
            <v>95.872630307814362</v>
          </cell>
          <cell r="BE25">
            <v>0</v>
          </cell>
          <cell r="BF25"/>
          <cell r="BG25"/>
          <cell r="BI25">
            <v>780.0864955884</v>
          </cell>
          <cell r="BJ25">
            <v>684.21386528058565</v>
          </cell>
          <cell r="BK25">
            <v>95.872630307814362</v>
          </cell>
          <cell r="BL25">
            <v>0</v>
          </cell>
          <cell r="BM25"/>
          <cell r="BN25"/>
          <cell r="BP25">
            <v>780.0864955884</v>
          </cell>
          <cell r="BQ25">
            <v>684.21386528058565</v>
          </cell>
          <cell r="BR25">
            <v>95.872630307814362</v>
          </cell>
          <cell r="BS25">
            <v>0</v>
          </cell>
          <cell r="BT25"/>
          <cell r="BU25"/>
          <cell r="BW25">
            <v>442.88123875709999</v>
          </cell>
          <cell r="BX25">
            <v>388.45113451385242</v>
          </cell>
          <cell r="BY25">
            <v>54.430104243247584</v>
          </cell>
          <cell r="BZ25">
            <v>0</v>
          </cell>
          <cell r="CA25"/>
          <cell r="CB25"/>
          <cell r="CD25">
            <v>339.31310852009949</v>
          </cell>
          <cell r="CE25">
            <v>297.61152748297928</v>
          </cell>
          <cell r="CF25">
            <v>41.701581037120228</v>
          </cell>
          <cell r="CG25">
            <v>0</v>
          </cell>
          <cell r="CH25"/>
          <cell r="CI25"/>
          <cell r="CK25">
            <v>339.31310852009949</v>
          </cell>
          <cell r="CL25">
            <v>297.61152748297928</v>
          </cell>
          <cell r="CM25">
            <v>41.701581037120228</v>
          </cell>
          <cell r="CN25">
            <v>0</v>
          </cell>
          <cell r="CO25"/>
          <cell r="CP25"/>
        </row>
        <row r="26">
          <cell r="L26">
            <v>3098.811291446455</v>
          </cell>
          <cell r="M26">
            <v>2717.967383727686</v>
          </cell>
          <cell r="N26">
            <v>380.84390771876929</v>
          </cell>
          <cell r="O26">
            <v>3892.5207634966669</v>
          </cell>
          <cell r="P26"/>
          <cell r="Q26">
            <v>3892.5207634966669</v>
          </cell>
          <cell r="S26">
            <v>6321.2242708320537</v>
          </cell>
          <cell r="T26">
            <v>5544.3458079467946</v>
          </cell>
          <cell r="U26">
            <v>776.87846288525941</v>
          </cell>
          <cell r="V26">
            <v>4888.6917809377592</v>
          </cell>
          <cell r="W26"/>
          <cell r="X26">
            <v>4888.6917809377592</v>
          </cell>
          <cell r="Z26">
            <v>9750.3035506790748</v>
          </cell>
          <cell r="AA26">
            <v>8551.991244300616</v>
          </cell>
          <cell r="AB26">
            <v>1198.3123063784583</v>
          </cell>
          <cell r="AC26">
            <v>8380.500306350079</v>
          </cell>
          <cell r="AD26"/>
          <cell r="AE26">
            <v>8380.500306350079</v>
          </cell>
          <cell r="AG26">
            <v>9750.3035506790748</v>
          </cell>
          <cell r="AH26">
            <v>8551.991244300616</v>
          </cell>
          <cell r="AI26">
            <v>1198.3123063784583</v>
          </cell>
          <cell r="AJ26">
            <v>9142.3882885345847</v>
          </cell>
          <cell r="AK26"/>
          <cell r="AL26">
            <v>9142.3882885345847</v>
          </cell>
          <cell r="AN26">
            <v>10930.603661448053</v>
          </cell>
          <cell r="AO26">
            <v>9587.2324714560873</v>
          </cell>
          <cell r="AP26">
            <v>1343.3711899919656</v>
          </cell>
          <cell r="AQ26">
            <v>0</v>
          </cell>
          <cell r="AR26"/>
          <cell r="AS26"/>
          <cell r="AU26">
            <v>8450.5416144062747</v>
          </cell>
          <cell r="AV26">
            <v>7411.9700499957435</v>
          </cell>
          <cell r="AW26">
            <v>1038.5715644105312</v>
          </cell>
          <cell r="AX26">
            <v>0</v>
          </cell>
          <cell r="AY26"/>
          <cell r="BB26">
            <v>7270.241503637295</v>
          </cell>
          <cell r="BC26">
            <v>6376.7288228402713</v>
          </cell>
          <cell r="BD26">
            <v>893.51268079702356</v>
          </cell>
          <cell r="BE26">
            <v>0</v>
          </cell>
          <cell r="BF26"/>
          <cell r="BG26"/>
          <cell r="BI26">
            <v>9750.3035506790748</v>
          </cell>
          <cell r="BJ26">
            <v>8551.991244300616</v>
          </cell>
          <cell r="BK26">
            <v>1198.3123063784583</v>
          </cell>
          <cell r="BL26">
            <v>0</v>
          </cell>
          <cell r="BM26"/>
          <cell r="BN26"/>
          <cell r="BP26">
            <v>12233.705944371137</v>
          </cell>
          <cell r="BQ26">
            <v>10730.183483807925</v>
          </cell>
          <cell r="BR26">
            <v>1503.5224605632127</v>
          </cell>
          <cell r="BS26">
            <v>0</v>
          </cell>
          <cell r="BT26"/>
          <cell r="BU26"/>
          <cell r="BW26">
            <v>11658.236492166716</v>
          </cell>
          <cell r="BX26">
            <v>10225.439227279427</v>
          </cell>
          <cell r="BY26">
            <v>1432.7972648872894</v>
          </cell>
          <cell r="BZ26">
            <v>0</v>
          </cell>
          <cell r="CA26"/>
          <cell r="CB26"/>
          <cell r="CD26">
            <v>8442.2639340125352</v>
          </cell>
          <cell r="CE26">
            <v>7404.7096965223946</v>
          </cell>
          <cell r="CF26">
            <v>1037.5542374901406</v>
          </cell>
          <cell r="CG26">
            <v>0</v>
          </cell>
          <cell r="CH26"/>
          <cell r="CI26"/>
          <cell r="CK26">
            <v>8235.5976335511132</v>
          </cell>
          <cell r="CL26">
            <v>7223.4426843876818</v>
          </cell>
          <cell r="CM26">
            <v>1012.1549491634318</v>
          </cell>
          <cell r="CN26">
            <v>0</v>
          </cell>
          <cell r="CO26"/>
          <cell r="CP26"/>
        </row>
        <row r="27">
          <cell r="L27">
            <v>142.76001787632001</v>
          </cell>
          <cell r="M27">
            <v>125.21481167932028</v>
          </cell>
          <cell r="N27">
            <v>17.545206196999729</v>
          </cell>
          <cell r="O27">
            <v>1945.7426959552724</v>
          </cell>
          <cell r="P27"/>
          <cell r="Q27">
            <v>1945.7426959552724</v>
          </cell>
          <cell r="S27">
            <v>515.37344925456</v>
          </cell>
          <cell r="T27">
            <v>452.03405234117457</v>
          </cell>
          <cell r="U27">
            <v>63.339396913385421</v>
          </cell>
          <cell r="V27">
            <v>0</v>
          </cell>
          <cell r="W27"/>
          <cell r="X27">
            <v>0</v>
          </cell>
          <cell r="Z27">
            <v>515.37344925456</v>
          </cell>
          <cell r="AA27">
            <v>452.03405234117457</v>
          </cell>
          <cell r="AB27">
            <v>63.339396913385421</v>
          </cell>
          <cell r="AC27">
            <v>176.44</v>
          </cell>
          <cell r="AD27"/>
          <cell r="AE27">
            <v>176.44</v>
          </cell>
          <cell r="AG27">
            <v>537.42672383399997</v>
          </cell>
          <cell r="AH27">
            <v>471.37697947480137</v>
          </cell>
          <cell r="AI27">
            <v>66.049744359198598</v>
          </cell>
          <cell r="AJ27">
            <v>183.07999999999998</v>
          </cell>
          <cell r="AK27"/>
          <cell r="AL27">
            <v>183.07999999999998</v>
          </cell>
          <cell r="AN27">
            <v>210.52038407400002</v>
          </cell>
          <cell r="AO27">
            <v>184.64742887130541</v>
          </cell>
          <cell r="AP27">
            <v>25.872955202694602</v>
          </cell>
          <cell r="AQ27">
            <v>0</v>
          </cell>
          <cell r="AR27"/>
          <cell r="AS27"/>
          <cell r="AU27">
            <v>680.18674171032001</v>
          </cell>
          <cell r="AV27">
            <v>596.59179115412167</v>
          </cell>
          <cell r="AW27">
            <v>83.594950556198327</v>
          </cell>
          <cell r="AX27">
            <v>0</v>
          </cell>
          <cell r="AY27"/>
          <cell r="BB27">
            <v>353.28040195032003</v>
          </cell>
          <cell r="BC27">
            <v>309.8622405506257</v>
          </cell>
          <cell r="BD27">
            <v>43.418161399694327</v>
          </cell>
          <cell r="BE27">
            <v>0</v>
          </cell>
          <cell r="BF27"/>
          <cell r="BG27"/>
          <cell r="BI27">
            <v>680.18674171032001</v>
          </cell>
          <cell r="BJ27">
            <v>596.59179115412167</v>
          </cell>
          <cell r="BK27">
            <v>83.594950556198327</v>
          </cell>
          <cell r="BL27">
            <v>0</v>
          </cell>
          <cell r="BM27"/>
          <cell r="BN27"/>
          <cell r="BP27">
            <v>680.18674171032001</v>
          </cell>
          <cell r="BQ27">
            <v>596.59179115412167</v>
          </cell>
          <cell r="BR27">
            <v>83.594950556198327</v>
          </cell>
          <cell r="BS27">
            <v>0</v>
          </cell>
          <cell r="BT27"/>
          <cell r="BU27"/>
          <cell r="BW27">
            <v>518.38902479182002</v>
          </cell>
          <cell r="BX27">
            <v>454.67901364490535</v>
          </cell>
          <cell r="BY27">
            <v>63.710011146914681</v>
          </cell>
          <cell r="BZ27">
            <v>0</v>
          </cell>
          <cell r="CA27"/>
          <cell r="CB27"/>
          <cell r="CD27">
            <v>375.62900691549947</v>
          </cell>
          <cell r="CE27">
            <v>329.46420196558461</v>
          </cell>
          <cell r="CF27">
            <v>46.164804949914881</v>
          </cell>
          <cell r="CG27">
            <v>0</v>
          </cell>
          <cell r="CH27"/>
          <cell r="CI27"/>
          <cell r="CK27">
            <v>375.62900691549947</v>
          </cell>
          <cell r="CL27">
            <v>329.46420196558461</v>
          </cell>
          <cell r="CM27">
            <v>46.164804949914881</v>
          </cell>
          <cell r="CN27">
            <v>0</v>
          </cell>
          <cell r="CO27"/>
          <cell r="CP27"/>
        </row>
        <row r="28">
          <cell r="L28">
            <v>443.51317810799998</v>
          </cell>
          <cell r="M28">
            <v>389.00540851852679</v>
          </cell>
          <cell r="N28">
            <v>54.507769589473192</v>
          </cell>
          <cell r="O28">
            <v>2295.6779245630646</v>
          </cell>
          <cell r="P28"/>
          <cell r="Q28">
            <v>2295.6779245630646</v>
          </cell>
          <cell r="S28">
            <v>443.51317810799998</v>
          </cell>
          <cell r="T28">
            <v>389.00540851852679</v>
          </cell>
          <cell r="U28">
            <v>54.507769589473192</v>
          </cell>
          <cell r="V28">
            <v>600.27</v>
          </cell>
          <cell r="W28"/>
          <cell r="X28">
            <v>600.27</v>
          </cell>
          <cell r="Z28">
            <v>591.35090414399997</v>
          </cell>
          <cell r="AA28">
            <v>518.67387802470239</v>
          </cell>
          <cell r="AB28">
            <v>72.677026119297594</v>
          </cell>
          <cell r="AC28">
            <v>293.13</v>
          </cell>
          <cell r="AD28"/>
          <cell r="AE28">
            <v>293.13</v>
          </cell>
          <cell r="AG28">
            <v>604.82474652600001</v>
          </cell>
          <cell r="AH28">
            <v>530.49178517795463</v>
          </cell>
          <cell r="AI28">
            <v>74.332961348045401</v>
          </cell>
          <cell r="AJ28">
            <v>100.51</v>
          </cell>
          <cell r="AK28"/>
          <cell r="AL28">
            <v>100.51</v>
          </cell>
          <cell r="AN28">
            <v>517.43204112599994</v>
          </cell>
          <cell r="AO28">
            <v>453.83964327161453</v>
          </cell>
          <cell r="AP28">
            <v>63.592397854385389</v>
          </cell>
          <cell r="AQ28">
            <v>0</v>
          </cell>
          <cell r="AR28"/>
          <cell r="AS28"/>
          <cell r="AU28">
            <v>456.98702048999996</v>
          </cell>
          <cell r="AV28">
            <v>400.82331567177897</v>
          </cell>
          <cell r="AW28">
            <v>56.163704818220992</v>
          </cell>
          <cell r="AX28">
            <v>0</v>
          </cell>
          <cell r="AY28"/>
          <cell r="BB28">
            <v>369.59431508999995</v>
          </cell>
          <cell r="BC28">
            <v>324.17117376543894</v>
          </cell>
          <cell r="BD28">
            <v>45.423141324560994</v>
          </cell>
          <cell r="BE28">
            <v>0</v>
          </cell>
          <cell r="BF28"/>
          <cell r="BG28"/>
          <cell r="BI28">
            <v>604.82474652600001</v>
          </cell>
          <cell r="BJ28">
            <v>530.49178517795463</v>
          </cell>
          <cell r="BK28">
            <v>74.332961348045401</v>
          </cell>
          <cell r="BL28">
            <v>0</v>
          </cell>
          <cell r="BM28"/>
          <cell r="BN28"/>
          <cell r="BP28">
            <v>604.82474652600001</v>
          </cell>
          <cell r="BQ28">
            <v>530.49178517795463</v>
          </cell>
          <cell r="BR28">
            <v>74.332961348045401</v>
          </cell>
          <cell r="BS28">
            <v>0</v>
          </cell>
          <cell r="BT28"/>
          <cell r="BU28"/>
          <cell r="BW28">
            <v>556.26027750150001</v>
          </cell>
          <cell r="BX28">
            <v>487.89588939656568</v>
          </cell>
          <cell r="BY28">
            <v>68.364388104934349</v>
          </cell>
          <cell r="BZ28">
            <v>0</v>
          </cell>
          <cell r="CA28"/>
          <cell r="CB28"/>
          <cell r="CD28">
            <v>408.42255146549996</v>
          </cell>
          <cell r="CE28">
            <v>358.22741989039002</v>
          </cell>
          <cell r="CF28">
            <v>50.195131575109947</v>
          </cell>
          <cell r="CG28">
            <v>0</v>
          </cell>
          <cell r="CH28"/>
          <cell r="CI28"/>
          <cell r="CK28">
            <v>408.42255146549996</v>
          </cell>
          <cell r="CL28">
            <v>358.22741989039002</v>
          </cell>
          <cell r="CM28">
            <v>50.195131575109947</v>
          </cell>
          <cell r="CN28">
            <v>0</v>
          </cell>
          <cell r="CO28"/>
          <cell r="CP28"/>
        </row>
        <row r="29">
          <cell r="L29">
            <v>786.43590349999999</v>
          </cell>
          <cell r="M29">
            <v>689.78293095984998</v>
          </cell>
          <cell r="N29">
            <v>96.652972540149989</v>
          </cell>
          <cell r="O29">
            <v>0</v>
          </cell>
          <cell r="P29"/>
          <cell r="Q29">
            <v>0</v>
          </cell>
          <cell r="S29">
            <v>999.91786050000007</v>
          </cell>
          <cell r="T29">
            <v>877.02795544455012</v>
          </cell>
          <cell r="U29">
            <v>122.88990505545</v>
          </cell>
          <cell r="V29">
            <v>0</v>
          </cell>
          <cell r="W29"/>
          <cell r="X29">
            <v>0</v>
          </cell>
          <cell r="Z29">
            <v>786.43590349999999</v>
          </cell>
          <cell r="AA29">
            <v>689.78293095984998</v>
          </cell>
          <cell r="AB29">
            <v>96.652972540149989</v>
          </cell>
          <cell r="AC29">
            <v>0</v>
          </cell>
          <cell r="AD29"/>
          <cell r="AE29">
            <v>0</v>
          </cell>
          <cell r="AG29">
            <v>999.91786050000007</v>
          </cell>
          <cell r="AH29">
            <v>877.02795544455012</v>
          </cell>
          <cell r="AI29">
            <v>122.88990505545</v>
          </cell>
          <cell r="AJ29">
            <v>0</v>
          </cell>
          <cell r="AK29"/>
          <cell r="AL29">
            <v>0</v>
          </cell>
          <cell r="AN29">
            <v>786.43590349999999</v>
          </cell>
          <cell r="AO29">
            <v>689.78293095984998</v>
          </cell>
          <cell r="AP29">
            <v>96.652972540149989</v>
          </cell>
          <cell r="AQ29">
            <v>0</v>
          </cell>
          <cell r="AR29"/>
          <cell r="AS29"/>
          <cell r="AU29">
            <v>999.91786050000007</v>
          </cell>
          <cell r="AV29">
            <v>877.02795544455012</v>
          </cell>
          <cell r="AW29">
            <v>122.88990505545</v>
          </cell>
          <cell r="AX29">
            <v>0</v>
          </cell>
          <cell r="AY29"/>
          <cell r="BB29">
            <v>786.43590349999999</v>
          </cell>
          <cell r="BC29">
            <v>689.78293095984998</v>
          </cell>
          <cell r="BD29">
            <v>96.652972540149989</v>
          </cell>
          <cell r="BE29">
            <v>0</v>
          </cell>
          <cell r="BF29"/>
          <cell r="BG29"/>
          <cell r="BI29">
            <v>999.91786050000007</v>
          </cell>
          <cell r="BJ29">
            <v>877.02795544455012</v>
          </cell>
          <cell r="BK29">
            <v>122.88990505545</v>
          </cell>
          <cell r="BL29">
            <v>0</v>
          </cell>
          <cell r="BM29"/>
          <cell r="BN29"/>
          <cell r="BP29">
            <v>786.43590349999999</v>
          </cell>
          <cell r="BQ29">
            <v>689.78293095984998</v>
          </cell>
          <cell r="BR29">
            <v>96.652972540149989</v>
          </cell>
          <cell r="BS29">
            <v>0</v>
          </cell>
          <cell r="BT29"/>
          <cell r="BU29"/>
          <cell r="BW29">
            <v>999.91786050000007</v>
          </cell>
          <cell r="BX29">
            <v>877.02795544455012</v>
          </cell>
          <cell r="BY29">
            <v>122.88990505545</v>
          </cell>
          <cell r="BZ29">
            <v>0</v>
          </cell>
          <cell r="CA29"/>
          <cell r="CB29"/>
          <cell r="CD29">
            <v>786.43590349999999</v>
          </cell>
          <cell r="CE29">
            <v>689.78293095984998</v>
          </cell>
          <cell r="CF29">
            <v>96.652972540149989</v>
          </cell>
          <cell r="CG29">
            <v>0</v>
          </cell>
          <cell r="CH29"/>
          <cell r="CI29"/>
          <cell r="CK29">
            <v>999.91786050000007</v>
          </cell>
          <cell r="CL29">
            <v>877.02795544455012</v>
          </cell>
          <cell r="CM29">
            <v>122.88990505545</v>
          </cell>
          <cell r="CN29">
            <v>0</v>
          </cell>
          <cell r="CO29"/>
          <cell r="CP29"/>
        </row>
        <row r="30">
          <cell r="L30">
            <v>355.33333333333337</v>
          </cell>
          <cell r="M30">
            <v>311.66286666666667</v>
          </cell>
          <cell r="N30">
            <v>43.67046666666667</v>
          </cell>
          <cell r="O30">
            <v>0</v>
          </cell>
          <cell r="P30"/>
          <cell r="Q30">
            <v>0</v>
          </cell>
          <cell r="S30">
            <v>355.33333333333337</v>
          </cell>
          <cell r="T30">
            <v>311.66286666666667</v>
          </cell>
          <cell r="U30">
            <v>43.67046666666667</v>
          </cell>
          <cell r="V30">
            <v>0</v>
          </cell>
          <cell r="W30"/>
          <cell r="X30">
            <v>0</v>
          </cell>
          <cell r="Z30">
            <v>355.33333333333337</v>
          </cell>
          <cell r="AA30">
            <v>311.66286666666667</v>
          </cell>
          <cell r="AB30">
            <v>43.67046666666667</v>
          </cell>
          <cell r="AC30">
            <v>0</v>
          </cell>
          <cell r="AD30"/>
          <cell r="AE30">
            <v>0</v>
          </cell>
          <cell r="AG30">
            <v>355.33333333333337</v>
          </cell>
          <cell r="AH30">
            <v>311.66286666666667</v>
          </cell>
          <cell r="AI30">
            <v>43.67046666666667</v>
          </cell>
          <cell r="AJ30">
            <v>0</v>
          </cell>
          <cell r="AK30"/>
          <cell r="AL30">
            <v>0</v>
          </cell>
          <cell r="AN30">
            <v>355.33333333333337</v>
          </cell>
          <cell r="AO30">
            <v>311.66286666666667</v>
          </cell>
          <cell r="AP30">
            <v>43.67046666666667</v>
          </cell>
          <cell r="AQ30">
            <v>0</v>
          </cell>
          <cell r="AR30"/>
          <cell r="AS30">
            <v>0</v>
          </cell>
          <cell r="AU30">
            <v>355.33333333333337</v>
          </cell>
          <cell r="AV30">
            <v>311.66286666666667</v>
          </cell>
          <cell r="AW30">
            <v>43.67046666666667</v>
          </cell>
          <cell r="AX30">
            <v>0</v>
          </cell>
          <cell r="AY30"/>
          <cell r="BB30">
            <v>355.33333333333337</v>
          </cell>
          <cell r="BC30">
            <v>311.66286666666667</v>
          </cell>
          <cell r="BD30">
            <v>43.67046666666667</v>
          </cell>
          <cell r="BE30">
            <v>0</v>
          </cell>
          <cell r="BF30"/>
          <cell r="BG30">
            <v>0</v>
          </cell>
          <cell r="BI30">
            <v>355.33333333333337</v>
          </cell>
          <cell r="BJ30">
            <v>311.66286666666667</v>
          </cell>
          <cell r="BK30">
            <v>43.67046666666667</v>
          </cell>
          <cell r="BL30">
            <v>0</v>
          </cell>
          <cell r="BM30"/>
          <cell r="BN30">
            <v>0</v>
          </cell>
          <cell r="BP30">
            <v>355.33333333333337</v>
          </cell>
          <cell r="BQ30">
            <v>311.66286666666667</v>
          </cell>
          <cell r="BR30">
            <v>43.67046666666667</v>
          </cell>
          <cell r="BS30">
            <v>0</v>
          </cell>
          <cell r="BT30"/>
          <cell r="BU30">
            <v>0</v>
          </cell>
          <cell r="BW30">
            <v>355.33333333333337</v>
          </cell>
          <cell r="BX30">
            <v>311.66286666666667</v>
          </cell>
          <cell r="BY30">
            <v>43.67046666666667</v>
          </cell>
          <cell r="BZ30">
            <v>0</v>
          </cell>
          <cell r="CA30"/>
          <cell r="CB30">
            <v>0</v>
          </cell>
          <cell r="CD30">
            <v>355.33333333333337</v>
          </cell>
          <cell r="CE30">
            <v>311.66286666666667</v>
          </cell>
          <cell r="CF30">
            <v>43.67046666666667</v>
          </cell>
          <cell r="CG30">
            <v>0</v>
          </cell>
          <cell r="CH30"/>
          <cell r="CI30">
            <v>0</v>
          </cell>
          <cell r="CK30">
            <v>355.33333333333337</v>
          </cell>
          <cell r="CL30">
            <v>311.66286666666667</v>
          </cell>
          <cell r="CM30">
            <v>43.67046666666667</v>
          </cell>
          <cell r="CN30">
            <v>0</v>
          </cell>
          <cell r="CO30"/>
          <cell r="CP30">
            <v>0</v>
          </cell>
        </row>
        <row r="31">
          <cell r="L31">
            <v>155.45833333333331</v>
          </cell>
          <cell r="M31">
            <v>136.35250416666665</v>
          </cell>
          <cell r="N31">
            <v>19.105829166666663</v>
          </cell>
          <cell r="O31">
            <v>11.737514749517105</v>
          </cell>
          <cell r="P31"/>
          <cell r="Q31">
            <v>11.737514749517105</v>
          </cell>
          <cell r="S31">
            <v>155.45833333333331</v>
          </cell>
          <cell r="T31">
            <v>136.35250416666665</v>
          </cell>
          <cell r="U31">
            <v>19.105829166666663</v>
          </cell>
          <cell r="V31">
            <v>11.737514749517105</v>
          </cell>
          <cell r="W31"/>
          <cell r="X31">
            <v>11.737514749517105</v>
          </cell>
          <cell r="Z31">
            <v>155.45833333333331</v>
          </cell>
          <cell r="AA31">
            <v>136.35250416666665</v>
          </cell>
          <cell r="AB31">
            <v>19.105829166666663</v>
          </cell>
          <cell r="AC31">
            <v>0</v>
          </cell>
          <cell r="AD31"/>
          <cell r="AE31">
            <v>0</v>
          </cell>
          <cell r="AG31">
            <v>155.45833333333331</v>
          </cell>
          <cell r="AH31">
            <v>136.35250416666665</v>
          </cell>
          <cell r="AI31">
            <v>19.105829166666663</v>
          </cell>
          <cell r="AJ31">
            <v>30.908788840395047</v>
          </cell>
          <cell r="AK31"/>
          <cell r="AL31">
            <v>30.908788840395047</v>
          </cell>
          <cell r="AN31">
            <v>155.45833333333331</v>
          </cell>
          <cell r="AO31">
            <v>136.35250416666665</v>
          </cell>
          <cell r="AP31">
            <v>19.105829166666663</v>
          </cell>
          <cell r="AQ31">
            <v>0</v>
          </cell>
          <cell r="AR31"/>
          <cell r="AS31">
            <v>0</v>
          </cell>
          <cell r="AU31">
            <v>155.45833333333331</v>
          </cell>
          <cell r="AV31">
            <v>136.35250416666665</v>
          </cell>
          <cell r="AW31">
            <v>19.105829166666663</v>
          </cell>
          <cell r="AX31">
            <v>0</v>
          </cell>
          <cell r="AY31"/>
          <cell r="BB31">
            <v>155.45833333333331</v>
          </cell>
          <cell r="BC31">
            <v>136.35250416666665</v>
          </cell>
          <cell r="BD31">
            <v>19.105829166666663</v>
          </cell>
          <cell r="BE31">
            <v>0</v>
          </cell>
          <cell r="BF31"/>
          <cell r="BG31">
            <v>0</v>
          </cell>
          <cell r="BI31">
            <v>155.45833333333331</v>
          </cell>
          <cell r="BJ31">
            <v>136.35250416666665</v>
          </cell>
          <cell r="BK31">
            <v>19.105829166666663</v>
          </cell>
          <cell r="BL31">
            <v>0</v>
          </cell>
          <cell r="BM31"/>
          <cell r="BN31">
            <v>0</v>
          </cell>
          <cell r="BP31">
            <v>155.45833333333331</v>
          </cell>
          <cell r="BQ31">
            <v>136.35250416666665</v>
          </cell>
          <cell r="BR31">
            <v>19.105829166666663</v>
          </cell>
          <cell r="BS31">
            <v>0</v>
          </cell>
          <cell r="BT31"/>
          <cell r="BU31">
            <v>0</v>
          </cell>
          <cell r="BW31">
            <v>155.45833333333331</v>
          </cell>
          <cell r="BX31">
            <v>136.35250416666665</v>
          </cell>
          <cell r="BY31">
            <v>19.105829166666663</v>
          </cell>
          <cell r="BZ31">
            <v>0</v>
          </cell>
          <cell r="CA31"/>
          <cell r="CB31">
            <v>0</v>
          </cell>
          <cell r="CD31">
            <v>155.45833333333331</v>
          </cell>
          <cell r="CE31">
            <v>136.35250416666665</v>
          </cell>
          <cell r="CF31">
            <v>19.105829166666663</v>
          </cell>
          <cell r="CG31">
            <v>0</v>
          </cell>
          <cell r="CH31"/>
          <cell r="CI31">
            <v>0</v>
          </cell>
          <cell r="CK31">
            <v>155.45833333333331</v>
          </cell>
          <cell r="CL31">
            <v>136.35250416666665</v>
          </cell>
          <cell r="CM31">
            <v>19.105829166666663</v>
          </cell>
          <cell r="CN31">
            <v>0</v>
          </cell>
          <cell r="CO31"/>
          <cell r="CP31">
            <v>0</v>
          </cell>
        </row>
        <row r="32">
          <cell r="L32">
            <v>16510.771926000001</v>
          </cell>
          <cell r="M32">
            <v>14481.598056294601</v>
          </cell>
          <cell r="N32">
            <v>2029.1738697054</v>
          </cell>
          <cell r="O32">
            <v>0</v>
          </cell>
          <cell r="P32"/>
          <cell r="Q32"/>
          <cell r="S32">
            <v>11735.117393999997</v>
          </cell>
          <cell r="T32">
            <v>10292.871466277398</v>
          </cell>
          <cell r="U32">
            <v>1442.2459277225996</v>
          </cell>
          <cell r="V32">
            <v>0</v>
          </cell>
          <cell r="W32"/>
          <cell r="X32"/>
          <cell r="Z32">
            <v>11735.117393999997</v>
          </cell>
          <cell r="AA32">
            <v>10292.871466277398</v>
          </cell>
          <cell r="AB32">
            <v>1442.2459277225996</v>
          </cell>
          <cell r="AC32">
            <v>0</v>
          </cell>
          <cell r="AD32"/>
          <cell r="AE32"/>
          <cell r="AG32">
            <v>12731.66466</v>
          </cell>
          <cell r="AH32">
            <v>11166.943073286</v>
          </cell>
          <cell r="AI32">
            <v>1564.7215867140001</v>
          </cell>
          <cell r="AJ32">
            <v>0</v>
          </cell>
          <cell r="AK32"/>
          <cell r="AL32"/>
          <cell r="AN32">
            <v>12731.66466</v>
          </cell>
          <cell r="AO32">
            <v>11166.943073286</v>
          </cell>
          <cell r="AP32">
            <v>1564.7215867140001</v>
          </cell>
          <cell r="AQ32">
            <v>0</v>
          </cell>
          <cell r="AR32"/>
          <cell r="AS32"/>
          <cell r="AU32">
            <v>15882.504659999999</v>
          </cell>
          <cell r="AV32">
            <v>13930.544837285999</v>
          </cell>
          <cell r="AW32">
            <v>1951.9598227139998</v>
          </cell>
          <cell r="AX32">
            <v>0</v>
          </cell>
          <cell r="AY32"/>
          <cell r="BB32">
            <v>13886.928329999999</v>
          </cell>
          <cell r="BC32">
            <v>12180.224838242999</v>
          </cell>
          <cell r="BD32">
            <v>1706.7034917569997</v>
          </cell>
          <cell r="BE32">
            <v>0</v>
          </cell>
          <cell r="BF32"/>
          <cell r="BG32"/>
          <cell r="BI32">
            <v>2864.4</v>
          </cell>
          <cell r="BJ32">
            <v>2512.3652400000001</v>
          </cell>
          <cell r="BK32">
            <v>352.03476000000001</v>
          </cell>
          <cell r="BL32">
            <v>0</v>
          </cell>
          <cell r="BM32"/>
          <cell r="BN32"/>
          <cell r="BP32">
            <v>204.6</v>
          </cell>
          <cell r="BQ32">
            <v>179.45465999999999</v>
          </cell>
          <cell r="BR32">
            <v>25.145339999999997</v>
          </cell>
          <cell r="BS32">
            <v>0</v>
          </cell>
          <cell r="BT32"/>
          <cell r="BU32"/>
          <cell r="BW32">
            <v>204.6</v>
          </cell>
          <cell r="BX32">
            <v>179.45465999999999</v>
          </cell>
          <cell r="BY32">
            <v>25.145339999999997</v>
          </cell>
          <cell r="BZ32">
            <v>0</v>
          </cell>
          <cell r="CA32"/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/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/>
          <cell r="CP32"/>
        </row>
        <row r="33">
          <cell r="L33">
            <v>10438.775510204081</v>
          </cell>
          <cell r="M33">
            <v>9155.8499999999985</v>
          </cell>
          <cell r="N33">
            <v>1282.9255102040815</v>
          </cell>
          <cell r="O33">
            <v>0</v>
          </cell>
          <cell r="P33"/>
          <cell r="Q33"/>
          <cell r="S33">
            <v>8540.8163265306121</v>
          </cell>
          <cell r="T33">
            <v>7491.15</v>
          </cell>
          <cell r="U33">
            <v>1049.6663265306122</v>
          </cell>
          <cell r="V33">
            <v>0</v>
          </cell>
          <cell r="W33"/>
          <cell r="X33"/>
          <cell r="Z33">
            <v>8540.8163265306121</v>
          </cell>
          <cell r="AA33">
            <v>7491.15</v>
          </cell>
          <cell r="AB33">
            <v>1049.6663265306122</v>
          </cell>
          <cell r="AC33">
            <v>0</v>
          </cell>
          <cell r="AD33"/>
          <cell r="AE33"/>
          <cell r="AG33">
            <v>9489.7959183673483</v>
          </cell>
          <cell r="AH33">
            <v>8323.5000000000018</v>
          </cell>
          <cell r="AI33">
            <v>1166.295918367347</v>
          </cell>
          <cell r="AJ33">
            <v>0</v>
          </cell>
          <cell r="AK33"/>
          <cell r="AL33"/>
          <cell r="AN33">
            <v>9489.7959183673483</v>
          </cell>
          <cell r="AO33">
            <v>8323.5000000000018</v>
          </cell>
          <cell r="AP33">
            <v>1166.295918367347</v>
          </cell>
          <cell r="AQ33">
            <v>0</v>
          </cell>
          <cell r="AR33"/>
          <cell r="AS33"/>
          <cell r="AU33">
            <v>9489.7959183673483</v>
          </cell>
          <cell r="AV33">
            <v>8323.5000000000018</v>
          </cell>
          <cell r="AW33">
            <v>1166.295918367347</v>
          </cell>
          <cell r="AX33">
            <v>0</v>
          </cell>
          <cell r="AY33"/>
          <cell r="BB33">
            <v>4744.8979591836742</v>
          </cell>
          <cell r="BC33">
            <v>4161.7500000000009</v>
          </cell>
          <cell r="BD33">
            <v>583.14795918367349</v>
          </cell>
          <cell r="BE33">
            <v>0</v>
          </cell>
          <cell r="BF33"/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/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/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/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/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/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/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/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/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/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/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/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/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/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/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/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/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/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/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/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/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/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/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/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/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/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/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/>
          <cell r="CP35"/>
        </row>
        <row r="36">
          <cell r="L36">
            <v>666.25</v>
          </cell>
          <cell r="M36">
            <v>584.36787500000003</v>
          </cell>
          <cell r="N36">
            <v>81.882125000000002</v>
          </cell>
          <cell r="O36">
            <v>2054.8768196175988</v>
          </cell>
          <cell r="P36"/>
          <cell r="Q36">
            <v>2054.8768196175988</v>
          </cell>
          <cell r="S36">
            <v>666.25</v>
          </cell>
          <cell r="T36">
            <v>584.36787500000003</v>
          </cell>
          <cell r="U36">
            <v>81.882125000000002</v>
          </cell>
          <cell r="V36">
            <v>623.01750164207658</v>
          </cell>
          <cell r="W36"/>
          <cell r="X36">
            <v>623.01750164207658</v>
          </cell>
          <cell r="Z36">
            <v>666.25</v>
          </cell>
          <cell r="AA36">
            <v>584.36787500000003</v>
          </cell>
          <cell r="AB36">
            <v>81.882125000000002</v>
          </cell>
          <cell r="AC36">
            <v>903.66211721144123</v>
          </cell>
          <cell r="AD36"/>
          <cell r="AE36">
            <v>903.66211721144123</v>
          </cell>
          <cell r="AG36">
            <v>666.25</v>
          </cell>
          <cell r="AH36">
            <v>584.36787500000003</v>
          </cell>
          <cell r="AI36">
            <v>81.882125000000002</v>
          </cell>
          <cell r="AJ36">
            <v>749.63966313488595</v>
          </cell>
          <cell r="AK36"/>
          <cell r="AL36">
            <v>749.63966313488595</v>
          </cell>
          <cell r="AN36">
            <v>666.25</v>
          </cell>
          <cell r="AO36">
            <v>584.36787500000003</v>
          </cell>
          <cell r="AP36">
            <v>81.882125000000002</v>
          </cell>
          <cell r="AQ36">
            <v>0</v>
          </cell>
          <cell r="AR36"/>
          <cell r="AS36">
            <v>0</v>
          </cell>
          <cell r="AU36">
            <v>666.25</v>
          </cell>
          <cell r="AV36">
            <v>584.36787500000003</v>
          </cell>
          <cell r="AW36">
            <v>81.882125000000002</v>
          </cell>
          <cell r="AX36">
            <v>0</v>
          </cell>
          <cell r="AY36"/>
          <cell r="BB36">
            <v>666.25</v>
          </cell>
          <cell r="BC36">
            <v>584.36787500000003</v>
          </cell>
          <cell r="BD36">
            <v>81.882125000000002</v>
          </cell>
          <cell r="BE36">
            <v>0</v>
          </cell>
          <cell r="BF36"/>
          <cell r="BG36">
            <v>0</v>
          </cell>
          <cell r="BI36">
            <v>666.25</v>
          </cell>
          <cell r="BJ36">
            <v>584.36787500000003</v>
          </cell>
          <cell r="BK36">
            <v>81.882125000000002</v>
          </cell>
          <cell r="BL36">
            <v>0</v>
          </cell>
          <cell r="BM36"/>
          <cell r="BN36">
            <v>0</v>
          </cell>
          <cell r="BP36">
            <v>666.25</v>
          </cell>
          <cell r="BQ36">
            <v>584.36787500000003</v>
          </cell>
          <cell r="BR36">
            <v>81.882125000000002</v>
          </cell>
          <cell r="BS36">
            <v>0</v>
          </cell>
          <cell r="BT36"/>
          <cell r="BU36">
            <v>0</v>
          </cell>
          <cell r="BW36">
            <v>666.25</v>
          </cell>
          <cell r="BX36">
            <v>584.36787500000003</v>
          </cell>
          <cell r="BY36">
            <v>81.882125000000002</v>
          </cell>
          <cell r="BZ36">
            <v>0</v>
          </cell>
          <cell r="CA36"/>
          <cell r="CB36">
            <v>0</v>
          </cell>
          <cell r="CD36">
            <v>666.25</v>
          </cell>
          <cell r="CE36">
            <v>584.36787500000003</v>
          </cell>
          <cell r="CF36">
            <v>81.882125000000002</v>
          </cell>
          <cell r="CG36">
            <v>0</v>
          </cell>
          <cell r="CH36"/>
          <cell r="CI36">
            <v>0</v>
          </cell>
          <cell r="CK36">
            <v>666.25</v>
          </cell>
          <cell r="CL36">
            <v>584.36787500000003</v>
          </cell>
          <cell r="CM36">
            <v>81.882125000000002</v>
          </cell>
          <cell r="CN36">
            <v>0</v>
          </cell>
          <cell r="CO36"/>
          <cell r="CP36">
            <v>0</v>
          </cell>
        </row>
        <row r="37">
          <cell r="L37">
            <v>621.83333333333326</v>
          </cell>
          <cell r="M37">
            <v>545.41001666666659</v>
          </cell>
          <cell r="N37">
            <v>76.423316666666651</v>
          </cell>
          <cell r="O37">
            <v>61.393900178283566</v>
          </cell>
          <cell r="P37"/>
          <cell r="Q37">
            <v>61.393900178283566</v>
          </cell>
          <cell r="S37">
            <v>621.83333333333326</v>
          </cell>
          <cell r="T37">
            <v>545.41001666666659</v>
          </cell>
          <cell r="U37">
            <v>76.423316666666651</v>
          </cell>
          <cell r="V37">
            <v>368.85884326836191</v>
          </cell>
          <cell r="W37"/>
          <cell r="X37">
            <v>368.85884326836191</v>
          </cell>
          <cell r="Z37">
            <v>621.83333333333326</v>
          </cell>
          <cell r="AA37">
            <v>545.41001666666659</v>
          </cell>
          <cell r="AB37">
            <v>76.423316666666651</v>
          </cell>
          <cell r="AC37">
            <v>762.75027573757313</v>
          </cell>
          <cell r="AD37"/>
          <cell r="AE37">
            <v>762.75027573757313</v>
          </cell>
          <cell r="AG37">
            <v>621.83333333333326</v>
          </cell>
          <cell r="AH37">
            <v>545.41001666666659</v>
          </cell>
          <cell r="AI37">
            <v>76.423316666666651</v>
          </cell>
          <cell r="AJ37">
            <v>1839.9702605006601</v>
          </cell>
          <cell r="AK37"/>
          <cell r="AL37">
            <v>1839.9702605006601</v>
          </cell>
          <cell r="AN37">
            <v>621.83333333333326</v>
          </cell>
          <cell r="AO37">
            <v>545.41001666666659</v>
          </cell>
          <cell r="AP37">
            <v>76.423316666666651</v>
          </cell>
          <cell r="AQ37">
            <v>0</v>
          </cell>
          <cell r="AR37"/>
          <cell r="AS37">
            <v>0</v>
          </cell>
          <cell r="AU37">
            <v>621.83333333333326</v>
          </cell>
          <cell r="AV37">
            <v>545.41001666666659</v>
          </cell>
          <cell r="AW37">
            <v>76.423316666666651</v>
          </cell>
          <cell r="AX37">
            <v>0</v>
          </cell>
          <cell r="AY37"/>
          <cell r="BB37">
            <v>621.83333333333326</v>
          </cell>
          <cell r="BC37">
            <v>545.41001666666659</v>
          </cell>
          <cell r="BD37">
            <v>76.423316666666651</v>
          </cell>
          <cell r="BE37">
            <v>0</v>
          </cell>
          <cell r="BF37"/>
          <cell r="BG37">
            <v>0</v>
          </cell>
          <cell r="BI37">
            <v>621.83333333333326</v>
          </cell>
          <cell r="BJ37">
            <v>545.41001666666659</v>
          </cell>
          <cell r="BK37">
            <v>76.423316666666651</v>
          </cell>
          <cell r="BL37">
            <v>0</v>
          </cell>
          <cell r="BM37"/>
          <cell r="BN37">
            <v>0</v>
          </cell>
          <cell r="BP37">
            <v>621.83333333333326</v>
          </cell>
          <cell r="BQ37">
            <v>545.41001666666659</v>
          </cell>
          <cell r="BR37">
            <v>76.423316666666651</v>
          </cell>
          <cell r="BS37">
            <v>0</v>
          </cell>
          <cell r="BT37"/>
          <cell r="BU37">
            <v>0</v>
          </cell>
          <cell r="BW37">
            <v>621.83333333333326</v>
          </cell>
          <cell r="BX37">
            <v>545.41001666666659</v>
          </cell>
          <cell r="BY37">
            <v>76.423316666666651</v>
          </cell>
          <cell r="BZ37">
            <v>0</v>
          </cell>
          <cell r="CA37"/>
          <cell r="CB37">
            <v>0</v>
          </cell>
          <cell r="CD37">
            <v>621.83333333333326</v>
          </cell>
          <cell r="CE37">
            <v>545.41001666666659</v>
          </cell>
          <cell r="CF37">
            <v>76.423316666666651</v>
          </cell>
          <cell r="CG37">
            <v>0</v>
          </cell>
          <cell r="CH37"/>
          <cell r="CI37">
            <v>0</v>
          </cell>
          <cell r="CK37">
            <v>621.83333333333326</v>
          </cell>
          <cell r="CL37">
            <v>545.41001666666659</v>
          </cell>
          <cell r="CM37">
            <v>76.423316666666651</v>
          </cell>
          <cell r="CN37">
            <v>0</v>
          </cell>
          <cell r="CO37"/>
          <cell r="CP37">
            <v>0</v>
          </cell>
        </row>
        <row r="38">
          <cell r="L38">
            <v>119.925</v>
          </cell>
          <cell r="M38">
            <v>105.1862175</v>
          </cell>
          <cell r="N38">
            <v>14.738782499999999</v>
          </cell>
          <cell r="O38">
            <v>71.237358539551096</v>
          </cell>
          <cell r="P38"/>
          <cell r="Q38">
            <v>71.237358539551096</v>
          </cell>
          <cell r="S38">
            <v>119.925</v>
          </cell>
          <cell r="T38">
            <v>105.1862175</v>
          </cell>
          <cell r="U38">
            <v>14.738782499999999</v>
          </cell>
          <cell r="V38">
            <v>0</v>
          </cell>
          <cell r="W38"/>
          <cell r="X38">
            <v>0</v>
          </cell>
          <cell r="Z38">
            <v>119.925</v>
          </cell>
          <cell r="AA38">
            <v>105.1862175</v>
          </cell>
          <cell r="AB38">
            <v>14.738782499999999</v>
          </cell>
          <cell r="AC38">
            <v>512.86028780944832</v>
          </cell>
          <cell r="AD38"/>
          <cell r="AE38">
            <v>512.86028780944832</v>
          </cell>
          <cell r="AG38">
            <v>119.925</v>
          </cell>
          <cell r="AH38">
            <v>105.1862175</v>
          </cell>
          <cell r="AI38">
            <v>14.738782499999999</v>
          </cell>
          <cell r="AJ38">
            <v>571.01255008272392</v>
          </cell>
          <cell r="AK38"/>
          <cell r="AL38">
            <v>571.01255008272392</v>
          </cell>
          <cell r="AN38">
            <v>119.925</v>
          </cell>
          <cell r="AO38">
            <v>105.1862175</v>
          </cell>
          <cell r="AP38">
            <v>14.738782499999999</v>
          </cell>
          <cell r="AQ38">
            <v>0</v>
          </cell>
          <cell r="AR38"/>
          <cell r="AS38">
            <v>0</v>
          </cell>
          <cell r="AU38">
            <v>119.925</v>
          </cell>
          <cell r="AV38">
            <v>105.1862175</v>
          </cell>
          <cell r="AW38">
            <v>14.738782499999999</v>
          </cell>
          <cell r="AX38">
            <v>0</v>
          </cell>
          <cell r="AY38"/>
          <cell r="BB38">
            <v>119.925</v>
          </cell>
          <cell r="BC38">
            <v>105.1862175</v>
          </cell>
          <cell r="BD38">
            <v>14.738782499999999</v>
          </cell>
          <cell r="BE38">
            <v>0</v>
          </cell>
          <cell r="BF38"/>
          <cell r="BG38">
            <v>0</v>
          </cell>
          <cell r="BI38">
            <v>119.925</v>
          </cell>
          <cell r="BJ38">
            <v>105.1862175</v>
          </cell>
          <cell r="BK38">
            <v>14.738782499999999</v>
          </cell>
          <cell r="BL38">
            <v>0</v>
          </cell>
          <cell r="BM38"/>
          <cell r="BN38">
            <v>0</v>
          </cell>
          <cell r="BP38">
            <v>119.925</v>
          </cell>
          <cell r="BQ38">
            <v>105.1862175</v>
          </cell>
          <cell r="BR38">
            <v>14.738782499999999</v>
          </cell>
          <cell r="BS38">
            <v>0</v>
          </cell>
          <cell r="BT38"/>
          <cell r="BU38">
            <v>0</v>
          </cell>
          <cell r="BW38">
            <v>119.925</v>
          </cell>
          <cell r="BX38">
            <v>105.1862175</v>
          </cell>
          <cell r="BY38">
            <v>14.738782499999999</v>
          </cell>
          <cell r="BZ38">
            <v>0</v>
          </cell>
          <cell r="CA38"/>
          <cell r="CB38">
            <v>0</v>
          </cell>
          <cell r="CD38">
            <v>119.925</v>
          </cell>
          <cell r="CE38">
            <v>105.1862175</v>
          </cell>
          <cell r="CF38">
            <v>14.738782499999999</v>
          </cell>
          <cell r="CG38">
            <v>0</v>
          </cell>
          <cell r="CH38"/>
          <cell r="CI38">
            <v>0</v>
          </cell>
          <cell r="CK38">
            <v>119.925</v>
          </cell>
          <cell r="CL38">
            <v>105.1862175</v>
          </cell>
          <cell r="CM38">
            <v>14.738782499999999</v>
          </cell>
          <cell r="CN38">
            <v>0</v>
          </cell>
          <cell r="CO38"/>
          <cell r="CP38">
            <v>0</v>
          </cell>
        </row>
        <row r="39">
          <cell r="L39">
            <v>44.416666666666671</v>
          </cell>
          <cell r="M39">
            <v>38.957858333333334</v>
          </cell>
          <cell r="N39">
            <v>5.4588083333333337</v>
          </cell>
          <cell r="O39">
            <v>111.31182805527105</v>
          </cell>
          <cell r="P39"/>
          <cell r="Q39">
            <v>111.31182805527105</v>
          </cell>
          <cell r="S39">
            <v>44.416666666666671</v>
          </cell>
          <cell r="T39">
            <v>38.957858333333334</v>
          </cell>
          <cell r="U39">
            <v>5.4588083333333337</v>
          </cell>
          <cell r="V39">
            <v>74.839946286719453</v>
          </cell>
          <cell r="W39"/>
          <cell r="X39">
            <v>74.839946286719453</v>
          </cell>
          <cell r="Z39">
            <v>44.416666666666671</v>
          </cell>
          <cell r="AA39">
            <v>38.957858333333334</v>
          </cell>
          <cell r="AB39">
            <v>5.4588083333333337</v>
          </cell>
          <cell r="AC39">
            <v>39.789537092452683</v>
          </cell>
          <cell r="AD39"/>
          <cell r="AE39">
            <v>39.789537092452683</v>
          </cell>
          <cell r="AG39">
            <v>44.416666666666671</v>
          </cell>
          <cell r="AH39">
            <v>38.957858333333334</v>
          </cell>
          <cell r="AI39">
            <v>5.4588083333333337</v>
          </cell>
          <cell r="AJ39">
            <v>429.11567170528502</v>
          </cell>
          <cell r="AK39"/>
          <cell r="AL39">
            <v>429.11567170528502</v>
          </cell>
          <cell r="AN39">
            <v>44.416666666666671</v>
          </cell>
          <cell r="AO39">
            <v>38.957858333333334</v>
          </cell>
          <cell r="AP39">
            <v>5.4588083333333337</v>
          </cell>
          <cell r="AQ39">
            <v>0</v>
          </cell>
          <cell r="AR39"/>
          <cell r="AS39">
            <v>0</v>
          </cell>
          <cell r="AU39">
            <v>44.416666666666671</v>
          </cell>
          <cell r="AV39">
            <v>38.957858333333334</v>
          </cell>
          <cell r="AW39">
            <v>5.4588083333333337</v>
          </cell>
          <cell r="AX39">
            <v>0</v>
          </cell>
          <cell r="AY39"/>
          <cell r="BB39">
            <v>44.416666666666671</v>
          </cell>
          <cell r="BC39">
            <v>38.957858333333334</v>
          </cell>
          <cell r="BD39">
            <v>5.4588083333333337</v>
          </cell>
          <cell r="BE39">
            <v>0</v>
          </cell>
          <cell r="BF39"/>
          <cell r="BG39">
            <v>0</v>
          </cell>
          <cell r="BI39">
            <v>44.416666666666671</v>
          </cell>
          <cell r="BJ39">
            <v>38.957858333333334</v>
          </cell>
          <cell r="BK39">
            <v>5.4588083333333337</v>
          </cell>
          <cell r="BL39">
            <v>0</v>
          </cell>
          <cell r="BM39"/>
          <cell r="BN39">
            <v>0</v>
          </cell>
          <cell r="BP39">
            <v>44.416666666666671</v>
          </cell>
          <cell r="BQ39">
            <v>38.957858333333334</v>
          </cell>
          <cell r="BR39">
            <v>5.4588083333333337</v>
          </cell>
          <cell r="BS39">
            <v>0</v>
          </cell>
          <cell r="BT39"/>
          <cell r="BU39">
            <v>0</v>
          </cell>
          <cell r="BW39">
            <v>44.416666666666671</v>
          </cell>
          <cell r="BX39">
            <v>38.957858333333334</v>
          </cell>
          <cell r="BY39">
            <v>5.4588083333333337</v>
          </cell>
          <cell r="BZ39">
            <v>0</v>
          </cell>
          <cell r="CA39"/>
          <cell r="CB39">
            <v>0</v>
          </cell>
          <cell r="CD39">
            <v>44.416666666666671</v>
          </cell>
          <cell r="CE39">
            <v>38.957858333333334</v>
          </cell>
          <cell r="CF39">
            <v>5.4588083333333337</v>
          </cell>
          <cell r="CG39">
            <v>0</v>
          </cell>
          <cell r="CH39"/>
          <cell r="CI39">
            <v>0</v>
          </cell>
          <cell r="CK39">
            <v>44.416666666666671</v>
          </cell>
          <cell r="CL39">
            <v>38.957858333333334</v>
          </cell>
          <cell r="CM39">
            <v>5.4588083333333337</v>
          </cell>
          <cell r="CN39">
            <v>0</v>
          </cell>
          <cell r="CO39"/>
          <cell r="CP39">
            <v>0</v>
          </cell>
        </row>
        <row r="40">
          <cell r="L40">
            <v>133.25</v>
          </cell>
          <cell r="M40">
            <v>116.873575</v>
          </cell>
          <cell r="N40">
            <v>16.376425000000001</v>
          </cell>
          <cell r="O40">
            <v>89.285913828301304</v>
          </cell>
          <cell r="P40"/>
          <cell r="Q40">
            <v>89.285913828301304</v>
          </cell>
          <cell r="S40">
            <v>133.25</v>
          </cell>
          <cell r="T40">
            <v>116.873575</v>
          </cell>
          <cell r="U40">
            <v>16.376425000000001</v>
          </cell>
          <cell r="V40">
            <v>89.285913828301304</v>
          </cell>
          <cell r="W40"/>
          <cell r="X40">
            <v>89.285913828301304</v>
          </cell>
          <cell r="Z40">
            <v>133.25</v>
          </cell>
          <cell r="AA40">
            <v>116.873575</v>
          </cell>
          <cell r="AB40">
            <v>16.376425000000001</v>
          </cell>
          <cell r="AC40">
            <v>461.39915316987623</v>
          </cell>
          <cell r="AD40"/>
          <cell r="AE40">
            <v>461.39915316987623</v>
          </cell>
          <cell r="AG40">
            <v>133.25</v>
          </cell>
          <cell r="AH40">
            <v>116.873575</v>
          </cell>
          <cell r="AI40">
            <v>16.376425000000001</v>
          </cell>
          <cell r="AJ40">
            <v>211.49853343491282</v>
          </cell>
          <cell r="AK40"/>
          <cell r="AL40">
            <v>211.49853343491282</v>
          </cell>
          <cell r="AN40">
            <v>133.25</v>
          </cell>
          <cell r="AO40">
            <v>116.873575</v>
          </cell>
          <cell r="AP40">
            <v>16.376425000000001</v>
          </cell>
          <cell r="AQ40">
            <v>0</v>
          </cell>
          <cell r="AR40"/>
          <cell r="AS40">
            <v>0</v>
          </cell>
          <cell r="AU40">
            <v>133.25</v>
          </cell>
          <cell r="AV40">
            <v>116.873575</v>
          </cell>
          <cell r="AW40">
            <v>16.376425000000001</v>
          </cell>
          <cell r="AX40">
            <v>0</v>
          </cell>
          <cell r="AY40"/>
          <cell r="BB40">
            <v>133.25</v>
          </cell>
          <cell r="BC40">
            <v>116.873575</v>
          </cell>
          <cell r="BD40">
            <v>16.376425000000001</v>
          </cell>
          <cell r="BE40">
            <v>0</v>
          </cell>
          <cell r="BF40"/>
          <cell r="BG40">
            <v>0</v>
          </cell>
          <cell r="BI40">
            <v>133.25</v>
          </cell>
          <cell r="BJ40">
            <v>116.873575</v>
          </cell>
          <cell r="BK40">
            <v>16.376425000000001</v>
          </cell>
          <cell r="BL40">
            <v>0</v>
          </cell>
          <cell r="BM40"/>
          <cell r="BN40">
            <v>0</v>
          </cell>
          <cell r="BP40">
            <v>133.25</v>
          </cell>
          <cell r="BQ40">
            <v>116.873575</v>
          </cell>
          <cell r="BR40">
            <v>16.376425000000001</v>
          </cell>
          <cell r="BS40">
            <v>0</v>
          </cell>
          <cell r="BT40"/>
          <cell r="BU40">
            <v>0</v>
          </cell>
          <cell r="BW40">
            <v>133.25</v>
          </cell>
          <cell r="BX40">
            <v>116.873575</v>
          </cell>
          <cell r="BY40">
            <v>16.376425000000001</v>
          </cell>
          <cell r="BZ40">
            <v>0</v>
          </cell>
          <cell r="CA40"/>
          <cell r="CB40">
            <v>0</v>
          </cell>
          <cell r="CD40">
            <v>133.25</v>
          </cell>
          <cell r="CE40">
            <v>116.873575</v>
          </cell>
          <cell r="CF40">
            <v>16.376425000000001</v>
          </cell>
          <cell r="CG40">
            <v>0</v>
          </cell>
          <cell r="CH40"/>
          <cell r="CI40">
            <v>0</v>
          </cell>
          <cell r="CK40">
            <v>133.25</v>
          </cell>
          <cell r="CL40">
            <v>116.873575</v>
          </cell>
          <cell r="CM40">
            <v>16.376425000000001</v>
          </cell>
          <cell r="CN40">
            <v>0</v>
          </cell>
          <cell r="CO40"/>
          <cell r="CP40">
            <v>0</v>
          </cell>
        </row>
        <row r="41">
          <cell r="L41">
            <v>3899.7833333333338</v>
          </cell>
          <cell r="M41">
            <v>3420.4999616666669</v>
          </cell>
          <cell r="N41">
            <v>479.28337166666671</v>
          </cell>
          <cell r="O41">
            <v>3899.7833333333338</v>
          </cell>
          <cell r="P41"/>
          <cell r="Q41">
            <v>3899.7833333333338</v>
          </cell>
          <cell r="S41">
            <v>3899.7833333333338</v>
          </cell>
          <cell r="T41">
            <v>3420.4999616666669</v>
          </cell>
          <cell r="U41">
            <v>479.28337166666671</v>
          </cell>
          <cell r="V41">
            <v>3899.7833333333338</v>
          </cell>
          <cell r="W41"/>
          <cell r="X41">
            <v>3899.7833333333338</v>
          </cell>
          <cell r="Z41">
            <v>3899.7833333333338</v>
          </cell>
          <cell r="AA41">
            <v>3420.4999616666669</v>
          </cell>
          <cell r="AB41">
            <v>479.28337166666671</v>
          </cell>
          <cell r="AC41">
            <v>3899.7833333333338</v>
          </cell>
          <cell r="AD41"/>
          <cell r="AE41">
            <v>3899.7833333333338</v>
          </cell>
          <cell r="AG41">
            <v>3899.7833333333338</v>
          </cell>
          <cell r="AH41">
            <v>3420.4999616666669</v>
          </cell>
          <cell r="AI41">
            <v>479.28337166666671</v>
          </cell>
          <cell r="AJ41">
            <v>3899.7833333333338</v>
          </cell>
          <cell r="AK41"/>
          <cell r="AL41">
            <v>3899.7833333333338</v>
          </cell>
          <cell r="AN41">
            <v>3899.7833333333338</v>
          </cell>
          <cell r="AO41">
            <v>3420.4999616666669</v>
          </cell>
          <cell r="AP41">
            <v>479.28337166666671</v>
          </cell>
          <cell r="AQ41">
            <v>0</v>
          </cell>
          <cell r="AR41"/>
          <cell r="AS41"/>
          <cell r="AU41">
            <v>3899.7833333333338</v>
          </cell>
          <cell r="AV41">
            <v>3420.4999616666669</v>
          </cell>
          <cell r="AW41">
            <v>479.28337166666671</v>
          </cell>
          <cell r="AX41">
            <v>0</v>
          </cell>
          <cell r="AY41"/>
          <cell r="BB41">
            <v>3899.7833333333338</v>
          </cell>
          <cell r="BC41">
            <v>3420.4999616666669</v>
          </cell>
          <cell r="BD41">
            <v>479.28337166666671</v>
          </cell>
          <cell r="BE41">
            <v>0</v>
          </cell>
          <cell r="BF41"/>
          <cell r="BG41"/>
          <cell r="BI41">
            <v>3899.7833333333338</v>
          </cell>
          <cell r="BJ41">
            <v>3420.4999616666669</v>
          </cell>
          <cell r="BK41">
            <v>479.28337166666671</v>
          </cell>
          <cell r="BL41">
            <v>0</v>
          </cell>
          <cell r="BM41"/>
          <cell r="BN41"/>
          <cell r="BP41">
            <v>3899.7833333333338</v>
          </cell>
          <cell r="BQ41">
            <v>3420.4999616666669</v>
          </cell>
          <cell r="BR41">
            <v>479.28337166666671</v>
          </cell>
          <cell r="BS41">
            <v>0</v>
          </cell>
          <cell r="BT41"/>
          <cell r="BU41"/>
          <cell r="BW41">
            <v>3899.7833333333338</v>
          </cell>
          <cell r="BX41">
            <v>3420.4999616666669</v>
          </cell>
          <cell r="BY41">
            <v>479.28337166666671</v>
          </cell>
          <cell r="BZ41">
            <v>0</v>
          </cell>
          <cell r="CA41"/>
          <cell r="CB41"/>
          <cell r="CD41">
            <v>3899.7833333333338</v>
          </cell>
          <cell r="CE41">
            <v>3420.4999616666669</v>
          </cell>
          <cell r="CF41">
            <v>479.28337166666671</v>
          </cell>
          <cell r="CG41">
            <v>0</v>
          </cell>
          <cell r="CH41"/>
          <cell r="CI41"/>
          <cell r="CK41">
            <v>3899.7833333333338</v>
          </cell>
          <cell r="CL41">
            <v>3420.4999616666669</v>
          </cell>
          <cell r="CM41">
            <v>479.28337166666671</v>
          </cell>
          <cell r="CN41">
            <v>0</v>
          </cell>
          <cell r="CO41"/>
          <cell r="CP41"/>
        </row>
        <row r="42"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/>
          <cell r="Q42"/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/>
          <cell r="X42"/>
          <cell r="Z42">
            <v>775.5256599999999</v>
          </cell>
          <cell r="AA42">
            <v>680.21355638599994</v>
          </cell>
          <cell r="AB42">
            <v>95.31210361399998</v>
          </cell>
          <cell r="AC42">
            <v>0</v>
          </cell>
          <cell r="AD42"/>
          <cell r="AE42"/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/>
          <cell r="AL42"/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/>
          <cell r="AS42"/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/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/>
          <cell r="BG42"/>
          <cell r="BI42">
            <v>54043.599999999991</v>
          </cell>
          <cell r="BJ42">
            <v>47401.641559999989</v>
          </cell>
          <cell r="BK42">
            <v>6641.9584399999985</v>
          </cell>
          <cell r="BL42">
            <v>0</v>
          </cell>
          <cell r="BM42"/>
          <cell r="BN42"/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/>
          <cell r="BU42"/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/>
          <cell r="CB42"/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/>
          <cell r="CI42"/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/>
          <cell r="CP42"/>
        </row>
        <row r="43">
          <cell r="L43">
            <v>257.34572500000002</v>
          </cell>
          <cell r="M43">
            <v>225.71793539750001</v>
          </cell>
          <cell r="N43">
            <v>31.627789602500002</v>
          </cell>
          <cell r="O43">
            <v>309.1197838244654</v>
          </cell>
          <cell r="P43"/>
          <cell r="Q43">
            <v>309.1197838244654</v>
          </cell>
          <cell r="S43">
            <v>257.34572500000002</v>
          </cell>
          <cell r="T43">
            <v>225.71793539750001</v>
          </cell>
          <cell r="U43">
            <v>31.627789602500002</v>
          </cell>
          <cell r="V43">
            <v>446.3275037958586</v>
          </cell>
          <cell r="W43"/>
          <cell r="X43">
            <v>446.3275037958586</v>
          </cell>
          <cell r="Z43">
            <v>257.34572500000002</v>
          </cell>
          <cell r="AA43">
            <v>225.71793539750001</v>
          </cell>
          <cell r="AB43">
            <v>31.627789602500002</v>
          </cell>
          <cell r="AC43">
            <v>276.4089037249733</v>
          </cell>
          <cell r="AD43"/>
          <cell r="AE43">
            <v>276.4089037249733</v>
          </cell>
          <cell r="AG43">
            <v>257.34572500000002</v>
          </cell>
          <cell r="AH43">
            <v>225.71793539750001</v>
          </cell>
          <cell r="AI43">
            <v>31.627789602500002</v>
          </cell>
          <cell r="AJ43">
            <v>299.93868702922492</v>
          </cell>
          <cell r="AK43"/>
          <cell r="AL43">
            <v>299.93868702922492</v>
          </cell>
          <cell r="AN43">
            <v>257.34572500000002</v>
          </cell>
          <cell r="AO43">
            <v>225.71793539750001</v>
          </cell>
          <cell r="AP43">
            <v>31.627789602500002</v>
          </cell>
          <cell r="AQ43">
            <v>0</v>
          </cell>
          <cell r="AR43"/>
          <cell r="AS43">
            <v>0</v>
          </cell>
          <cell r="AU43">
            <v>257.34572500000002</v>
          </cell>
          <cell r="AV43">
            <v>225.71793539750001</v>
          </cell>
          <cell r="AW43">
            <v>31.627789602500002</v>
          </cell>
          <cell r="AX43">
            <v>0</v>
          </cell>
          <cell r="AY43"/>
          <cell r="BB43">
            <v>257.34572500000002</v>
          </cell>
          <cell r="BC43">
            <v>225.71793539750001</v>
          </cell>
          <cell r="BD43">
            <v>31.627789602500002</v>
          </cell>
          <cell r="BE43">
            <v>0</v>
          </cell>
          <cell r="BF43"/>
          <cell r="BG43">
            <v>0</v>
          </cell>
          <cell r="BI43">
            <v>257.34572500000002</v>
          </cell>
          <cell r="BJ43">
            <v>225.71793539750001</v>
          </cell>
          <cell r="BK43">
            <v>31.627789602500002</v>
          </cell>
          <cell r="BL43">
            <v>0</v>
          </cell>
          <cell r="BM43"/>
          <cell r="BN43">
            <v>0</v>
          </cell>
          <cell r="BP43">
            <v>257.34572500000002</v>
          </cell>
          <cell r="BQ43">
            <v>225.71793539750001</v>
          </cell>
          <cell r="BR43">
            <v>31.627789602500002</v>
          </cell>
          <cell r="BS43">
            <v>0</v>
          </cell>
          <cell r="BT43"/>
          <cell r="BU43">
            <v>0</v>
          </cell>
          <cell r="BW43">
            <v>257.34572500000002</v>
          </cell>
          <cell r="BX43">
            <v>225.71793539750001</v>
          </cell>
          <cell r="BY43">
            <v>31.627789602500002</v>
          </cell>
          <cell r="BZ43">
            <v>0</v>
          </cell>
          <cell r="CA43"/>
          <cell r="CB43">
            <v>0</v>
          </cell>
          <cell r="CD43">
            <v>257.34572500000002</v>
          </cell>
          <cell r="CE43">
            <v>225.71793539750001</v>
          </cell>
          <cell r="CF43">
            <v>31.627789602500002</v>
          </cell>
          <cell r="CG43">
            <v>0</v>
          </cell>
          <cell r="CH43"/>
          <cell r="CI43">
            <v>0</v>
          </cell>
          <cell r="CK43">
            <v>257.34572500000002</v>
          </cell>
          <cell r="CL43">
            <v>225.71793539750001</v>
          </cell>
          <cell r="CM43">
            <v>31.627789602500002</v>
          </cell>
          <cell r="CN43">
            <v>0</v>
          </cell>
          <cell r="CO43"/>
          <cell r="CP43">
            <v>0</v>
          </cell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/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/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/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/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/>
          <cell r="AS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/>
          <cell r="BG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/>
          <cell r="BN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/>
          <cell r="BU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/>
          <cell r="CB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/>
          <cell r="CI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/>
          <cell r="CP44">
            <v>0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/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/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/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/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/>
          <cell r="AS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/>
          <cell r="BG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/>
          <cell r="BN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/>
          <cell r="BU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/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/>
          <cell r="CI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/>
          <cell r="CP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/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/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/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/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/>
          <cell r="AS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/>
          <cell r="BG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/>
          <cell r="BN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/>
          <cell r="BU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/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/>
          <cell r="CI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/>
          <cell r="CP46">
            <v>0</v>
          </cell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/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/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/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/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/>
          <cell r="AS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/>
          <cell r="BG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/>
          <cell r="BN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/>
          <cell r="BU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/>
          <cell r="CB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/>
          <cell r="CI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/>
          <cell r="CP47">
            <v>0</v>
          </cell>
        </row>
        <row r="48">
          <cell r="L48">
            <v>177.66666666666669</v>
          </cell>
          <cell r="M48">
            <v>155.83143333333334</v>
          </cell>
          <cell r="N48">
            <v>21.835233333333335</v>
          </cell>
          <cell r="O48">
            <v>1.435293923174646</v>
          </cell>
          <cell r="P48"/>
          <cell r="Q48">
            <v>1.435293923174646</v>
          </cell>
          <cell r="S48">
            <v>177.66666666666669</v>
          </cell>
          <cell r="T48">
            <v>155.83143333333334</v>
          </cell>
          <cell r="U48">
            <v>21.835233333333335</v>
          </cell>
          <cell r="V48">
            <v>76.555388320084106</v>
          </cell>
          <cell r="W48"/>
          <cell r="X48">
            <v>76.555388320084106</v>
          </cell>
          <cell r="Z48">
            <v>177.66666666666669</v>
          </cell>
          <cell r="AA48">
            <v>155.83143333333334</v>
          </cell>
          <cell r="AB48">
            <v>21.835233333333335</v>
          </cell>
          <cell r="AC48">
            <v>133.49562461379</v>
          </cell>
          <cell r="AD48"/>
          <cell r="AE48">
            <v>133.49562461379</v>
          </cell>
          <cell r="AG48">
            <v>177.66666666666669</v>
          </cell>
          <cell r="AH48">
            <v>155.83143333333334</v>
          </cell>
          <cell r="AI48">
            <v>21.835233333333335</v>
          </cell>
          <cell r="AJ48">
            <v>85.507369677958579</v>
          </cell>
          <cell r="AK48"/>
          <cell r="AL48">
            <v>85.507369677958579</v>
          </cell>
          <cell r="AN48">
            <v>177.66666666666669</v>
          </cell>
          <cell r="AO48">
            <v>155.83143333333334</v>
          </cell>
          <cell r="AP48">
            <v>21.835233333333335</v>
          </cell>
          <cell r="AQ48">
            <v>0</v>
          </cell>
          <cell r="AR48"/>
          <cell r="AS48">
            <v>0</v>
          </cell>
          <cell r="AU48">
            <v>177.66666666666669</v>
          </cell>
          <cell r="AV48">
            <v>155.83143333333334</v>
          </cell>
          <cell r="AW48">
            <v>21.835233333333335</v>
          </cell>
          <cell r="AX48">
            <v>0</v>
          </cell>
          <cell r="AY48"/>
          <cell r="BB48">
            <v>177.66666666666669</v>
          </cell>
          <cell r="BC48">
            <v>155.83143333333334</v>
          </cell>
          <cell r="BD48">
            <v>21.835233333333335</v>
          </cell>
          <cell r="BE48">
            <v>0</v>
          </cell>
          <cell r="BF48"/>
          <cell r="BG48">
            <v>0</v>
          </cell>
          <cell r="BI48">
            <v>177.66666666666669</v>
          </cell>
          <cell r="BJ48">
            <v>155.83143333333334</v>
          </cell>
          <cell r="BK48">
            <v>21.835233333333335</v>
          </cell>
          <cell r="BL48">
            <v>0</v>
          </cell>
          <cell r="BM48"/>
          <cell r="BN48">
            <v>0</v>
          </cell>
          <cell r="BP48">
            <v>177.66666666666669</v>
          </cell>
          <cell r="BQ48">
            <v>155.83143333333334</v>
          </cell>
          <cell r="BR48">
            <v>21.835233333333335</v>
          </cell>
          <cell r="BS48">
            <v>0</v>
          </cell>
          <cell r="BT48"/>
          <cell r="BU48">
            <v>0</v>
          </cell>
          <cell r="BW48">
            <v>177.66666666666669</v>
          </cell>
          <cell r="BX48">
            <v>155.83143333333334</v>
          </cell>
          <cell r="BY48">
            <v>21.835233333333335</v>
          </cell>
          <cell r="BZ48">
            <v>0</v>
          </cell>
          <cell r="CA48"/>
          <cell r="CB48">
            <v>0</v>
          </cell>
          <cell r="CD48">
            <v>177.66666666666669</v>
          </cell>
          <cell r="CE48">
            <v>155.83143333333334</v>
          </cell>
          <cell r="CF48">
            <v>21.835233333333335</v>
          </cell>
          <cell r="CG48">
            <v>0</v>
          </cell>
          <cell r="CH48"/>
          <cell r="CI48">
            <v>0</v>
          </cell>
          <cell r="CK48">
            <v>177.66666666666669</v>
          </cell>
          <cell r="CL48">
            <v>155.83143333333334</v>
          </cell>
          <cell r="CM48">
            <v>21.835233333333335</v>
          </cell>
          <cell r="CN48">
            <v>0</v>
          </cell>
          <cell r="CO48"/>
          <cell r="CP48">
            <v>0</v>
          </cell>
        </row>
        <row r="49">
          <cell r="L49">
            <v>464.1541666666667</v>
          </cell>
          <cell r="M49">
            <v>407.10961958333337</v>
          </cell>
          <cell r="N49">
            <v>57.044547083333335</v>
          </cell>
          <cell r="O49">
            <v>1199.7930226215176</v>
          </cell>
          <cell r="P49"/>
          <cell r="Q49">
            <v>1199.7930226215176</v>
          </cell>
          <cell r="S49">
            <v>464.1541666666667</v>
          </cell>
          <cell r="T49">
            <v>407.10961958333337</v>
          </cell>
          <cell r="U49">
            <v>57.044547083333335</v>
          </cell>
          <cell r="V49">
            <v>784.15157131279125</v>
          </cell>
          <cell r="W49"/>
          <cell r="X49">
            <v>784.15157131279125</v>
          </cell>
          <cell r="Z49">
            <v>464.1541666666667</v>
          </cell>
          <cell r="AA49">
            <v>407.10961958333337</v>
          </cell>
          <cell r="AB49">
            <v>57.044547083333335</v>
          </cell>
          <cell r="AC49">
            <v>437.0023460179587</v>
          </cell>
          <cell r="AD49"/>
          <cell r="AE49">
            <v>437.0023460179587</v>
          </cell>
          <cell r="AG49">
            <v>464.1541666666667</v>
          </cell>
          <cell r="AH49">
            <v>407.10961958333337</v>
          </cell>
          <cell r="AI49">
            <v>57.044547083333335</v>
          </cell>
          <cell r="AJ49">
            <v>600.08203634008771</v>
          </cell>
          <cell r="AK49"/>
          <cell r="AL49">
            <v>600.08203634008771</v>
          </cell>
          <cell r="AN49">
            <v>464.1541666666667</v>
          </cell>
          <cell r="AO49">
            <v>407.10961958333337</v>
          </cell>
          <cell r="AP49">
            <v>57.044547083333335</v>
          </cell>
          <cell r="AQ49">
            <v>0</v>
          </cell>
          <cell r="AR49"/>
          <cell r="AS49">
            <v>0</v>
          </cell>
          <cell r="AU49">
            <v>464.1541666666667</v>
          </cell>
          <cell r="AV49">
            <v>407.10961958333337</v>
          </cell>
          <cell r="AW49">
            <v>57.044547083333335</v>
          </cell>
          <cell r="AX49">
            <v>0</v>
          </cell>
          <cell r="AY49"/>
          <cell r="BB49">
            <v>464.1541666666667</v>
          </cell>
          <cell r="BC49">
            <v>407.10961958333337</v>
          </cell>
          <cell r="BD49">
            <v>57.044547083333335</v>
          </cell>
          <cell r="BE49">
            <v>0</v>
          </cell>
          <cell r="BF49"/>
          <cell r="BG49">
            <v>0</v>
          </cell>
          <cell r="BI49">
            <v>464.1541666666667</v>
          </cell>
          <cell r="BJ49">
            <v>407.10961958333337</v>
          </cell>
          <cell r="BK49">
            <v>57.044547083333335</v>
          </cell>
          <cell r="BL49">
            <v>0</v>
          </cell>
          <cell r="BM49"/>
          <cell r="BN49">
            <v>0</v>
          </cell>
          <cell r="BP49">
            <v>464.1541666666667</v>
          </cell>
          <cell r="BQ49">
            <v>407.10961958333337</v>
          </cell>
          <cell r="BR49">
            <v>57.044547083333335</v>
          </cell>
          <cell r="BS49">
            <v>0</v>
          </cell>
          <cell r="BT49"/>
          <cell r="BU49">
            <v>0</v>
          </cell>
          <cell r="BW49">
            <v>464.1541666666667</v>
          </cell>
          <cell r="BX49">
            <v>407.10961958333337</v>
          </cell>
          <cell r="BY49">
            <v>57.044547083333335</v>
          </cell>
          <cell r="BZ49">
            <v>0</v>
          </cell>
          <cell r="CA49"/>
          <cell r="CB49">
            <v>0</v>
          </cell>
          <cell r="CD49">
            <v>464.1541666666667</v>
          </cell>
          <cell r="CE49">
            <v>407.10961958333337</v>
          </cell>
          <cell r="CF49">
            <v>57.044547083333335</v>
          </cell>
          <cell r="CG49">
            <v>0</v>
          </cell>
          <cell r="CH49"/>
          <cell r="CI49">
            <v>0</v>
          </cell>
          <cell r="CK49">
            <v>464.1541666666667</v>
          </cell>
          <cell r="CL49">
            <v>407.10961958333337</v>
          </cell>
          <cell r="CM49">
            <v>57.044547083333335</v>
          </cell>
          <cell r="CN49">
            <v>0</v>
          </cell>
          <cell r="CO49"/>
          <cell r="CP49">
            <v>0</v>
          </cell>
        </row>
        <row r="50">
          <cell r="L50">
            <v>30.650164999999998</v>
          </cell>
          <cell r="M50">
            <v>26.883259721499996</v>
          </cell>
          <cell r="N50">
            <v>3.7669052784999995</v>
          </cell>
          <cell r="O50">
            <v>28.576702010407203</v>
          </cell>
          <cell r="P50"/>
          <cell r="Q50">
            <v>28.576702010407203</v>
          </cell>
          <cell r="S50">
            <v>30.650164999999998</v>
          </cell>
          <cell r="T50">
            <v>26.883259721499996</v>
          </cell>
          <cell r="U50">
            <v>3.7669052784999995</v>
          </cell>
          <cell r="V50">
            <v>33.093093555330086</v>
          </cell>
          <cell r="W50"/>
          <cell r="X50">
            <v>33.093093555330086</v>
          </cell>
          <cell r="Z50">
            <v>30.650164999999998</v>
          </cell>
          <cell r="AA50">
            <v>26.883259721499996</v>
          </cell>
          <cell r="AB50">
            <v>3.7669052784999995</v>
          </cell>
          <cell r="AC50">
            <v>58.353735012861939</v>
          </cell>
          <cell r="AD50"/>
          <cell r="AE50">
            <v>58.353735012861939</v>
          </cell>
          <cell r="AG50">
            <v>30.650164999999998</v>
          </cell>
          <cell r="AH50">
            <v>26.883259721499996</v>
          </cell>
          <cell r="AI50">
            <v>3.7669052784999995</v>
          </cell>
          <cell r="AJ50">
            <v>27.025521392694749</v>
          </cell>
          <cell r="AK50"/>
          <cell r="AL50">
            <v>27.025521392694749</v>
          </cell>
          <cell r="AN50">
            <v>30.650164999999998</v>
          </cell>
          <cell r="AO50">
            <v>26.883259721499996</v>
          </cell>
          <cell r="AP50">
            <v>3.7669052784999995</v>
          </cell>
          <cell r="AQ50">
            <v>0</v>
          </cell>
          <cell r="AR50"/>
          <cell r="AS50">
            <v>0</v>
          </cell>
          <cell r="AU50">
            <v>30.650164999999998</v>
          </cell>
          <cell r="AV50">
            <v>26.883259721499996</v>
          </cell>
          <cell r="AW50">
            <v>3.7669052784999995</v>
          </cell>
          <cell r="AX50">
            <v>0</v>
          </cell>
          <cell r="AY50"/>
          <cell r="BB50">
            <v>30.650164999999998</v>
          </cell>
          <cell r="BC50">
            <v>26.883259721499996</v>
          </cell>
          <cell r="BD50">
            <v>3.7669052784999995</v>
          </cell>
          <cell r="BE50">
            <v>0</v>
          </cell>
          <cell r="BF50"/>
          <cell r="BG50">
            <v>0</v>
          </cell>
          <cell r="BI50">
            <v>30.650164999999998</v>
          </cell>
          <cell r="BJ50">
            <v>26.883259721499996</v>
          </cell>
          <cell r="BK50">
            <v>3.7669052784999995</v>
          </cell>
          <cell r="BL50">
            <v>0</v>
          </cell>
          <cell r="BM50"/>
          <cell r="BN50">
            <v>0</v>
          </cell>
          <cell r="BP50">
            <v>30.650164999999998</v>
          </cell>
          <cell r="BQ50">
            <v>26.883259721499996</v>
          </cell>
          <cell r="BR50">
            <v>3.7669052784999995</v>
          </cell>
          <cell r="BS50">
            <v>0</v>
          </cell>
          <cell r="BT50"/>
          <cell r="BU50">
            <v>0</v>
          </cell>
          <cell r="BW50">
            <v>30.650164999999998</v>
          </cell>
          <cell r="BX50">
            <v>26.883259721499996</v>
          </cell>
          <cell r="BY50">
            <v>3.7669052784999995</v>
          </cell>
          <cell r="BZ50">
            <v>0</v>
          </cell>
          <cell r="CA50"/>
          <cell r="CB50">
            <v>0</v>
          </cell>
          <cell r="CD50">
            <v>30.650164999999998</v>
          </cell>
          <cell r="CE50">
            <v>26.883259721499996</v>
          </cell>
          <cell r="CF50">
            <v>3.7669052784999995</v>
          </cell>
          <cell r="CG50">
            <v>0</v>
          </cell>
          <cell r="CH50"/>
          <cell r="CI50">
            <v>0</v>
          </cell>
          <cell r="CK50">
            <v>30.650164999999998</v>
          </cell>
          <cell r="CL50">
            <v>26.883259721499996</v>
          </cell>
          <cell r="CM50">
            <v>3.7669052784999995</v>
          </cell>
          <cell r="CN50">
            <v>0</v>
          </cell>
          <cell r="CO50"/>
          <cell r="CP50">
            <v>0</v>
          </cell>
        </row>
        <row r="51">
          <cell r="L51">
            <v>23.037068827499997</v>
          </cell>
          <cell r="M51">
            <v>20.205813068600246</v>
          </cell>
          <cell r="N51">
            <v>2.8312557588997493</v>
          </cell>
          <cell r="O51">
            <v>22.756850947104969</v>
          </cell>
          <cell r="P51"/>
          <cell r="Q51">
            <v>22.756850947104969</v>
          </cell>
          <cell r="S51">
            <v>23.037068827499997</v>
          </cell>
          <cell r="T51">
            <v>20.205813068600246</v>
          </cell>
          <cell r="U51">
            <v>2.8312557588997493</v>
          </cell>
          <cell r="V51">
            <v>22.164127715868034</v>
          </cell>
          <cell r="W51"/>
          <cell r="X51">
            <v>22.164127715868034</v>
          </cell>
          <cell r="Z51">
            <v>23.037068827499997</v>
          </cell>
          <cell r="AA51">
            <v>20.205813068600246</v>
          </cell>
          <cell r="AB51">
            <v>2.8312557588997493</v>
          </cell>
          <cell r="AC51">
            <v>20.613478688497498</v>
          </cell>
          <cell r="AD51"/>
          <cell r="AE51">
            <v>20.613478688497498</v>
          </cell>
          <cell r="AG51">
            <v>23.037068827499997</v>
          </cell>
          <cell r="AH51">
            <v>20.205813068600246</v>
          </cell>
          <cell r="AI51">
            <v>2.8312557588997493</v>
          </cell>
          <cell r="AJ51">
            <v>27.491726122555551</v>
          </cell>
          <cell r="AK51"/>
          <cell r="AL51">
            <v>27.491726122555551</v>
          </cell>
          <cell r="AN51">
            <v>23.037068827499997</v>
          </cell>
          <cell r="AO51">
            <v>20.205813068600246</v>
          </cell>
          <cell r="AP51">
            <v>2.8312557588997493</v>
          </cell>
          <cell r="AQ51">
            <v>0</v>
          </cell>
          <cell r="AR51"/>
          <cell r="AS51">
            <v>0</v>
          </cell>
          <cell r="AU51">
            <v>23.037068827499997</v>
          </cell>
          <cell r="AV51">
            <v>20.205813068600246</v>
          </cell>
          <cell r="AW51">
            <v>2.8312557588997493</v>
          </cell>
          <cell r="AX51">
            <v>0</v>
          </cell>
          <cell r="AY51"/>
          <cell r="BB51">
            <v>23.037068827499997</v>
          </cell>
          <cell r="BC51">
            <v>20.205813068600246</v>
          </cell>
          <cell r="BD51">
            <v>2.8312557588997493</v>
          </cell>
          <cell r="BE51">
            <v>0</v>
          </cell>
          <cell r="BF51"/>
          <cell r="BG51">
            <v>0</v>
          </cell>
          <cell r="BI51">
            <v>23.037068827499997</v>
          </cell>
          <cell r="BJ51">
            <v>20.205813068600246</v>
          </cell>
          <cell r="BK51">
            <v>2.8312557588997493</v>
          </cell>
          <cell r="BL51">
            <v>0</v>
          </cell>
          <cell r="BM51"/>
          <cell r="BN51">
            <v>0</v>
          </cell>
          <cell r="BP51">
            <v>23.037068827499997</v>
          </cell>
          <cell r="BQ51">
            <v>20.205813068600246</v>
          </cell>
          <cell r="BR51">
            <v>2.8312557588997493</v>
          </cell>
          <cell r="BS51">
            <v>0</v>
          </cell>
          <cell r="BT51"/>
          <cell r="BU51">
            <v>0</v>
          </cell>
          <cell r="BW51">
            <v>23.037068827499997</v>
          </cell>
          <cell r="BX51">
            <v>20.205813068600246</v>
          </cell>
          <cell r="BY51">
            <v>2.8312557588997493</v>
          </cell>
          <cell r="BZ51">
            <v>0</v>
          </cell>
          <cell r="CA51"/>
          <cell r="CB51">
            <v>0</v>
          </cell>
          <cell r="CD51">
            <v>23.037068827499997</v>
          </cell>
          <cell r="CE51">
            <v>20.205813068600246</v>
          </cell>
          <cell r="CF51">
            <v>2.8312557588997493</v>
          </cell>
          <cell r="CG51">
            <v>0</v>
          </cell>
          <cell r="CH51"/>
          <cell r="CI51">
            <v>0</v>
          </cell>
          <cell r="CK51">
            <v>23.037068827499997</v>
          </cell>
          <cell r="CL51">
            <v>20.205813068600246</v>
          </cell>
          <cell r="CM51">
            <v>2.8312557588997493</v>
          </cell>
          <cell r="CN51">
            <v>0</v>
          </cell>
          <cell r="CO51"/>
          <cell r="CP51">
            <v>0</v>
          </cell>
        </row>
        <row r="52">
          <cell r="L52">
            <v>177.66666666666669</v>
          </cell>
          <cell r="M52">
            <v>155.83143333333334</v>
          </cell>
          <cell r="N52">
            <v>21.835233333333335</v>
          </cell>
          <cell r="O52">
            <v>1284.5295863036974</v>
          </cell>
          <cell r="P52"/>
          <cell r="Q52">
            <v>1284.5295863036974</v>
          </cell>
          <cell r="S52">
            <v>177.66666666666669</v>
          </cell>
          <cell r="T52">
            <v>155.83143333333334</v>
          </cell>
          <cell r="U52">
            <v>21.835233333333335</v>
          </cell>
          <cell r="V52">
            <v>243.08563155159339</v>
          </cell>
          <cell r="W52"/>
          <cell r="X52">
            <v>243.08563155159339</v>
          </cell>
          <cell r="Z52">
            <v>177.66666666666669</v>
          </cell>
          <cell r="AA52">
            <v>155.83143333333334</v>
          </cell>
          <cell r="AB52">
            <v>21.835233333333335</v>
          </cell>
          <cell r="AC52">
            <v>1485.2937159642895</v>
          </cell>
          <cell r="AD52"/>
          <cell r="AE52">
            <v>1485.2937159642895</v>
          </cell>
          <cell r="AG52">
            <v>177.66666666666669</v>
          </cell>
          <cell r="AH52">
            <v>155.83143333333334</v>
          </cell>
          <cell r="AI52">
            <v>21.835233333333335</v>
          </cell>
          <cell r="AJ52">
            <v>1182.6704977083862</v>
          </cell>
          <cell r="AK52"/>
          <cell r="AL52">
            <v>1182.6704977083862</v>
          </cell>
          <cell r="AN52">
            <v>177.66666666666669</v>
          </cell>
          <cell r="AO52">
            <v>155.83143333333334</v>
          </cell>
          <cell r="AP52">
            <v>21.835233333333335</v>
          </cell>
          <cell r="AQ52">
            <v>0</v>
          </cell>
          <cell r="AR52"/>
          <cell r="AS52">
            <v>0</v>
          </cell>
          <cell r="AU52">
            <v>177.66666666666669</v>
          </cell>
          <cell r="AV52">
            <v>155.83143333333334</v>
          </cell>
          <cell r="AW52">
            <v>21.835233333333335</v>
          </cell>
          <cell r="AX52">
            <v>0</v>
          </cell>
          <cell r="AY52"/>
          <cell r="BB52">
            <v>177.66666666666669</v>
          </cell>
          <cell r="BC52">
            <v>155.83143333333334</v>
          </cell>
          <cell r="BD52">
            <v>21.835233333333335</v>
          </cell>
          <cell r="BE52">
            <v>0</v>
          </cell>
          <cell r="BF52"/>
          <cell r="BG52">
            <v>0</v>
          </cell>
          <cell r="BI52">
            <v>177.66666666666669</v>
          </cell>
          <cell r="BJ52">
            <v>155.83143333333334</v>
          </cell>
          <cell r="BK52">
            <v>21.835233333333335</v>
          </cell>
          <cell r="BL52">
            <v>0</v>
          </cell>
          <cell r="BM52"/>
          <cell r="BN52">
            <v>0</v>
          </cell>
          <cell r="BP52">
            <v>177.66666666666669</v>
          </cell>
          <cell r="BQ52">
            <v>155.83143333333334</v>
          </cell>
          <cell r="BR52">
            <v>21.835233333333335</v>
          </cell>
          <cell r="BS52">
            <v>0</v>
          </cell>
          <cell r="BT52"/>
          <cell r="BU52">
            <v>0</v>
          </cell>
          <cell r="BW52">
            <v>177.66666666666669</v>
          </cell>
          <cell r="BX52">
            <v>155.83143333333334</v>
          </cell>
          <cell r="BY52">
            <v>21.835233333333335</v>
          </cell>
          <cell r="BZ52">
            <v>0</v>
          </cell>
          <cell r="CA52"/>
          <cell r="CB52">
            <v>0</v>
          </cell>
          <cell r="CD52">
            <v>177.66666666666669</v>
          </cell>
          <cell r="CE52">
            <v>155.83143333333334</v>
          </cell>
          <cell r="CF52">
            <v>21.835233333333335</v>
          </cell>
          <cell r="CG52">
            <v>0</v>
          </cell>
          <cell r="CH52"/>
          <cell r="CI52">
            <v>0</v>
          </cell>
          <cell r="CK52">
            <v>177.66666666666669</v>
          </cell>
          <cell r="CL52">
            <v>155.83143333333334</v>
          </cell>
          <cell r="CM52">
            <v>21.835233333333335</v>
          </cell>
          <cell r="CN52">
            <v>0</v>
          </cell>
          <cell r="CO52"/>
          <cell r="CP52">
            <v>0</v>
          </cell>
        </row>
        <row r="53">
          <cell r="L53">
            <v>88.833333333333343</v>
          </cell>
          <cell r="M53">
            <v>77.915716666666668</v>
          </cell>
          <cell r="N53">
            <v>10.917616666666667</v>
          </cell>
          <cell r="O53">
            <v>0</v>
          </cell>
          <cell r="P53"/>
          <cell r="Q53">
            <v>0</v>
          </cell>
          <cell r="S53">
            <v>88.833333333333343</v>
          </cell>
          <cell r="T53">
            <v>77.915716666666668</v>
          </cell>
          <cell r="U53">
            <v>10.917616666666667</v>
          </cell>
          <cell r="V53">
            <v>2.8663351236139598</v>
          </cell>
          <cell r="W53"/>
          <cell r="X53">
            <v>2.8663351236139598</v>
          </cell>
          <cell r="Z53">
            <v>88.833333333333343</v>
          </cell>
          <cell r="AA53">
            <v>77.915716666666668</v>
          </cell>
          <cell r="AB53">
            <v>10.917616666666667</v>
          </cell>
          <cell r="AC53">
            <v>0</v>
          </cell>
          <cell r="AD53"/>
          <cell r="AE53">
            <v>0</v>
          </cell>
          <cell r="AG53">
            <v>88.833333333333343</v>
          </cell>
          <cell r="AH53">
            <v>77.915716666666668</v>
          </cell>
          <cell r="AI53">
            <v>10.917616666666667</v>
          </cell>
          <cell r="AJ53">
            <v>0</v>
          </cell>
          <cell r="AK53"/>
          <cell r="AL53">
            <v>0</v>
          </cell>
          <cell r="AN53">
            <v>88.833333333333343</v>
          </cell>
          <cell r="AO53">
            <v>77.915716666666668</v>
          </cell>
          <cell r="AP53">
            <v>10.917616666666667</v>
          </cell>
          <cell r="AQ53">
            <v>0</v>
          </cell>
          <cell r="AR53"/>
          <cell r="AS53">
            <v>0</v>
          </cell>
          <cell r="AU53">
            <v>88.833333333333343</v>
          </cell>
          <cell r="AV53">
            <v>77.915716666666668</v>
          </cell>
          <cell r="AW53">
            <v>10.917616666666667</v>
          </cell>
          <cell r="AX53">
            <v>0</v>
          </cell>
          <cell r="AY53"/>
          <cell r="BB53">
            <v>88.833333333333343</v>
          </cell>
          <cell r="BC53">
            <v>77.915716666666668</v>
          </cell>
          <cell r="BD53">
            <v>10.917616666666667</v>
          </cell>
          <cell r="BE53">
            <v>0</v>
          </cell>
          <cell r="BF53"/>
          <cell r="BG53">
            <v>0</v>
          </cell>
          <cell r="BI53">
            <v>88.833333333333343</v>
          </cell>
          <cell r="BJ53">
            <v>77.915716666666668</v>
          </cell>
          <cell r="BK53">
            <v>10.917616666666667</v>
          </cell>
          <cell r="BL53">
            <v>0</v>
          </cell>
          <cell r="BM53"/>
          <cell r="BN53">
            <v>0</v>
          </cell>
          <cell r="BP53">
            <v>88.833333333333343</v>
          </cell>
          <cell r="BQ53">
            <v>77.915716666666668</v>
          </cell>
          <cell r="BR53">
            <v>10.917616666666667</v>
          </cell>
          <cell r="BS53">
            <v>0</v>
          </cell>
          <cell r="BT53"/>
          <cell r="BU53">
            <v>0</v>
          </cell>
          <cell r="BW53">
            <v>88.833333333333343</v>
          </cell>
          <cell r="BX53">
            <v>77.915716666666668</v>
          </cell>
          <cell r="BY53">
            <v>10.917616666666667</v>
          </cell>
          <cell r="BZ53">
            <v>0</v>
          </cell>
          <cell r="CA53"/>
          <cell r="CB53">
            <v>0</v>
          </cell>
          <cell r="CD53">
            <v>88.833333333333343</v>
          </cell>
          <cell r="CE53">
            <v>77.915716666666668</v>
          </cell>
          <cell r="CF53">
            <v>10.917616666666667</v>
          </cell>
          <cell r="CG53">
            <v>0</v>
          </cell>
          <cell r="CH53"/>
          <cell r="CI53">
            <v>0</v>
          </cell>
          <cell r="CK53">
            <v>88.833333333333343</v>
          </cell>
          <cell r="CL53">
            <v>77.915716666666668</v>
          </cell>
          <cell r="CM53">
            <v>10.917616666666667</v>
          </cell>
          <cell r="CN53">
            <v>0</v>
          </cell>
          <cell r="CO53"/>
          <cell r="CP53">
            <v>0</v>
          </cell>
        </row>
        <row r="54">
          <cell r="L54">
            <v>1141.6612060326354</v>
          </cell>
          <cell r="M54">
            <v>1001.3510438112245</v>
          </cell>
          <cell r="N54">
            <v>140.31016222141088</v>
          </cell>
          <cell r="O54">
            <v>0</v>
          </cell>
          <cell r="P54"/>
          <cell r="Q54">
            <v>0</v>
          </cell>
          <cell r="S54">
            <v>1141.6612060326354</v>
          </cell>
          <cell r="T54">
            <v>1001.3510438112245</v>
          </cell>
          <cell r="U54">
            <v>140.31016222141088</v>
          </cell>
          <cell r="V54">
            <v>1479.3388409541406</v>
          </cell>
          <cell r="W54"/>
          <cell r="X54">
            <v>1479.3388409541406</v>
          </cell>
          <cell r="Z54">
            <v>1141.6612060326354</v>
          </cell>
          <cell r="AA54">
            <v>1001.3510438112245</v>
          </cell>
          <cell r="AB54">
            <v>140.31016222141088</v>
          </cell>
          <cell r="AC54">
            <v>989.93019266868453</v>
          </cell>
          <cell r="AD54"/>
          <cell r="AE54">
            <v>989.93019266868453</v>
          </cell>
          <cell r="AG54">
            <v>1141.6612060326354</v>
          </cell>
          <cell r="AH54">
            <v>1001.3510438112245</v>
          </cell>
          <cell r="AI54">
            <v>140.31016222141088</v>
          </cell>
          <cell r="AJ54">
            <v>0</v>
          </cell>
          <cell r="AK54"/>
          <cell r="AL54">
            <v>0</v>
          </cell>
          <cell r="AN54">
            <v>1141.6612060326354</v>
          </cell>
          <cell r="AO54">
            <v>1001.3510438112245</v>
          </cell>
          <cell r="AP54">
            <v>140.31016222141088</v>
          </cell>
          <cell r="AQ54">
            <v>0</v>
          </cell>
          <cell r="AR54"/>
          <cell r="AS54">
            <v>0</v>
          </cell>
          <cell r="AU54">
            <v>1141.6612060326354</v>
          </cell>
          <cell r="AV54">
            <v>1001.3510438112245</v>
          </cell>
          <cell r="AW54">
            <v>140.31016222141088</v>
          </cell>
          <cell r="AX54">
            <v>0</v>
          </cell>
          <cell r="AY54"/>
          <cell r="BB54">
            <v>1141.6612060326354</v>
          </cell>
          <cell r="BC54">
            <v>1001.3510438112245</v>
          </cell>
          <cell r="BD54">
            <v>140.31016222141088</v>
          </cell>
          <cell r="BE54">
            <v>0</v>
          </cell>
          <cell r="BF54"/>
          <cell r="BG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/>
          <cell r="BN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/>
          <cell r="BU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/>
          <cell r="CB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/>
          <cell r="CI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/>
          <cell r="CP54">
            <v>0</v>
          </cell>
        </row>
        <row r="56">
          <cell r="L56">
            <v>-772.61715830449828</v>
          </cell>
          <cell r="M56">
            <v>-677.66250954887539</v>
          </cell>
          <cell r="N56">
            <v>-94.954648755622841</v>
          </cell>
          <cell r="O56">
            <v>0</v>
          </cell>
          <cell r="P56"/>
          <cell r="Q56">
            <v>0</v>
          </cell>
          <cell r="S56">
            <v>-772.61715830449828</v>
          </cell>
          <cell r="T56">
            <v>-677.66250954887539</v>
          </cell>
          <cell r="U56">
            <v>-94.954648755622841</v>
          </cell>
          <cell r="V56">
            <v>-3751.0098969928254</v>
          </cell>
          <cell r="W56"/>
          <cell r="X56">
            <v>-3751.0098969928254</v>
          </cell>
          <cell r="Z56">
            <v>-772.61715830449828</v>
          </cell>
          <cell r="AA56">
            <v>-677.66250954887539</v>
          </cell>
          <cell r="AB56">
            <v>-94.954648755622841</v>
          </cell>
          <cell r="AC56">
            <v>153.8332079148328</v>
          </cell>
          <cell r="AD56"/>
          <cell r="AE56">
            <v>153.8332079148328</v>
          </cell>
          <cell r="AG56">
            <v>-772.61715830449828</v>
          </cell>
          <cell r="AH56">
            <v>-677.66250954887539</v>
          </cell>
          <cell r="AI56">
            <v>-94.954648755622841</v>
          </cell>
          <cell r="AJ56">
            <v>-2285.6088232133948</v>
          </cell>
          <cell r="AK56"/>
          <cell r="AL56">
            <v>-2285.6088232133948</v>
          </cell>
          <cell r="AN56">
            <v>-772.61715830449828</v>
          </cell>
          <cell r="AO56">
            <v>-677.66250954887539</v>
          </cell>
          <cell r="AP56">
            <v>-94.954648755622841</v>
          </cell>
          <cell r="AQ56">
            <v>0</v>
          </cell>
          <cell r="AR56"/>
          <cell r="AS56">
            <v>0</v>
          </cell>
          <cell r="AU56">
            <v>-772.61715830449828</v>
          </cell>
          <cell r="AV56">
            <v>-677.66250954887539</v>
          </cell>
          <cell r="AW56">
            <v>-94.954648755622841</v>
          </cell>
          <cell r="AX56">
            <v>0</v>
          </cell>
          <cell r="AY56"/>
          <cell r="BB56">
            <v>-772.61715830449828</v>
          </cell>
          <cell r="BC56">
            <v>-677.66250954887539</v>
          </cell>
          <cell r="BD56">
            <v>-94.954648755622841</v>
          </cell>
          <cell r="BE56">
            <v>0</v>
          </cell>
          <cell r="BF56"/>
          <cell r="BG56">
            <v>0</v>
          </cell>
          <cell r="BI56">
            <v>-772.61715830449828</v>
          </cell>
          <cell r="BJ56">
            <v>-677.66250954887539</v>
          </cell>
          <cell r="BK56">
            <v>-94.954648755622841</v>
          </cell>
          <cell r="BL56">
            <v>0</v>
          </cell>
          <cell r="BM56"/>
          <cell r="BN56">
            <v>0</v>
          </cell>
          <cell r="BP56">
            <v>-772.61715830449828</v>
          </cell>
          <cell r="BQ56">
            <v>-677.66250954887539</v>
          </cell>
          <cell r="BR56">
            <v>-94.954648755622841</v>
          </cell>
          <cell r="BS56">
            <v>0</v>
          </cell>
          <cell r="BT56"/>
          <cell r="BU56">
            <v>0</v>
          </cell>
          <cell r="BW56">
            <v>-772.61715830449828</v>
          </cell>
          <cell r="BX56">
            <v>-677.66250954887539</v>
          </cell>
          <cell r="BY56">
            <v>-94.954648755622841</v>
          </cell>
          <cell r="BZ56">
            <v>0</v>
          </cell>
          <cell r="CA56"/>
          <cell r="CB56">
            <v>0</v>
          </cell>
          <cell r="CD56">
            <v>-772.61715830449828</v>
          </cell>
          <cell r="CE56">
            <v>-677.66250954887539</v>
          </cell>
          <cell r="CF56">
            <v>-94.954648755622841</v>
          </cell>
          <cell r="CG56">
            <v>0</v>
          </cell>
          <cell r="CH56"/>
          <cell r="CI56">
            <v>0</v>
          </cell>
          <cell r="CK56">
            <v>-772.61715830449828</v>
          </cell>
          <cell r="CL56">
            <v>-677.66250954887539</v>
          </cell>
          <cell r="CM56">
            <v>-94.954648755622841</v>
          </cell>
          <cell r="CN56">
            <v>0</v>
          </cell>
          <cell r="CO56"/>
          <cell r="CP56">
            <v>0</v>
          </cell>
        </row>
        <row r="57">
          <cell r="L57">
            <v>-257.53905276816607</v>
          </cell>
          <cell r="M57">
            <v>-225.88750318295845</v>
          </cell>
          <cell r="N57">
            <v>-31.651549585207608</v>
          </cell>
          <cell r="O57">
            <v>-1012.7657189863907</v>
          </cell>
          <cell r="P57"/>
          <cell r="Q57">
            <v>-1012.7657189863907</v>
          </cell>
          <cell r="S57">
            <v>-257.53905276816607</v>
          </cell>
          <cell r="T57">
            <v>-225.88750318295845</v>
          </cell>
          <cell r="U57">
            <v>-31.651549585207608</v>
          </cell>
          <cell r="V57">
            <v>-149.6373653460856</v>
          </cell>
          <cell r="W57"/>
          <cell r="X57">
            <v>-149.6373653460856</v>
          </cell>
          <cell r="Z57">
            <v>-257.53905276816607</v>
          </cell>
          <cell r="AA57">
            <v>-225.88750318295845</v>
          </cell>
          <cell r="AB57">
            <v>-31.651549585207608</v>
          </cell>
          <cell r="AC57">
            <v>-657.90630737240087</v>
          </cell>
          <cell r="AD57"/>
          <cell r="AE57">
            <v>-657.90630737240087</v>
          </cell>
          <cell r="AG57">
            <v>-257.53905276816607</v>
          </cell>
          <cell r="AH57">
            <v>-225.88750318295845</v>
          </cell>
          <cell r="AI57">
            <v>-31.651549585207608</v>
          </cell>
          <cell r="AJ57">
            <v>0</v>
          </cell>
          <cell r="AK57"/>
          <cell r="AL57">
            <v>0</v>
          </cell>
          <cell r="AN57">
            <v>-257.53905276816607</v>
          </cell>
          <cell r="AO57">
            <v>-225.88750318295845</v>
          </cell>
          <cell r="AP57">
            <v>-31.651549585207608</v>
          </cell>
          <cell r="AQ57">
            <v>0</v>
          </cell>
          <cell r="AR57"/>
          <cell r="AS57">
            <v>0</v>
          </cell>
          <cell r="AU57">
            <v>-257.53905276816607</v>
          </cell>
          <cell r="AV57">
            <v>-225.88750318295845</v>
          </cell>
          <cell r="AW57">
            <v>-31.651549585207608</v>
          </cell>
          <cell r="AX57">
            <v>0</v>
          </cell>
          <cell r="AY57"/>
          <cell r="BB57">
            <v>-257.53905276816607</v>
          </cell>
          <cell r="BC57">
            <v>-225.88750318295845</v>
          </cell>
          <cell r="BD57">
            <v>-31.651549585207608</v>
          </cell>
          <cell r="BE57">
            <v>0</v>
          </cell>
          <cell r="BF57"/>
          <cell r="BG57">
            <v>0</v>
          </cell>
          <cell r="BI57">
            <v>-257.53905276816607</v>
          </cell>
          <cell r="BJ57">
            <v>-225.88750318295845</v>
          </cell>
          <cell r="BK57">
            <v>-31.651549585207608</v>
          </cell>
          <cell r="BL57">
            <v>0</v>
          </cell>
          <cell r="BM57"/>
          <cell r="BN57">
            <v>0</v>
          </cell>
          <cell r="BP57">
            <v>-257.53905276816607</v>
          </cell>
          <cell r="BQ57">
            <v>-225.88750318295845</v>
          </cell>
          <cell r="BR57">
            <v>-31.651549585207608</v>
          </cell>
          <cell r="BS57">
            <v>0</v>
          </cell>
          <cell r="BT57"/>
          <cell r="BU57">
            <v>0</v>
          </cell>
          <cell r="BW57">
            <v>-257.53905276816607</v>
          </cell>
          <cell r="BX57">
            <v>-225.88750318295845</v>
          </cell>
          <cell r="BY57">
            <v>-31.651549585207608</v>
          </cell>
          <cell r="BZ57">
            <v>0</v>
          </cell>
          <cell r="CA57"/>
          <cell r="CB57">
            <v>0</v>
          </cell>
          <cell r="CD57">
            <v>-257.53905276816607</v>
          </cell>
          <cell r="CE57">
            <v>-225.88750318295845</v>
          </cell>
          <cell r="CF57">
            <v>-31.651549585207608</v>
          </cell>
          <cell r="CG57">
            <v>0</v>
          </cell>
          <cell r="CH57"/>
          <cell r="CI57">
            <v>0</v>
          </cell>
          <cell r="CK57">
            <v>-257.53905276816607</v>
          </cell>
          <cell r="CL57">
            <v>-225.88750318295845</v>
          </cell>
          <cell r="CM57">
            <v>-31.651549585207608</v>
          </cell>
          <cell r="CN57">
            <v>0</v>
          </cell>
          <cell r="CO57"/>
          <cell r="CP57">
            <v>0</v>
          </cell>
        </row>
      </sheetData>
      <sheetData sheetId="11">
        <row r="4">
          <cell r="L4">
            <v>118494.27040000001</v>
          </cell>
          <cell r="M4">
            <v>103931.32456784001</v>
          </cell>
          <cell r="N4">
            <v>14562.945832160001</v>
          </cell>
          <cell r="O4">
            <v>106973.49279399999</v>
          </cell>
          <cell r="P4">
            <v>8287.247206</v>
          </cell>
          <cell r="Q4">
            <v>115260.73999999999</v>
          </cell>
          <cell r="S4">
            <v>173997.27040000001</v>
          </cell>
          <cell r="T4">
            <v>152613.00586784002</v>
          </cell>
          <cell r="U4">
            <v>21384.264532159999</v>
          </cell>
          <cell r="V4">
            <v>109505.02475899999</v>
          </cell>
          <cell r="W4">
            <v>8483.3652409999995</v>
          </cell>
          <cell r="X4">
            <v>117988.38999999998</v>
          </cell>
          <cell r="Z4">
            <v>118494.27040000001</v>
          </cell>
          <cell r="AA4">
            <v>103931.32456784001</v>
          </cell>
          <cell r="AB4">
            <v>14562.945832160001</v>
          </cell>
          <cell r="AC4">
            <v>111317.641183</v>
          </cell>
          <cell r="AD4">
            <v>8623.7888170000006</v>
          </cell>
          <cell r="AE4">
            <v>119941.43000000001</v>
          </cell>
          <cell r="AG4">
            <v>118494.27040000001</v>
          </cell>
          <cell r="AH4">
            <v>103931.32456784001</v>
          </cell>
          <cell r="AI4">
            <v>14562.945832160001</v>
          </cell>
          <cell r="AJ4">
            <v>200795.47447200003</v>
          </cell>
          <cell r="AK4">
            <v>15555.645528000003</v>
          </cell>
          <cell r="AL4">
            <v>216351.12000000002</v>
          </cell>
          <cell r="AN4">
            <v>118494.27040000001</v>
          </cell>
          <cell r="AO4">
            <v>103931.32456784001</v>
          </cell>
          <cell r="AP4">
            <v>14562.945832160001</v>
          </cell>
          <cell r="AQ4">
            <v>0</v>
          </cell>
          <cell r="AR4">
            <v>0</v>
          </cell>
          <cell r="AS4"/>
          <cell r="AU4">
            <v>118494.27040000001</v>
          </cell>
          <cell r="AV4">
            <v>103931.32456784001</v>
          </cell>
          <cell r="AW4">
            <v>14562.945832160001</v>
          </cell>
          <cell r="AX4">
            <v>0</v>
          </cell>
          <cell r="AY4">
            <v>0</v>
          </cell>
          <cell r="AZ4"/>
          <cell r="BB4">
            <v>118494.27040000001</v>
          </cell>
          <cell r="BC4">
            <v>103931.32456784001</v>
          </cell>
          <cell r="BD4">
            <v>14562.945832160001</v>
          </cell>
          <cell r="BE4">
            <v>0</v>
          </cell>
          <cell r="BF4">
            <v>0</v>
          </cell>
          <cell r="BG4"/>
          <cell r="BI4">
            <v>127973.81203200002</v>
          </cell>
          <cell r="BJ4">
            <v>112245.83053326722</v>
          </cell>
          <cell r="BK4">
            <v>15727.981498732801</v>
          </cell>
          <cell r="BL4">
            <v>0</v>
          </cell>
          <cell r="BM4">
            <v>0</v>
          </cell>
          <cell r="BN4"/>
          <cell r="BP4">
            <v>127973.81203200002</v>
          </cell>
          <cell r="BQ4">
            <v>112245.83053326722</v>
          </cell>
          <cell r="BR4">
            <v>15727.981498732801</v>
          </cell>
          <cell r="BS4">
            <v>0</v>
          </cell>
          <cell r="BT4">
            <v>0</v>
          </cell>
          <cell r="BU4"/>
          <cell r="BW4">
            <v>127973.81203200002</v>
          </cell>
          <cell r="BX4">
            <v>112245.83053326722</v>
          </cell>
          <cell r="BY4">
            <v>15727.981498732801</v>
          </cell>
          <cell r="BZ4">
            <v>0</v>
          </cell>
          <cell r="CA4">
            <v>0</v>
          </cell>
          <cell r="CB4"/>
          <cell r="CD4">
            <v>127973.81203200002</v>
          </cell>
          <cell r="CE4">
            <v>112245.83053326722</v>
          </cell>
          <cell r="CF4">
            <v>15727.981498732801</v>
          </cell>
          <cell r="CG4">
            <v>0</v>
          </cell>
          <cell r="CH4">
            <v>0</v>
          </cell>
          <cell r="CI4"/>
          <cell r="CK4">
            <v>127973.81203200002</v>
          </cell>
          <cell r="CL4">
            <v>112245.83053326722</v>
          </cell>
          <cell r="CM4">
            <v>15727.981498732801</v>
          </cell>
          <cell r="CN4">
            <v>0</v>
          </cell>
          <cell r="CO4">
            <v>0</v>
          </cell>
          <cell r="CP4"/>
        </row>
        <row r="5">
          <cell r="L5">
            <v>8333.3333333333339</v>
          </cell>
          <cell r="M5">
            <v>7309.166666666667</v>
          </cell>
          <cell r="N5">
            <v>1024.1666666666667</v>
          </cell>
          <cell r="O5">
            <v>8397.5137670000004</v>
          </cell>
          <cell r="P5">
            <v>650.55623300000002</v>
          </cell>
          <cell r="Q5">
            <v>9048.07</v>
          </cell>
          <cell r="S5">
            <v>8333.3333333333339</v>
          </cell>
          <cell r="T5">
            <v>7309.166666666667</v>
          </cell>
          <cell r="U5">
            <v>1024.1666666666667</v>
          </cell>
          <cell r="V5">
            <v>7462.2488350000003</v>
          </cell>
          <cell r="W5">
            <v>578.10116500000004</v>
          </cell>
          <cell r="X5">
            <v>8040.35</v>
          </cell>
          <cell r="Z5">
            <v>8333.3333333333339</v>
          </cell>
          <cell r="AA5">
            <v>7309.166666666667</v>
          </cell>
          <cell r="AB5">
            <v>1024.1666666666667</v>
          </cell>
          <cell r="AC5">
            <v>3451.9472969999997</v>
          </cell>
          <cell r="AD5">
            <v>267.42270300000001</v>
          </cell>
          <cell r="AE5">
            <v>3719.37</v>
          </cell>
          <cell r="AG5">
            <v>8333.3333333333339</v>
          </cell>
          <cell r="AH5">
            <v>7309.166666666667</v>
          </cell>
          <cell r="AI5">
            <v>1024.1666666666667</v>
          </cell>
          <cell r="AJ5">
            <v>7799.8916149999995</v>
          </cell>
          <cell r="AK5">
            <v>604.25838499999998</v>
          </cell>
          <cell r="AL5">
            <v>8404.15</v>
          </cell>
          <cell r="AN5">
            <v>8333.3333333333339</v>
          </cell>
          <cell r="AO5">
            <v>7309.166666666667</v>
          </cell>
          <cell r="AP5">
            <v>1024.1666666666667</v>
          </cell>
          <cell r="AQ5">
            <v>0</v>
          </cell>
          <cell r="AR5">
            <v>0</v>
          </cell>
          <cell r="AS5"/>
          <cell r="AU5">
            <v>8333.3333333333339</v>
          </cell>
          <cell r="AV5">
            <v>7309.166666666667</v>
          </cell>
          <cell r="AW5">
            <v>1024.1666666666667</v>
          </cell>
          <cell r="AX5">
            <v>0</v>
          </cell>
          <cell r="AY5">
            <v>0</v>
          </cell>
          <cell r="AZ5"/>
          <cell r="BB5">
            <v>8333.3333333333339</v>
          </cell>
          <cell r="BC5">
            <v>7309.166666666667</v>
          </cell>
          <cell r="BD5">
            <v>1024.1666666666667</v>
          </cell>
          <cell r="BE5">
            <v>0</v>
          </cell>
          <cell r="BF5">
            <v>0</v>
          </cell>
          <cell r="BG5"/>
          <cell r="BI5">
            <v>8333.3333333333339</v>
          </cell>
          <cell r="BJ5">
            <v>7309.166666666667</v>
          </cell>
          <cell r="BK5">
            <v>1024.1666666666667</v>
          </cell>
          <cell r="BL5">
            <v>0</v>
          </cell>
          <cell r="BM5">
            <v>0</v>
          </cell>
          <cell r="BN5"/>
          <cell r="BP5">
            <v>8333.3333333333339</v>
          </cell>
          <cell r="BQ5">
            <v>7309.166666666667</v>
          </cell>
          <cell r="BR5">
            <v>1024.1666666666667</v>
          </cell>
          <cell r="BS5">
            <v>0</v>
          </cell>
          <cell r="BT5">
            <v>0</v>
          </cell>
          <cell r="BU5"/>
          <cell r="BW5">
            <v>8333.3333333333339</v>
          </cell>
          <cell r="BX5">
            <v>7309.166666666667</v>
          </cell>
          <cell r="BY5">
            <v>1024.1666666666667</v>
          </cell>
          <cell r="BZ5">
            <v>0</v>
          </cell>
          <cell r="CA5">
            <v>0</v>
          </cell>
          <cell r="CB5"/>
          <cell r="CD5">
            <v>8333.3333333333339</v>
          </cell>
          <cell r="CE5">
            <v>7309.166666666667</v>
          </cell>
          <cell r="CF5">
            <v>1024.1666666666667</v>
          </cell>
          <cell r="CG5">
            <v>0</v>
          </cell>
          <cell r="CH5">
            <v>0</v>
          </cell>
          <cell r="CI5"/>
          <cell r="CK5">
            <v>8333.3333333333339</v>
          </cell>
          <cell r="CL5">
            <v>7309.166666666667</v>
          </cell>
          <cell r="CM5">
            <v>1024.1666666666667</v>
          </cell>
          <cell r="CN5">
            <v>0</v>
          </cell>
          <cell r="CO5">
            <v>0</v>
          </cell>
          <cell r="CP5"/>
        </row>
        <row r="6">
          <cell r="L6">
            <v>15111.886157333334</v>
          </cell>
          <cell r="M6">
            <v>13254.635348597069</v>
          </cell>
          <cell r="N6">
            <v>1857.2508087362667</v>
          </cell>
          <cell r="O6">
            <v>14012.602295999999</v>
          </cell>
          <cell r="P6">
            <v>1085.5577040000001</v>
          </cell>
          <cell r="Q6">
            <v>15098.16</v>
          </cell>
          <cell r="S6">
            <v>15111.886157333334</v>
          </cell>
          <cell r="T6">
            <v>13254.635348597069</v>
          </cell>
          <cell r="U6">
            <v>1857.2508087362667</v>
          </cell>
          <cell r="V6">
            <v>14319.599214</v>
          </cell>
          <cell r="W6">
            <v>1109.3407860000002</v>
          </cell>
          <cell r="X6">
            <v>15428.94</v>
          </cell>
          <cell r="Z6">
            <v>15111.886157333334</v>
          </cell>
          <cell r="AA6">
            <v>13254.635348597069</v>
          </cell>
          <cell r="AB6">
            <v>1857.2508087362667</v>
          </cell>
          <cell r="AC6">
            <v>14859.836943</v>
          </cell>
          <cell r="AD6">
            <v>1151.1930570000002</v>
          </cell>
          <cell r="AE6">
            <v>16011.03</v>
          </cell>
          <cell r="AG6">
            <v>15111.886157333334</v>
          </cell>
          <cell r="AH6">
            <v>13254.635348597069</v>
          </cell>
          <cell r="AI6">
            <v>1857.2508087362667</v>
          </cell>
          <cell r="AJ6">
            <v>14816.735979000001</v>
          </cell>
          <cell r="AK6">
            <v>1147.8540210000001</v>
          </cell>
          <cell r="AL6">
            <v>15964.59</v>
          </cell>
          <cell r="AN6">
            <v>15111.886157333334</v>
          </cell>
          <cell r="AO6">
            <v>13254.635348597069</v>
          </cell>
          <cell r="AP6">
            <v>1857.2508087362667</v>
          </cell>
          <cell r="AQ6">
            <v>0</v>
          </cell>
          <cell r="AR6">
            <v>0</v>
          </cell>
          <cell r="AS6"/>
          <cell r="AU6">
            <v>15111.886157333334</v>
          </cell>
          <cell r="AV6">
            <v>13254.635348597069</v>
          </cell>
          <cell r="AW6">
            <v>1857.2508087362667</v>
          </cell>
          <cell r="AX6">
            <v>0</v>
          </cell>
          <cell r="AY6">
            <v>0</v>
          </cell>
          <cell r="AZ6"/>
          <cell r="BB6">
            <v>15111.886157333334</v>
          </cell>
          <cell r="BC6">
            <v>13254.635348597069</v>
          </cell>
          <cell r="BD6">
            <v>1857.2508087362667</v>
          </cell>
          <cell r="BE6">
            <v>0</v>
          </cell>
          <cell r="BF6">
            <v>0</v>
          </cell>
          <cell r="BG6"/>
          <cell r="BI6">
            <v>16247.370383253336</v>
          </cell>
          <cell r="BJ6">
            <v>14250.568563151501</v>
          </cell>
          <cell r="BK6">
            <v>1996.8018201018349</v>
          </cell>
          <cell r="BL6">
            <v>0</v>
          </cell>
          <cell r="BM6">
            <v>0</v>
          </cell>
          <cell r="BN6"/>
          <cell r="BP6">
            <v>16247.370383253336</v>
          </cell>
          <cell r="BQ6">
            <v>14250.568563151501</v>
          </cell>
          <cell r="BR6">
            <v>1996.8018201018349</v>
          </cell>
          <cell r="BS6">
            <v>0</v>
          </cell>
          <cell r="BT6">
            <v>0</v>
          </cell>
          <cell r="BU6"/>
          <cell r="BW6">
            <v>16247.370383253336</v>
          </cell>
          <cell r="BX6">
            <v>14250.568563151501</v>
          </cell>
          <cell r="BY6">
            <v>1996.8018201018349</v>
          </cell>
          <cell r="BZ6">
            <v>0</v>
          </cell>
          <cell r="CA6">
            <v>0</v>
          </cell>
          <cell r="CB6"/>
          <cell r="CD6">
            <v>16247.370383253336</v>
          </cell>
          <cell r="CE6">
            <v>14250.568563151501</v>
          </cell>
          <cell r="CF6">
            <v>1996.8018201018349</v>
          </cell>
          <cell r="CG6">
            <v>0</v>
          </cell>
          <cell r="CH6">
            <v>0</v>
          </cell>
          <cell r="CI6"/>
          <cell r="CK6">
            <v>16247.370383253336</v>
          </cell>
          <cell r="CL6">
            <v>14250.568563151501</v>
          </cell>
          <cell r="CM6">
            <v>1996.8018201018349</v>
          </cell>
          <cell r="CN6">
            <v>0</v>
          </cell>
          <cell r="CO6">
            <v>0</v>
          </cell>
          <cell r="CP6"/>
        </row>
        <row r="7">
          <cell r="L7">
            <v>11724.739259999998</v>
          </cell>
          <cell r="M7">
            <v>10283.768804945999</v>
          </cell>
          <cell r="N7">
            <v>1440.9704550539998</v>
          </cell>
          <cell r="O7">
            <v>9511.8091889999996</v>
          </cell>
          <cell r="P7">
            <v>736.88081100000011</v>
          </cell>
          <cell r="Q7">
            <v>10248.69</v>
          </cell>
          <cell r="S7">
            <v>11724.739259999998</v>
          </cell>
          <cell r="T7">
            <v>10283.768804945999</v>
          </cell>
          <cell r="U7">
            <v>1440.9704550539998</v>
          </cell>
          <cell r="V7">
            <v>9672.676762000001</v>
          </cell>
          <cell r="W7">
            <v>749.34323800000004</v>
          </cell>
          <cell r="X7">
            <v>10422.02</v>
          </cell>
          <cell r="Z7">
            <v>11724.739259999998</v>
          </cell>
          <cell r="AA7">
            <v>10283.768804945999</v>
          </cell>
          <cell r="AB7">
            <v>1440.9704550539998</v>
          </cell>
          <cell r="AC7">
            <v>10030.153039000001</v>
          </cell>
          <cell r="AD7">
            <v>777.03696100000013</v>
          </cell>
          <cell r="AE7">
            <v>10807.19</v>
          </cell>
          <cell r="AG7">
            <v>11724.739259999998</v>
          </cell>
          <cell r="AH7">
            <v>10283.768804945999</v>
          </cell>
          <cell r="AI7">
            <v>1440.9704550539998</v>
          </cell>
          <cell r="AJ7">
            <v>10063.731697000001</v>
          </cell>
          <cell r="AK7">
            <v>779.63830300000006</v>
          </cell>
          <cell r="AL7">
            <v>10843.37</v>
          </cell>
          <cell r="AN7">
            <v>11724.739259999998</v>
          </cell>
          <cell r="AO7">
            <v>10283.768804945999</v>
          </cell>
          <cell r="AP7">
            <v>1440.9704550539998</v>
          </cell>
          <cell r="AQ7">
            <v>0</v>
          </cell>
          <cell r="AR7">
            <v>0</v>
          </cell>
          <cell r="AS7"/>
          <cell r="AU7">
            <v>11724.739259999998</v>
          </cell>
          <cell r="AV7">
            <v>10283.768804945999</v>
          </cell>
          <cell r="AW7">
            <v>1440.9704550539998</v>
          </cell>
          <cell r="AX7">
            <v>0</v>
          </cell>
          <cell r="AY7">
            <v>0</v>
          </cell>
          <cell r="AZ7"/>
          <cell r="BB7">
            <v>11724.739259999998</v>
          </cell>
          <cell r="BC7">
            <v>10283.768804945999</v>
          </cell>
          <cell r="BD7">
            <v>1440.9704550539998</v>
          </cell>
          <cell r="BE7">
            <v>0</v>
          </cell>
          <cell r="BF7">
            <v>0</v>
          </cell>
          <cell r="BG7"/>
          <cell r="BI7">
            <v>12605.7184008</v>
          </cell>
          <cell r="BJ7">
            <v>11056.47560934168</v>
          </cell>
          <cell r="BK7">
            <v>1549.24279145832</v>
          </cell>
          <cell r="BL7">
            <v>0</v>
          </cell>
          <cell r="BM7">
            <v>0</v>
          </cell>
          <cell r="BN7"/>
          <cell r="BP7">
            <v>12605.7184008</v>
          </cell>
          <cell r="BQ7">
            <v>11056.47560934168</v>
          </cell>
          <cell r="BR7">
            <v>1549.24279145832</v>
          </cell>
          <cell r="BS7">
            <v>0</v>
          </cell>
          <cell r="BT7">
            <v>0</v>
          </cell>
          <cell r="BU7"/>
          <cell r="BW7">
            <v>12605.7184008</v>
          </cell>
          <cell r="BX7">
            <v>11056.47560934168</v>
          </cell>
          <cell r="BY7">
            <v>1549.24279145832</v>
          </cell>
          <cell r="BZ7">
            <v>0</v>
          </cell>
          <cell r="CA7">
            <v>0</v>
          </cell>
          <cell r="CB7"/>
          <cell r="CD7">
            <v>12605.7184008</v>
          </cell>
          <cell r="CE7">
            <v>11056.47560934168</v>
          </cell>
          <cell r="CF7">
            <v>1549.24279145832</v>
          </cell>
          <cell r="CG7">
            <v>0</v>
          </cell>
          <cell r="CH7">
            <v>0</v>
          </cell>
          <cell r="CI7"/>
          <cell r="CK7">
            <v>12605.7184008</v>
          </cell>
          <cell r="CL7">
            <v>11056.47560934168</v>
          </cell>
          <cell r="CM7">
            <v>1549.24279145832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141371.09081861336</v>
          </cell>
          <cell r="BC8">
            <v>123996.58375700578</v>
          </cell>
          <cell r="BD8">
            <v>17374.507061607583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9187.8073733333331</v>
          </cell>
          <cell r="M9">
            <v>8058.6258471506662</v>
          </cell>
          <cell r="N9">
            <v>1129.1815261826666</v>
          </cell>
          <cell r="O9">
            <v>7745.9225999999999</v>
          </cell>
          <cell r="P9">
            <v>600.07740000000001</v>
          </cell>
          <cell r="Q9">
            <v>8346</v>
          </cell>
          <cell r="S9">
            <v>9187.8073733333331</v>
          </cell>
          <cell r="T9">
            <v>8058.6258471506662</v>
          </cell>
          <cell r="U9">
            <v>1129.1815261826666</v>
          </cell>
          <cell r="V9">
            <v>8733.2075370000002</v>
          </cell>
          <cell r="W9">
            <v>676.56246300000009</v>
          </cell>
          <cell r="X9">
            <v>9409.77</v>
          </cell>
          <cell r="Z9">
            <v>9187.8073733333331</v>
          </cell>
          <cell r="AA9">
            <v>8058.6258471506662</v>
          </cell>
          <cell r="AB9">
            <v>1129.1815261826666</v>
          </cell>
          <cell r="AC9">
            <v>2130.351459</v>
          </cell>
          <cell r="AD9">
            <v>165.03854100000001</v>
          </cell>
          <cell r="AE9">
            <v>2295.39</v>
          </cell>
          <cell r="AG9">
            <v>9187.8073733333331</v>
          </cell>
          <cell r="AH9">
            <v>8058.6258471506662</v>
          </cell>
          <cell r="AI9">
            <v>1129.1815261826666</v>
          </cell>
          <cell r="AJ9">
            <v>0</v>
          </cell>
          <cell r="AK9">
            <v>0</v>
          </cell>
          <cell r="AL9"/>
          <cell r="AN9">
            <v>9187.8073733333331</v>
          </cell>
          <cell r="AO9">
            <v>8058.6258471506662</v>
          </cell>
          <cell r="AP9">
            <v>1129.1815261826666</v>
          </cell>
          <cell r="AQ9">
            <v>0</v>
          </cell>
          <cell r="AR9">
            <v>0</v>
          </cell>
          <cell r="AS9"/>
          <cell r="AU9">
            <v>9187.8073733333331</v>
          </cell>
          <cell r="AV9">
            <v>8058.6258471506662</v>
          </cell>
          <cell r="AW9">
            <v>1129.1815261826666</v>
          </cell>
          <cell r="AX9">
            <v>0</v>
          </cell>
          <cell r="AY9">
            <v>0</v>
          </cell>
          <cell r="AZ9"/>
          <cell r="BB9">
            <v>9187.8073733333331</v>
          </cell>
          <cell r="BC9">
            <v>8058.6258471506662</v>
          </cell>
          <cell r="BD9">
            <v>1129.1815261826666</v>
          </cell>
          <cell r="BE9">
            <v>0</v>
          </cell>
          <cell r="BF9">
            <v>0</v>
          </cell>
          <cell r="BG9"/>
          <cell r="BI9">
            <v>9878.165296533336</v>
          </cell>
          <cell r="BJ9">
            <v>8664.1387815893886</v>
          </cell>
          <cell r="BK9">
            <v>1214.0265149439469</v>
          </cell>
          <cell r="BL9">
            <v>0</v>
          </cell>
          <cell r="BM9">
            <v>0</v>
          </cell>
          <cell r="BN9"/>
          <cell r="BP9">
            <v>9878.165296533336</v>
          </cell>
          <cell r="BQ9">
            <v>8664.1387815893886</v>
          </cell>
          <cell r="BR9">
            <v>1214.0265149439469</v>
          </cell>
          <cell r="BS9">
            <v>0</v>
          </cell>
          <cell r="BT9">
            <v>0</v>
          </cell>
          <cell r="BU9"/>
          <cell r="BW9">
            <v>9878.165296533336</v>
          </cell>
          <cell r="BX9">
            <v>8664.1387815893886</v>
          </cell>
          <cell r="BY9">
            <v>1214.0265149439469</v>
          </cell>
          <cell r="BZ9">
            <v>0</v>
          </cell>
          <cell r="CA9">
            <v>0</v>
          </cell>
          <cell r="CB9"/>
          <cell r="CD9">
            <v>9878.165296533336</v>
          </cell>
          <cell r="CE9">
            <v>8664.1387815893886</v>
          </cell>
          <cell r="CF9">
            <v>1214.0265149439469</v>
          </cell>
          <cell r="CG9">
            <v>0</v>
          </cell>
          <cell r="CH9">
            <v>0</v>
          </cell>
          <cell r="CI9"/>
          <cell r="CK9">
            <v>9878.165296533336</v>
          </cell>
          <cell r="CL9">
            <v>8664.1387815893886</v>
          </cell>
          <cell r="CM9">
            <v>1214.0265149439469</v>
          </cell>
          <cell r="CN9">
            <v>0</v>
          </cell>
          <cell r="CO9">
            <v>0</v>
          </cell>
          <cell r="CP9"/>
        </row>
        <row r="10">
          <cell r="L10">
            <v>10000</v>
          </cell>
          <cell r="M10">
            <v>8771</v>
          </cell>
          <cell r="N10">
            <v>1229</v>
          </cell>
          <cell r="O10">
            <v>9423.4076640000003</v>
          </cell>
          <cell r="P10">
            <v>730.0323360000001</v>
          </cell>
          <cell r="Q10">
            <v>10153.44</v>
          </cell>
          <cell r="S10">
            <v>10000</v>
          </cell>
          <cell r="T10">
            <v>8771</v>
          </cell>
          <cell r="U10">
            <v>1229</v>
          </cell>
          <cell r="V10">
            <v>9135.0098699999999</v>
          </cell>
          <cell r="W10">
            <v>707.69013000000007</v>
          </cell>
          <cell r="X10">
            <v>9842.7000000000007</v>
          </cell>
          <cell r="Z10">
            <v>10000</v>
          </cell>
          <cell r="AA10">
            <v>8771</v>
          </cell>
          <cell r="AB10">
            <v>1229</v>
          </cell>
          <cell r="AC10">
            <v>1052.688144</v>
          </cell>
          <cell r="AD10">
            <v>81.551856000000001</v>
          </cell>
          <cell r="AE10">
            <v>1134.24</v>
          </cell>
          <cell r="AG10">
            <v>10000</v>
          </cell>
          <cell r="AH10">
            <v>8771</v>
          </cell>
          <cell r="AI10">
            <v>1229</v>
          </cell>
          <cell r="AJ10">
            <v>11021.391681999999</v>
          </cell>
          <cell r="AK10">
            <v>853.82831799999997</v>
          </cell>
          <cell r="AL10">
            <v>11875.22</v>
          </cell>
          <cell r="AN10">
            <v>10000</v>
          </cell>
          <cell r="AO10">
            <v>8771</v>
          </cell>
          <cell r="AP10">
            <v>1229</v>
          </cell>
          <cell r="AQ10">
            <v>0</v>
          </cell>
          <cell r="AR10">
            <v>0</v>
          </cell>
          <cell r="AS10"/>
          <cell r="AU10">
            <v>10000</v>
          </cell>
          <cell r="AV10">
            <v>8771</v>
          </cell>
          <cell r="AW10">
            <v>1229</v>
          </cell>
          <cell r="AX10">
            <v>0</v>
          </cell>
          <cell r="AY10">
            <v>0</v>
          </cell>
          <cell r="AZ10"/>
          <cell r="BB10">
            <v>10000</v>
          </cell>
          <cell r="BC10">
            <v>8771</v>
          </cell>
          <cell r="BD10">
            <v>1229</v>
          </cell>
          <cell r="BE10">
            <v>0</v>
          </cell>
          <cell r="BF10">
            <v>0</v>
          </cell>
          <cell r="BG10"/>
          <cell r="BI10">
            <v>10000</v>
          </cell>
          <cell r="BJ10">
            <v>8771</v>
          </cell>
          <cell r="BK10">
            <v>1229</v>
          </cell>
          <cell r="BL10">
            <v>0</v>
          </cell>
          <cell r="BM10">
            <v>0</v>
          </cell>
          <cell r="BN10"/>
          <cell r="BP10">
            <v>10000</v>
          </cell>
          <cell r="BQ10">
            <v>8771</v>
          </cell>
          <cell r="BR10">
            <v>1229</v>
          </cell>
          <cell r="BS10">
            <v>0</v>
          </cell>
          <cell r="BT10">
            <v>0</v>
          </cell>
          <cell r="BU10"/>
          <cell r="BW10">
            <v>10000</v>
          </cell>
          <cell r="BX10">
            <v>8771</v>
          </cell>
          <cell r="BY10">
            <v>1229</v>
          </cell>
          <cell r="BZ10">
            <v>0</v>
          </cell>
          <cell r="CA10">
            <v>0</v>
          </cell>
          <cell r="CB10"/>
          <cell r="CD10">
            <v>10000</v>
          </cell>
          <cell r="CE10">
            <v>8771</v>
          </cell>
          <cell r="CF10">
            <v>1229</v>
          </cell>
          <cell r="CG10">
            <v>0</v>
          </cell>
          <cell r="CH10">
            <v>0</v>
          </cell>
          <cell r="CI10"/>
          <cell r="CK10">
            <v>10000</v>
          </cell>
          <cell r="CL10">
            <v>8771</v>
          </cell>
          <cell r="CM10">
            <v>1229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/>
          <cell r="AG11">
            <v>0</v>
          </cell>
          <cell r="AH11">
            <v>0</v>
          </cell>
          <cell r="AI11">
            <v>0</v>
          </cell>
          <cell r="AJ11">
            <v>11969.362303</v>
          </cell>
          <cell r="AK11">
            <v>927.267697</v>
          </cell>
          <cell r="AL11">
            <v>12896.63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2686.7566900000002</v>
          </cell>
          <cell r="P12">
            <v>208.14331000000001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0</v>
          </cell>
          <cell r="W12">
            <v>0</v>
          </cell>
          <cell r="X12"/>
          <cell r="Z12">
            <v>3105</v>
          </cell>
          <cell r="AA12">
            <v>2723.3955000000001</v>
          </cell>
          <cell r="AB12">
            <v>381.60449999999997</v>
          </cell>
          <cell r="AC12">
            <v>2879.6622750000001</v>
          </cell>
          <cell r="AD12">
            <v>223.08772500000001</v>
          </cell>
          <cell r="AE12">
            <v>3102.75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5566.4189649999998</v>
          </cell>
          <cell r="AK12">
            <v>431.23103500000002</v>
          </cell>
          <cell r="AL12">
            <v>5997.65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20000</v>
          </cell>
          <cell r="M13">
            <v>17542</v>
          </cell>
          <cell r="N13">
            <v>2458</v>
          </cell>
          <cell r="O13">
            <v>24362.328008</v>
          </cell>
          <cell r="P13">
            <v>1887.3519920000001</v>
          </cell>
          <cell r="Q13">
            <v>26249.68</v>
          </cell>
          <cell r="S13">
            <v>20000</v>
          </cell>
          <cell r="T13">
            <v>17542</v>
          </cell>
          <cell r="U13">
            <v>2458</v>
          </cell>
          <cell r="V13">
            <v>104675.46150799999</v>
          </cell>
          <cell r="W13">
            <v>8109.218492</v>
          </cell>
          <cell r="X13">
            <v>112784.68</v>
          </cell>
          <cell r="Z13">
            <v>20000</v>
          </cell>
          <cell r="AA13">
            <v>17542</v>
          </cell>
          <cell r="AB13">
            <v>2458</v>
          </cell>
          <cell r="AC13">
            <v>128388.65781400001</v>
          </cell>
          <cell r="AD13">
            <v>9946.2821860000004</v>
          </cell>
          <cell r="AE13">
            <v>138334.94</v>
          </cell>
          <cell r="AG13">
            <v>20000</v>
          </cell>
          <cell r="AH13">
            <v>17542</v>
          </cell>
          <cell r="AI13">
            <v>2458</v>
          </cell>
          <cell r="AJ13">
            <v>49808.936684</v>
          </cell>
          <cell r="AK13">
            <v>3858.7033160000001</v>
          </cell>
          <cell r="AL13">
            <v>53667.64</v>
          </cell>
          <cell r="AN13">
            <v>20000</v>
          </cell>
          <cell r="AO13">
            <v>17542</v>
          </cell>
          <cell r="AP13">
            <v>2458</v>
          </cell>
          <cell r="AQ13">
            <v>0</v>
          </cell>
          <cell r="AR13">
            <v>0</v>
          </cell>
          <cell r="AS13"/>
          <cell r="AU13">
            <v>20000</v>
          </cell>
          <cell r="AV13">
            <v>17542</v>
          </cell>
          <cell r="AW13">
            <v>2458</v>
          </cell>
          <cell r="AX13">
            <v>0</v>
          </cell>
          <cell r="AY13">
            <v>0</v>
          </cell>
          <cell r="AZ13"/>
          <cell r="BB13">
            <v>20000</v>
          </cell>
          <cell r="BC13">
            <v>17542</v>
          </cell>
          <cell r="BD13">
            <v>2458</v>
          </cell>
          <cell r="BE13">
            <v>0</v>
          </cell>
          <cell r="BF13">
            <v>0</v>
          </cell>
          <cell r="BG13"/>
          <cell r="BI13">
            <v>20000</v>
          </cell>
          <cell r="BJ13">
            <v>17542</v>
          </cell>
          <cell r="BK13">
            <v>2458</v>
          </cell>
          <cell r="BL13">
            <v>0</v>
          </cell>
          <cell r="BM13">
            <v>0</v>
          </cell>
          <cell r="BN13"/>
          <cell r="BP13">
            <v>20000</v>
          </cell>
          <cell r="BQ13">
            <v>17542</v>
          </cell>
          <cell r="BR13">
            <v>2458</v>
          </cell>
          <cell r="BS13">
            <v>0</v>
          </cell>
          <cell r="BT13">
            <v>0</v>
          </cell>
          <cell r="BU13"/>
          <cell r="BW13">
            <v>20000</v>
          </cell>
          <cell r="BX13">
            <v>17542</v>
          </cell>
          <cell r="BY13">
            <v>2458</v>
          </cell>
          <cell r="BZ13">
            <v>0</v>
          </cell>
          <cell r="CA13">
            <v>0</v>
          </cell>
          <cell r="CB13"/>
          <cell r="CD13">
            <v>20000</v>
          </cell>
          <cell r="CE13">
            <v>17542</v>
          </cell>
          <cell r="CF13">
            <v>2458</v>
          </cell>
          <cell r="CG13">
            <v>0</v>
          </cell>
          <cell r="CH13">
            <v>0</v>
          </cell>
          <cell r="CI13"/>
          <cell r="CK13">
            <v>20000</v>
          </cell>
          <cell r="CL13">
            <v>17542</v>
          </cell>
          <cell r="CM13">
            <v>2458</v>
          </cell>
          <cell r="CN13">
            <v>0</v>
          </cell>
          <cell r="CO13">
            <v>0</v>
          </cell>
          <cell r="CP13"/>
        </row>
        <row r="14">
          <cell r="L14">
            <v>5960.91</v>
          </cell>
          <cell r="M14">
            <v>5228.3141610000002</v>
          </cell>
          <cell r="N14">
            <v>732.59583899999996</v>
          </cell>
          <cell r="O14">
            <v>3939.2647639999996</v>
          </cell>
          <cell r="P14">
            <v>305.17523599999998</v>
          </cell>
          <cell r="Q14">
            <v>4244.4399999999996</v>
          </cell>
          <cell r="S14">
            <v>5960.91</v>
          </cell>
          <cell r="T14">
            <v>5228.3141610000002</v>
          </cell>
          <cell r="U14">
            <v>732.59583899999996</v>
          </cell>
          <cell r="V14">
            <v>17186.27737</v>
          </cell>
          <cell r="W14">
            <v>1331.4226300000003</v>
          </cell>
          <cell r="X14">
            <v>18517.7</v>
          </cell>
          <cell r="Z14">
            <v>5960.91</v>
          </cell>
          <cell r="AA14">
            <v>5228.3141610000002</v>
          </cell>
          <cell r="AB14">
            <v>732.59583899999996</v>
          </cell>
          <cell r="AC14">
            <v>5118.9448309999998</v>
          </cell>
          <cell r="AD14">
            <v>396.56516900000003</v>
          </cell>
          <cell r="AE14">
            <v>5515.51</v>
          </cell>
          <cell r="AG14">
            <v>5960.91</v>
          </cell>
          <cell r="AH14">
            <v>5228.3141610000002</v>
          </cell>
          <cell r="AI14">
            <v>732.59583899999996</v>
          </cell>
          <cell r="AJ14">
            <v>5584.8510310000001</v>
          </cell>
          <cell r="AK14">
            <v>432.65896900000007</v>
          </cell>
          <cell r="AL14">
            <v>6017.51</v>
          </cell>
          <cell r="AN14">
            <v>5960.91</v>
          </cell>
          <cell r="AO14">
            <v>5228.3141610000002</v>
          </cell>
          <cell r="AP14">
            <v>732.59583899999996</v>
          </cell>
          <cell r="AQ14">
            <v>0</v>
          </cell>
          <cell r="AR14">
            <v>0</v>
          </cell>
          <cell r="AS14"/>
          <cell r="AU14">
            <v>5960.91</v>
          </cell>
          <cell r="AV14">
            <v>5228.3141610000002</v>
          </cell>
          <cell r="AW14">
            <v>732.59583899999996</v>
          </cell>
          <cell r="AX14">
            <v>0</v>
          </cell>
          <cell r="AY14">
            <v>0</v>
          </cell>
          <cell r="AZ14"/>
          <cell r="BB14">
            <v>5960.91</v>
          </cell>
          <cell r="BC14">
            <v>5228.3141610000002</v>
          </cell>
          <cell r="BD14">
            <v>732.59583899999996</v>
          </cell>
          <cell r="BE14">
            <v>0</v>
          </cell>
          <cell r="BF14">
            <v>0</v>
          </cell>
          <cell r="BG14"/>
          <cell r="BI14">
            <v>5960.91</v>
          </cell>
          <cell r="BJ14">
            <v>5228.3141610000002</v>
          </cell>
          <cell r="BK14">
            <v>732.59583899999996</v>
          </cell>
          <cell r="BL14">
            <v>0</v>
          </cell>
          <cell r="BM14">
            <v>0</v>
          </cell>
          <cell r="BN14"/>
          <cell r="BP14">
            <v>5960.91</v>
          </cell>
          <cell r="BQ14">
            <v>5228.3141610000002</v>
          </cell>
          <cell r="BR14">
            <v>732.59583899999996</v>
          </cell>
          <cell r="BS14">
            <v>0</v>
          </cell>
          <cell r="BT14">
            <v>0</v>
          </cell>
          <cell r="BU14"/>
          <cell r="BW14">
            <v>5960.91</v>
          </cell>
          <cell r="BX14">
            <v>5228.3141610000002</v>
          </cell>
          <cell r="BY14">
            <v>732.59583899999996</v>
          </cell>
          <cell r="BZ14">
            <v>0</v>
          </cell>
          <cell r="CA14">
            <v>0</v>
          </cell>
          <cell r="CB14"/>
          <cell r="CD14">
            <v>5960.91</v>
          </cell>
          <cell r="CE14">
            <v>5228.3141610000002</v>
          </cell>
          <cell r="CF14">
            <v>732.59583899999996</v>
          </cell>
          <cell r="CG14">
            <v>0</v>
          </cell>
          <cell r="CH14">
            <v>0</v>
          </cell>
          <cell r="CI14"/>
          <cell r="CK14">
            <v>5960.91</v>
          </cell>
          <cell r="CL14">
            <v>5228.3141610000002</v>
          </cell>
          <cell r="CM14">
            <v>732.59583899999996</v>
          </cell>
          <cell r="CN14">
            <v>0</v>
          </cell>
          <cell r="CO14">
            <v>0</v>
          </cell>
          <cell r="CP14"/>
        </row>
        <row r="15">
          <cell r="L15">
            <v>14452.5</v>
          </cell>
          <cell r="M15">
            <v>12676.28775</v>
          </cell>
          <cell r="N15">
            <v>1776.21225</v>
          </cell>
          <cell r="O15">
            <v>12018.737223</v>
          </cell>
          <cell r="P15">
            <v>931.09277700000007</v>
          </cell>
          <cell r="Q15">
            <v>12949.83</v>
          </cell>
          <cell r="S15">
            <v>14452.5</v>
          </cell>
          <cell r="T15">
            <v>12676.28775</v>
          </cell>
          <cell r="U15">
            <v>1776.21225</v>
          </cell>
          <cell r="V15">
            <v>11973.752215999986</v>
          </cell>
          <cell r="W15">
            <v>927.60778399999901</v>
          </cell>
          <cell r="X15">
            <v>12901.359999999986</v>
          </cell>
          <cell r="Z15">
            <v>14452.5</v>
          </cell>
          <cell r="AA15">
            <v>12676.28775</v>
          </cell>
          <cell r="AB15">
            <v>1776.21225</v>
          </cell>
          <cell r="AC15">
            <v>17937.138113000001</v>
          </cell>
          <cell r="AD15">
            <v>1389.591887</v>
          </cell>
          <cell r="AE15">
            <v>19326.73</v>
          </cell>
          <cell r="AG15">
            <v>14452.5</v>
          </cell>
          <cell r="AH15">
            <v>12676.28775</v>
          </cell>
          <cell r="AI15">
            <v>1776.21225</v>
          </cell>
          <cell r="AJ15">
            <v>21173.014449000002</v>
          </cell>
          <cell r="AK15">
            <v>1640.2755510000002</v>
          </cell>
          <cell r="AL15">
            <v>22813.29</v>
          </cell>
          <cell r="AN15">
            <v>14452.5</v>
          </cell>
          <cell r="AO15">
            <v>12676.28775</v>
          </cell>
          <cell r="AP15">
            <v>1776.21225</v>
          </cell>
          <cell r="AQ15">
            <v>0</v>
          </cell>
          <cell r="AR15">
            <v>0</v>
          </cell>
          <cell r="AS15"/>
          <cell r="AU15">
            <v>14452.5</v>
          </cell>
          <cell r="AV15">
            <v>12676.28775</v>
          </cell>
          <cell r="AW15">
            <v>1776.21225</v>
          </cell>
          <cell r="AX15">
            <v>0</v>
          </cell>
          <cell r="AY15">
            <v>0</v>
          </cell>
          <cell r="AZ15"/>
          <cell r="BB15">
            <v>15580</v>
          </cell>
          <cell r="BC15">
            <v>13665.218000000001</v>
          </cell>
          <cell r="BD15">
            <v>1914.7819999999999</v>
          </cell>
          <cell r="BE15">
            <v>0</v>
          </cell>
          <cell r="BF15">
            <v>0</v>
          </cell>
          <cell r="BG15"/>
          <cell r="BI15">
            <v>14452.5</v>
          </cell>
          <cell r="BJ15">
            <v>12676.28775</v>
          </cell>
          <cell r="BK15">
            <v>1776.21225</v>
          </cell>
          <cell r="BL15">
            <v>0</v>
          </cell>
          <cell r="BM15">
            <v>0</v>
          </cell>
          <cell r="BN15"/>
          <cell r="BP15">
            <v>14452.5</v>
          </cell>
          <cell r="BQ15">
            <v>12676.28775</v>
          </cell>
          <cell r="BR15">
            <v>1776.21225</v>
          </cell>
          <cell r="BS15">
            <v>0</v>
          </cell>
          <cell r="BT15">
            <v>0</v>
          </cell>
          <cell r="BU15"/>
          <cell r="BW15">
            <v>14452.5</v>
          </cell>
          <cell r="BX15">
            <v>12676.28775</v>
          </cell>
          <cell r="BY15">
            <v>1776.21225</v>
          </cell>
          <cell r="BZ15">
            <v>0</v>
          </cell>
          <cell r="CA15">
            <v>0</v>
          </cell>
          <cell r="CB15"/>
          <cell r="CD15">
            <v>14452.5</v>
          </cell>
          <cell r="CE15">
            <v>12676.28775</v>
          </cell>
          <cell r="CF15">
            <v>1776.21225</v>
          </cell>
          <cell r="CG15">
            <v>0</v>
          </cell>
          <cell r="CH15">
            <v>0</v>
          </cell>
          <cell r="CI15"/>
          <cell r="CK15">
            <v>14452.5</v>
          </cell>
          <cell r="CL15">
            <v>12676.28775</v>
          </cell>
          <cell r="CM15">
            <v>1776.21225</v>
          </cell>
          <cell r="CN15">
            <v>0</v>
          </cell>
          <cell r="CO15">
            <v>0</v>
          </cell>
          <cell r="CP15"/>
        </row>
        <row r="16">
          <cell r="L16">
            <v>2500</v>
          </cell>
          <cell r="M16">
            <v>2192.75</v>
          </cell>
          <cell r="N16">
            <v>307.25</v>
          </cell>
          <cell r="O16">
            <v>2709.4023300000003</v>
          </cell>
          <cell r="P16">
            <v>209.89767000000003</v>
          </cell>
          <cell r="Q16">
            <v>2919.3</v>
          </cell>
          <cell r="S16">
            <v>2500</v>
          </cell>
          <cell r="T16">
            <v>2192.75</v>
          </cell>
          <cell r="U16">
            <v>307.25</v>
          </cell>
          <cell r="V16">
            <v>4807.6508100000001</v>
          </cell>
          <cell r="W16">
            <v>372.44919000000004</v>
          </cell>
          <cell r="X16">
            <v>5180.1000000000004</v>
          </cell>
          <cell r="Z16">
            <v>2500</v>
          </cell>
          <cell r="AA16">
            <v>2192.75</v>
          </cell>
          <cell r="AB16">
            <v>307.25</v>
          </cell>
          <cell r="AC16">
            <v>98.397161999999994</v>
          </cell>
          <cell r="AD16">
            <v>7.6228380000000007</v>
          </cell>
          <cell r="AE16">
            <v>106.02</v>
          </cell>
          <cell r="AG16">
            <v>2500</v>
          </cell>
          <cell r="AH16">
            <v>2192.75</v>
          </cell>
          <cell r="AI16">
            <v>307.25</v>
          </cell>
          <cell r="AJ16">
            <v>5020.1578669999999</v>
          </cell>
          <cell r="AK16">
            <v>388.91213299999998</v>
          </cell>
          <cell r="AL16">
            <v>5409.07</v>
          </cell>
          <cell r="AN16">
            <v>2500</v>
          </cell>
          <cell r="AO16">
            <v>2192.75</v>
          </cell>
          <cell r="AP16">
            <v>307.25</v>
          </cell>
          <cell r="AQ16">
            <v>0</v>
          </cell>
          <cell r="AR16">
            <v>0</v>
          </cell>
          <cell r="AS16"/>
          <cell r="AU16">
            <v>2500</v>
          </cell>
          <cell r="AV16">
            <v>2192.75</v>
          </cell>
          <cell r="AW16">
            <v>307.25</v>
          </cell>
          <cell r="AX16">
            <v>0</v>
          </cell>
          <cell r="AY16">
            <v>0</v>
          </cell>
          <cell r="AZ16"/>
          <cell r="BB16">
            <v>2500</v>
          </cell>
          <cell r="BC16">
            <v>2192.75</v>
          </cell>
          <cell r="BD16">
            <v>307.25</v>
          </cell>
          <cell r="BE16">
            <v>0</v>
          </cell>
          <cell r="BF16">
            <v>0</v>
          </cell>
          <cell r="BG16"/>
          <cell r="BI16">
            <v>2500</v>
          </cell>
          <cell r="BJ16">
            <v>2192.75</v>
          </cell>
          <cell r="BK16">
            <v>307.25</v>
          </cell>
          <cell r="BL16">
            <v>0</v>
          </cell>
          <cell r="BM16">
            <v>0</v>
          </cell>
          <cell r="BN16"/>
          <cell r="BP16">
            <v>2500</v>
          </cell>
          <cell r="BQ16">
            <v>2192.75</v>
          </cell>
          <cell r="BR16">
            <v>307.25</v>
          </cell>
          <cell r="BS16">
            <v>0</v>
          </cell>
          <cell r="BT16">
            <v>0</v>
          </cell>
          <cell r="BU16"/>
          <cell r="BW16">
            <v>2500</v>
          </cell>
          <cell r="BX16">
            <v>2192.75</v>
          </cell>
          <cell r="BY16">
            <v>307.25</v>
          </cell>
          <cell r="BZ16">
            <v>0</v>
          </cell>
          <cell r="CA16">
            <v>0</v>
          </cell>
          <cell r="CB16"/>
          <cell r="CD16">
            <v>2500</v>
          </cell>
          <cell r="CE16">
            <v>2192.75</v>
          </cell>
          <cell r="CF16">
            <v>307.25</v>
          </cell>
          <cell r="CG16">
            <v>0</v>
          </cell>
          <cell r="CH16">
            <v>0</v>
          </cell>
          <cell r="CI16"/>
          <cell r="CK16">
            <v>2500</v>
          </cell>
          <cell r="CL16">
            <v>2192.75</v>
          </cell>
          <cell r="CM16">
            <v>307.25</v>
          </cell>
          <cell r="CN16">
            <v>0</v>
          </cell>
          <cell r="CO16">
            <v>0</v>
          </cell>
          <cell r="CP16"/>
        </row>
        <row r="17">
          <cell r="L17">
            <v>77274</v>
          </cell>
          <cell r="M17">
            <v>67777.025399999999</v>
          </cell>
          <cell r="N17">
            <v>9496.9745999999996</v>
          </cell>
          <cell r="O17">
            <v>92806.955832000007</v>
          </cell>
          <cell r="P17">
            <v>7189.7641680000006</v>
          </cell>
          <cell r="Q17">
            <v>99996.72</v>
          </cell>
          <cell r="S17">
            <v>77274</v>
          </cell>
          <cell r="T17">
            <v>67777.025399999999</v>
          </cell>
          <cell r="U17">
            <v>9496.9745999999996</v>
          </cell>
          <cell r="V17">
            <v>40637.805161999997</v>
          </cell>
          <cell r="W17">
            <v>3148.2148379999999</v>
          </cell>
          <cell r="X17">
            <v>43786.02</v>
          </cell>
          <cell r="Z17">
            <v>77274</v>
          </cell>
          <cell r="AA17">
            <v>67777.025399999999</v>
          </cell>
          <cell r="AB17">
            <v>9496.9745999999996</v>
          </cell>
          <cell r="AC17">
            <v>83960.585061999998</v>
          </cell>
          <cell r="AD17">
            <v>6504.4349380000012</v>
          </cell>
          <cell r="AE17">
            <v>90465.02</v>
          </cell>
          <cell r="AG17">
            <v>77274</v>
          </cell>
          <cell r="AH17">
            <v>67777.025399999999</v>
          </cell>
          <cell r="AI17">
            <v>9496.9745999999996</v>
          </cell>
          <cell r="AJ17">
            <v>127890.42589099999</v>
          </cell>
          <cell r="AK17">
            <v>9907.6841089999998</v>
          </cell>
          <cell r="AL17">
            <v>137798.10999999999</v>
          </cell>
          <cell r="AN17">
            <v>77274</v>
          </cell>
          <cell r="AO17">
            <v>67777.025399999999</v>
          </cell>
          <cell r="AP17">
            <v>9496.9745999999996</v>
          </cell>
          <cell r="AQ17">
            <v>0</v>
          </cell>
          <cell r="AR17">
            <v>0</v>
          </cell>
          <cell r="AS17"/>
          <cell r="AU17">
            <v>77274</v>
          </cell>
          <cell r="AV17">
            <v>67777.025399999999</v>
          </cell>
          <cell r="AW17">
            <v>9496.9745999999996</v>
          </cell>
          <cell r="AX17">
            <v>0</v>
          </cell>
          <cell r="AY17">
            <v>0</v>
          </cell>
          <cell r="AZ17"/>
          <cell r="BB17">
            <v>77274</v>
          </cell>
          <cell r="BC17">
            <v>67777.025399999999</v>
          </cell>
          <cell r="BD17">
            <v>9496.9745999999996</v>
          </cell>
          <cell r="BE17">
            <v>0</v>
          </cell>
          <cell r="BF17">
            <v>0</v>
          </cell>
          <cell r="BG17"/>
          <cell r="BI17">
            <v>77274</v>
          </cell>
          <cell r="BJ17">
            <v>67777.025399999999</v>
          </cell>
          <cell r="BK17">
            <v>9496.9745999999996</v>
          </cell>
          <cell r="BL17">
            <v>0</v>
          </cell>
          <cell r="BM17">
            <v>0</v>
          </cell>
          <cell r="BN17"/>
          <cell r="BP17">
            <v>77274</v>
          </cell>
          <cell r="BQ17">
            <v>67777.025399999999</v>
          </cell>
          <cell r="BR17">
            <v>9496.9745999999996</v>
          </cell>
          <cell r="BS17">
            <v>0</v>
          </cell>
          <cell r="BT17">
            <v>0</v>
          </cell>
          <cell r="BU17"/>
          <cell r="BW17">
            <v>77274</v>
          </cell>
          <cell r="BX17">
            <v>67777.025399999999</v>
          </cell>
          <cell r="BY17">
            <v>9496.9745999999996</v>
          </cell>
          <cell r="BZ17">
            <v>0</v>
          </cell>
          <cell r="CA17">
            <v>0</v>
          </cell>
          <cell r="CB17"/>
          <cell r="CD17">
            <v>77274</v>
          </cell>
          <cell r="CE17">
            <v>67777.025399999999</v>
          </cell>
          <cell r="CF17">
            <v>9496.9745999999996</v>
          </cell>
          <cell r="CG17">
            <v>0</v>
          </cell>
          <cell r="CH17">
            <v>0</v>
          </cell>
          <cell r="CI17"/>
          <cell r="CK17">
            <v>77274</v>
          </cell>
          <cell r="CL17">
            <v>67777.025399999999</v>
          </cell>
          <cell r="CM17">
            <v>9496.9745999999996</v>
          </cell>
          <cell r="CN17">
            <v>0</v>
          </cell>
          <cell r="CO17">
            <v>0</v>
          </cell>
          <cell r="CP17"/>
        </row>
        <row r="18">
          <cell r="L18">
            <v>16411.23</v>
          </cell>
          <cell r="M18">
            <v>14394.289832999999</v>
          </cell>
          <cell r="N18">
            <v>2016.940167</v>
          </cell>
          <cell r="O18">
            <v>30482.702019999997</v>
          </cell>
          <cell r="P18">
            <v>2361.4979800000001</v>
          </cell>
          <cell r="Q18">
            <v>32844.199999999997</v>
          </cell>
          <cell r="S18">
            <v>16411.23</v>
          </cell>
          <cell r="T18">
            <v>14394.289832999999</v>
          </cell>
          <cell r="U18">
            <v>2016.940167</v>
          </cell>
          <cell r="V18">
            <v>0</v>
          </cell>
          <cell r="W18">
            <v>0</v>
          </cell>
          <cell r="X18"/>
          <cell r="Z18">
            <v>16411.23</v>
          </cell>
          <cell r="AA18">
            <v>14394.289832999999</v>
          </cell>
          <cell r="AB18">
            <v>2016.940167</v>
          </cell>
          <cell r="AC18">
            <v>52836.937182000001</v>
          </cell>
          <cell r="AD18">
            <v>4093.2828180000006</v>
          </cell>
          <cell r="AE18">
            <v>56930.22</v>
          </cell>
          <cell r="AG18">
            <v>16411.23</v>
          </cell>
          <cell r="AH18">
            <v>14394.289832999999</v>
          </cell>
          <cell r="AI18">
            <v>2016.940167</v>
          </cell>
          <cell r="AJ18">
            <v>0</v>
          </cell>
          <cell r="AK18">
            <v>0</v>
          </cell>
          <cell r="AL18"/>
          <cell r="AN18">
            <v>16411.23</v>
          </cell>
          <cell r="AO18">
            <v>14394.289832999999</v>
          </cell>
          <cell r="AP18">
            <v>2016.940167</v>
          </cell>
          <cell r="AQ18">
            <v>0</v>
          </cell>
          <cell r="AR18">
            <v>0</v>
          </cell>
          <cell r="AS18"/>
          <cell r="AU18">
            <v>16411.23</v>
          </cell>
          <cell r="AV18">
            <v>14394.289832999999</v>
          </cell>
          <cell r="AW18">
            <v>2016.940167</v>
          </cell>
          <cell r="AX18">
            <v>0</v>
          </cell>
          <cell r="AY18">
            <v>0</v>
          </cell>
          <cell r="AZ18"/>
          <cell r="BB18">
            <v>16411.23</v>
          </cell>
          <cell r="BC18">
            <v>14394.289832999999</v>
          </cell>
          <cell r="BD18">
            <v>2016.940167</v>
          </cell>
          <cell r="BE18">
            <v>0</v>
          </cell>
          <cell r="BF18">
            <v>0</v>
          </cell>
          <cell r="BG18"/>
          <cell r="BI18">
            <v>16411.23</v>
          </cell>
          <cell r="BJ18">
            <v>14394.289832999999</v>
          </cell>
          <cell r="BK18">
            <v>2016.940167</v>
          </cell>
          <cell r="BL18">
            <v>0</v>
          </cell>
          <cell r="BM18">
            <v>0</v>
          </cell>
          <cell r="BN18"/>
          <cell r="BP18">
            <v>16411.23</v>
          </cell>
          <cell r="BQ18">
            <v>14394.289832999999</v>
          </cell>
          <cell r="BR18">
            <v>2016.940167</v>
          </cell>
          <cell r="BS18">
            <v>0</v>
          </cell>
          <cell r="BT18">
            <v>0</v>
          </cell>
          <cell r="BU18"/>
          <cell r="BW18">
            <v>16411.23</v>
          </cell>
          <cell r="BX18">
            <v>14394.289832999999</v>
          </cell>
          <cell r="BY18">
            <v>2016.940167</v>
          </cell>
          <cell r="BZ18">
            <v>0</v>
          </cell>
          <cell r="CA18">
            <v>0</v>
          </cell>
          <cell r="CB18"/>
          <cell r="CD18">
            <v>16411.23</v>
          </cell>
          <cell r="CE18">
            <v>14394.289832999999</v>
          </cell>
          <cell r="CF18">
            <v>2016.940167</v>
          </cell>
          <cell r="CG18">
            <v>0</v>
          </cell>
          <cell r="CH18">
            <v>0</v>
          </cell>
          <cell r="CI18"/>
          <cell r="CK18">
            <v>16411.23</v>
          </cell>
          <cell r="CL18">
            <v>14394.289832999999</v>
          </cell>
          <cell r="CM18">
            <v>2016.940167</v>
          </cell>
          <cell r="CN18">
            <v>0</v>
          </cell>
          <cell r="CO18">
            <v>0</v>
          </cell>
          <cell r="CP18"/>
        </row>
        <row r="19">
          <cell r="L19">
            <v>3750</v>
          </cell>
          <cell r="M19">
            <v>3289.125</v>
          </cell>
          <cell r="N19">
            <v>460.875</v>
          </cell>
          <cell r="O19">
            <v>6553.0542319999977</v>
          </cell>
          <cell r="P19">
            <v>507.66576799999984</v>
          </cell>
          <cell r="Q19">
            <v>7060.7199999999975</v>
          </cell>
          <cell r="S19">
            <v>3750</v>
          </cell>
          <cell r="T19">
            <v>3289.125</v>
          </cell>
          <cell r="U19">
            <v>460.875</v>
          </cell>
          <cell r="V19">
            <v>1339.3039859999999</v>
          </cell>
          <cell r="W19">
            <v>103.75601400000001</v>
          </cell>
          <cell r="X19">
            <v>1443.06</v>
          </cell>
          <cell r="Z19">
            <v>3750</v>
          </cell>
          <cell r="AA19">
            <v>3289.125</v>
          </cell>
          <cell r="AB19">
            <v>460.875</v>
          </cell>
          <cell r="AC19">
            <v>3237.9645609999998</v>
          </cell>
          <cell r="AD19">
            <v>250.84543900000003</v>
          </cell>
          <cell r="AE19">
            <v>3488.81</v>
          </cell>
          <cell r="AG19">
            <v>3750</v>
          </cell>
          <cell r="AH19">
            <v>3289.125</v>
          </cell>
          <cell r="AI19">
            <v>460.875</v>
          </cell>
          <cell r="AJ19">
            <v>11764.864749</v>
          </cell>
          <cell r="AK19">
            <v>911.42525100000012</v>
          </cell>
          <cell r="AL19">
            <v>12676.29</v>
          </cell>
          <cell r="AN19">
            <v>3750</v>
          </cell>
          <cell r="AO19">
            <v>3289.125</v>
          </cell>
          <cell r="AP19">
            <v>460.875</v>
          </cell>
          <cell r="AQ19">
            <v>0</v>
          </cell>
          <cell r="AR19">
            <v>0</v>
          </cell>
          <cell r="AS19"/>
          <cell r="AU19">
            <v>3750</v>
          </cell>
          <cell r="AV19">
            <v>3289.125</v>
          </cell>
          <cell r="AW19">
            <v>460.875</v>
          </cell>
          <cell r="AX19">
            <v>0</v>
          </cell>
          <cell r="AY19">
            <v>0</v>
          </cell>
          <cell r="AZ19"/>
          <cell r="BB19">
            <v>3750</v>
          </cell>
          <cell r="BC19">
            <v>3289.125</v>
          </cell>
          <cell r="BD19">
            <v>460.875</v>
          </cell>
          <cell r="BE19">
            <v>0</v>
          </cell>
          <cell r="BF19">
            <v>0</v>
          </cell>
          <cell r="BG19"/>
          <cell r="BI19">
            <v>3750</v>
          </cell>
          <cell r="BJ19">
            <v>3289.125</v>
          </cell>
          <cell r="BK19">
            <v>460.875</v>
          </cell>
          <cell r="BL19">
            <v>0</v>
          </cell>
          <cell r="BM19">
            <v>0</v>
          </cell>
          <cell r="BN19"/>
          <cell r="BP19">
            <v>3750</v>
          </cell>
          <cell r="BQ19">
            <v>3289.125</v>
          </cell>
          <cell r="BR19">
            <v>460.875</v>
          </cell>
          <cell r="BS19">
            <v>0</v>
          </cell>
          <cell r="BT19">
            <v>0</v>
          </cell>
          <cell r="BU19"/>
          <cell r="BW19">
            <v>3750</v>
          </cell>
          <cell r="BX19">
            <v>3289.125</v>
          </cell>
          <cell r="BY19">
            <v>460.875</v>
          </cell>
          <cell r="BZ19">
            <v>0</v>
          </cell>
          <cell r="CA19">
            <v>0</v>
          </cell>
          <cell r="CB19"/>
          <cell r="CD19">
            <v>3750</v>
          </cell>
          <cell r="CE19">
            <v>3289.125</v>
          </cell>
          <cell r="CF19">
            <v>460.875</v>
          </cell>
          <cell r="CG19">
            <v>0</v>
          </cell>
          <cell r="CH19">
            <v>0</v>
          </cell>
          <cell r="CI19"/>
          <cell r="CK19">
            <v>3750</v>
          </cell>
          <cell r="CL19">
            <v>3289.125</v>
          </cell>
          <cell r="CM19">
            <v>460.875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699.67602799999997</v>
          </cell>
          <cell r="P20">
            <v>54.203972000000007</v>
          </cell>
          <cell r="Q20">
            <v>753.88</v>
          </cell>
          <cell r="S20">
            <v>0</v>
          </cell>
          <cell r="T20">
            <v>0</v>
          </cell>
          <cell r="U20">
            <v>0</v>
          </cell>
          <cell r="V20">
            <v>2130.1565579999933</v>
          </cell>
          <cell r="W20">
            <v>165.02344199999951</v>
          </cell>
          <cell r="X20">
            <v>2295.179999999993</v>
          </cell>
          <cell r="Z20">
            <v>636914.16342857096</v>
          </cell>
          <cell r="AA20">
            <v>558637.41274319962</v>
          </cell>
          <cell r="AB20">
            <v>78276.750685371371</v>
          </cell>
          <cell r="AC20">
            <v>244364.896947</v>
          </cell>
          <cell r="AD20">
            <v>18930.973053000002</v>
          </cell>
          <cell r="AE20">
            <v>263295.87</v>
          </cell>
          <cell r="AG20">
            <v>0</v>
          </cell>
          <cell r="AH20">
            <v>0</v>
          </cell>
          <cell r="AI20">
            <v>0</v>
          </cell>
          <cell r="AJ20">
            <v>118350.634487</v>
          </cell>
          <cell r="AK20">
            <v>9168.6355130000011</v>
          </cell>
          <cell r="AL20">
            <v>127519.27</v>
          </cell>
          <cell r="AN20">
            <v>14211.175999999999</v>
          </cell>
          <cell r="AO20">
            <v>12464.622469599999</v>
          </cell>
          <cell r="AP20">
            <v>1746.5535303999998</v>
          </cell>
          <cell r="AQ20">
            <v>0</v>
          </cell>
          <cell r="AR20">
            <v>0</v>
          </cell>
          <cell r="AS20"/>
          <cell r="AU20">
            <v>14211.175999999999</v>
          </cell>
          <cell r="AV20">
            <v>12464.622469599999</v>
          </cell>
          <cell r="AW20">
            <v>1746.5535303999998</v>
          </cell>
          <cell r="AX20">
            <v>0</v>
          </cell>
          <cell r="AY20">
            <v>0</v>
          </cell>
          <cell r="AZ20"/>
          <cell r="BB20">
            <v>302631.17599999899</v>
          </cell>
          <cell r="BC20">
            <v>265437.8044695991</v>
          </cell>
          <cell r="BD20">
            <v>37193.371530399876</v>
          </cell>
          <cell r="BE20">
            <v>0</v>
          </cell>
          <cell r="BF20">
            <v>0</v>
          </cell>
          <cell r="BG20"/>
          <cell r="BI20">
            <v>38700.339428571402</v>
          </cell>
          <cell r="BJ20">
            <v>33944.067712799981</v>
          </cell>
          <cell r="BK20">
            <v>4756.2717157714251</v>
          </cell>
          <cell r="BL20">
            <v>0</v>
          </cell>
          <cell r="BM20">
            <v>0</v>
          </cell>
          <cell r="BN20"/>
          <cell r="BP20">
            <v>309462.17599999899</v>
          </cell>
          <cell r="BQ20">
            <v>271429.27456959913</v>
          </cell>
          <cell r="BR20">
            <v>38032.901430399877</v>
          </cell>
          <cell r="BS20">
            <v>0</v>
          </cell>
          <cell r="BT20">
            <v>0</v>
          </cell>
          <cell r="BU20"/>
          <cell r="BW20">
            <v>14211.175999999999</v>
          </cell>
          <cell r="BX20">
            <v>12464.622469599999</v>
          </cell>
          <cell r="BY20">
            <v>1746.5535303999998</v>
          </cell>
          <cell r="BZ20">
            <v>0</v>
          </cell>
          <cell r="CA20">
            <v>0</v>
          </cell>
          <cell r="CB20"/>
          <cell r="CD20">
            <v>14211.175999999999</v>
          </cell>
          <cell r="CE20">
            <v>12464.622469599999</v>
          </cell>
          <cell r="CF20">
            <v>1746.5535303999998</v>
          </cell>
          <cell r="CG20">
            <v>0</v>
          </cell>
          <cell r="CH20">
            <v>0</v>
          </cell>
          <cell r="CI20"/>
          <cell r="CK20">
            <v>14211.175999999999</v>
          </cell>
          <cell r="CL20">
            <v>12464.622469599999</v>
          </cell>
          <cell r="CM20">
            <v>1746.5535303999998</v>
          </cell>
          <cell r="CN20">
            <v>0</v>
          </cell>
          <cell r="CO20">
            <v>0</v>
          </cell>
          <cell r="CP20"/>
        </row>
        <row r="21">
          <cell r="L21">
            <v>29735.754000000001</v>
          </cell>
          <cell r="M21">
            <v>26081.229833400001</v>
          </cell>
          <cell r="N21">
            <v>3654.5241666000002</v>
          </cell>
          <cell r="O21">
            <v>8958.9771430000001</v>
          </cell>
          <cell r="P21">
            <v>694.05285700000013</v>
          </cell>
          <cell r="Q21">
            <v>9653.0300000000007</v>
          </cell>
          <cell r="S21">
            <v>0</v>
          </cell>
          <cell r="T21">
            <v>0</v>
          </cell>
          <cell r="U21">
            <v>0</v>
          </cell>
          <cell r="V21">
            <v>543.77378999999996</v>
          </cell>
          <cell r="W21">
            <v>42.12621</v>
          </cell>
          <cell r="X21">
            <v>585.9</v>
          </cell>
          <cell r="Z21">
            <v>0</v>
          </cell>
          <cell r="AA21">
            <v>0</v>
          </cell>
          <cell r="AB21">
            <v>0</v>
          </cell>
          <cell r="AC21">
            <v>2996.7977759999999</v>
          </cell>
          <cell r="AD21">
            <v>232.16222400000001</v>
          </cell>
          <cell r="AE21">
            <v>3228.96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29991.383333333237</v>
          </cell>
          <cell r="M22">
            <v>26305.442321666582</v>
          </cell>
          <cell r="N22">
            <v>3685.9410116666545</v>
          </cell>
          <cell r="O22">
            <v>142492.65011700001</v>
          </cell>
          <cell r="P22">
            <v>11038.919883</v>
          </cell>
          <cell r="Q22">
            <v>153531.57</v>
          </cell>
          <cell r="S22">
            <v>29991.383333333237</v>
          </cell>
          <cell r="T22">
            <v>26305.442321666582</v>
          </cell>
          <cell r="U22">
            <v>3685.9410116666545</v>
          </cell>
          <cell r="V22">
            <v>212669.33528500001</v>
          </cell>
          <cell r="W22">
            <v>16475.514715000001</v>
          </cell>
          <cell r="X22">
            <v>229144.85</v>
          </cell>
          <cell r="Z22">
            <v>29991.383333333237</v>
          </cell>
          <cell r="AA22">
            <v>26305.442321666582</v>
          </cell>
          <cell r="AB22">
            <v>3685.9410116666545</v>
          </cell>
          <cell r="AC22">
            <v>13315.144426999999</v>
          </cell>
          <cell r="AD22">
            <v>1031.5255730000001</v>
          </cell>
          <cell r="AE22">
            <v>14346.67</v>
          </cell>
          <cell r="AG22">
            <v>29991.383333333237</v>
          </cell>
          <cell r="AH22">
            <v>26305.442321666582</v>
          </cell>
          <cell r="AI22">
            <v>3685.9410116666545</v>
          </cell>
          <cell r="AJ22">
            <v>8496.2728879999995</v>
          </cell>
          <cell r="AK22">
            <v>658.20711200000005</v>
          </cell>
          <cell r="AL22">
            <v>9154.48</v>
          </cell>
          <cell r="AN22">
            <v>29991.383333333237</v>
          </cell>
          <cell r="AO22">
            <v>26305.442321666582</v>
          </cell>
          <cell r="AP22">
            <v>3685.9410116666545</v>
          </cell>
          <cell r="AQ22">
            <v>0</v>
          </cell>
          <cell r="AR22">
            <v>0</v>
          </cell>
          <cell r="AS22"/>
          <cell r="AU22">
            <v>29991.383333333237</v>
          </cell>
          <cell r="AV22">
            <v>26305.442321666582</v>
          </cell>
          <cell r="AW22">
            <v>3685.9410116666545</v>
          </cell>
          <cell r="AX22">
            <v>0</v>
          </cell>
          <cell r="AY22">
            <v>0</v>
          </cell>
          <cell r="AZ22"/>
          <cell r="BB22">
            <v>29991.383333333237</v>
          </cell>
          <cell r="BC22">
            <v>26305.442321666582</v>
          </cell>
          <cell r="BD22">
            <v>3685.9410116666545</v>
          </cell>
          <cell r="BE22">
            <v>0</v>
          </cell>
          <cell r="BF22">
            <v>0</v>
          </cell>
          <cell r="BG22"/>
          <cell r="BI22">
            <v>29991.383333333237</v>
          </cell>
          <cell r="BJ22">
            <v>26305.442321666582</v>
          </cell>
          <cell r="BK22">
            <v>3685.9410116666545</v>
          </cell>
          <cell r="BL22">
            <v>0</v>
          </cell>
          <cell r="BM22">
            <v>0</v>
          </cell>
          <cell r="BN22"/>
          <cell r="BP22">
            <v>29991.383333333237</v>
          </cell>
          <cell r="BQ22">
            <v>26305.442321666582</v>
          </cell>
          <cell r="BR22">
            <v>3685.9410116666545</v>
          </cell>
          <cell r="BS22">
            <v>0</v>
          </cell>
          <cell r="BT22">
            <v>0</v>
          </cell>
          <cell r="BU22"/>
          <cell r="BW22">
            <v>29991.383333333237</v>
          </cell>
          <cell r="BX22">
            <v>26305.442321666582</v>
          </cell>
          <cell r="BY22">
            <v>3685.9410116666545</v>
          </cell>
          <cell r="BZ22">
            <v>0</v>
          </cell>
          <cell r="CA22">
            <v>0</v>
          </cell>
          <cell r="CB22"/>
          <cell r="CD22">
            <v>29991.383333333237</v>
          </cell>
          <cell r="CE22">
            <v>26305.442321666582</v>
          </cell>
          <cell r="CF22">
            <v>3685.9410116666545</v>
          </cell>
          <cell r="CG22">
            <v>0</v>
          </cell>
          <cell r="CH22">
            <v>0</v>
          </cell>
          <cell r="CI22"/>
          <cell r="CK22">
            <v>29991.383333333237</v>
          </cell>
          <cell r="CL22">
            <v>26305.442321666582</v>
          </cell>
          <cell r="CM22">
            <v>3685.9410116666545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27728.309791589862</v>
          </cell>
          <cell r="M24">
            <v>24320.500518203469</v>
          </cell>
          <cell r="N24">
            <v>3407.8092733863937</v>
          </cell>
          <cell r="O24">
            <v>38070.439255999998</v>
          </cell>
          <cell r="P24">
            <v>2949.3207440000006</v>
          </cell>
          <cell r="Q24">
            <v>41019.760000000002</v>
          </cell>
          <cell r="S24">
            <v>27728.309791589862</v>
          </cell>
          <cell r="T24">
            <v>24320.500518203469</v>
          </cell>
          <cell r="U24">
            <v>3407.8092733863937</v>
          </cell>
          <cell r="V24">
            <v>11542.983881999999</v>
          </cell>
          <cell r="W24">
            <v>894.23611800000003</v>
          </cell>
          <cell r="X24">
            <v>12437.22</v>
          </cell>
          <cell r="Z24">
            <v>27728.309791589862</v>
          </cell>
          <cell r="AA24">
            <v>24320.500518203469</v>
          </cell>
          <cell r="AB24">
            <v>3407.8092733863937</v>
          </cell>
          <cell r="AC24">
            <v>65828.406734000004</v>
          </cell>
          <cell r="AD24">
            <v>5099.7332660000002</v>
          </cell>
          <cell r="AE24">
            <v>70928.14</v>
          </cell>
          <cell r="AG24">
            <v>27728.309791589862</v>
          </cell>
          <cell r="AH24">
            <v>24320.500518203469</v>
          </cell>
          <cell r="AI24">
            <v>3407.8092733863937</v>
          </cell>
          <cell r="AJ24">
            <v>47.760026000000003</v>
          </cell>
          <cell r="AK24">
            <v>3.6999740000000005</v>
          </cell>
          <cell r="AL24">
            <v>51.46</v>
          </cell>
          <cell r="AN24">
            <v>27728.309791589862</v>
          </cell>
          <cell r="AO24">
            <v>24320.500518203469</v>
          </cell>
          <cell r="AP24">
            <v>3407.8092733863937</v>
          </cell>
          <cell r="AQ24">
            <v>0</v>
          </cell>
          <cell r="AR24">
            <v>0</v>
          </cell>
          <cell r="AS24"/>
          <cell r="AU24">
            <v>27728.309791589862</v>
          </cell>
          <cell r="AV24">
            <v>24320.500518203469</v>
          </cell>
          <cell r="AW24">
            <v>3407.8092733863937</v>
          </cell>
          <cell r="AX24">
            <v>0</v>
          </cell>
          <cell r="AY24">
            <v>0</v>
          </cell>
          <cell r="AZ24"/>
          <cell r="BB24">
            <v>22910.669599589863</v>
          </cell>
          <cell r="BC24">
            <v>20094.94830580027</v>
          </cell>
          <cell r="BD24">
            <v>2815.7212937895938</v>
          </cell>
          <cell r="BE24">
            <v>0</v>
          </cell>
          <cell r="BF24">
            <v>0</v>
          </cell>
          <cell r="BG24"/>
          <cell r="BI24">
            <v>27728.309791589862</v>
          </cell>
          <cell r="BJ24">
            <v>24320.500518203469</v>
          </cell>
          <cell r="BK24">
            <v>3407.8092733863937</v>
          </cell>
          <cell r="BL24">
            <v>0</v>
          </cell>
          <cell r="BM24">
            <v>0</v>
          </cell>
          <cell r="BN24"/>
          <cell r="BP24">
            <v>27728.309791589862</v>
          </cell>
          <cell r="BQ24">
            <v>24320.500518203469</v>
          </cell>
          <cell r="BR24">
            <v>3407.8092733863937</v>
          </cell>
          <cell r="BS24">
            <v>0</v>
          </cell>
          <cell r="BT24">
            <v>0</v>
          </cell>
          <cell r="BU24"/>
          <cell r="BW24">
            <v>27728.309791589862</v>
          </cell>
          <cell r="BX24">
            <v>24320.500518203469</v>
          </cell>
          <cell r="BY24">
            <v>3407.8092733863937</v>
          </cell>
          <cell r="BZ24">
            <v>0</v>
          </cell>
          <cell r="CA24">
            <v>0</v>
          </cell>
          <cell r="CB24"/>
          <cell r="CD24">
            <v>27728.309791589862</v>
          </cell>
          <cell r="CE24">
            <v>24320.500518203469</v>
          </cell>
          <cell r="CF24">
            <v>3407.8092733863937</v>
          </cell>
          <cell r="CG24">
            <v>0</v>
          </cell>
          <cell r="CH24">
            <v>0</v>
          </cell>
          <cell r="CI24"/>
          <cell r="CK24">
            <v>27728.309791589862</v>
          </cell>
          <cell r="CL24">
            <v>24320.500518203469</v>
          </cell>
          <cell r="CM24">
            <v>3407.8092733863937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10190.825711</v>
          </cell>
          <cell r="P25">
            <v>789.48428899999999</v>
          </cell>
          <cell r="Q25">
            <v>10980.31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/>
          <cell r="Z25">
            <v>103160.924999999</v>
          </cell>
          <cell r="AA25">
            <v>90482.447317499114</v>
          </cell>
          <cell r="AB25">
            <v>12678.477682499877</v>
          </cell>
          <cell r="AC25">
            <v>11513.776575</v>
          </cell>
          <cell r="AD25">
            <v>891.97342500000002</v>
          </cell>
          <cell r="AE25">
            <v>12405.75</v>
          </cell>
          <cell r="AG25">
            <v>142661.11859999999</v>
          </cell>
          <cell r="AH25">
            <v>125128.06712405999</v>
          </cell>
          <cell r="AI25">
            <v>17533.051475939999</v>
          </cell>
          <cell r="AJ25">
            <v>164668.114657</v>
          </cell>
          <cell r="AK25">
            <v>12756.855343000001</v>
          </cell>
          <cell r="AL25">
            <v>177424.97</v>
          </cell>
          <cell r="AN25">
            <v>142661.11859999999</v>
          </cell>
          <cell r="AO25">
            <v>125128.06712405999</v>
          </cell>
          <cell r="AP25">
            <v>17533.051475939999</v>
          </cell>
          <cell r="AQ25">
            <v>0</v>
          </cell>
          <cell r="AR25">
            <v>0</v>
          </cell>
          <cell r="AS25"/>
          <cell r="AU25">
            <v>147891.3198</v>
          </cell>
          <cell r="AV25">
            <v>129715.47659658</v>
          </cell>
          <cell r="AW25">
            <v>18175.843203419998</v>
          </cell>
          <cell r="AX25">
            <v>0</v>
          </cell>
          <cell r="AY25">
            <v>0</v>
          </cell>
          <cell r="AZ25"/>
          <cell r="BB25">
            <v>61599.379799999901</v>
          </cell>
          <cell r="BC25">
            <v>54028.816022579915</v>
          </cell>
          <cell r="BD25">
            <v>7570.5637774199877</v>
          </cell>
          <cell r="BE25">
            <v>0</v>
          </cell>
          <cell r="BF25">
            <v>0</v>
          </cell>
          <cell r="BG25"/>
          <cell r="BI25">
            <v>61599.379799999901</v>
          </cell>
          <cell r="BJ25">
            <v>54028.816022579915</v>
          </cell>
          <cell r="BK25">
            <v>7570.5637774199877</v>
          </cell>
          <cell r="BL25">
            <v>0</v>
          </cell>
          <cell r="BM25">
            <v>0</v>
          </cell>
          <cell r="BN25"/>
          <cell r="BP25">
            <v>61599.379799999901</v>
          </cell>
          <cell r="BQ25">
            <v>54028.816022579915</v>
          </cell>
          <cell r="BR25">
            <v>7570.5637774199877</v>
          </cell>
          <cell r="BS25">
            <v>0</v>
          </cell>
          <cell r="BT25">
            <v>0</v>
          </cell>
          <cell r="BU25"/>
          <cell r="BW25">
            <v>48748.465499999998</v>
          </cell>
          <cell r="BX25">
            <v>42757.279090049997</v>
          </cell>
          <cell r="BY25">
            <v>5991.1864099499999</v>
          </cell>
          <cell r="BZ25">
            <v>0</v>
          </cell>
          <cell r="CA25">
            <v>0</v>
          </cell>
          <cell r="CB25"/>
          <cell r="CD25">
            <v>29075.322</v>
          </cell>
          <cell r="CE25">
            <v>25501.964926200002</v>
          </cell>
          <cell r="CF25">
            <v>3573.3570737999999</v>
          </cell>
          <cell r="CG25">
            <v>0</v>
          </cell>
          <cell r="CH25">
            <v>0</v>
          </cell>
          <cell r="CI25"/>
          <cell r="CK25">
            <v>29075.322</v>
          </cell>
          <cell r="CL25">
            <v>25501.964926200002</v>
          </cell>
          <cell r="CM25">
            <v>3573.3570737999999</v>
          </cell>
          <cell r="CN25">
            <v>0</v>
          </cell>
          <cell r="CO25">
            <v>0</v>
          </cell>
          <cell r="CP25"/>
        </row>
        <row r="26">
          <cell r="L26">
            <v>114279.08114244268</v>
          </cell>
          <cell r="M26">
            <v>100234.18207003648</v>
          </cell>
          <cell r="N26">
            <v>14044.899072406204</v>
          </cell>
          <cell r="O26">
            <v>140211.51953200001</v>
          </cell>
          <cell r="P26">
            <v>10862.200468000001</v>
          </cell>
          <cell r="Q26">
            <v>151073.72</v>
          </cell>
          <cell r="S26">
            <v>229370.12434244266</v>
          </cell>
          <cell r="T26">
            <v>201180.53606075645</v>
          </cell>
          <cell r="U26">
            <v>28189.588281686203</v>
          </cell>
          <cell r="V26">
            <v>207030.43171</v>
          </cell>
          <cell r="W26">
            <v>16038.668290000001</v>
          </cell>
          <cell r="X26">
            <v>223069.1</v>
          </cell>
          <cell r="Z26">
            <v>351842.41888004262</v>
          </cell>
          <cell r="AA26">
            <v>308600.9855996854</v>
          </cell>
          <cell r="AB26">
            <v>43241.43328035724</v>
          </cell>
          <cell r="AC26">
            <v>317130.40569300001</v>
          </cell>
          <cell r="AD26">
            <v>24568.124307000006</v>
          </cell>
          <cell r="AE26">
            <v>341698.53</v>
          </cell>
          <cell r="AG26">
            <v>348156.93295978667</v>
          </cell>
          <cell r="AH26">
            <v>305368.44589902891</v>
          </cell>
          <cell r="AI26">
            <v>42788.487060757783</v>
          </cell>
          <cell r="AJ26">
            <v>516215.89303899993</v>
          </cell>
          <cell r="AK26">
            <v>39991.296961</v>
          </cell>
          <cell r="AL26">
            <v>556207.18999999994</v>
          </cell>
          <cell r="AN26">
            <v>393997.77634244267</v>
          </cell>
          <cell r="AO26">
            <v>345575.44962995645</v>
          </cell>
          <cell r="AP26">
            <v>48422.326712486203</v>
          </cell>
          <cell r="AQ26">
            <v>0</v>
          </cell>
          <cell r="AR26">
            <v>0</v>
          </cell>
          <cell r="AS26"/>
          <cell r="AU26">
            <v>305420.38728004269</v>
          </cell>
          <cell r="AV26">
            <v>267884.22168332542</v>
          </cell>
          <cell r="AW26">
            <v>37536.165596717248</v>
          </cell>
          <cell r="AX26">
            <v>0</v>
          </cell>
          <cell r="AY26">
            <v>0</v>
          </cell>
          <cell r="AZ26"/>
          <cell r="BB26">
            <v>259579.5438973867</v>
          </cell>
          <cell r="BC26">
            <v>227677.21795239788</v>
          </cell>
          <cell r="BD26">
            <v>31902.325944988825</v>
          </cell>
          <cell r="BE26">
            <v>0</v>
          </cell>
          <cell r="BF26">
            <v>0</v>
          </cell>
          <cell r="BG26"/>
          <cell r="BI26">
            <v>351842.41888004262</v>
          </cell>
          <cell r="BJ26">
            <v>308600.9855996854</v>
          </cell>
          <cell r="BK26">
            <v>43241.43328035724</v>
          </cell>
          <cell r="BL26">
            <v>0</v>
          </cell>
          <cell r="BM26">
            <v>0</v>
          </cell>
          <cell r="BN26"/>
          <cell r="BP26">
            <v>440539.11108052265</v>
          </cell>
          <cell r="BQ26">
            <v>386396.85432872642</v>
          </cell>
          <cell r="BR26">
            <v>54142.256751796231</v>
          </cell>
          <cell r="BS26">
            <v>0</v>
          </cell>
          <cell r="BT26">
            <v>0</v>
          </cell>
          <cell r="BU26"/>
          <cell r="BW26">
            <v>414739.42482266575</v>
          </cell>
          <cell r="BX26">
            <v>363767.94951196015</v>
          </cell>
          <cell r="BY26">
            <v>50971.475310705617</v>
          </cell>
          <cell r="BZ26">
            <v>0</v>
          </cell>
          <cell r="CA26">
            <v>0</v>
          </cell>
          <cell r="CB26"/>
          <cell r="CD26">
            <v>305293.90388052264</v>
          </cell>
          <cell r="CE26">
            <v>267773.28309360641</v>
          </cell>
          <cell r="CF26">
            <v>37520.620786916232</v>
          </cell>
          <cell r="CG26">
            <v>0</v>
          </cell>
          <cell r="CH26">
            <v>0</v>
          </cell>
          <cell r="CI26"/>
          <cell r="CK26">
            <v>297912.65254292265</v>
          </cell>
          <cell r="CL26">
            <v>261299.18754539746</v>
          </cell>
          <cell r="CM26">
            <v>36613.464997525189</v>
          </cell>
          <cell r="CN26">
            <v>0</v>
          </cell>
          <cell r="CO26">
            <v>0</v>
          </cell>
          <cell r="CP26"/>
        </row>
        <row r="27">
          <cell r="L27">
            <v>2004.963968</v>
          </cell>
          <cell r="M27">
            <v>1758.5538963327999</v>
          </cell>
          <cell r="N27">
            <v>246.41007166719999</v>
          </cell>
          <cell r="O27">
            <v>0</v>
          </cell>
          <cell r="P27">
            <v>0</v>
          </cell>
          <cell r="Q27"/>
          <cell r="S27">
            <v>7238.0573439999998</v>
          </cell>
          <cell r="T27">
            <v>6348.5000964224</v>
          </cell>
          <cell r="U27">
            <v>889.55724757759992</v>
          </cell>
          <cell r="V27">
            <v>185.55503300000001</v>
          </cell>
          <cell r="W27">
            <v>14.374967000000002</v>
          </cell>
          <cell r="X27">
            <v>199.93</v>
          </cell>
          <cell r="Z27">
            <v>7238.0573439999998</v>
          </cell>
          <cell r="AA27">
            <v>6348.5000964224</v>
          </cell>
          <cell r="AB27">
            <v>889.55724757759992</v>
          </cell>
          <cell r="AC27">
            <v>2638.5233329999996</v>
          </cell>
          <cell r="AD27">
            <v>204.406667</v>
          </cell>
          <cell r="AE27">
            <v>2842.93</v>
          </cell>
          <cell r="AG27">
            <v>19194.623</v>
          </cell>
          <cell r="AH27">
            <v>16835.6038333</v>
          </cell>
          <cell r="AI27">
            <v>2359.0191666999999</v>
          </cell>
          <cell r="AJ27">
            <v>8119.7241560000002</v>
          </cell>
          <cell r="AK27">
            <v>629.03584400000011</v>
          </cell>
          <cell r="AL27">
            <v>8748.76</v>
          </cell>
          <cell r="AN27">
            <v>7518.9030000000002</v>
          </cell>
          <cell r="AO27">
            <v>6594.8298212999998</v>
          </cell>
          <cell r="AP27">
            <v>924.07317869999997</v>
          </cell>
          <cell r="AQ27">
            <v>0</v>
          </cell>
          <cell r="AR27">
            <v>0</v>
          </cell>
          <cell r="AS27"/>
          <cell r="AU27">
            <v>21199.586968</v>
          </cell>
          <cell r="AV27">
            <v>18594.1577296328</v>
          </cell>
          <cell r="AW27">
            <v>2605.4292383672</v>
          </cell>
          <cell r="AX27">
            <v>0</v>
          </cell>
          <cell r="AY27">
            <v>0</v>
          </cell>
          <cell r="AZ27"/>
          <cell r="BB27">
            <v>9523.8669680000003</v>
          </cell>
          <cell r="BC27">
            <v>8353.3837176327997</v>
          </cell>
          <cell r="BD27">
            <v>1170.4832503672001</v>
          </cell>
          <cell r="BE27">
            <v>0</v>
          </cell>
          <cell r="BF27">
            <v>0</v>
          </cell>
          <cell r="BG27"/>
          <cell r="BI27">
            <v>21199.586968</v>
          </cell>
          <cell r="BJ27">
            <v>18594.1577296328</v>
          </cell>
          <cell r="BK27">
            <v>2605.4292383672</v>
          </cell>
          <cell r="BL27">
            <v>0</v>
          </cell>
          <cell r="BM27">
            <v>0</v>
          </cell>
          <cell r="BN27"/>
          <cell r="BP27">
            <v>21199.586968</v>
          </cell>
          <cell r="BQ27">
            <v>18594.1577296328</v>
          </cell>
          <cell r="BR27">
            <v>2605.4292383672</v>
          </cell>
          <cell r="BS27">
            <v>0</v>
          </cell>
          <cell r="BT27">
            <v>0</v>
          </cell>
          <cell r="BU27"/>
          <cell r="BW27">
            <v>14736.0914679999</v>
          </cell>
          <cell r="BX27">
            <v>12925.025826582712</v>
          </cell>
          <cell r="BY27">
            <v>1811.0656414171876</v>
          </cell>
          <cell r="BZ27">
            <v>0</v>
          </cell>
          <cell r="CA27">
            <v>0</v>
          </cell>
          <cell r="CB27"/>
          <cell r="CD27">
            <v>12731.1274999999</v>
          </cell>
          <cell r="CE27">
            <v>11166.471930249912</v>
          </cell>
          <cell r="CF27">
            <v>1564.6555697499878</v>
          </cell>
          <cell r="CG27">
            <v>0</v>
          </cell>
          <cell r="CH27">
            <v>0</v>
          </cell>
          <cell r="CI27"/>
          <cell r="CK27">
            <v>12731.1274999999</v>
          </cell>
          <cell r="CL27">
            <v>11166.471930249912</v>
          </cell>
          <cell r="CM27">
            <v>1564.6555697499878</v>
          </cell>
          <cell r="CN27">
            <v>0</v>
          </cell>
          <cell r="CO27">
            <v>0</v>
          </cell>
          <cell r="CP27"/>
        </row>
        <row r="28">
          <cell r="L28">
            <v>15840.425999999999</v>
          </cell>
          <cell r="M28">
            <v>13893.637644599999</v>
          </cell>
          <cell r="N28">
            <v>1946.7883553999998</v>
          </cell>
          <cell r="O28">
            <v>21060.435919000003</v>
          </cell>
          <cell r="P28">
            <v>1631.5540810000002</v>
          </cell>
          <cell r="Q28">
            <v>22691.99</v>
          </cell>
          <cell r="S28">
            <v>15840.425999999999</v>
          </cell>
          <cell r="T28">
            <v>13893.637644599999</v>
          </cell>
          <cell r="U28">
            <v>1946.7883553999998</v>
          </cell>
          <cell r="V28">
            <v>21248.970153000002</v>
          </cell>
          <cell r="W28">
            <v>1646.1598470000001</v>
          </cell>
          <cell r="X28">
            <v>22895.13</v>
          </cell>
          <cell r="Z28">
            <v>21120.567999999999</v>
          </cell>
          <cell r="AA28">
            <v>18524.850192800001</v>
          </cell>
          <cell r="AB28">
            <v>2595.7178071999997</v>
          </cell>
          <cell r="AC28">
            <v>24468.149970000002</v>
          </cell>
          <cell r="AD28">
            <v>1895.5500300000001</v>
          </cell>
          <cell r="AE28">
            <v>26363.7</v>
          </cell>
          <cell r="AG28">
            <v>21601.796999999999</v>
          </cell>
          <cell r="AH28">
            <v>18946.936148699999</v>
          </cell>
          <cell r="AI28">
            <v>2654.8608512999999</v>
          </cell>
          <cell r="AJ28">
            <v>6629.8452260000004</v>
          </cell>
          <cell r="AK28">
            <v>513.61477400000001</v>
          </cell>
          <cell r="AL28">
            <v>7143.46</v>
          </cell>
          <cell r="AN28">
            <v>18480.496999999999</v>
          </cell>
          <cell r="AO28">
            <v>16209.2439187</v>
          </cell>
          <cell r="AP28">
            <v>2271.2530812999998</v>
          </cell>
          <cell r="AQ28">
            <v>0</v>
          </cell>
          <cell r="AR28">
            <v>0</v>
          </cell>
          <cell r="AS28"/>
          <cell r="AU28">
            <v>16321.654999999901</v>
          </cell>
          <cell r="AV28">
            <v>14315.723600499912</v>
          </cell>
          <cell r="AW28">
            <v>2005.9313994999877</v>
          </cell>
          <cell r="AX28">
            <v>0</v>
          </cell>
          <cell r="AY28">
            <v>0</v>
          </cell>
          <cell r="AZ28"/>
          <cell r="BB28">
            <v>13200.355</v>
          </cell>
          <cell r="BC28">
            <v>11578.031370499999</v>
          </cell>
          <cell r="BD28">
            <v>1622.3236294999999</v>
          </cell>
          <cell r="BE28">
            <v>0</v>
          </cell>
          <cell r="BF28">
            <v>0</v>
          </cell>
          <cell r="BG28"/>
          <cell r="BI28">
            <v>21601.796999999999</v>
          </cell>
          <cell r="BJ28">
            <v>18946.936148699999</v>
          </cell>
          <cell r="BK28">
            <v>2654.8608512999999</v>
          </cell>
          <cell r="BL28">
            <v>0</v>
          </cell>
          <cell r="BM28">
            <v>0</v>
          </cell>
          <cell r="BN28"/>
          <cell r="BP28">
            <v>21601.796999999999</v>
          </cell>
          <cell r="BQ28">
            <v>18946.936148699999</v>
          </cell>
          <cell r="BR28">
            <v>2654.8608512999999</v>
          </cell>
          <cell r="BS28">
            <v>0</v>
          </cell>
          <cell r="BT28">
            <v>0</v>
          </cell>
          <cell r="BU28"/>
          <cell r="BW28">
            <v>19661.7435</v>
          </cell>
          <cell r="BX28">
            <v>17245.315223850001</v>
          </cell>
          <cell r="BY28">
            <v>2416.4282761499999</v>
          </cell>
          <cell r="BZ28">
            <v>0</v>
          </cell>
          <cell r="CA28">
            <v>0</v>
          </cell>
          <cell r="CB28"/>
          <cell r="CD28">
            <v>14381.601500000001</v>
          </cell>
          <cell r="CE28">
            <v>12614.102675650001</v>
          </cell>
          <cell r="CF28">
            <v>1767.4988243499999</v>
          </cell>
          <cell r="CG28">
            <v>0</v>
          </cell>
          <cell r="CH28">
            <v>0</v>
          </cell>
          <cell r="CI28"/>
          <cell r="CK28">
            <v>14381.601500000001</v>
          </cell>
          <cell r="CL28">
            <v>12614.102675650001</v>
          </cell>
          <cell r="CM28">
            <v>1767.4988243499999</v>
          </cell>
          <cell r="CN28">
            <v>0</v>
          </cell>
          <cell r="CO28">
            <v>0</v>
          </cell>
          <cell r="CP28"/>
        </row>
        <row r="29">
          <cell r="L29">
            <v>29747.333333333332</v>
          </cell>
          <cell r="M29">
            <v>26091.386066666666</v>
          </cell>
          <cell r="N29">
            <v>3655.9472666666666</v>
          </cell>
          <cell r="O29">
            <v>0</v>
          </cell>
          <cell r="P29">
            <v>0</v>
          </cell>
          <cell r="Q29"/>
          <cell r="S29">
            <v>34631.833333333336</v>
          </cell>
          <cell r="T29">
            <v>30375.581016666671</v>
          </cell>
          <cell r="U29">
            <v>4256.252316666667</v>
          </cell>
          <cell r="V29">
            <v>0</v>
          </cell>
          <cell r="W29">
            <v>0</v>
          </cell>
          <cell r="X29"/>
          <cell r="Z29">
            <v>29747.333333333332</v>
          </cell>
          <cell r="AA29">
            <v>26091.386066666666</v>
          </cell>
          <cell r="AB29">
            <v>3655.9472666666666</v>
          </cell>
          <cell r="AC29">
            <v>0</v>
          </cell>
          <cell r="AD29">
            <v>0</v>
          </cell>
          <cell r="AE29"/>
          <cell r="AG29">
            <v>34631.833333333336</v>
          </cell>
          <cell r="AH29">
            <v>30375.581016666671</v>
          </cell>
          <cell r="AI29">
            <v>4256.252316666667</v>
          </cell>
          <cell r="AJ29">
            <v>0</v>
          </cell>
          <cell r="AK29">
            <v>0</v>
          </cell>
          <cell r="AL29"/>
          <cell r="AN29">
            <v>29747.333333333332</v>
          </cell>
          <cell r="AO29">
            <v>26091.386066666666</v>
          </cell>
          <cell r="AP29">
            <v>3655.9472666666666</v>
          </cell>
          <cell r="AQ29">
            <v>0</v>
          </cell>
          <cell r="AR29">
            <v>0</v>
          </cell>
          <cell r="AS29"/>
          <cell r="AU29">
            <v>34631.833333333336</v>
          </cell>
          <cell r="AV29">
            <v>30375.581016666671</v>
          </cell>
          <cell r="AW29">
            <v>4256.252316666667</v>
          </cell>
          <cell r="AX29">
            <v>0</v>
          </cell>
          <cell r="AY29">
            <v>0</v>
          </cell>
          <cell r="AZ29"/>
          <cell r="BB29">
            <v>29747.333333333332</v>
          </cell>
          <cell r="BC29">
            <v>26091.386066666666</v>
          </cell>
          <cell r="BD29">
            <v>3655.9472666666666</v>
          </cell>
          <cell r="BE29">
            <v>0</v>
          </cell>
          <cell r="BF29">
            <v>0</v>
          </cell>
          <cell r="BG29"/>
          <cell r="BI29">
            <v>34631.833333333336</v>
          </cell>
          <cell r="BJ29">
            <v>30375.581016666671</v>
          </cell>
          <cell r="BK29">
            <v>4256.252316666667</v>
          </cell>
          <cell r="BL29">
            <v>0</v>
          </cell>
          <cell r="BM29">
            <v>0</v>
          </cell>
          <cell r="BN29"/>
          <cell r="BP29">
            <v>29747.333333333332</v>
          </cell>
          <cell r="BQ29">
            <v>26091.386066666666</v>
          </cell>
          <cell r="BR29">
            <v>3655.9472666666666</v>
          </cell>
          <cell r="BS29">
            <v>0</v>
          </cell>
          <cell r="BT29">
            <v>0</v>
          </cell>
          <cell r="BU29"/>
          <cell r="BW29">
            <v>34631.833333333336</v>
          </cell>
          <cell r="BX29">
            <v>30375.581016666671</v>
          </cell>
          <cell r="BY29">
            <v>4256.252316666667</v>
          </cell>
          <cell r="BZ29">
            <v>0</v>
          </cell>
          <cell r="CA29">
            <v>0</v>
          </cell>
          <cell r="CB29"/>
          <cell r="CD29">
            <v>29747.333333333332</v>
          </cell>
          <cell r="CE29">
            <v>26091.386066666666</v>
          </cell>
          <cell r="CF29">
            <v>3655.9472666666666</v>
          </cell>
          <cell r="CG29">
            <v>0</v>
          </cell>
          <cell r="CH29">
            <v>0</v>
          </cell>
          <cell r="CI29"/>
          <cell r="CK29">
            <v>34631.833333333336</v>
          </cell>
          <cell r="CL29">
            <v>30375.581016666671</v>
          </cell>
          <cell r="CM29">
            <v>4256.252316666667</v>
          </cell>
          <cell r="CN29">
            <v>0</v>
          </cell>
          <cell r="CO29">
            <v>0</v>
          </cell>
          <cell r="CP29"/>
        </row>
        <row r="30">
          <cell r="L30">
            <v>41666.666666666664</v>
          </cell>
          <cell r="M30">
            <v>36545.833333333328</v>
          </cell>
          <cell r="N30">
            <v>5120.833333333333</v>
          </cell>
          <cell r="O30">
            <v>928.1</v>
          </cell>
          <cell r="P30">
            <v>71.900000000000006</v>
          </cell>
          <cell r="Q30">
            <v>1000</v>
          </cell>
          <cell r="S30">
            <v>41666.666666666664</v>
          </cell>
          <cell r="T30">
            <v>36545.833333333328</v>
          </cell>
          <cell r="U30">
            <v>5120.833333333333</v>
          </cell>
          <cell r="V30">
            <v>696.07500000000005</v>
          </cell>
          <cell r="W30">
            <v>53.925000000000004</v>
          </cell>
          <cell r="X30">
            <v>750</v>
          </cell>
          <cell r="Z30">
            <v>41666.666666666664</v>
          </cell>
          <cell r="AA30">
            <v>36545.833333333328</v>
          </cell>
          <cell r="AB30">
            <v>5120.833333333333</v>
          </cell>
          <cell r="AC30">
            <v>696.07500000000005</v>
          </cell>
          <cell r="AD30">
            <v>53.925000000000004</v>
          </cell>
          <cell r="AE30">
            <v>750</v>
          </cell>
          <cell r="AG30">
            <v>41666.666666666664</v>
          </cell>
          <cell r="AH30">
            <v>36545.833333333328</v>
          </cell>
          <cell r="AI30">
            <v>5120.833333333333</v>
          </cell>
          <cell r="AJ30">
            <v>0</v>
          </cell>
          <cell r="AK30">
            <v>0</v>
          </cell>
          <cell r="AL30"/>
          <cell r="AN30">
            <v>41666.666666666664</v>
          </cell>
          <cell r="AO30">
            <v>36545.833333333328</v>
          </cell>
          <cell r="AP30">
            <v>5120.833333333333</v>
          </cell>
          <cell r="AQ30">
            <v>0</v>
          </cell>
          <cell r="AR30">
            <v>0</v>
          </cell>
          <cell r="AS30"/>
          <cell r="AU30">
            <v>41666.666666666664</v>
          </cell>
          <cell r="AV30">
            <v>36545.833333333328</v>
          </cell>
          <cell r="AW30">
            <v>5120.833333333333</v>
          </cell>
          <cell r="AX30">
            <v>0</v>
          </cell>
          <cell r="AY30">
            <v>0</v>
          </cell>
          <cell r="AZ30"/>
          <cell r="BB30">
            <v>41666.666666666664</v>
          </cell>
          <cell r="BC30">
            <v>36545.833333333328</v>
          </cell>
          <cell r="BD30">
            <v>5120.833333333333</v>
          </cell>
          <cell r="BE30">
            <v>0</v>
          </cell>
          <cell r="BF30">
            <v>0</v>
          </cell>
          <cell r="BG30"/>
          <cell r="BI30">
            <v>41666.666666666664</v>
          </cell>
          <cell r="BJ30">
            <v>36545.833333333328</v>
          </cell>
          <cell r="BK30">
            <v>5120.833333333333</v>
          </cell>
          <cell r="BL30">
            <v>0</v>
          </cell>
          <cell r="BM30">
            <v>0</v>
          </cell>
          <cell r="BN30"/>
          <cell r="BP30">
            <v>41666.666666666664</v>
          </cell>
          <cell r="BQ30">
            <v>36545.833333333328</v>
          </cell>
          <cell r="BR30">
            <v>5120.833333333333</v>
          </cell>
          <cell r="BS30">
            <v>0</v>
          </cell>
          <cell r="BT30">
            <v>0</v>
          </cell>
          <cell r="BU30"/>
          <cell r="BW30">
            <v>41666.666666666664</v>
          </cell>
          <cell r="BX30">
            <v>36545.833333333328</v>
          </cell>
          <cell r="BY30">
            <v>5120.833333333333</v>
          </cell>
          <cell r="BZ30">
            <v>0</v>
          </cell>
          <cell r="CA30">
            <v>0</v>
          </cell>
          <cell r="CB30"/>
          <cell r="CD30">
            <v>41666.666666666664</v>
          </cell>
          <cell r="CE30">
            <v>36545.833333333328</v>
          </cell>
          <cell r="CF30">
            <v>5120.833333333333</v>
          </cell>
          <cell r="CG30">
            <v>0</v>
          </cell>
          <cell r="CH30">
            <v>0</v>
          </cell>
          <cell r="CI30"/>
          <cell r="CK30">
            <v>41666.666666666664</v>
          </cell>
          <cell r="CL30">
            <v>36545.833333333328</v>
          </cell>
          <cell r="CM30">
            <v>5120.833333333333</v>
          </cell>
          <cell r="CN30">
            <v>0</v>
          </cell>
          <cell r="CO30">
            <v>0</v>
          </cell>
          <cell r="CP30"/>
        </row>
        <row r="31">
          <cell r="L31">
            <v>1666.6666666666667</v>
          </cell>
          <cell r="M31">
            <v>1461.8333333333335</v>
          </cell>
          <cell r="N31">
            <v>204.83333333333334</v>
          </cell>
          <cell r="O31">
            <v>7622.4853000000003</v>
          </cell>
          <cell r="P31">
            <v>590.51470000000006</v>
          </cell>
          <cell r="Q31">
            <v>8213</v>
          </cell>
          <cell r="S31">
            <v>1666.6666666666667</v>
          </cell>
          <cell r="T31">
            <v>1461.8333333333335</v>
          </cell>
          <cell r="U31">
            <v>204.83333333333334</v>
          </cell>
          <cell r="V31">
            <v>2686.7566900000002</v>
          </cell>
          <cell r="W31">
            <v>208.14331000000001</v>
          </cell>
          <cell r="X31">
            <v>2894.9</v>
          </cell>
          <cell r="Z31">
            <v>1666.6666666666667</v>
          </cell>
          <cell r="AA31">
            <v>1461.8333333333335</v>
          </cell>
          <cell r="AB31">
            <v>204.83333333333334</v>
          </cell>
          <cell r="AC31">
            <v>0</v>
          </cell>
          <cell r="AD31">
            <v>0</v>
          </cell>
          <cell r="AE31"/>
          <cell r="AG31">
            <v>1666.6666666666667</v>
          </cell>
          <cell r="AH31">
            <v>1461.8333333333335</v>
          </cell>
          <cell r="AI31">
            <v>204.83333333333334</v>
          </cell>
          <cell r="AJ31">
            <v>139.215</v>
          </cell>
          <cell r="AK31">
            <v>10.785</v>
          </cell>
          <cell r="AL31">
            <v>150</v>
          </cell>
          <cell r="AN31">
            <v>1666.6666666666667</v>
          </cell>
          <cell r="AO31">
            <v>1461.8333333333335</v>
          </cell>
          <cell r="AP31">
            <v>204.83333333333334</v>
          </cell>
          <cell r="AQ31">
            <v>0</v>
          </cell>
          <cell r="AR31">
            <v>0</v>
          </cell>
          <cell r="AS31"/>
          <cell r="AU31">
            <v>1666.6666666666667</v>
          </cell>
          <cell r="AV31">
            <v>1461.8333333333335</v>
          </cell>
          <cell r="AW31">
            <v>204.83333333333334</v>
          </cell>
          <cell r="AX31">
            <v>0</v>
          </cell>
          <cell r="AY31">
            <v>0</v>
          </cell>
          <cell r="AZ31"/>
          <cell r="BB31">
            <v>1666.6666666666667</v>
          </cell>
          <cell r="BC31">
            <v>1461.8333333333335</v>
          </cell>
          <cell r="BD31">
            <v>204.83333333333334</v>
          </cell>
          <cell r="BE31">
            <v>0</v>
          </cell>
          <cell r="BF31">
            <v>0</v>
          </cell>
          <cell r="BG31"/>
          <cell r="BI31">
            <v>1666.6666666666667</v>
          </cell>
          <cell r="BJ31">
            <v>1461.8333333333335</v>
          </cell>
          <cell r="BK31">
            <v>204.83333333333334</v>
          </cell>
          <cell r="BL31">
            <v>0</v>
          </cell>
          <cell r="BM31">
            <v>0</v>
          </cell>
          <cell r="BN31"/>
          <cell r="BP31">
            <v>1666.6666666666667</v>
          </cell>
          <cell r="BQ31">
            <v>1461.8333333333335</v>
          </cell>
          <cell r="BR31">
            <v>204.83333333333334</v>
          </cell>
          <cell r="BS31">
            <v>0</v>
          </cell>
          <cell r="BT31">
            <v>0</v>
          </cell>
          <cell r="BU31"/>
          <cell r="BW31">
            <v>1666.6666666666667</v>
          </cell>
          <cell r="BX31">
            <v>1461.8333333333335</v>
          </cell>
          <cell r="BY31">
            <v>204.83333333333334</v>
          </cell>
          <cell r="BZ31">
            <v>0</v>
          </cell>
          <cell r="CA31">
            <v>0</v>
          </cell>
          <cell r="CB31"/>
          <cell r="CD31">
            <v>1666.6666666666667</v>
          </cell>
          <cell r="CE31">
            <v>1461.8333333333335</v>
          </cell>
          <cell r="CF31">
            <v>204.83333333333334</v>
          </cell>
          <cell r="CG31">
            <v>0</v>
          </cell>
          <cell r="CH31">
            <v>0</v>
          </cell>
          <cell r="CI31"/>
          <cell r="CK31">
            <v>1666.6666666666667</v>
          </cell>
          <cell r="CL31">
            <v>1461.8333333333335</v>
          </cell>
          <cell r="CM31">
            <v>204.83333333333334</v>
          </cell>
          <cell r="CN31">
            <v>0</v>
          </cell>
          <cell r="CO31">
            <v>0</v>
          </cell>
          <cell r="CP31"/>
        </row>
        <row r="32">
          <cell r="L32">
            <v>1052686.7119999998</v>
          </cell>
          <cell r="M32">
            <v>923311.51509519981</v>
          </cell>
          <cell r="N32">
            <v>129375.19690479997</v>
          </cell>
          <cell r="O32">
            <v>1259956.2249960001</v>
          </cell>
          <cell r="P32">
            <v>97608.935004000014</v>
          </cell>
          <cell r="Q32">
            <v>1357565.1600000001</v>
          </cell>
          <cell r="S32">
            <v>881237.72</v>
          </cell>
          <cell r="T32">
            <v>772933.60421200003</v>
          </cell>
          <cell r="U32">
            <v>108304.115788</v>
          </cell>
          <cell r="V32">
            <v>858919.42599999998</v>
          </cell>
          <cell r="W32">
            <v>66540.574000000008</v>
          </cell>
          <cell r="X32">
            <v>925460</v>
          </cell>
          <cell r="Z32">
            <v>772944.348</v>
          </cell>
          <cell r="AA32">
            <v>677949.48763079999</v>
          </cell>
          <cell r="AB32">
            <v>94994.860369200003</v>
          </cell>
          <cell r="AC32">
            <v>1005698.673025</v>
          </cell>
          <cell r="AD32">
            <v>77911.576975000004</v>
          </cell>
          <cell r="AE32">
            <v>1083610.25</v>
          </cell>
          <cell r="AG32">
            <v>802606.59600000002</v>
          </cell>
          <cell r="AH32">
            <v>703966.2453516</v>
          </cell>
          <cell r="AI32">
            <v>98640.350648399995</v>
          </cell>
          <cell r="AJ32">
            <v>704737.82971399999</v>
          </cell>
          <cell r="AK32">
            <v>54596.11028600001</v>
          </cell>
          <cell r="AL32">
            <v>759333.94000000006</v>
          </cell>
          <cell r="AN32">
            <v>912037.72</v>
          </cell>
          <cell r="AO32">
            <v>799948.28421199997</v>
          </cell>
          <cell r="AP32">
            <v>112089.43578799999</v>
          </cell>
          <cell r="AQ32">
            <v>0</v>
          </cell>
          <cell r="AR32">
            <v>0</v>
          </cell>
          <cell r="AS32"/>
          <cell r="AU32">
            <v>982437.72</v>
          </cell>
          <cell r="AV32">
            <v>861696.12421199994</v>
          </cell>
          <cell r="AW32">
            <v>120741.59578799999</v>
          </cell>
          <cell r="AX32">
            <v>0</v>
          </cell>
          <cell r="AY32">
            <v>0</v>
          </cell>
          <cell r="AZ32"/>
          <cell r="BB32">
            <v>1150775.4719999998</v>
          </cell>
          <cell r="BC32">
            <v>1009345.1664911999</v>
          </cell>
          <cell r="BD32">
            <v>141430.30550879997</v>
          </cell>
          <cell r="BE32">
            <v>0</v>
          </cell>
          <cell r="BF32">
            <v>0</v>
          </cell>
          <cell r="BG32"/>
          <cell r="BI32">
            <v>160160</v>
          </cell>
          <cell r="BJ32">
            <v>140476.33600000001</v>
          </cell>
          <cell r="BK32">
            <v>19683.664000000001</v>
          </cell>
          <cell r="BL32">
            <v>0</v>
          </cell>
          <cell r="BM32">
            <v>0</v>
          </cell>
          <cell r="BN32"/>
          <cell r="BP32">
            <v>8800</v>
          </cell>
          <cell r="BQ32">
            <v>7718.48</v>
          </cell>
          <cell r="BR32">
            <v>1081.52</v>
          </cell>
          <cell r="BS32">
            <v>0</v>
          </cell>
          <cell r="BT32">
            <v>0</v>
          </cell>
          <cell r="BU32"/>
          <cell r="BW32">
            <v>8800</v>
          </cell>
          <cell r="BX32">
            <v>7718.48</v>
          </cell>
          <cell r="BY32">
            <v>1081.52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760000</v>
          </cell>
          <cell r="M33">
            <v>666596</v>
          </cell>
          <cell r="N33">
            <v>93404</v>
          </cell>
          <cell r="O33">
            <v>748884.79025700002</v>
          </cell>
          <cell r="P33">
            <v>58016.179743000001</v>
          </cell>
          <cell r="Q33">
            <v>806900.97</v>
          </cell>
          <cell r="S33">
            <v>600000</v>
          </cell>
          <cell r="T33">
            <v>526260</v>
          </cell>
          <cell r="U33">
            <v>73740</v>
          </cell>
          <cell r="V33">
            <v>615507.90121599997</v>
          </cell>
          <cell r="W33">
            <v>47683.458784000002</v>
          </cell>
          <cell r="X33">
            <v>663191.36</v>
          </cell>
          <cell r="Z33">
            <v>540000</v>
          </cell>
          <cell r="AA33">
            <v>473634</v>
          </cell>
          <cell r="AB33">
            <v>66366</v>
          </cell>
          <cell r="AC33">
            <v>518288.32177700003</v>
          </cell>
          <cell r="AD33">
            <v>40151.848223000008</v>
          </cell>
          <cell r="AE33">
            <v>558440.17000000004</v>
          </cell>
          <cell r="AG33">
            <v>580000</v>
          </cell>
          <cell r="AH33">
            <v>508718</v>
          </cell>
          <cell r="AI33">
            <v>71282</v>
          </cell>
          <cell r="AJ33">
            <v>470774.724889</v>
          </cell>
          <cell r="AK33">
            <v>36470.965111000005</v>
          </cell>
          <cell r="AL33">
            <v>507245.69</v>
          </cell>
          <cell r="AN33">
            <v>600000</v>
          </cell>
          <cell r="AO33">
            <v>526260</v>
          </cell>
          <cell r="AP33">
            <v>73740</v>
          </cell>
          <cell r="AQ33">
            <v>0</v>
          </cell>
          <cell r="AR33">
            <v>0</v>
          </cell>
          <cell r="AS33"/>
          <cell r="AU33">
            <v>600000</v>
          </cell>
          <cell r="AV33">
            <v>526260</v>
          </cell>
          <cell r="AW33">
            <v>73740</v>
          </cell>
          <cell r="AX33">
            <v>0</v>
          </cell>
          <cell r="AY33">
            <v>0</v>
          </cell>
          <cell r="AZ33"/>
          <cell r="BB33">
            <v>560000</v>
          </cell>
          <cell r="BC33">
            <v>491176</v>
          </cell>
          <cell r="BD33">
            <v>68824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33333.333333333336</v>
          </cell>
          <cell r="M36">
            <v>29236.666666666668</v>
          </cell>
          <cell r="N36">
            <v>4096.666666666667</v>
          </cell>
          <cell r="O36">
            <v>60406.103136999998</v>
          </cell>
          <cell r="P36">
            <v>4679.6668630000004</v>
          </cell>
          <cell r="Q36">
            <v>65085.77</v>
          </cell>
          <cell r="S36">
            <v>33333.333333333336</v>
          </cell>
          <cell r="T36">
            <v>29236.666666666668</v>
          </cell>
          <cell r="U36">
            <v>4096.666666666667</v>
          </cell>
          <cell r="V36">
            <v>25268.682625000001</v>
          </cell>
          <cell r="W36">
            <v>1957.5673750000001</v>
          </cell>
          <cell r="X36">
            <v>27226.25</v>
          </cell>
          <cell r="Z36">
            <v>33333.333333333336</v>
          </cell>
          <cell r="AA36">
            <v>29236.666666666668</v>
          </cell>
          <cell r="AB36">
            <v>4096.666666666667</v>
          </cell>
          <cell r="AC36">
            <v>33324.701997000004</v>
          </cell>
          <cell r="AD36">
            <v>2581.6680030000002</v>
          </cell>
          <cell r="AE36">
            <v>35906.370000000003</v>
          </cell>
          <cell r="AG36">
            <v>33333.333333333336</v>
          </cell>
          <cell r="AH36">
            <v>29236.666666666668</v>
          </cell>
          <cell r="AI36">
            <v>4096.666666666667</v>
          </cell>
          <cell r="AJ36">
            <v>57244.706826000001</v>
          </cell>
          <cell r="AK36">
            <v>4434.7531740000004</v>
          </cell>
          <cell r="AL36">
            <v>61679.46</v>
          </cell>
          <cell r="AN36">
            <v>33333.333333333336</v>
          </cell>
          <cell r="AO36">
            <v>29236.666666666668</v>
          </cell>
          <cell r="AP36">
            <v>4096.666666666667</v>
          </cell>
          <cell r="AQ36">
            <v>0</v>
          </cell>
          <cell r="AR36">
            <v>0</v>
          </cell>
          <cell r="AS36"/>
          <cell r="AU36">
            <v>33333.333333333336</v>
          </cell>
          <cell r="AV36">
            <v>29236.666666666668</v>
          </cell>
          <cell r="AW36">
            <v>4096.666666666667</v>
          </cell>
          <cell r="AX36">
            <v>0</v>
          </cell>
          <cell r="AY36">
            <v>0</v>
          </cell>
          <cell r="AZ36"/>
          <cell r="BB36">
            <v>33333.333333333336</v>
          </cell>
          <cell r="BC36">
            <v>29236.666666666668</v>
          </cell>
          <cell r="BD36">
            <v>4096.666666666667</v>
          </cell>
          <cell r="BE36">
            <v>0</v>
          </cell>
          <cell r="BF36">
            <v>0</v>
          </cell>
          <cell r="BG36"/>
          <cell r="BI36">
            <v>33333.333333333336</v>
          </cell>
          <cell r="BJ36">
            <v>29236.666666666668</v>
          </cell>
          <cell r="BK36">
            <v>4096.666666666667</v>
          </cell>
          <cell r="BL36">
            <v>0</v>
          </cell>
          <cell r="BM36">
            <v>0</v>
          </cell>
          <cell r="BN36"/>
          <cell r="BP36">
            <v>33333.333333333336</v>
          </cell>
          <cell r="BQ36">
            <v>29236.666666666668</v>
          </cell>
          <cell r="BR36">
            <v>4096.666666666667</v>
          </cell>
          <cell r="BS36">
            <v>0</v>
          </cell>
          <cell r="BT36">
            <v>0</v>
          </cell>
          <cell r="BU36"/>
          <cell r="BW36">
            <v>33333.333333333336</v>
          </cell>
          <cell r="BX36">
            <v>29236.666666666668</v>
          </cell>
          <cell r="BY36">
            <v>4096.666666666667</v>
          </cell>
          <cell r="BZ36">
            <v>0</v>
          </cell>
          <cell r="CA36">
            <v>0</v>
          </cell>
          <cell r="CB36"/>
          <cell r="CD36">
            <v>33333.333333333336</v>
          </cell>
          <cell r="CE36">
            <v>29236.666666666668</v>
          </cell>
          <cell r="CF36">
            <v>4096.666666666667</v>
          </cell>
          <cell r="CG36">
            <v>0</v>
          </cell>
          <cell r="CH36">
            <v>0</v>
          </cell>
          <cell r="CI36"/>
          <cell r="CK36">
            <v>33333.333333333336</v>
          </cell>
          <cell r="CL36">
            <v>29236.666666666668</v>
          </cell>
          <cell r="CM36">
            <v>4096.666666666667</v>
          </cell>
          <cell r="CN36">
            <v>0</v>
          </cell>
          <cell r="CO36">
            <v>0</v>
          </cell>
          <cell r="CP36"/>
        </row>
        <row r="37">
          <cell r="L37">
            <v>37500</v>
          </cell>
          <cell r="M37">
            <v>32891.25</v>
          </cell>
          <cell r="N37">
            <v>4608.75</v>
          </cell>
          <cell r="O37">
            <v>39043.394329000002</v>
          </cell>
          <cell r="P37">
            <v>3024.6956710000004</v>
          </cell>
          <cell r="Q37">
            <v>42068.090000000004</v>
          </cell>
          <cell r="S37">
            <v>37500</v>
          </cell>
          <cell r="T37">
            <v>32891.25</v>
          </cell>
          <cell r="U37">
            <v>4608.75</v>
          </cell>
          <cell r="V37">
            <v>28947.884488000003</v>
          </cell>
          <cell r="W37">
            <v>2242.5955120000003</v>
          </cell>
          <cell r="X37">
            <v>31190.480000000003</v>
          </cell>
          <cell r="Z37">
            <v>37500</v>
          </cell>
          <cell r="AA37">
            <v>32891.25</v>
          </cell>
          <cell r="AB37">
            <v>4608.75</v>
          </cell>
          <cell r="AC37">
            <v>31361.232199000002</v>
          </cell>
          <cell r="AD37">
            <v>2429.5578010000004</v>
          </cell>
          <cell r="AE37">
            <v>33790.79</v>
          </cell>
          <cell r="AG37">
            <v>37500</v>
          </cell>
          <cell r="AH37">
            <v>32891.25</v>
          </cell>
          <cell r="AI37">
            <v>4608.75</v>
          </cell>
          <cell r="AJ37">
            <v>64049.341124999999</v>
          </cell>
          <cell r="AK37">
            <v>4961.9088750000001</v>
          </cell>
          <cell r="AL37">
            <v>69011.25</v>
          </cell>
          <cell r="AN37">
            <v>37500</v>
          </cell>
          <cell r="AO37">
            <v>32891.25</v>
          </cell>
          <cell r="AP37">
            <v>4608.75</v>
          </cell>
          <cell r="AQ37">
            <v>0</v>
          </cell>
          <cell r="AR37">
            <v>0</v>
          </cell>
          <cell r="AS37"/>
          <cell r="AU37">
            <v>37500</v>
          </cell>
          <cell r="AV37">
            <v>32891.25</v>
          </cell>
          <cell r="AW37">
            <v>4608.75</v>
          </cell>
          <cell r="AX37">
            <v>0</v>
          </cell>
          <cell r="AY37">
            <v>0</v>
          </cell>
          <cell r="AZ37"/>
          <cell r="BB37">
            <v>37500</v>
          </cell>
          <cell r="BC37">
            <v>32891.25</v>
          </cell>
          <cell r="BD37">
            <v>4608.75</v>
          </cell>
          <cell r="BE37">
            <v>0</v>
          </cell>
          <cell r="BF37">
            <v>0</v>
          </cell>
          <cell r="BG37"/>
          <cell r="BI37">
            <v>37500</v>
          </cell>
          <cell r="BJ37">
            <v>32891.25</v>
          </cell>
          <cell r="BK37">
            <v>4608.75</v>
          </cell>
          <cell r="BL37">
            <v>0</v>
          </cell>
          <cell r="BM37">
            <v>0</v>
          </cell>
          <cell r="BN37"/>
          <cell r="BP37">
            <v>37500</v>
          </cell>
          <cell r="BQ37">
            <v>32891.25</v>
          </cell>
          <cell r="BR37">
            <v>4608.75</v>
          </cell>
          <cell r="BS37">
            <v>0</v>
          </cell>
          <cell r="BT37">
            <v>0</v>
          </cell>
          <cell r="BU37"/>
          <cell r="BW37">
            <v>37500</v>
          </cell>
          <cell r="BX37">
            <v>32891.25</v>
          </cell>
          <cell r="BY37">
            <v>4608.75</v>
          </cell>
          <cell r="BZ37">
            <v>0</v>
          </cell>
          <cell r="CA37">
            <v>0</v>
          </cell>
          <cell r="CB37"/>
          <cell r="CD37">
            <v>37500</v>
          </cell>
          <cell r="CE37">
            <v>32891.25</v>
          </cell>
          <cell r="CF37">
            <v>4608.75</v>
          </cell>
          <cell r="CG37">
            <v>0</v>
          </cell>
          <cell r="CH37">
            <v>0</v>
          </cell>
          <cell r="CI37"/>
          <cell r="CK37">
            <v>37500</v>
          </cell>
          <cell r="CL37">
            <v>32891.25</v>
          </cell>
          <cell r="CM37">
            <v>4608.75</v>
          </cell>
          <cell r="CN37">
            <v>0</v>
          </cell>
          <cell r="CO37">
            <v>0</v>
          </cell>
          <cell r="CP37"/>
        </row>
        <row r="38">
          <cell r="L38">
            <v>6666.666666666667</v>
          </cell>
          <cell r="M38">
            <v>5847.3333333333339</v>
          </cell>
          <cell r="N38">
            <v>819.33333333333337</v>
          </cell>
          <cell r="O38">
            <v>7884.4786490000006</v>
          </cell>
          <cell r="P38">
            <v>610.81135100000006</v>
          </cell>
          <cell r="Q38">
            <v>8495.2900000000009</v>
          </cell>
          <cell r="S38">
            <v>6666.666666666667</v>
          </cell>
          <cell r="T38">
            <v>5847.3333333333339</v>
          </cell>
          <cell r="U38">
            <v>819.33333333333337</v>
          </cell>
          <cell r="V38">
            <v>13057.262561</v>
          </cell>
          <cell r="W38">
            <v>1011.5474390000001</v>
          </cell>
          <cell r="X38">
            <v>14068.81</v>
          </cell>
          <cell r="Z38">
            <v>6666.666666666667</v>
          </cell>
          <cell r="AA38">
            <v>5847.3333333333339</v>
          </cell>
          <cell r="AB38">
            <v>819.33333333333337</v>
          </cell>
          <cell r="AC38">
            <v>17184.996592</v>
          </cell>
          <cell r="AD38">
            <v>1331.323408</v>
          </cell>
          <cell r="AE38">
            <v>18516.32</v>
          </cell>
          <cell r="AG38">
            <v>6666.666666666667</v>
          </cell>
          <cell r="AH38">
            <v>5847.3333333333339</v>
          </cell>
          <cell r="AI38">
            <v>819.33333333333337</v>
          </cell>
          <cell r="AJ38">
            <v>24503.074373000003</v>
          </cell>
          <cell r="AK38">
            <v>1898.2556270000002</v>
          </cell>
          <cell r="AL38">
            <v>26401.33</v>
          </cell>
          <cell r="AN38">
            <v>6666.666666666667</v>
          </cell>
          <cell r="AO38">
            <v>5847.3333333333339</v>
          </cell>
          <cell r="AP38">
            <v>819.33333333333337</v>
          </cell>
          <cell r="AQ38">
            <v>0</v>
          </cell>
          <cell r="AR38">
            <v>0</v>
          </cell>
          <cell r="AS38"/>
          <cell r="AU38">
            <v>6666.666666666667</v>
          </cell>
          <cell r="AV38">
            <v>5847.3333333333339</v>
          </cell>
          <cell r="AW38">
            <v>819.33333333333337</v>
          </cell>
          <cell r="AX38">
            <v>0</v>
          </cell>
          <cell r="AY38">
            <v>0</v>
          </cell>
          <cell r="AZ38"/>
          <cell r="BB38">
            <v>6666.666666666667</v>
          </cell>
          <cell r="BC38">
            <v>5847.3333333333339</v>
          </cell>
          <cell r="BD38">
            <v>819.33333333333337</v>
          </cell>
          <cell r="BE38">
            <v>0</v>
          </cell>
          <cell r="BF38">
            <v>0</v>
          </cell>
          <cell r="BG38"/>
          <cell r="BI38">
            <v>6666.666666666667</v>
          </cell>
          <cell r="BJ38">
            <v>5847.3333333333339</v>
          </cell>
          <cell r="BK38">
            <v>819.33333333333337</v>
          </cell>
          <cell r="BL38">
            <v>0</v>
          </cell>
          <cell r="BM38">
            <v>0</v>
          </cell>
          <cell r="BN38"/>
          <cell r="BP38">
            <v>6666.666666666667</v>
          </cell>
          <cell r="BQ38">
            <v>5847.3333333333339</v>
          </cell>
          <cell r="BR38">
            <v>819.33333333333337</v>
          </cell>
          <cell r="BS38">
            <v>0</v>
          </cell>
          <cell r="BT38">
            <v>0</v>
          </cell>
          <cell r="BU38"/>
          <cell r="BW38">
            <v>6666.666666666667</v>
          </cell>
          <cell r="BX38">
            <v>5847.3333333333339</v>
          </cell>
          <cell r="BY38">
            <v>819.33333333333337</v>
          </cell>
          <cell r="BZ38">
            <v>0</v>
          </cell>
          <cell r="CA38">
            <v>0</v>
          </cell>
          <cell r="CB38"/>
          <cell r="CD38">
            <v>6666.666666666667</v>
          </cell>
          <cell r="CE38">
            <v>5847.3333333333339</v>
          </cell>
          <cell r="CF38">
            <v>819.33333333333337</v>
          </cell>
          <cell r="CG38">
            <v>0</v>
          </cell>
          <cell r="CH38">
            <v>0</v>
          </cell>
          <cell r="CI38"/>
          <cell r="CK38">
            <v>6666.666666666667</v>
          </cell>
          <cell r="CL38">
            <v>5847.3333333333339</v>
          </cell>
          <cell r="CM38">
            <v>819.33333333333337</v>
          </cell>
          <cell r="CN38">
            <v>0</v>
          </cell>
          <cell r="CO38">
            <v>0</v>
          </cell>
          <cell r="CP38"/>
        </row>
        <row r="39">
          <cell r="L39">
            <v>1666.6666666666667</v>
          </cell>
          <cell r="M39">
            <v>1461.8333333333335</v>
          </cell>
          <cell r="N39">
            <v>204.83333333333334</v>
          </cell>
          <cell r="O39">
            <v>5888.3304500000004</v>
          </cell>
          <cell r="P39">
            <v>456.16955000000002</v>
          </cell>
          <cell r="Q39">
            <v>6344.5</v>
          </cell>
          <cell r="S39">
            <v>1666.6666666666667</v>
          </cell>
          <cell r="T39">
            <v>1461.8333333333335</v>
          </cell>
          <cell r="U39">
            <v>204.83333333333334</v>
          </cell>
          <cell r="V39">
            <v>956.40705000000003</v>
          </cell>
          <cell r="W39">
            <v>74.092950000000002</v>
          </cell>
          <cell r="X39">
            <v>1030.5</v>
          </cell>
          <cell r="Z39">
            <v>1666.6666666666667</v>
          </cell>
          <cell r="AA39">
            <v>1461.8333333333335</v>
          </cell>
          <cell r="AB39">
            <v>204.83333333333334</v>
          </cell>
          <cell r="AC39">
            <v>983.22914000000003</v>
          </cell>
          <cell r="AD39">
            <v>76.170860000000019</v>
          </cell>
          <cell r="AE39">
            <v>1059.4000000000001</v>
          </cell>
          <cell r="AG39">
            <v>1666.6666666666667</v>
          </cell>
          <cell r="AH39">
            <v>1461.8333333333335</v>
          </cell>
          <cell r="AI39">
            <v>204.83333333333334</v>
          </cell>
          <cell r="AJ39">
            <v>4744.8462829999999</v>
          </cell>
          <cell r="AK39">
            <v>367.58371700000004</v>
          </cell>
          <cell r="AL39">
            <v>5112.43</v>
          </cell>
          <cell r="AN39">
            <v>1666.6666666666667</v>
          </cell>
          <cell r="AO39">
            <v>1461.8333333333335</v>
          </cell>
          <cell r="AP39">
            <v>204.83333333333334</v>
          </cell>
          <cell r="AQ39">
            <v>0</v>
          </cell>
          <cell r="AR39">
            <v>0</v>
          </cell>
          <cell r="AS39"/>
          <cell r="AU39">
            <v>1666.6666666666667</v>
          </cell>
          <cell r="AV39">
            <v>1461.8333333333335</v>
          </cell>
          <cell r="AW39">
            <v>204.83333333333334</v>
          </cell>
          <cell r="AX39">
            <v>0</v>
          </cell>
          <cell r="AY39">
            <v>0</v>
          </cell>
          <cell r="AZ39"/>
          <cell r="BB39">
            <v>1666.6666666666667</v>
          </cell>
          <cell r="BC39">
            <v>1461.8333333333335</v>
          </cell>
          <cell r="BD39">
            <v>204.83333333333334</v>
          </cell>
          <cell r="BE39">
            <v>0</v>
          </cell>
          <cell r="BF39">
            <v>0</v>
          </cell>
          <cell r="BG39"/>
          <cell r="BI39">
            <v>1666.6666666666667</v>
          </cell>
          <cell r="BJ39">
            <v>1461.8333333333335</v>
          </cell>
          <cell r="BK39">
            <v>204.83333333333334</v>
          </cell>
          <cell r="BL39">
            <v>0</v>
          </cell>
          <cell r="BM39">
            <v>0</v>
          </cell>
          <cell r="BN39"/>
          <cell r="BP39">
            <v>1666.6666666666667</v>
          </cell>
          <cell r="BQ39">
            <v>1461.8333333333335</v>
          </cell>
          <cell r="BR39">
            <v>204.83333333333334</v>
          </cell>
          <cell r="BS39">
            <v>0</v>
          </cell>
          <cell r="BT39">
            <v>0</v>
          </cell>
          <cell r="BU39"/>
          <cell r="BW39">
            <v>1666.6666666666667</v>
          </cell>
          <cell r="BX39">
            <v>1461.8333333333335</v>
          </cell>
          <cell r="BY39">
            <v>204.83333333333334</v>
          </cell>
          <cell r="BZ39">
            <v>0</v>
          </cell>
          <cell r="CA39">
            <v>0</v>
          </cell>
          <cell r="CB39"/>
          <cell r="CD39">
            <v>1666.6666666666667</v>
          </cell>
          <cell r="CE39">
            <v>1461.8333333333335</v>
          </cell>
          <cell r="CF39">
            <v>204.83333333333334</v>
          </cell>
          <cell r="CG39">
            <v>0</v>
          </cell>
          <cell r="CH39">
            <v>0</v>
          </cell>
          <cell r="CI39"/>
          <cell r="CK39">
            <v>1666.6666666666667</v>
          </cell>
          <cell r="CL39">
            <v>1461.8333333333335</v>
          </cell>
          <cell r="CM39">
            <v>204.83333333333334</v>
          </cell>
          <cell r="CN39">
            <v>0</v>
          </cell>
          <cell r="CO39">
            <v>0</v>
          </cell>
          <cell r="CP39"/>
        </row>
        <row r="40">
          <cell r="L40">
            <v>6666.666666666667</v>
          </cell>
          <cell r="M40">
            <v>5847.3333333333339</v>
          </cell>
          <cell r="N40">
            <v>819.33333333333337</v>
          </cell>
          <cell r="O40">
            <v>9409.6346599999997</v>
          </cell>
          <cell r="P40">
            <v>728.96534000000008</v>
          </cell>
          <cell r="Q40">
            <v>10138.6</v>
          </cell>
          <cell r="S40">
            <v>6666.666666666667</v>
          </cell>
          <cell r="T40">
            <v>5847.3333333333339</v>
          </cell>
          <cell r="U40">
            <v>819.33333333333337</v>
          </cell>
          <cell r="V40">
            <v>24922.928250999998</v>
          </cell>
          <cell r="W40">
            <v>1930.781749</v>
          </cell>
          <cell r="X40">
            <v>26853.71</v>
          </cell>
          <cell r="Z40">
            <v>6666.666666666667</v>
          </cell>
          <cell r="AA40">
            <v>5847.3333333333339</v>
          </cell>
          <cell r="AB40">
            <v>819.33333333333337</v>
          </cell>
          <cell r="AC40">
            <v>24771.545859999998</v>
          </cell>
          <cell r="AD40">
            <v>1919.05414</v>
          </cell>
          <cell r="AE40">
            <v>26690.6</v>
          </cell>
          <cell r="AG40">
            <v>6666.666666666667</v>
          </cell>
          <cell r="AH40">
            <v>5847.3333333333339</v>
          </cell>
          <cell r="AI40">
            <v>819.33333333333337</v>
          </cell>
          <cell r="AJ40">
            <v>19416.40886</v>
          </cell>
          <cell r="AK40">
            <v>1504.1911399999999</v>
          </cell>
          <cell r="AL40">
            <v>20920.599999999999</v>
          </cell>
          <cell r="AN40">
            <v>6666.666666666667</v>
          </cell>
          <cell r="AO40">
            <v>5847.3333333333339</v>
          </cell>
          <cell r="AP40">
            <v>819.33333333333337</v>
          </cell>
          <cell r="AQ40">
            <v>0</v>
          </cell>
          <cell r="AR40">
            <v>0</v>
          </cell>
          <cell r="AS40"/>
          <cell r="AU40">
            <v>6666.666666666667</v>
          </cell>
          <cell r="AV40">
            <v>5847.3333333333339</v>
          </cell>
          <cell r="AW40">
            <v>819.33333333333337</v>
          </cell>
          <cell r="AX40">
            <v>0</v>
          </cell>
          <cell r="AY40">
            <v>0</v>
          </cell>
          <cell r="AZ40"/>
          <cell r="BB40">
            <v>6666.666666666667</v>
          </cell>
          <cell r="BC40">
            <v>5847.3333333333339</v>
          </cell>
          <cell r="BD40">
            <v>819.33333333333337</v>
          </cell>
          <cell r="BE40">
            <v>0</v>
          </cell>
          <cell r="BF40">
            <v>0</v>
          </cell>
          <cell r="BG40"/>
          <cell r="BI40">
            <v>6666.666666666667</v>
          </cell>
          <cell r="BJ40">
            <v>5847.3333333333339</v>
          </cell>
          <cell r="BK40">
            <v>819.33333333333337</v>
          </cell>
          <cell r="BL40">
            <v>0</v>
          </cell>
          <cell r="BM40">
            <v>0</v>
          </cell>
          <cell r="BN40"/>
          <cell r="BP40">
            <v>6666.666666666667</v>
          </cell>
          <cell r="BQ40">
            <v>5847.3333333333339</v>
          </cell>
          <cell r="BR40">
            <v>819.33333333333337</v>
          </cell>
          <cell r="BS40">
            <v>0</v>
          </cell>
          <cell r="BT40">
            <v>0</v>
          </cell>
          <cell r="BU40"/>
          <cell r="BW40">
            <v>6666.666666666667</v>
          </cell>
          <cell r="BX40">
            <v>5847.3333333333339</v>
          </cell>
          <cell r="BY40">
            <v>819.33333333333337</v>
          </cell>
          <cell r="BZ40">
            <v>0</v>
          </cell>
          <cell r="CA40">
            <v>0</v>
          </cell>
          <cell r="CB40"/>
          <cell r="CD40">
            <v>6666.666666666667</v>
          </cell>
          <cell r="CE40">
            <v>5847.3333333333339</v>
          </cell>
          <cell r="CF40">
            <v>819.33333333333337</v>
          </cell>
          <cell r="CG40">
            <v>0</v>
          </cell>
          <cell r="CH40">
            <v>0</v>
          </cell>
          <cell r="CI40"/>
          <cell r="CK40">
            <v>6666.666666666667</v>
          </cell>
          <cell r="CL40">
            <v>5847.3333333333339</v>
          </cell>
          <cell r="CM40">
            <v>819.33333333333337</v>
          </cell>
          <cell r="CN40">
            <v>0</v>
          </cell>
          <cell r="CO40">
            <v>0</v>
          </cell>
          <cell r="CP40"/>
        </row>
        <row r="41">
          <cell r="L41">
            <v>72083.333333333328</v>
          </cell>
          <cell r="M41">
            <v>63224.291666666664</v>
          </cell>
          <cell r="N41">
            <v>8859.0416666666661</v>
          </cell>
          <cell r="O41">
            <v>66900.541666666657</v>
          </cell>
          <cell r="P41">
            <v>5182.791666666667</v>
          </cell>
          <cell r="Q41">
            <v>72083.333333333328</v>
          </cell>
          <cell r="S41">
            <v>72083.333333333328</v>
          </cell>
          <cell r="T41">
            <v>63224.291666666664</v>
          </cell>
          <cell r="U41">
            <v>8859.0416666666661</v>
          </cell>
          <cell r="V41">
            <v>66900.541666666657</v>
          </cell>
          <cell r="W41">
            <v>5182.791666666667</v>
          </cell>
          <cell r="X41">
            <v>72083.333333333328</v>
          </cell>
          <cell r="Z41">
            <v>72083.333333333328</v>
          </cell>
          <cell r="AA41">
            <v>63224.291666666664</v>
          </cell>
          <cell r="AB41">
            <v>8859.0416666666661</v>
          </cell>
          <cell r="AC41">
            <v>66900.541666666657</v>
          </cell>
          <cell r="AD41">
            <v>5182.791666666667</v>
          </cell>
          <cell r="AE41">
            <v>72083.333333333328</v>
          </cell>
          <cell r="AG41">
            <v>72083.333333333328</v>
          </cell>
          <cell r="AH41">
            <v>63224.291666666664</v>
          </cell>
          <cell r="AI41">
            <v>8859.0416666666661</v>
          </cell>
          <cell r="AJ41">
            <v>66900.541666666657</v>
          </cell>
          <cell r="AK41">
            <v>5182.791666666667</v>
          </cell>
          <cell r="AL41">
            <v>72083.333333333328</v>
          </cell>
          <cell r="AN41">
            <v>72083.333333333328</v>
          </cell>
          <cell r="AO41">
            <v>63224.291666666664</v>
          </cell>
          <cell r="AP41">
            <v>8859.0416666666661</v>
          </cell>
          <cell r="AQ41">
            <v>0</v>
          </cell>
          <cell r="AR41">
            <v>0</v>
          </cell>
          <cell r="AS41"/>
          <cell r="AU41">
            <v>72083.333333333328</v>
          </cell>
          <cell r="AV41">
            <v>63224.291666666664</v>
          </cell>
          <cell r="AW41">
            <v>8859.0416666666661</v>
          </cell>
          <cell r="AX41">
            <v>0</v>
          </cell>
          <cell r="AY41">
            <v>0</v>
          </cell>
          <cell r="AZ41"/>
          <cell r="BB41">
            <v>72083.333333333328</v>
          </cell>
          <cell r="BC41">
            <v>63224.291666666664</v>
          </cell>
          <cell r="BD41">
            <v>8859.0416666666661</v>
          </cell>
          <cell r="BE41">
            <v>0</v>
          </cell>
          <cell r="BF41">
            <v>0</v>
          </cell>
          <cell r="BG41"/>
          <cell r="BI41">
            <v>72083.333333333328</v>
          </cell>
          <cell r="BJ41">
            <v>63224.291666666664</v>
          </cell>
          <cell r="BK41">
            <v>8859.0416666666661</v>
          </cell>
          <cell r="BL41">
            <v>0</v>
          </cell>
          <cell r="BM41">
            <v>0</v>
          </cell>
          <cell r="BN41"/>
          <cell r="BP41">
            <v>72083.333333333328</v>
          </cell>
          <cell r="BQ41">
            <v>63224.291666666664</v>
          </cell>
          <cell r="BR41">
            <v>8859.0416666666661</v>
          </cell>
          <cell r="BS41">
            <v>0</v>
          </cell>
          <cell r="BT41">
            <v>0</v>
          </cell>
          <cell r="BU41"/>
          <cell r="BW41">
            <v>72083.333333333328</v>
          </cell>
          <cell r="BX41">
            <v>63224.291666666664</v>
          </cell>
          <cell r="BY41">
            <v>8859.0416666666661</v>
          </cell>
          <cell r="BZ41">
            <v>0</v>
          </cell>
          <cell r="CA41">
            <v>0</v>
          </cell>
          <cell r="CB41"/>
          <cell r="CD41">
            <v>72083.333333333328</v>
          </cell>
          <cell r="CE41">
            <v>63224.291666666664</v>
          </cell>
          <cell r="CF41">
            <v>8859.0416666666661</v>
          </cell>
          <cell r="CG41">
            <v>0</v>
          </cell>
          <cell r="CH41">
            <v>0</v>
          </cell>
          <cell r="CI41"/>
          <cell r="CK41">
            <v>72083.333333333328</v>
          </cell>
          <cell r="CL41">
            <v>63224.291666666664</v>
          </cell>
          <cell r="CM41">
            <v>8859.0416666666661</v>
          </cell>
          <cell r="CN41">
            <v>0</v>
          </cell>
          <cell r="CO41">
            <v>0</v>
          </cell>
          <cell r="CP41"/>
        </row>
        <row r="42">
          <cell r="L42">
            <v>115362.29999999999</v>
          </cell>
          <cell r="M42">
            <v>101184.27333</v>
          </cell>
          <cell r="N42">
            <v>14178.026669999997</v>
          </cell>
          <cell r="O42">
            <v>98333.949108999994</v>
          </cell>
          <cell r="P42">
            <v>7617.9408910000002</v>
          </cell>
          <cell r="Q42">
            <v>105951.89</v>
          </cell>
          <cell r="S42">
            <v>115362.29999999999</v>
          </cell>
          <cell r="T42">
            <v>101184.27333</v>
          </cell>
          <cell r="U42">
            <v>14178.026669999997</v>
          </cell>
          <cell r="V42">
            <v>98333.949108999994</v>
          </cell>
          <cell r="W42">
            <v>7617.9408910000002</v>
          </cell>
          <cell r="X42">
            <v>105951.89</v>
          </cell>
          <cell r="Z42">
            <v>115362.29999999999</v>
          </cell>
          <cell r="AA42">
            <v>101184.27333</v>
          </cell>
          <cell r="AB42">
            <v>14178.026669999997</v>
          </cell>
          <cell r="AC42">
            <v>98333.949108999994</v>
          </cell>
          <cell r="AD42">
            <v>7617.9408910000002</v>
          </cell>
          <cell r="AE42">
            <v>105951.89</v>
          </cell>
          <cell r="AG42">
            <v>115362.29999999999</v>
          </cell>
          <cell r="AH42">
            <v>101184.27333</v>
          </cell>
          <cell r="AI42">
            <v>14178.026669999997</v>
          </cell>
          <cell r="AJ42">
            <v>98333.949108999994</v>
          </cell>
          <cell r="AK42">
            <v>7617.9408910000002</v>
          </cell>
          <cell r="AL42">
            <v>105951.89</v>
          </cell>
          <cell r="AN42">
            <v>115362.29999999999</v>
          </cell>
          <cell r="AO42">
            <v>101184.27333</v>
          </cell>
          <cell r="AP42">
            <v>14178.026669999997</v>
          </cell>
          <cell r="AQ42">
            <v>0</v>
          </cell>
          <cell r="AR42">
            <v>0</v>
          </cell>
          <cell r="AS42"/>
          <cell r="AU42">
            <v>115362.29999999999</v>
          </cell>
          <cell r="AV42">
            <v>101184.27333</v>
          </cell>
          <cell r="AW42">
            <v>14178.026669999997</v>
          </cell>
          <cell r="AX42">
            <v>0</v>
          </cell>
          <cell r="AY42">
            <v>0</v>
          </cell>
          <cell r="AZ42"/>
          <cell r="BB42">
            <v>115362.29999999999</v>
          </cell>
          <cell r="BC42">
            <v>101184.27333</v>
          </cell>
          <cell r="BD42">
            <v>14178.026669999997</v>
          </cell>
          <cell r="BE42">
            <v>0</v>
          </cell>
          <cell r="BF42">
            <v>0</v>
          </cell>
          <cell r="BG42"/>
          <cell r="BI42">
            <v>115362.29999999999</v>
          </cell>
          <cell r="BJ42">
            <v>101184.27333</v>
          </cell>
          <cell r="BK42">
            <v>14178.026669999997</v>
          </cell>
          <cell r="BL42">
            <v>0</v>
          </cell>
          <cell r="BM42">
            <v>0</v>
          </cell>
          <cell r="BN42"/>
          <cell r="BP42">
            <v>115362.29999999999</v>
          </cell>
          <cell r="BQ42">
            <v>101184.27333</v>
          </cell>
          <cell r="BR42">
            <v>14178.026669999997</v>
          </cell>
          <cell r="BS42">
            <v>0</v>
          </cell>
          <cell r="BT42">
            <v>0</v>
          </cell>
          <cell r="BU42"/>
          <cell r="BW42">
            <v>115362.29999999999</v>
          </cell>
          <cell r="BX42">
            <v>101184.27333</v>
          </cell>
          <cell r="BY42">
            <v>14178.026669999997</v>
          </cell>
          <cell r="BZ42">
            <v>0</v>
          </cell>
          <cell r="CA42">
            <v>0</v>
          </cell>
          <cell r="CB42"/>
          <cell r="CD42">
            <v>115362.29999999999</v>
          </cell>
          <cell r="CE42">
            <v>101184.27333</v>
          </cell>
          <cell r="CF42">
            <v>14178.026669999997</v>
          </cell>
          <cell r="CG42">
            <v>0</v>
          </cell>
          <cell r="CH42">
            <v>0</v>
          </cell>
          <cell r="CI42"/>
          <cell r="CK42">
            <v>115362.29999999999</v>
          </cell>
          <cell r="CL42">
            <v>101184.27333</v>
          </cell>
          <cell r="CM42">
            <v>14178.026669999997</v>
          </cell>
          <cell r="CN42">
            <v>0</v>
          </cell>
          <cell r="CO42">
            <v>0</v>
          </cell>
          <cell r="CP42"/>
        </row>
        <row r="43">
          <cell r="L43">
            <v>9052</v>
          </cell>
          <cell r="M43">
            <v>7939.5092000000004</v>
          </cell>
          <cell r="N43">
            <v>1112.4908</v>
          </cell>
          <cell r="O43">
            <v>10111.120483000001</v>
          </cell>
          <cell r="P43">
            <v>783.30951700000003</v>
          </cell>
          <cell r="Q43">
            <v>10894.43</v>
          </cell>
          <cell r="S43">
            <v>9052</v>
          </cell>
          <cell r="T43">
            <v>7939.5092000000004</v>
          </cell>
          <cell r="U43">
            <v>1112.4908</v>
          </cell>
          <cell r="V43">
            <v>20850.508979999999</v>
          </cell>
          <cell r="W43">
            <v>1615.2910200000001</v>
          </cell>
          <cell r="X43">
            <v>22465.8</v>
          </cell>
          <cell r="Z43">
            <v>9052</v>
          </cell>
          <cell r="AA43">
            <v>7939.5092000000004</v>
          </cell>
          <cell r="AB43">
            <v>1112.4908</v>
          </cell>
          <cell r="AC43">
            <v>9041.373861</v>
          </cell>
          <cell r="AD43">
            <v>700.43613900000003</v>
          </cell>
          <cell r="AE43">
            <v>9741.81</v>
          </cell>
          <cell r="AG43">
            <v>9052</v>
          </cell>
          <cell r="AH43">
            <v>7939.5092000000004</v>
          </cell>
          <cell r="AI43">
            <v>1112.4908</v>
          </cell>
          <cell r="AJ43">
            <v>9811.0657529999989</v>
          </cell>
          <cell r="AK43">
            <v>760.06424700000002</v>
          </cell>
          <cell r="AL43">
            <v>10571.13</v>
          </cell>
          <cell r="AN43">
            <v>9052</v>
          </cell>
          <cell r="AO43">
            <v>7939.5092000000004</v>
          </cell>
          <cell r="AP43">
            <v>1112.4908</v>
          </cell>
          <cell r="AQ43">
            <v>0</v>
          </cell>
          <cell r="AR43">
            <v>0</v>
          </cell>
          <cell r="AS43"/>
          <cell r="AU43">
            <v>9052</v>
          </cell>
          <cell r="AV43">
            <v>7939.5092000000004</v>
          </cell>
          <cell r="AW43">
            <v>1112.4908</v>
          </cell>
          <cell r="AX43">
            <v>0</v>
          </cell>
          <cell r="AY43">
            <v>0</v>
          </cell>
          <cell r="AZ43"/>
          <cell r="BB43">
            <v>9052</v>
          </cell>
          <cell r="BC43">
            <v>7939.5092000000004</v>
          </cell>
          <cell r="BD43">
            <v>1112.4908</v>
          </cell>
          <cell r="BE43">
            <v>0</v>
          </cell>
          <cell r="BF43">
            <v>0</v>
          </cell>
          <cell r="BG43"/>
          <cell r="BI43">
            <v>9052</v>
          </cell>
          <cell r="BJ43">
            <v>7939.5092000000004</v>
          </cell>
          <cell r="BK43">
            <v>1112.4908</v>
          </cell>
          <cell r="BL43">
            <v>0</v>
          </cell>
          <cell r="BM43">
            <v>0</v>
          </cell>
          <cell r="BN43"/>
          <cell r="BP43">
            <v>9052</v>
          </cell>
          <cell r="BQ43">
            <v>7939.5092000000004</v>
          </cell>
          <cell r="BR43">
            <v>1112.4908</v>
          </cell>
          <cell r="BS43">
            <v>0</v>
          </cell>
          <cell r="BT43">
            <v>0</v>
          </cell>
          <cell r="BU43"/>
          <cell r="BW43">
            <v>9052</v>
          </cell>
          <cell r="BX43">
            <v>7939.5092000000004</v>
          </cell>
          <cell r="BY43">
            <v>1112.4908</v>
          </cell>
          <cell r="BZ43">
            <v>0</v>
          </cell>
          <cell r="CA43">
            <v>0</v>
          </cell>
          <cell r="CB43"/>
          <cell r="CD43">
            <v>9052</v>
          </cell>
          <cell r="CE43">
            <v>7939.5092000000004</v>
          </cell>
          <cell r="CF43">
            <v>1112.4908</v>
          </cell>
          <cell r="CG43">
            <v>0</v>
          </cell>
          <cell r="CH43">
            <v>0</v>
          </cell>
          <cell r="CI43"/>
          <cell r="CK43">
            <v>9052</v>
          </cell>
          <cell r="CL43">
            <v>7939.5092000000004</v>
          </cell>
          <cell r="CM43">
            <v>1112.4908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5000</v>
          </cell>
          <cell r="M48">
            <v>4385.5</v>
          </cell>
          <cell r="N48">
            <v>614.5</v>
          </cell>
          <cell r="O48">
            <v>855.80101000000002</v>
          </cell>
          <cell r="P48">
            <v>66.298990000000003</v>
          </cell>
          <cell r="Q48">
            <v>922.1</v>
          </cell>
          <cell r="S48">
            <v>5000</v>
          </cell>
          <cell r="T48">
            <v>4385.5</v>
          </cell>
          <cell r="U48">
            <v>614.5</v>
          </cell>
          <cell r="V48">
            <v>3200.7384699999998</v>
          </cell>
          <cell r="W48">
            <v>247.96153000000001</v>
          </cell>
          <cell r="X48">
            <v>3448.7</v>
          </cell>
          <cell r="Z48">
            <v>5000</v>
          </cell>
          <cell r="AA48">
            <v>4385.5</v>
          </cell>
          <cell r="AB48">
            <v>614.5</v>
          </cell>
          <cell r="AC48">
            <v>3618.8568009999999</v>
          </cell>
          <cell r="AD48">
            <v>280.35319900000002</v>
          </cell>
          <cell r="AE48">
            <v>3899.21</v>
          </cell>
          <cell r="AG48">
            <v>5000</v>
          </cell>
          <cell r="AH48">
            <v>4385.5</v>
          </cell>
          <cell r="AI48">
            <v>614.5</v>
          </cell>
          <cell r="AJ48">
            <v>411.14830000000001</v>
          </cell>
          <cell r="AK48">
            <v>31.851700000000001</v>
          </cell>
          <cell r="AL48">
            <v>443</v>
          </cell>
          <cell r="AN48">
            <v>5000</v>
          </cell>
          <cell r="AO48">
            <v>4385.5</v>
          </cell>
          <cell r="AP48">
            <v>614.5</v>
          </cell>
          <cell r="AQ48">
            <v>0</v>
          </cell>
          <cell r="AR48">
            <v>0</v>
          </cell>
          <cell r="AS48"/>
          <cell r="AU48">
            <v>5000</v>
          </cell>
          <cell r="AV48">
            <v>4385.5</v>
          </cell>
          <cell r="AW48">
            <v>614.5</v>
          </cell>
          <cell r="AX48">
            <v>0</v>
          </cell>
          <cell r="AY48">
            <v>0</v>
          </cell>
          <cell r="AZ48"/>
          <cell r="BB48">
            <v>5000</v>
          </cell>
          <cell r="BC48">
            <v>4385.5</v>
          </cell>
          <cell r="BD48">
            <v>614.5</v>
          </cell>
          <cell r="BE48">
            <v>0</v>
          </cell>
          <cell r="BF48">
            <v>0</v>
          </cell>
          <cell r="BG48"/>
          <cell r="BI48">
            <v>5000</v>
          </cell>
          <cell r="BJ48">
            <v>4385.5</v>
          </cell>
          <cell r="BK48">
            <v>614.5</v>
          </cell>
          <cell r="BL48">
            <v>0</v>
          </cell>
          <cell r="BM48">
            <v>0</v>
          </cell>
          <cell r="BN48"/>
          <cell r="BP48">
            <v>5000</v>
          </cell>
          <cell r="BQ48">
            <v>4385.5</v>
          </cell>
          <cell r="BR48">
            <v>614.5</v>
          </cell>
          <cell r="BS48">
            <v>0</v>
          </cell>
          <cell r="BT48">
            <v>0</v>
          </cell>
          <cell r="BU48"/>
          <cell r="BW48">
            <v>5000</v>
          </cell>
          <cell r="BX48">
            <v>4385.5</v>
          </cell>
          <cell r="BY48">
            <v>614.5</v>
          </cell>
          <cell r="BZ48">
            <v>0</v>
          </cell>
          <cell r="CA48">
            <v>0</v>
          </cell>
          <cell r="CB48"/>
          <cell r="CD48">
            <v>5000</v>
          </cell>
          <cell r="CE48">
            <v>4385.5</v>
          </cell>
          <cell r="CF48">
            <v>614.5</v>
          </cell>
          <cell r="CG48">
            <v>0</v>
          </cell>
          <cell r="CH48">
            <v>0</v>
          </cell>
          <cell r="CI48"/>
          <cell r="CK48">
            <v>5000</v>
          </cell>
          <cell r="CL48">
            <v>4385.5</v>
          </cell>
          <cell r="CM48">
            <v>614.5</v>
          </cell>
          <cell r="CN48">
            <v>0</v>
          </cell>
          <cell r="CO48">
            <v>0</v>
          </cell>
          <cell r="CP48"/>
        </row>
        <row r="49">
          <cell r="L49">
            <v>26200</v>
          </cell>
          <cell r="M49">
            <v>22980.02</v>
          </cell>
          <cell r="N49">
            <v>3219.98</v>
          </cell>
          <cell r="O49">
            <v>32409.80885999999</v>
          </cell>
          <cell r="P49">
            <v>2510.7911399999994</v>
          </cell>
          <cell r="Q49">
            <v>34920.599999999991</v>
          </cell>
          <cell r="S49">
            <v>26200</v>
          </cell>
          <cell r="T49">
            <v>22980.02</v>
          </cell>
          <cell r="U49">
            <v>3219.98</v>
          </cell>
          <cell r="V49">
            <v>25218.620911000002</v>
          </cell>
          <cell r="W49">
            <v>1953.6890890000002</v>
          </cell>
          <cell r="X49">
            <v>27172.31</v>
          </cell>
          <cell r="Z49">
            <v>26200</v>
          </cell>
          <cell r="AA49">
            <v>22980.02</v>
          </cell>
          <cell r="AB49">
            <v>3219.98</v>
          </cell>
          <cell r="AC49">
            <v>21462.628054000001</v>
          </cell>
          <cell r="AD49">
            <v>1662.7119460000001</v>
          </cell>
          <cell r="AE49">
            <v>23125.34</v>
          </cell>
          <cell r="AG49">
            <v>26200</v>
          </cell>
          <cell r="AH49">
            <v>22980.02</v>
          </cell>
          <cell r="AI49">
            <v>3219.98</v>
          </cell>
          <cell r="AJ49">
            <v>19643.932574999995</v>
          </cell>
          <cell r="AK49">
            <v>1521.817425</v>
          </cell>
          <cell r="AL49">
            <v>21165.749999999996</v>
          </cell>
          <cell r="AN49">
            <v>26200</v>
          </cell>
          <cell r="AO49">
            <v>22980.02</v>
          </cell>
          <cell r="AP49">
            <v>3219.98</v>
          </cell>
          <cell r="AQ49">
            <v>0</v>
          </cell>
          <cell r="AR49">
            <v>0</v>
          </cell>
          <cell r="AS49"/>
          <cell r="AU49">
            <v>26200</v>
          </cell>
          <cell r="AV49">
            <v>22980.02</v>
          </cell>
          <cell r="AW49">
            <v>3219.98</v>
          </cell>
          <cell r="AX49">
            <v>0</v>
          </cell>
          <cell r="AY49">
            <v>0</v>
          </cell>
          <cell r="AZ49"/>
          <cell r="BB49">
            <v>26200</v>
          </cell>
          <cell r="BC49">
            <v>22980.02</v>
          </cell>
          <cell r="BD49">
            <v>3219.98</v>
          </cell>
          <cell r="BE49">
            <v>0</v>
          </cell>
          <cell r="BF49">
            <v>0</v>
          </cell>
          <cell r="BG49"/>
          <cell r="BI49">
            <v>26200</v>
          </cell>
          <cell r="BJ49">
            <v>22980.02</v>
          </cell>
          <cell r="BK49">
            <v>3219.98</v>
          </cell>
          <cell r="BL49">
            <v>0</v>
          </cell>
          <cell r="BM49">
            <v>0</v>
          </cell>
          <cell r="BN49"/>
          <cell r="BP49">
            <v>26200</v>
          </cell>
          <cell r="BQ49">
            <v>22980.02</v>
          </cell>
          <cell r="BR49">
            <v>3219.98</v>
          </cell>
          <cell r="BS49">
            <v>0</v>
          </cell>
          <cell r="BT49">
            <v>0</v>
          </cell>
          <cell r="BU49"/>
          <cell r="BW49">
            <v>26200</v>
          </cell>
          <cell r="BX49">
            <v>22980.02</v>
          </cell>
          <cell r="BY49">
            <v>3219.98</v>
          </cell>
          <cell r="BZ49">
            <v>0</v>
          </cell>
          <cell r="CA49">
            <v>0</v>
          </cell>
          <cell r="CB49"/>
          <cell r="CD49">
            <v>26200</v>
          </cell>
          <cell r="CE49">
            <v>22980.02</v>
          </cell>
          <cell r="CF49">
            <v>3219.98</v>
          </cell>
          <cell r="CG49">
            <v>0</v>
          </cell>
          <cell r="CH49">
            <v>0</v>
          </cell>
          <cell r="CI49"/>
          <cell r="CK49">
            <v>26200</v>
          </cell>
          <cell r="CL49">
            <v>22980.02</v>
          </cell>
          <cell r="CM49">
            <v>3219.98</v>
          </cell>
          <cell r="CN49">
            <v>0</v>
          </cell>
          <cell r="CO49">
            <v>0</v>
          </cell>
          <cell r="CP49"/>
        </row>
        <row r="50">
          <cell r="L50">
            <v>1076.7833333333333</v>
          </cell>
          <cell r="M50">
            <v>944.44666166666661</v>
          </cell>
          <cell r="N50">
            <v>132.33667166666666</v>
          </cell>
          <cell r="O50">
            <v>934.38323700000001</v>
          </cell>
          <cell r="P50">
            <v>72.386763000000002</v>
          </cell>
          <cell r="Q50">
            <v>1006.77</v>
          </cell>
          <cell r="S50">
            <v>1076.7833333333333</v>
          </cell>
          <cell r="T50">
            <v>944.44666166666661</v>
          </cell>
          <cell r="U50">
            <v>132.33667166666666</v>
          </cell>
          <cell r="V50">
            <v>1082.0903520000002</v>
          </cell>
          <cell r="W50">
            <v>83.829648000000006</v>
          </cell>
          <cell r="X50">
            <v>1165.92</v>
          </cell>
          <cell r="Z50">
            <v>1076.7833333333333</v>
          </cell>
          <cell r="AA50">
            <v>944.44666166666661</v>
          </cell>
          <cell r="AB50">
            <v>132.33667166666666</v>
          </cell>
          <cell r="AC50">
            <v>1908.3963439999998</v>
          </cell>
          <cell r="AD50">
            <v>147.84365600000001</v>
          </cell>
          <cell r="AE50">
            <v>2056.2399999999998</v>
          </cell>
          <cell r="AG50">
            <v>1076.7833333333333</v>
          </cell>
          <cell r="AH50">
            <v>944.44666166666661</v>
          </cell>
          <cell r="AI50">
            <v>132.33667166666666</v>
          </cell>
          <cell r="AJ50">
            <v>883.64400999999998</v>
          </cell>
          <cell r="AK50">
            <v>68.45599</v>
          </cell>
          <cell r="AL50">
            <v>952.1</v>
          </cell>
          <cell r="AN50">
            <v>1076.7833333333333</v>
          </cell>
          <cell r="AO50">
            <v>944.44666166666661</v>
          </cell>
          <cell r="AP50">
            <v>132.33667166666666</v>
          </cell>
          <cell r="AQ50">
            <v>0</v>
          </cell>
          <cell r="AR50">
            <v>0</v>
          </cell>
          <cell r="AS50"/>
          <cell r="AU50">
            <v>1076.7833333333333</v>
          </cell>
          <cell r="AV50">
            <v>944.44666166666661</v>
          </cell>
          <cell r="AW50">
            <v>132.33667166666666</v>
          </cell>
          <cell r="AX50">
            <v>0</v>
          </cell>
          <cell r="AY50">
            <v>0</v>
          </cell>
          <cell r="AZ50"/>
          <cell r="BB50">
            <v>1076.7833333333333</v>
          </cell>
          <cell r="BC50">
            <v>944.44666166666661</v>
          </cell>
          <cell r="BD50">
            <v>132.33667166666666</v>
          </cell>
          <cell r="BE50">
            <v>0</v>
          </cell>
          <cell r="BF50">
            <v>0</v>
          </cell>
          <cell r="BG50"/>
          <cell r="BI50">
            <v>1076.7833333333333</v>
          </cell>
          <cell r="BJ50">
            <v>944.44666166666661</v>
          </cell>
          <cell r="BK50">
            <v>132.33667166666666</v>
          </cell>
          <cell r="BL50">
            <v>0</v>
          </cell>
          <cell r="BM50">
            <v>0</v>
          </cell>
          <cell r="BN50"/>
          <cell r="BP50">
            <v>1076.7833333333333</v>
          </cell>
          <cell r="BQ50">
            <v>944.44666166666661</v>
          </cell>
          <cell r="BR50">
            <v>132.33667166666666</v>
          </cell>
          <cell r="BS50">
            <v>0</v>
          </cell>
          <cell r="BT50">
            <v>0</v>
          </cell>
          <cell r="BU50"/>
          <cell r="BW50">
            <v>1076.7833333333333</v>
          </cell>
          <cell r="BX50">
            <v>944.44666166666661</v>
          </cell>
          <cell r="BY50">
            <v>132.33667166666666</v>
          </cell>
          <cell r="BZ50">
            <v>0</v>
          </cell>
          <cell r="CA50">
            <v>0</v>
          </cell>
          <cell r="CB50"/>
          <cell r="CD50">
            <v>1076.7833333333333</v>
          </cell>
          <cell r="CE50">
            <v>944.44666166666661</v>
          </cell>
          <cell r="CF50">
            <v>132.33667166666666</v>
          </cell>
          <cell r="CG50">
            <v>0</v>
          </cell>
          <cell r="CH50">
            <v>0</v>
          </cell>
          <cell r="CI50"/>
          <cell r="CK50">
            <v>1076.7833333333333</v>
          </cell>
          <cell r="CL50">
            <v>944.44666166666661</v>
          </cell>
          <cell r="CM50">
            <v>132.33667166666666</v>
          </cell>
          <cell r="CN50">
            <v>0</v>
          </cell>
          <cell r="CO50">
            <v>0</v>
          </cell>
          <cell r="CP50"/>
        </row>
        <row r="51">
          <cell r="L51">
            <v>809.32457499999998</v>
          </cell>
          <cell r="M51">
            <v>709.85858473250005</v>
          </cell>
          <cell r="N51">
            <v>99.46599026749999</v>
          </cell>
          <cell r="O51">
            <v>743.94639800000004</v>
          </cell>
          <cell r="P51">
            <v>57.63360200000001</v>
          </cell>
          <cell r="Q51">
            <v>801.58</v>
          </cell>
          <cell r="S51">
            <v>809.32457499999998</v>
          </cell>
          <cell r="T51">
            <v>709.85858473250005</v>
          </cell>
          <cell r="U51">
            <v>99.46599026749999</v>
          </cell>
          <cell r="V51">
            <v>724.586232</v>
          </cell>
          <cell r="W51">
            <v>56.133768000000003</v>
          </cell>
          <cell r="X51">
            <v>780.72</v>
          </cell>
          <cell r="Z51">
            <v>809.32457499999998</v>
          </cell>
          <cell r="AA51">
            <v>709.85858473250005</v>
          </cell>
          <cell r="AB51">
            <v>99.46599026749999</v>
          </cell>
          <cell r="AC51">
            <v>673.93053399999997</v>
          </cell>
          <cell r="AD51">
            <v>52.209466000000006</v>
          </cell>
          <cell r="AE51">
            <v>726.14</v>
          </cell>
          <cell r="AG51">
            <v>809.32457499999998</v>
          </cell>
          <cell r="AH51">
            <v>709.85858473250005</v>
          </cell>
          <cell r="AI51">
            <v>99.46599026749999</v>
          </cell>
          <cell r="AJ51">
            <v>898.75347799999997</v>
          </cell>
          <cell r="AK51">
            <v>69.626522000000008</v>
          </cell>
          <cell r="AL51">
            <v>968.38</v>
          </cell>
          <cell r="AN51">
            <v>809.32457499999998</v>
          </cell>
          <cell r="AO51">
            <v>709.85858473250005</v>
          </cell>
          <cell r="AP51">
            <v>99.46599026749999</v>
          </cell>
          <cell r="AQ51">
            <v>0</v>
          </cell>
          <cell r="AR51">
            <v>0</v>
          </cell>
          <cell r="AS51"/>
          <cell r="AU51">
            <v>809.32457499999998</v>
          </cell>
          <cell r="AV51">
            <v>709.85858473250005</v>
          </cell>
          <cell r="AW51">
            <v>99.46599026749999</v>
          </cell>
          <cell r="AX51">
            <v>0</v>
          </cell>
          <cell r="AY51">
            <v>0</v>
          </cell>
          <cell r="AZ51"/>
          <cell r="BB51">
            <v>809.32457499999998</v>
          </cell>
          <cell r="BC51">
            <v>709.85858473250005</v>
          </cell>
          <cell r="BD51">
            <v>99.46599026749999</v>
          </cell>
          <cell r="BE51">
            <v>0</v>
          </cell>
          <cell r="BF51">
            <v>0</v>
          </cell>
          <cell r="BG51"/>
          <cell r="BI51">
            <v>809.32457499999998</v>
          </cell>
          <cell r="BJ51">
            <v>709.85858473250005</v>
          </cell>
          <cell r="BK51">
            <v>99.46599026749999</v>
          </cell>
          <cell r="BL51">
            <v>0</v>
          </cell>
          <cell r="BM51">
            <v>0</v>
          </cell>
          <cell r="BN51"/>
          <cell r="BP51">
            <v>809.32457499999998</v>
          </cell>
          <cell r="BQ51">
            <v>709.85858473250005</v>
          </cell>
          <cell r="BR51">
            <v>99.46599026749999</v>
          </cell>
          <cell r="BS51">
            <v>0</v>
          </cell>
          <cell r="BT51">
            <v>0</v>
          </cell>
          <cell r="BU51"/>
          <cell r="BW51">
            <v>809.32457499999998</v>
          </cell>
          <cell r="BX51">
            <v>709.85858473250005</v>
          </cell>
          <cell r="BY51">
            <v>99.46599026749999</v>
          </cell>
          <cell r="BZ51">
            <v>0</v>
          </cell>
          <cell r="CA51">
            <v>0</v>
          </cell>
          <cell r="CB51"/>
          <cell r="CD51">
            <v>809.32457499999998</v>
          </cell>
          <cell r="CE51">
            <v>709.85858473250005</v>
          </cell>
          <cell r="CF51">
            <v>99.46599026749999</v>
          </cell>
          <cell r="CG51">
            <v>0</v>
          </cell>
          <cell r="CH51">
            <v>0</v>
          </cell>
          <cell r="CI51"/>
          <cell r="CK51">
            <v>809.32457499999998</v>
          </cell>
          <cell r="CL51">
            <v>709.85858473250005</v>
          </cell>
          <cell r="CM51">
            <v>99.46599026749999</v>
          </cell>
          <cell r="CN51">
            <v>0</v>
          </cell>
          <cell r="CO51">
            <v>0</v>
          </cell>
          <cell r="CP51"/>
        </row>
        <row r="52">
          <cell r="L52">
            <v>4166.666666666667</v>
          </cell>
          <cell r="M52">
            <v>3654.5833333333335</v>
          </cell>
          <cell r="N52">
            <v>512.08333333333337</v>
          </cell>
          <cell r="O52">
            <v>6672.4171729999998</v>
          </cell>
          <cell r="P52">
            <v>516.91282699999999</v>
          </cell>
          <cell r="Q52">
            <v>7189.33</v>
          </cell>
          <cell r="S52">
            <v>4166.666666666667</v>
          </cell>
          <cell r="T52">
            <v>3654.5833333333335</v>
          </cell>
          <cell r="U52">
            <v>512.08333333333337</v>
          </cell>
          <cell r="V52">
            <v>573.89991599999996</v>
          </cell>
          <cell r="W52">
            <v>44.460084000000002</v>
          </cell>
          <cell r="X52">
            <v>618.36</v>
          </cell>
          <cell r="Z52">
            <v>4166.666666666667</v>
          </cell>
          <cell r="AA52">
            <v>3654.5833333333335</v>
          </cell>
          <cell r="AB52">
            <v>512.08333333333337</v>
          </cell>
          <cell r="AC52">
            <v>1816.8392789999998</v>
          </cell>
          <cell r="AD52">
            <v>140.750721</v>
          </cell>
          <cell r="AE52">
            <v>1957.59</v>
          </cell>
          <cell r="AG52">
            <v>4166.666666666667</v>
          </cell>
          <cell r="AH52">
            <v>3654.5833333333335</v>
          </cell>
          <cell r="AI52">
            <v>512.08333333333337</v>
          </cell>
          <cell r="AJ52">
            <v>641.50272000000007</v>
          </cell>
          <cell r="AK52">
            <v>49.697280000000006</v>
          </cell>
          <cell r="AL52">
            <v>691.2</v>
          </cell>
          <cell r="AN52">
            <v>4166.666666666667</v>
          </cell>
          <cell r="AO52">
            <v>3654.5833333333335</v>
          </cell>
          <cell r="AP52">
            <v>512.08333333333337</v>
          </cell>
          <cell r="AQ52">
            <v>0</v>
          </cell>
          <cell r="AR52">
            <v>0</v>
          </cell>
          <cell r="AS52"/>
          <cell r="AU52">
            <v>4166.666666666667</v>
          </cell>
          <cell r="AV52">
            <v>3654.5833333333335</v>
          </cell>
          <cell r="AW52">
            <v>512.08333333333337</v>
          </cell>
          <cell r="AX52">
            <v>0</v>
          </cell>
          <cell r="AY52">
            <v>0</v>
          </cell>
          <cell r="AZ52"/>
          <cell r="BB52">
            <v>4166.666666666667</v>
          </cell>
          <cell r="BC52">
            <v>3654.5833333333335</v>
          </cell>
          <cell r="BD52">
            <v>512.08333333333337</v>
          </cell>
          <cell r="BE52">
            <v>0</v>
          </cell>
          <cell r="BF52">
            <v>0</v>
          </cell>
          <cell r="BG52"/>
          <cell r="BI52">
            <v>4166.666666666667</v>
          </cell>
          <cell r="BJ52">
            <v>3654.5833333333335</v>
          </cell>
          <cell r="BK52">
            <v>512.08333333333337</v>
          </cell>
          <cell r="BL52">
            <v>0</v>
          </cell>
          <cell r="BM52">
            <v>0</v>
          </cell>
          <cell r="BN52"/>
          <cell r="BP52">
            <v>4166.666666666667</v>
          </cell>
          <cell r="BQ52">
            <v>3654.5833333333335</v>
          </cell>
          <cell r="BR52">
            <v>512.08333333333337</v>
          </cell>
          <cell r="BS52">
            <v>0</v>
          </cell>
          <cell r="BT52">
            <v>0</v>
          </cell>
          <cell r="BU52"/>
          <cell r="BW52">
            <v>4166.666666666667</v>
          </cell>
          <cell r="BX52">
            <v>3654.5833333333335</v>
          </cell>
          <cell r="BY52">
            <v>512.08333333333337</v>
          </cell>
          <cell r="BZ52">
            <v>0</v>
          </cell>
          <cell r="CA52">
            <v>0</v>
          </cell>
          <cell r="CB52"/>
          <cell r="CD52">
            <v>4166.666666666667</v>
          </cell>
          <cell r="CE52">
            <v>3654.5833333333335</v>
          </cell>
          <cell r="CF52">
            <v>512.08333333333337</v>
          </cell>
          <cell r="CG52">
            <v>0</v>
          </cell>
          <cell r="CH52">
            <v>0</v>
          </cell>
          <cell r="CI52"/>
          <cell r="CK52">
            <v>4166.666666666667</v>
          </cell>
          <cell r="CL52">
            <v>3654.5833333333335</v>
          </cell>
          <cell r="CM52">
            <v>512.08333333333337</v>
          </cell>
          <cell r="CN52">
            <v>0</v>
          </cell>
          <cell r="CO52">
            <v>0</v>
          </cell>
          <cell r="CP52"/>
        </row>
        <row r="53">
          <cell r="L53">
            <v>2916.6666666666665</v>
          </cell>
          <cell r="M53">
            <v>2558.208333333333</v>
          </cell>
          <cell r="N53">
            <v>358.45833333333331</v>
          </cell>
          <cell r="O53">
            <v>204.18199999999999</v>
          </cell>
          <cell r="P53">
            <v>15.818000000000001</v>
          </cell>
          <cell r="Q53">
            <v>220</v>
          </cell>
          <cell r="S53">
            <v>2916.6666666666665</v>
          </cell>
          <cell r="T53">
            <v>2558.208333333333</v>
          </cell>
          <cell r="U53">
            <v>358.45833333333331</v>
          </cell>
          <cell r="V53">
            <v>0</v>
          </cell>
          <cell r="W53">
            <v>0</v>
          </cell>
          <cell r="X53"/>
          <cell r="Z53">
            <v>2916.6666666666665</v>
          </cell>
          <cell r="AA53">
            <v>2558.208333333333</v>
          </cell>
          <cell r="AB53">
            <v>358.45833333333331</v>
          </cell>
          <cell r="AC53">
            <v>0</v>
          </cell>
          <cell r="AD53">
            <v>0</v>
          </cell>
          <cell r="AE53"/>
          <cell r="AG53">
            <v>2916.6666666666665</v>
          </cell>
          <cell r="AH53">
            <v>2558.208333333333</v>
          </cell>
          <cell r="AI53">
            <v>358.45833333333331</v>
          </cell>
          <cell r="AJ53">
            <v>0</v>
          </cell>
          <cell r="AK53">
            <v>0</v>
          </cell>
          <cell r="AL53"/>
          <cell r="AN53">
            <v>2916.6666666666665</v>
          </cell>
          <cell r="AO53">
            <v>2558.208333333333</v>
          </cell>
          <cell r="AP53">
            <v>358.45833333333331</v>
          </cell>
          <cell r="AQ53">
            <v>0</v>
          </cell>
          <cell r="AR53">
            <v>0</v>
          </cell>
          <cell r="AS53"/>
          <cell r="AU53">
            <v>2916.6666666666665</v>
          </cell>
          <cell r="AV53">
            <v>2558.208333333333</v>
          </cell>
          <cell r="AW53">
            <v>358.45833333333331</v>
          </cell>
          <cell r="AX53">
            <v>0</v>
          </cell>
          <cell r="AY53">
            <v>0</v>
          </cell>
          <cell r="AZ53"/>
          <cell r="BB53">
            <v>2916.6666666666665</v>
          </cell>
          <cell r="BC53">
            <v>2558.208333333333</v>
          </cell>
          <cell r="BD53">
            <v>358.45833333333331</v>
          </cell>
          <cell r="BE53">
            <v>0</v>
          </cell>
          <cell r="BF53">
            <v>0</v>
          </cell>
          <cell r="BG53"/>
          <cell r="BI53">
            <v>2916.6666666666665</v>
          </cell>
          <cell r="BJ53">
            <v>2558.208333333333</v>
          </cell>
          <cell r="BK53">
            <v>358.45833333333331</v>
          </cell>
          <cell r="BL53">
            <v>0</v>
          </cell>
          <cell r="BM53">
            <v>0</v>
          </cell>
          <cell r="BN53"/>
          <cell r="BP53">
            <v>2916.6666666666665</v>
          </cell>
          <cell r="BQ53">
            <v>2558.208333333333</v>
          </cell>
          <cell r="BR53">
            <v>358.45833333333331</v>
          </cell>
          <cell r="BS53">
            <v>0</v>
          </cell>
          <cell r="BT53">
            <v>0</v>
          </cell>
          <cell r="BU53"/>
          <cell r="BW53">
            <v>2916.6666666666665</v>
          </cell>
          <cell r="BX53">
            <v>2558.208333333333</v>
          </cell>
          <cell r="BY53">
            <v>358.45833333333331</v>
          </cell>
          <cell r="BZ53">
            <v>0</v>
          </cell>
          <cell r="CA53">
            <v>0</v>
          </cell>
          <cell r="CB53"/>
          <cell r="CD53">
            <v>2916.6666666666665</v>
          </cell>
          <cell r="CE53">
            <v>2558.208333333333</v>
          </cell>
          <cell r="CF53">
            <v>358.45833333333331</v>
          </cell>
          <cell r="CG53">
            <v>0</v>
          </cell>
          <cell r="CH53">
            <v>0</v>
          </cell>
          <cell r="CI53"/>
          <cell r="CK53">
            <v>2916.6666666666665</v>
          </cell>
          <cell r="CL53">
            <v>2558.208333333333</v>
          </cell>
          <cell r="CM53">
            <v>358.45833333333331</v>
          </cell>
          <cell r="CN53">
            <v>0</v>
          </cell>
          <cell r="CO53">
            <v>0</v>
          </cell>
          <cell r="CP53"/>
        </row>
        <row r="54">
          <cell r="L54">
            <v>83664.28571428571</v>
          </cell>
          <cell r="M54">
            <v>73381.944999999992</v>
          </cell>
          <cell r="N54">
            <v>10282.340714285714</v>
          </cell>
          <cell r="O54">
            <v>0</v>
          </cell>
          <cell r="P54">
            <v>0</v>
          </cell>
          <cell r="Q54"/>
          <cell r="S54">
            <v>83664.28571428571</v>
          </cell>
          <cell r="T54">
            <v>73381.944999999992</v>
          </cell>
          <cell r="U54">
            <v>10282.340714285714</v>
          </cell>
          <cell r="V54">
            <v>121192.996423</v>
          </cell>
          <cell r="W54">
            <v>9388.8335770000012</v>
          </cell>
          <cell r="X54">
            <v>130581.83</v>
          </cell>
          <cell r="Z54">
            <v>83664.28571428571</v>
          </cell>
          <cell r="AA54">
            <v>73381.944999999992</v>
          </cell>
          <cell r="AB54">
            <v>10282.340714285714</v>
          </cell>
          <cell r="AC54">
            <v>94708.325493773518</v>
          </cell>
          <cell r="AD54">
            <v>7337.063466223809</v>
          </cell>
          <cell r="AE54">
            <v>102045.38895999733</v>
          </cell>
          <cell r="AG54">
            <v>83664.28571428571</v>
          </cell>
          <cell r="AH54">
            <v>73381.944999999992</v>
          </cell>
          <cell r="AI54">
            <v>10282.340714285714</v>
          </cell>
          <cell r="AJ54">
            <v>62217.31813</v>
          </cell>
          <cell r="AK54">
            <v>4819.9818700000005</v>
          </cell>
          <cell r="AL54">
            <v>67037.3</v>
          </cell>
          <cell r="AN54">
            <v>83664.28571428571</v>
          </cell>
          <cell r="AO54">
            <v>73381.944999999992</v>
          </cell>
          <cell r="AP54">
            <v>10282.340714285714</v>
          </cell>
          <cell r="AQ54">
            <v>0</v>
          </cell>
          <cell r="AR54">
            <v>0</v>
          </cell>
          <cell r="AS54"/>
          <cell r="AU54">
            <v>83664.28571428571</v>
          </cell>
          <cell r="AV54">
            <v>73381.944999999992</v>
          </cell>
          <cell r="AW54">
            <v>10282.340714285714</v>
          </cell>
          <cell r="AX54">
            <v>0</v>
          </cell>
          <cell r="AY54">
            <v>0</v>
          </cell>
          <cell r="AZ54"/>
          <cell r="BB54">
            <v>83664.28571428571</v>
          </cell>
          <cell r="BC54">
            <v>73381.944999999992</v>
          </cell>
          <cell r="BD54">
            <v>10282.340714285714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-45847.750865051901</v>
          </cell>
          <cell r="M56">
            <v>-40213.062283737025</v>
          </cell>
          <cell r="N56">
            <v>-5634.6885813148783</v>
          </cell>
          <cell r="O56">
            <v>0</v>
          </cell>
          <cell r="P56">
            <v>0</v>
          </cell>
          <cell r="Q56"/>
          <cell r="S56">
            <v>-45847.750865051901</v>
          </cell>
          <cell r="T56">
            <v>-40213.062283737025</v>
          </cell>
          <cell r="U56">
            <v>-5634.6885813148783</v>
          </cell>
          <cell r="V56">
            <v>-144609.92464700001</v>
          </cell>
          <cell r="W56">
            <v>-11202.945353000001</v>
          </cell>
          <cell r="X56">
            <v>-155812.87</v>
          </cell>
          <cell r="Z56">
            <v>-45847.750865051901</v>
          </cell>
          <cell r="AA56">
            <v>-40213.062283737025</v>
          </cell>
          <cell r="AB56">
            <v>-5634.6885813148783</v>
          </cell>
          <cell r="AC56">
            <v>772.698936</v>
          </cell>
          <cell r="AD56">
            <v>59.861063999999999</v>
          </cell>
          <cell r="AE56">
            <v>832.56</v>
          </cell>
          <cell r="AG56">
            <v>-45847.750865051901</v>
          </cell>
          <cell r="AH56">
            <v>-40213.062283737025</v>
          </cell>
          <cell r="AI56">
            <v>-5634.6885813148783</v>
          </cell>
          <cell r="AJ56">
            <v>-132163.42613399998</v>
          </cell>
          <cell r="AK56">
            <v>-10238.713866</v>
          </cell>
          <cell r="AL56">
            <v>-142402.13999999998</v>
          </cell>
          <cell r="AN56">
            <v>-45847.750865051901</v>
          </cell>
          <cell r="AO56">
            <v>-40213.062283737025</v>
          </cell>
          <cell r="AP56">
            <v>-5634.6885813148783</v>
          </cell>
          <cell r="AQ56">
            <v>0</v>
          </cell>
          <cell r="AR56">
            <v>0</v>
          </cell>
          <cell r="AS56"/>
          <cell r="AU56">
            <v>-45847.750865051901</v>
          </cell>
          <cell r="AV56">
            <v>-40213.062283737025</v>
          </cell>
          <cell r="AW56">
            <v>-5634.6885813148783</v>
          </cell>
          <cell r="AX56">
            <v>0</v>
          </cell>
          <cell r="AY56">
            <v>0</v>
          </cell>
          <cell r="AZ56"/>
          <cell r="BB56">
            <v>-45847.750865051901</v>
          </cell>
          <cell r="BC56">
            <v>-40213.062283737025</v>
          </cell>
          <cell r="BD56">
            <v>-5634.6885813148783</v>
          </cell>
          <cell r="BE56">
            <v>0</v>
          </cell>
          <cell r="BF56">
            <v>0</v>
          </cell>
          <cell r="BG56"/>
          <cell r="BI56">
            <v>-45847.750865051901</v>
          </cell>
          <cell r="BJ56">
            <v>-40213.062283737025</v>
          </cell>
          <cell r="BK56">
            <v>-5634.6885813148783</v>
          </cell>
          <cell r="BL56">
            <v>0</v>
          </cell>
          <cell r="BM56">
            <v>0</v>
          </cell>
          <cell r="BN56"/>
          <cell r="BP56">
            <v>-45847.750865051901</v>
          </cell>
          <cell r="BQ56">
            <v>-40213.062283737025</v>
          </cell>
          <cell r="BR56">
            <v>-5634.6885813148783</v>
          </cell>
          <cell r="BS56">
            <v>0</v>
          </cell>
          <cell r="BT56">
            <v>0</v>
          </cell>
          <cell r="BU56"/>
          <cell r="BW56">
            <v>-45847.750865051901</v>
          </cell>
          <cell r="BX56">
            <v>-40213.062283737025</v>
          </cell>
          <cell r="BY56">
            <v>-5634.6885813148783</v>
          </cell>
          <cell r="BZ56">
            <v>0</v>
          </cell>
          <cell r="CA56">
            <v>0</v>
          </cell>
          <cell r="CB56"/>
          <cell r="CD56">
            <v>-45847.750865051901</v>
          </cell>
          <cell r="CE56">
            <v>-40213.062283737025</v>
          </cell>
          <cell r="CF56">
            <v>-5634.6885813148783</v>
          </cell>
          <cell r="CG56">
            <v>0</v>
          </cell>
          <cell r="CH56">
            <v>0</v>
          </cell>
          <cell r="CI56"/>
          <cell r="CK56">
            <v>-45847.750865051901</v>
          </cell>
          <cell r="CL56">
            <v>-40213.062283737025</v>
          </cell>
          <cell r="CM56">
            <v>-5634.6885813148783</v>
          </cell>
          <cell r="CN56">
            <v>0</v>
          </cell>
          <cell r="CO56">
            <v>0</v>
          </cell>
          <cell r="CP56"/>
        </row>
        <row r="57">
          <cell r="L57">
            <v>-15282.583621683967</v>
          </cell>
          <cell r="M57">
            <v>-13404.354094579008</v>
          </cell>
          <cell r="N57">
            <v>-1878.2295271049595</v>
          </cell>
          <cell r="O57">
            <v>-55925.199213</v>
          </cell>
          <cell r="P57">
            <v>-4332.5307870000006</v>
          </cell>
          <cell r="Q57">
            <v>-60257.73</v>
          </cell>
          <cell r="S57">
            <v>-15282.583621683967</v>
          </cell>
          <cell r="T57">
            <v>-13404.354094579008</v>
          </cell>
          <cell r="U57">
            <v>-1878.2295271049595</v>
          </cell>
          <cell r="V57">
            <v>-8263.004234</v>
          </cell>
          <cell r="W57">
            <v>-640.13576599999999</v>
          </cell>
          <cell r="X57">
            <v>-8903.14</v>
          </cell>
          <cell r="Z57">
            <v>-15282.583621683967</v>
          </cell>
          <cell r="AA57">
            <v>-13404.354094579008</v>
          </cell>
          <cell r="AB57">
            <v>-1878.2295271049595</v>
          </cell>
          <cell r="AC57">
            <v>-36329.778424999997</v>
          </cell>
          <cell r="AD57">
            <v>-2814.471575</v>
          </cell>
          <cell r="AE57">
            <v>-39144.25</v>
          </cell>
          <cell r="AG57">
            <v>-15282.583621683967</v>
          </cell>
          <cell r="AH57">
            <v>-13404.354094579008</v>
          </cell>
          <cell r="AI57">
            <v>-1878.2295271049595</v>
          </cell>
          <cell r="AJ57">
            <v>0</v>
          </cell>
          <cell r="AK57">
            <v>0</v>
          </cell>
          <cell r="AL57"/>
          <cell r="AN57">
            <v>-15282.583621683967</v>
          </cell>
          <cell r="AO57">
            <v>-13404.354094579008</v>
          </cell>
          <cell r="AP57">
            <v>-1878.2295271049595</v>
          </cell>
          <cell r="AQ57">
            <v>0</v>
          </cell>
          <cell r="AR57">
            <v>0</v>
          </cell>
          <cell r="AS57"/>
          <cell r="AU57">
            <v>-15282.583621683967</v>
          </cell>
          <cell r="AV57">
            <v>-13404.354094579008</v>
          </cell>
          <cell r="AW57">
            <v>-1878.2295271049595</v>
          </cell>
          <cell r="AX57">
            <v>0</v>
          </cell>
          <cell r="AY57">
            <v>0</v>
          </cell>
          <cell r="AZ57"/>
          <cell r="BB57">
            <v>-15282.583621683967</v>
          </cell>
          <cell r="BC57">
            <v>-13404.354094579008</v>
          </cell>
          <cell r="BD57">
            <v>-1878.2295271049595</v>
          </cell>
          <cell r="BE57">
            <v>0</v>
          </cell>
          <cell r="BF57">
            <v>0</v>
          </cell>
          <cell r="BG57"/>
          <cell r="BI57">
            <v>-15282.583621683967</v>
          </cell>
          <cell r="BJ57">
            <v>-13404.354094579008</v>
          </cell>
          <cell r="BK57">
            <v>-1878.2295271049595</v>
          </cell>
          <cell r="BL57">
            <v>0</v>
          </cell>
          <cell r="BM57">
            <v>0</v>
          </cell>
          <cell r="BN57"/>
          <cell r="BP57">
            <v>-15282.583621683967</v>
          </cell>
          <cell r="BQ57">
            <v>-13404.354094579008</v>
          </cell>
          <cell r="BR57">
            <v>-1878.2295271049595</v>
          </cell>
          <cell r="BS57">
            <v>0</v>
          </cell>
          <cell r="BT57">
            <v>0</v>
          </cell>
          <cell r="BU57"/>
          <cell r="BW57">
            <v>-15282.583621683967</v>
          </cell>
          <cell r="BX57">
            <v>-13404.354094579008</v>
          </cell>
          <cell r="BY57">
            <v>-1878.2295271049595</v>
          </cell>
          <cell r="BZ57">
            <v>0</v>
          </cell>
          <cell r="CA57">
            <v>0</v>
          </cell>
          <cell r="CB57"/>
          <cell r="CD57">
            <v>-15282.583621683967</v>
          </cell>
          <cell r="CE57">
            <v>-13404.354094579008</v>
          </cell>
          <cell r="CF57">
            <v>-1878.2295271049595</v>
          </cell>
          <cell r="CG57">
            <v>0</v>
          </cell>
          <cell r="CH57">
            <v>0</v>
          </cell>
          <cell r="CI57"/>
          <cell r="CK57">
            <v>-15282.583621683967</v>
          </cell>
          <cell r="CL57">
            <v>-13404.354094579008</v>
          </cell>
          <cell r="CM57">
            <v>-1878.2295271049595</v>
          </cell>
          <cell r="CN57">
            <v>0</v>
          </cell>
          <cell r="CO57">
            <v>0</v>
          </cell>
          <cell r="CP57"/>
        </row>
      </sheetData>
      <sheetData sheetId="12">
        <row r="4">
          <cell r="L4">
            <v>58044.097568000005</v>
          </cell>
          <cell r="M4">
            <v>50910.477976892806</v>
          </cell>
          <cell r="N4">
            <v>7133.6195911072</v>
          </cell>
          <cell r="O4">
            <v>38974.721855999996</v>
          </cell>
          <cell r="P4">
            <v>2700.5581440000005</v>
          </cell>
          <cell r="Q4">
            <v>41675.279999999999</v>
          </cell>
          <cell r="S4">
            <v>83100.097567999997</v>
          </cell>
          <cell r="T4">
            <v>72887.095576892796</v>
          </cell>
          <cell r="U4">
            <v>10213.0019911072</v>
          </cell>
          <cell r="V4">
            <v>67649.964535999999</v>
          </cell>
          <cell r="W4">
            <v>4687.4654639999999</v>
          </cell>
          <cell r="X4">
            <v>72337.429999999993</v>
          </cell>
          <cell r="Z4">
            <v>58044.097568000005</v>
          </cell>
          <cell r="AA4">
            <v>50910.477976892806</v>
          </cell>
          <cell r="AB4">
            <v>7133.6195911072</v>
          </cell>
          <cell r="AC4">
            <v>39427.162263999999</v>
          </cell>
          <cell r="AD4">
            <v>2731.9077360000006</v>
          </cell>
          <cell r="AE4">
            <v>42159.07</v>
          </cell>
          <cell r="AG4">
            <v>58044.097568000005</v>
          </cell>
          <cell r="AH4">
            <v>50910.477976892806</v>
          </cell>
          <cell r="AI4">
            <v>7133.6195911072</v>
          </cell>
          <cell r="AJ4">
            <v>82443.678239999994</v>
          </cell>
          <cell r="AK4">
            <v>5712.5217600000005</v>
          </cell>
          <cell r="AL4">
            <v>88156.2</v>
          </cell>
          <cell r="AN4">
            <v>58044.097568000005</v>
          </cell>
          <cell r="AO4">
            <v>50910.477976892806</v>
          </cell>
          <cell r="AP4">
            <v>7133.6195911072</v>
          </cell>
          <cell r="AQ4">
            <v>0</v>
          </cell>
          <cell r="AR4">
            <v>0</v>
          </cell>
          <cell r="AS4"/>
          <cell r="AU4">
            <v>58044.097568000005</v>
          </cell>
          <cell r="AV4">
            <v>50910.477976892806</v>
          </cell>
          <cell r="AW4">
            <v>7133.6195911072</v>
          </cell>
          <cell r="AX4">
            <v>0</v>
          </cell>
          <cell r="AY4">
            <v>0</v>
          </cell>
          <cell r="AZ4"/>
          <cell r="BB4">
            <v>58044.097568000005</v>
          </cell>
          <cell r="BC4">
            <v>50910.477976892806</v>
          </cell>
          <cell r="BD4">
            <v>7133.6195911072</v>
          </cell>
          <cell r="BE4">
            <v>0</v>
          </cell>
          <cell r="BF4">
            <v>0</v>
          </cell>
          <cell r="BG4"/>
          <cell r="BI4">
            <v>62687.625373440009</v>
          </cell>
          <cell r="BJ4">
            <v>54983.316215044229</v>
          </cell>
          <cell r="BK4">
            <v>7704.3091583957766</v>
          </cell>
          <cell r="BL4">
            <v>0</v>
          </cell>
          <cell r="BM4">
            <v>0</v>
          </cell>
          <cell r="BN4"/>
          <cell r="BP4">
            <v>62687.625373440009</v>
          </cell>
          <cell r="BQ4">
            <v>54983.316215044229</v>
          </cell>
          <cell r="BR4">
            <v>7704.3091583957766</v>
          </cell>
          <cell r="BS4">
            <v>0</v>
          </cell>
          <cell r="BT4">
            <v>0</v>
          </cell>
          <cell r="BU4"/>
          <cell r="BW4">
            <v>62687.625373440009</v>
          </cell>
          <cell r="BX4">
            <v>54983.316215044229</v>
          </cell>
          <cell r="BY4">
            <v>7704.3091583957766</v>
          </cell>
          <cell r="BZ4">
            <v>0</v>
          </cell>
          <cell r="CA4">
            <v>0</v>
          </cell>
          <cell r="CB4"/>
          <cell r="CD4">
            <v>62687.625373440009</v>
          </cell>
          <cell r="CE4">
            <v>54983.316215044229</v>
          </cell>
          <cell r="CF4">
            <v>7704.3091583957766</v>
          </cell>
          <cell r="CG4">
            <v>0</v>
          </cell>
          <cell r="CH4">
            <v>0</v>
          </cell>
          <cell r="CI4"/>
          <cell r="CK4">
            <v>62687.625373440009</v>
          </cell>
          <cell r="CL4">
            <v>54983.316215044229</v>
          </cell>
          <cell r="CM4">
            <v>7704.3091583957766</v>
          </cell>
          <cell r="CN4">
            <v>0</v>
          </cell>
          <cell r="CO4">
            <v>0</v>
          </cell>
          <cell r="CP4"/>
        </row>
        <row r="5">
          <cell r="L5">
            <v>3750</v>
          </cell>
          <cell r="M5">
            <v>3289.125</v>
          </cell>
          <cell r="N5">
            <v>460.875</v>
          </cell>
          <cell r="O5">
            <v>4073.5535120000004</v>
          </cell>
          <cell r="P5">
            <v>282.25648800000005</v>
          </cell>
          <cell r="Q5">
            <v>4355.8100000000004</v>
          </cell>
          <cell r="S5">
            <v>3750</v>
          </cell>
          <cell r="T5">
            <v>3289.125</v>
          </cell>
          <cell r="U5">
            <v>460.875</v>
          </cell>
          <cell r="V5">
            <v>1774.6355199999998</v>
          </cell>
          <cell r="W5">
            <v>122.96448000000001</v>
          </cell>
          <cell r="X5">
            <v>1897.6</v>
          </cell>
          <cell r="Z5">
            <v>3750</v>
          </cell>
          <cell r="AA5">
            <v>3289.125</v>
          </cell>
          <cell r="AB5">
            <v>460.875</v>
          </cell>
          <cell r="AC5">
            <v>3735.0391680000002</v>
          </cell>
          <cell r="AD5">
            <v>258.80083200000007</v>
          </cell>
          <cell r="AE5">
            <v>3993.84</v>
          </cell>
          <cell r="AG5">
            <v>3750</v>
          </cell>
          <cell r="AH5">
            <v>3289.125</v>
          </cell>
          <cell r="AI5">
            <v>460.875</v>
          </cell>
          <cell r="AJ5">
            <v>7479.7763599999998</v>
          </cell>
          <cell r="AK5">
            <v>518.27364000000011</v>
          </cell>
          <cell r="AL5">
            <v>7998.05</v>
          </cell>
          <cell r="AN5">
            <v>3750</v>
          </cell>
          <cell r="AO5">
            <v>3289.125</v>
          </cell>
          <cell r="AP5">
            <v>460.875</v>
          </cell>
          <cell r="AQ5">
            <v>0</v>
          </cell>
          <cell r="AR5">
            <v>0</v>
          </cell>
          <cell r="AS5"/>
          <cell r="AU5">
            <v>3750</v>
          </cell>
          <cell r="AV5">
            <v>3289.125</v>
          </cell>
          <cell r="AW5">
            <v>460.875</v>
          </cell>
          <cell r="AX5">
            <v>0</v>
          </cell>
          <cell r="AY5">
            <v>0</v>
          </cell>
          <cell r="AZ5"/>
          <cell r="BB5">
            <v>3750</v>
          </cell>
          <cell r="BC5">
            <v>3289.125</v>
          </cell>
          <cell r="BD5">
            <v>460.875</v>
          </cell>
          <cell r="BE5">
            <v>0</v>
          </cell>
          <cell r="BF5">
            <v>0</v>
          </cell>
          <cell r="BG5"/>
          <cell r="BI5">
            <v>3750</v>
          </cell>
          <cell r="BJ5">
            <v>3289.125</v>
          </cell>
          <cell r="BK5">
            <v>460.875</v>
          </cell>
          <cell r="BL5">
            <v>0</v>
          </cell>
          <cell r="BM5">
            <v>0</v>
          </cell>
          <cell r="BN5"/>
          <cell r="BP5">
            <v>3750</v>
          </cell>
          <cell r="BQ5">
            <v>3289.125</v>
          </cell>
          <cell r="BR5">
            <v>460.875</v>
          </cell>
          <cell r="BS5">
            <v>0</v>
          </cell>
          <cell r="BT5">
            <v>0</v>
          </cell>
          <cell r="BU5"/>
          <cell r="BW5">
            <v>3750</v>
          </cell>
          <cell r="BX5">
            <v>3289.125</v>
          </cell>
          <cell r="BY5">
            <v>460.875</v>
          </cell>
          <cell r="BZ5">
            <v>0</v>
          </cell>
          <cell r="CA5">
            <v>0</v>
          </cell>
          <cell r="CB5"/>
          <cell r="CD5">
            <v>3750</v>
          </cell>
          <cell r="CE5">
            <v>3289.125</v>
          </cell>
          <cell r="CF5">
            <v>460.875</v>
          </cell>
          <cell r="CG5">
            <v>0</v>
          </cell>
          <cell r="CH5">
            <v>0</v>
          </cell>
          <cell r="CI5"/>
          <cell r="CK5">
            <v>3750</v>
          </cell>
          <cell r="CL5">
            <v>3289.125</v>
          </cell>
          <cell r="CM5">
            <v>460.875</v>
          </cell>
          <cell r="CN5">
            <v>0</v>
          </cell>
          <cell r="CO5">
            <v>0</v>
          </cell>
          <cell r="CP5"/>
        </row>
        <row r="6">
          <cell r="L6">
            <v>7753.6036064</v>
          </cell>
          <cell r="M6">
            <v>6800.6857231734402</v>
          </cell>
          <cell r="N6">
            <v>952.91788322655998</v>
          </cell>
          <cell r="O6">
            <v>6999.1116160000001</v>
          </cell>
          <cell r="P6">
            <v>484.96838400000007</v>
          </cell>
          <cell r="Q6">
            <v>7484.08</v>
          </cell>
          <cell r="S6">
            <v>7753.6036064</v>
          </cell>
          <cell r="T6">
            <v>6800.6857231734402</v>
          </cell>
          <cell r="U6">
            <v>952.91788322655998</v>
          </cell>
          <cell r="V6">
            <v>6107.0149840000004</v>
          </cell>
          <cell r="W6">
            <v>423.15501600000005</v>
          </cell>
          <cell r="X6">
            <v>6530.17</v>
          </cell>
          <cell r="Z6">
            <v>7753.6036064</v>
          </cell>
          <cell r="AA6">
            <v>6800.6857231734402</v>
          </cell>
          <cell r="AB6">
            <v>952.91788322655998</v>
          </cell>
          <cell r="AC6">
            <v>7749.7779520000004</v>
          </cell>
          <cell r="AD6">
            <v>536.98204800000008</v>
          </cell>
          <cell r="AE6">
            <v>8286.76</v>
          </cell>
          <cell r="AG6">
            <v>7753.6036064</v>
          </cell>
          <cell r="AH6">
            <v>6800.6857231734402</v>
          </cell>
          <cell r="AI6">
            <v>952.91788322655998</v>
          </cell>
          <cell r="AJ6">
            <v>6954.9795279999998</v>
          </cell>
          <cell r="AK6">
            <v>481.91047200000008</v>
          </cell>
          <cell r="AL6">
            <v>7436.89</v>
          </cell>
          <cell r="AN6">
            <v>7753.6036064</v>
          </cell>
          <cell r="AO6">
            <v>6800.6857231734402</v>
          </cell>
          <cell r="AP6">
            <v>952.91788322655998</v>
          </cell>
          <cell r="AQ6">
            <v>0</v>
          </cell>
          <cell r="AR6">
            <v>0</v>
          </cell>
          <cell r="AS6"/>
          <cell r="AU6">
            <v>7753.6036064</v>
          </cell>
          <cell r="AV6">
            <v>6800.6857231734402</v>
          </cell>
          <cell r="AW6">
            <v>952.91788322655998</v>
          </cell>
          <cell r="AX6">
            <v>0</v>
          </cell>
          <cell r="AY6">
            <v>0</v>
          </cell>
          <cell r="AZ6"/>
          <cell r="BB6">
            <v>7753.6036064</v>
          </cell>
          <cell r="BC6">
            <v>6800.6857231734402</v>
          </cell>
          <cell r="BD6">
            <v>952.91788322655998</v>
          </cell>
          <cell r="BE6">
            <v>0</v>
          </cell>
          <cell r="BF6">
            <v>0</v>
          </cell>
          <cell r="BG6"/>
          <cell r="BI6">
            <v>8339.0918949120005</v>
          </cell>
          <cell r="BJ6">
            <v>7314.2175010273158</v>
          </cell>
          <cell r="BK6">
            <v>1024.8743938846849</v>
          </cell>
          <cell r="BL6">
            <v>0</v>
          </cell>
          <cell r="BM6">
            <v>0</v>
          </cell>
          <cell r="BN6"/>
          <cell r="BP6">
            <v>8339.0918949120005</v>
          </cell>
          <cell r="BQ6">
            <v>7314.2175010273158</v>
          </cell>
          <cell r="BR6">
            <v>1024.8743938846849</v>
          </cell>
          <cell r="BS6">
            <v>0</v>
          </cell>
          <cell r="BT6">
            <v>0</v>
          </cell>
          <cell r="BU6"/>
          <cell r="BW6">
            <v>8339.0918949120005</v>
          </cell>
          <cell r="BX6">
            <v>7314.2175010273158</v>
          </cell>
          <cell r="BY6">
            <v>1024.8743938846849</v>
          </cell>
          <cell r="BZ6">
            <v>0</v>
          </cell>
          <cell r="CA6">
            <v>0</v>
          </cell>
          <cell r="CB6"/>
          <cell r="CD6">
            <v>8339.0918949120005</v>
          </cell>
          <cell r="CE6">
            <v>7314.2175010273158</v>
          </cell>
          <cell r="CF6">
            <v>1024.8743938846849</v>
          </cell>
          <cell r="CG6">
            <v>0</v>
          </cell>
          <cell r="CH6">
            <v>0</v>
          </cell>
          <cell r="CI6"/>
          <cell r="CK6">
            <v>8339.0918949120005</v>
          </cell>
          <cell r="CL6">
            <v>7314.2175010273158</v>
          </cell>
          <cell r="CM6">
            <v>1024.8743938846849</v>
          </cell>
          <cell r="CN6">
            <v>0</v>
          </cell>
          <cell r="CO6">
            <v>0</v>
          </cell>
          <cell r="CP6"/>
        </row>
        <row r="7">
          <cell r="L7">
            <v>6015.7269359999991</v>
          </cell>
          <cell r="M7">
            <v>5276.3940955655989</v>
          </cell>
          <cell r="N7">
            <v>739.33284043439983</v>
          </cell>
          <cell r="O7">
            <v>4618.5787200000004</v>
          </cell>
          <cell r="P7">
            <v>320.02128000000005</v>
          </cell>
          <cell r="Q7">
            <v>4938.6000000000004</v>
          </cell>
          <cell r="S7">
            <v>6015.7269359999991</v>
          </cell>
          <cell r="T7">
            <v>5276.3940955655989</v>
          </cell>
          <cell r="U7">
            <v>739.33284043439983</v>
          </cell>
          <cell r="V7">
            <v>4199.6652319999994</v>
          </cell>
          <cell r="W7">
            <v>290.99476800000002</v>
          </cell>
          <cell r="X7">
            <v>4490.66</v>
          </cell>
          <cell r="Z7">
            <v>6015.7269359999991</v>
          </cell>
          <cell r="AA7">
            <v>5276.3940955655989</v>
          </cell>
          <cell r="AB7">
            <v>739.33284043439983</v>
          </cell>
          <cell r="AC7">
            <v>5011.5029999999997</v>
          </cell>
          <cell r="AD7">
            <v>347.24700000000007</v>
          </cell>
          <cell r="AE7">
            <v>5358.75</v>
          </cell>
          <cell r="AG7">
            <v>6015.7269359999991</v>
          </cell>
          <cell r="AH7">
            <v>5276.3940955655989</v>
          </cell>
          <cell r="AI7">
            <v>739.33284043439983</v>
          </cell>
          <cell r="AJ7">
            <v>4622.5159120000008</v>
          </cell>
          <cell r="AK7">
            <v>320.2940880000001</v>
          </cell>
          <cell r="AL7">
            <v>4942.8100000000004</v>
          </cell>
          <cell r="AN7">
            <v>6015.7269359999991</v>
          </cell>
          <cell r="AO7">
            <v>5276.3940955655989</v>
          </cell>
          <cell r="AP7">
            <v>739.33284043439983</v>
          </cell>
          <cell r="AQ7">
            <v>0</v>
          </cell>
          <cell r="AR7">
            <v>0</v>
          </cell>
          <cell r="AS7"/>
          <cell r="AU7">
            <v>6015.7269359999991</v>
          </cell>
          <cell r="AV7">
            <v>5276.3940955655989</v>
          </cell>
          <cell r="AW7">
            <v>739.33284043439983</v>
          </cell>
          <cell r="AX7">
            <v>0</v>
          </cell>
          <cell r="AY7">
            <v>0</v>
          </cell>
          <cell r="AZ7"/>
          <cell r="BB7">
            <v>6015.7269359999991</v>
          </cell>
          <cell r="BC7">
            <v>5276.3940955655989</v>
          </cell>
          <cell r="BD7">
            <v>739.33284043439983</v>
          </cell>
          <cell r="BE7">
            <v>0</v>
          </cell>
          <cell r="BF7">
            <v>0</v>
          </cell>
          <cell r="BG7"/>
          <cell r="BI7">
            <v>6469.9850908799999</v>
          </cell>
          <cell r="BJ7">
            <v>5674.8239232108481</v>
          </cell>
          <cell r="BK7">
            <v>795.16116766915195</v>
          </cell>
          <cell r="BL7">
            <v>0</v>
          </cell>
          <cell r="BM7">
            <v>0</v>
          </cell>
          <cell r="BN7"/>
          <cell r="BP7">
            <v>6469.9850908799999</v>
          </cell>
          <cell r="BQ7">
            <v>5674.8239232108481</v>
          </cell>
          <cell r="BR7">
            <v>795.16116766915195</v>
          </cell>
          <cell r="BS7">
            <v>0</v>
          </cell>
          <cell r="BT7">
            <v>0</v>
          </cell>
          <cell r="BU7"/>
          <cell r="BW7">
            <v>6469.9850908799999</v>
          </cell>
          <cell r="BX7">
            <v>5674.8239232108481</v>
          </cell>
          <cell r="BY7">
            <v>795.16116766915195</v>
          </cell>
          <cell r="BZ7">
            <v>0</v>
          </cell>
          <cell r="CA7">
            <v>0</v>
          </cell>
          <cell r="CB7"/>
          <cell r="CD7">
            <v>6469.9850908799999</v>
          </cell>
          <cell r="CE7">
            <v>5674.8239232108481</v>
          </cell>
          <cell r="CF7">
            <v>795.16116766915195</v>
          </cell>
          <cell r="CG7">
            <v>0</v>
          </cell>
          <cell r="CH7">
            <v>0</v>
          </cell>
          <cell r="CI7"/>
          <cell r="CK7">
            <v>6469.9850908799999</v>
          </cell>
          <cell r="CL7">
            <v>5674.8239232108481</v>
          </cell>
          <cell r="CM7">
            <v>795.16116766915195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935.2</v>
          </cell>
          <cell r="AK8">
            <v>64.800000000000011</v>
          </cell>
          <cell r="AL8">
            <v>1000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61962.011050528003</v>
          </cell>
          <cell r="BC8">
            <v>54346.87989241811</v>
          </cell>
          <cell r="BD8">
            <v>7615.1311581098917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4478.3744968000001</v>
          </cell>
          <cell r="M9">
            <v>3927.9822711432798</v>
          </cell>
          <cell r="N9">
            <v>550.39222565672003</v>
          </cell>
          <cell r="O9">
            <v>12283.608848</v>
          </cell>
          <cell r="P9">
            <v>851.13115200000016</v>
          </cell>
          <cell r="Q9">
            <v>13134.74</v>
          </cell>
          <cell r="S9">
            <v>4478.3744968000001</v>
          </cell>
          <cell r="T9">
            <v>3927.9822711432798</v>
          </cell>
          <cell r="U9">
            <v>550.39222565672003</v>
          </cell>
          <cell r="V9">
            <v>412.90015199999999</v>
          </cell>
          <cell r="W9">
            <v>28.609848000000003</v>
          </cell>
          <cell r="X9">
            <v>441.51</v>
          </cell>
          <cell r="Z9">
            <v>4478.3744968000001</v>
          </cell>
          <cell r="AA9">
            <v>3927.9822711432798</v>
          </cell>
          <cell r="AB9">
            <v>550.39222565672003</v>
          </cell>
          <cell r="AC9">
            <v>11357.975944</v>
          </cell>
          <cell r="AD9">
            <v>786.99405600000011</v>
          </cell>
          <cell r="AE9">
            <v>12144.97</v>
          </cell>
          <cell r="AG9">
            <v>4478.3744968000001</v>
          </cell>
          <cell r="AH9">
            <v>3927.9822711432798</v>
          </cell>
          <cell r="AI9">
            <v>550.39222565672003</v>
          </cell>
          <cell r="AJ9">
            <v>1636.618704</v>
          </cell>
          <cell r="AK9">
            <v>113.40129600000002</v>
          </cell>
          <cell r="AL9">
            <v>1750.02</v>
          </cell>
          <cell r="AN9">
            <v>4478.3744968000001</v>
          </cell>
          <cell r="AO9">
            <v>3927.9822711432798</v>
          </cell>
          <cell r="AP9">
            <v>550.39222565672003</v>
          </cell>
          <cell r="AQ9">
            <v>0</v>
          </cell>
          <cell r="AR9">
            <v>0</v>
          </cell>
          <cell r="AS9"/>
          <cell r="AU9">
            <v>4478.3744968000001</v>
          </cell>
          <cell r="AV9">
            <v>3927.9822711432798</v>
          </cell>
          <cell r="AW9">
            <v>550.39222565672003</v>
          </cell>
          <cell r="AX9">
            <v>0</v>
          </cell>
          <cell r="AY9">
            <v>0</v>
          </cell>
          <cell r="AZ9"/>
          <cell r="BB9">
            <v>4478.3744968000001</v>
          </cell>
          <cell r="BC9">
            <v>3927.9822711432798</v>
          </cell>
          <cell r="BD9">
            <v>550.39222565672003</v>
          </cell>
          <cell r="BE9">
            <v>0</v>
          </cell>
          <cell r="BF9">
            <v>0</v>
          </cell>
          <cell r="BG9"/>
          <cell r="BI9">
            <v>4816.5444565440002</v>
          </cell>
          <cell r="BJ9">
            <v>4224.5911428347426</v>
          </cell>
          <cell r="BK9">
            <v>591.9533137092576</v>
          </cell>
          <cell r="BL9">
            <v>0</v>
          </cell>
          <cell r="BM9">
            <v>0</v>
          </cell>
          <cell r="BN9"/>
          <cell r="BP9">
            <v>4816.5444565440002</v>
          </cell>
          <cell r="BQ9">
            <v>4224.5911428347426</v>
          </cell>
          <cell r="BR9">
            <v>591.9533137092576</v>
          </cell>
          <cell r="BS9">
            <v>0</v>
          </cell>
          <cell r="BT9">
            <v>0</v>
          </cell>
          <cell r="BU9"/>
          <cell r="BW9">
            <v>4816.5444565440002</v>
          </cell>
          <cell r="BX9">
            <v>4224.5911428347426</v>
          </cell>
          <cell r="BY9">
            <v>591.9533137092576</v>
          </cell>
          <cell r="BZ9">
            <v>0</v>
          </cell>
          <cell r="CA9">
            <v>0</v>
          </cell>
          <cell r="CB9"/>
          <cell r="CD9">
            <v>4816.5444565440002</v>
          </cell>
          <cell r="CE9">
            <v>4224.5911428347426</v>
          </cell>
          <cell r="CF9">
            <v>591.9533137092576</v>
          </cell>
          <cell r="CG9">
            <v>0</v>
          </cell>
          <cell r="CH9">
            <v>0</v>
          </cell>
          <cell r="CI9"/>
          <cell r="CK9">
            <v>4816.5444565440002</v>
          </cell>
          <cell r="CL9">
            <v>4224.5911428347426</v>
          </cell>
          <cell r="CM9">
            <v>591.9533137092576</v>
          </cell>
          <cell r="CN9">
            <v>0</v>
          </cell>
          <cell r="CO9">
            <v>0</v>
          </cell>
          <cell r="CP9"/>
        </row>
        <row r="10">
          <cell r="L10">
            <v>5300</v>
          </cell>
          <cell r="M10">
            <v>4648.63</v>
          </cell>
          <cell r="N10">
            <v>651.37</v>
          </cell>
          <cell r="O10">
            <v>4455.966144</v>
          </cell>
          <cell r="P10">
            <v>308.75385600000004</v>
          </cell>
          <cell r="Q10">
            <v>4764.72</v>
          </cell>
          <cell r="S10">
            <v>5300</v>
          </cell>
          <cell r="T10">
            <v>4648.63</v>
          </cell>
          <cell r="U10">
            <v>651.37</v>
          </cell>
          <cell r="V10">
            <v>1991.0875600000002</v>
          </cell>
          <cell r="W10">
            <v>137.96244000000004</v>
          </cell>
          <cell r="X10">
            <v>2129.0500000000002</v>
          </cell>
          <cell r="Z10">
            <v>5300</v>
          </cell>
          <cell r="AA10">
            <v>4648.63</v>
          </cell>
          <cell r="AB10">
            <v>651.37</v>
          </cell>
          <cell r="AC10">
            <v>5654.2285520000005</v>
          </cell>
          <cell r="AD10">
            <v>391.78144800000007</v>
          </cell>
          <cell r="AE10">
            <v>6046.01</v>
          </cell>
          <cell r="AG10">
            <v>5300</v>
          </cell>
          <cell r="AH10">
            <v>4648.63</v>
          </cell>
          <cell r="AI10">
            <v>651.37</v>
          </cell>
          <cell r="AJ10">
            <v>4351.5791200000003</v>
          </cell>
          <cell r="AK10">
            <v>301.52088000000009</v>
          </cell>
          <cell r="AL10">
            <v>4653.1000000000004</v>
          </cell>
          <cell r="AN10">
            <v>5300</v>
          </cell>
          <cell r="AO10">
            <v>4648.63</v>
          </cell>
          <cell r="AP10">
            <v>651.37</v>
          </cell>
          <cell r="AQ10">
            <v>0</v>
          </cell>
          <cell r="AR10">
            <v>0</v>
          </cell>
          <cell r="AS10"/>
          <cell r="AU10">
            <v>5300</v>
          </cell>
          <cell r="AV10">
            <v>4648.63</v>
          </cell>
          <cell r="AW10">
            <v>651.37</v>
          </cell>
          <cell r="AX10">
            <v>0</v>
          </cell>
          <cell r="AY10">
            <v>0</v>
          </cell>
          <cell r="AZ10"/>
          <cell r="BB10">
            <v>5300</v>
          </cell>
          <cell r="BC10">
            <v>4648.63</v>
          </cell>
          <cell r="BD10">
            <v>651.37</v>
          </cell>
          <cell r="BE10">
            <v>0</v>
          </cell>
          <cell r="BF10">
            <v>0</v>
          </cell>
          <cell r="BG10"/>
          <cell r="BI10">
            <v>5300</v>
          </cell>
          <cell r="BJ10">
            <v>4648.63</v>
          </cell>
          <cell r="BK10">
            <v>651.37</v>
          </cell>
          <cell r="BL10">
            <v>0</v>
          </cell>
          <cell r="BM10">
            <v>0</v>
          </cell>
          <cell r="BN10"/>
          <cell r="BP10">
            <v>5300</v>
          </cell>
          <cell r="BQ10">
            <v>4648.63</v>
          </cell>
          <cell r="BR10">
            <v>651.37</v>
          </cell>
          <cell r="BS10">
            <v>0</v>
          </cell>
          <cell r="BT10">
            <v>0</v>
          </cell>
          <cell r="BU10"/>
          <cell r="BW10">
            <v>5300</v>
          </cell>
          <cell r="BX10">
            <v>4648.63</v>
          </cell>
          <cell r="BY10">
            <v>651.37</v>
          </cell>
          <cell r="BZ10">
            <v>0</v>
          </cell>
          <cell r="CA10">
            <v>0</v>
          </cell>
          <cell r="CB10"/>
          <cell r="CD10">
            <v>5300</v>
          </cell>
          <cell r="CE10">
            <v>4648.63</v>
          </cell>
          <cell r="CF10">
            <v>651.37</v>
          </cell>
          <cell r="CG10">
            <v>0</v>
          </cell>
          <cell r="CH10">
            <v>0</v>
          </cell>
          <cell r="CI10"/>
          <cell r="CK10">
            <v>5300</v>
          </cell>
          <cell r="CL10">
            <v>4648.63</v>
          </cell>
          <cell r="CM10">
            <v>651.37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/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/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2707.3104800000001</v>
          </cell>
          <cell r="P12">
            <v>187.58952000000005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5659.8584560000008</v>
          </cell>
          <cell r="W12">
            <v>392.1715440000001</v>
          </cell>
          <cell r="X12">
            <v>6052.0300000000007</v>
          </cell>
          <cell r="Z12">
            <v>3105</v>
          </cell>
          <cell r="AA12">
            <v>2723.3955000000001</v>
          </cell>
          <cell r="AB12">
            <v>381.60449999999997</v>
          </cell>
          <cell r="AC12">
            <v>2901.6918000000001</v>
          </cell>
          <cell r="AD12">
            <v>201.05820000000003</v>
          </cell>
          <cell r="AE12">
            <v>3102.75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2901.6918000000001</v>
          </cell>
          <cell r="AK12">
            <v>201.05820000000003</v>
          </cell>
          <cell r="AL12">
            <v>3102.75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400</v>
          </cell>
          <cell r="M13">
            <v>350.84000000000003</v>
          </cell>
          <cell r="N13">
            <v>49.16</v>
          </cell>
          <cell r="O13">
            <v>0</v>
          </cell>
          <cell r="P13">
            <v>0</v>
          </cell>
          <cell r="Q13"/>
          <cell r="S13">
            <v>400</v>
          </cell>
          <cell r="T13">
            <v>350.84000000000003</v>
          </cell>
          <cell r="U13">
            <v>49.16</v>
          </cell>
          <cell r="V13">
            <v>0</v>
          </cell>
          <cell r="W13">
            <v>0</v>
          </cell>
          <cell r="X13"/>
          <cell r="Z13">
            <v>400</v>
          </cell>
          <cell r="AA13">
            <v>350.84000000000003</v>
          </cell>
          <cell r="AB13">
            <v>49.16</v>
          </cell>
          <cell r="AC13">
            <v>0</v>
          </cell>
          <cell r="AD13">
            <v>0</v>
          </cell>
          <cell r="AE13"/>
          <cell r="AG13">
            <v>400</v>
          </cell>
          <cell r="AH13">
            <v>350.84000000000003</v>
          </cell>
          <cell r="AI13">
            <v>49.16</v>
          </cell>
          <cell r="AJ13">
            <v>0</v>
          </cell>
          <cell r="AK13">
            <v>0</v>
          </cell>
          <cell r="AL13"/>
          <cell r="AN13">
            <v>400</v>
          </cell>
          <cell r="AO13">
            <v>350.84000000000003</v>
          </cell>
          <cell r="AP13">
            <v>49.16</v>
          </cell>
          <cell r="AQ13">
            <v>0</v>
          </cell>
          <cell r="AR13">
            <v>0</v>
          </cell>
          <cell r="AS13"/>
          <cell r="AU13">
            <v>400</v>
          </cell>
          <cell r="AV13">
            <v>350.84000000000003</v>
          </cell>
          <cell r="AW13">
            <v>49.16</v>
          </cell>
          <cell r="AX13">
            <v>0</v>
          </cell>
          <cell r="AY13">
            <v>0</v>
          </cell>
          <cell r="AZ13"/>
          <cell r="BB13">
            <v>400</v>
          </cell>
          <cell r="BC13">
            <v>350.84000000000003</v>
          </cell>
          <cell r="BD13">
            <v>49.16</v>
          </cell>
          <cell r="BE13">
            <v>0</v>
          </cell>
          <cell r="BF13">
            <v>0</v>
          </cell>
          <cell r="BG13"/>
          <cell r="BI13">
            <v>400</v>
          </cell>
          <cell r="BJ13">
            <v>350.84000000000003</v>
          </cell>
          <cell r="BK13">
            <v>49.16</v>
          </cell>
          <cell r="BL13">
            <v>0</v>
          </cell>
          <cell r="BM13">
            <v>0</v>
          </cell>
          <cell r="BN13"/>
          <cell r="BP13">
            <v>400</v>
          </cell>
          <cell r="BQ13">
            <v>350.84000000000003</v>
          </cell>
          <cell r="BR13">
            <v>49.16</v>
          </cell>
          <cell r="BS13">
            <v>0</v>
          </cell>
          <cell r="BT13">
            <v>0</v>
          </cell>
          <cell r="BU13"/>
          <cell r="BW13">
            <v>400</v>
          </cell>
          <cell r="BX13">
            <v>350.84000000000003</v>
          </cell>
          <cell r="BY13">
            <v>49.16</v>
          </cell>
          <cell r="BZ13">
            <v>0</v>
          </cell>
          <cell r="CA13">
            <v>0</v>
          </cell>
          <cell r="CB13"/>
          <cell r="CD13">
            <v>400</v>
          </cell>
          <cell r="CE13">
            <v>350.84000000000003</v>
          </cell>
          <cell r="CF13">
            <v>49.16</v>
          </cell>
          <cell r="CG13">
            <v>0</v>
          </cell>
          <cell r="CH13">
            <v>0</v>
          </cell>
          <cell r="CI13"/>
          <cell r="CK13">
            <v>400</v>
          </cell>
          <cell r="CL13">
            <v>350.84000000000003</v>
          </cell>
          <cell r="CM13">
            <v>49.16</v>
          </cell>
          <cell r="CN13">
            <v>0</v>
          </cell>
          <cell r="CO13">
            <v>0</v>
          </cell>
          <cell r="CP13"/>
        </row>
        <row r="14">
          <cell r="L14">
            <v>2580.91</v>
          </cell>
          <cell r="M14">
            <v>2263.7161609999998</v>
          </cell>
          <cell r="N14">
            <v>317.19383899999997</v>
          </cell>
          <cell r="O14">
            <v>2376.1842160000001</v>
          </cell>
          <cell r="P14">
            <v>164.64578400000002</v>
          </cell>
          <cell r="Q14">
            <v>2540.83</v>
          </cell>
          <cell r="S14">
            <v>2580.91</v>
          </cell>
          <cell r="T14">
            <v>2263.7161609999998</v>
          </cell>
          <cell r="U14">
            <v>317.19383899999997</v>
          </cell>
          <cell r="V14">
            <v>7217.3966479999999</v>
          </cell>
          <cell r="W14">
            <v>500.09335200000004</v>
          </cell>
          <cell r="X14">
            <v>7717.49</v>
          </cell>
          <cell r="Z14">
            <v>2580.91</v>
          </cell>
          <cell r="AA14">
            <v>2263.7161609999998</v>
          </cell>
          <cell r="AB14">
            <v>317.19383899999997</v>
          </cell>
          <cell r="AC14">
            <v>1866.0606719999998</v>
          </cell>
          <cell r="AD14">
            <v>129.299328</v>
          </cell>
          <cell r="AE14">
            <v>1995.36</v>
          </cell>
          <cell r="AG14">
            <v>2580.91</v>
          </cell>
          <cell r="AH14">
            <v>2263.7161609999998</v>
          </cell>
          <cell r="AI14">
            <v>317.19383899999997</v>
          </cell>
          <cell r="AJ14">
            <v>1852.9678719999999</v>
          </cell>
          <cell r="AK14">
            <v>128.39212800000001</v>
          </cell>
          <cell r="AL14">
            <v>1981.36</v>
          </cell>
          <cell r="AN14">
            <v>2580.91</v>
          </cell>
          <cell r="AO14">
            <v>2263.7161609999998</v>
          </cell>
          <cell r="AP14">
            <v>317.19383899999997</v>
          </cell>
          <cell r="AQ14">
            <v>0</v>
          </cell>
          <cell r="AR14">
            <v>0</v>
          </cell>
          <cell r="AS14"/>
          <cell r="AU14">
            <v>2580.91</v>
          </cell>
          <cell r="AV14">
            <v>2263.7161609999998</v>
          </cell>
          <cell r="AW14">
            <v>317.19383899999997</v>
          </cell>
          <cell r="AX14">
            <v>0</v>
          </cell>
          <cell r="AY14">
            <v>0</v>
          </cell>
          <cell r="AZ14"/>
          <cell r="BB14">
            <v>2580.91</v>
          </cell>
          <cell r="BC14">
            <v>2263.7161609999998</v>
          </cell>
          <cell r="BD14">
            <v>317.19383899999997</v>
          </cell>
          <cell r="BE14">
            <v>0</v>
          </cell>
          <cell r="BF14">
            <v>0</v>
          </cell>
          <cell r="BG14"/>
          <cell r="BI14">
            <v>2580.91</v>
          </cell>
          <cell r="BJ14">
            <v>2263.7161609999998</v>
          </cell>
          <cell r="BK14">
            <v>317.19383899999997</v>
          </cell>
          <cell r="BL14">
            <v>0</v>
          </cell>
          <cell r="BM14">
            <v>0</v>
          </cell>
          <cell r="BN14"/>
          <cell r="BP14">
            <v>2580.91</v>
          </cell>
          <cell r="BQ14">
            <v>2263.7161609999998</v>
          </cell>
          <cell r="BR14">
            <v>317.19383899999997</v>
          </cell>
          <cell r="BS14">
            <v>0</v>
          </cell>
          <cell r="BT14">
            <v>0</v>
          </cell>
          <cell r="BU14"/>
          <cell r="BW14">
            <v>2580.91</v>
          </cell>
          <cell r="BX14">
            <v>2263.7161609999998</v>
          </cell>
          <cell r="BY14">
            <v>317.19383899999997</v>
          </cell>
          <cell r="BZ14">
            <v>0</v>
          </cell>
          <cell r="CA14">
            <v>0</v>
          </cell>
          <cell r="CB14"/>
          <cell r="CD14">
            <v>2580.91</v>
          </cell>
          <cell r="CE14">
            <v>2263.7161609999998</v>
          </cell>
          <cell r="CF14">
            <v>317.19383899999997</v>
          </cell>
          <cell r="CG14">
            <v>0</v>
          </cell>
          <cell r="CH14">
            <v>0</v>
          </cell>
          <cell r="CI14"/>
          <cell r="CK14">
            <v>2580.91</v>
          </cell>
          <cell r="CL14">
            <v>2263.7161609999998</v>
          </cell>
          <cell r="CM14">
            <v>317.19383899999997</v>
          </cell>
          <cell r="CN14">
            <v>0</v>
          </cell>
          <cell r="CO14">
            <v>0</v>
          </cell>
          <cell r="CP14"/>
        </row>
        <row r="15">
          <cell r="L15">
            <v>5569.5</v>
          </cell>
          <cell r="M15">
            <v>4885.0084500000003</v>
          </cell>
          <cell r="N15">
            <v>684.49154999999996</v>
          </cell>
          <cell r="O15">
            <v>4669.9305519999998</v>
          </cell>
          <cell r="P15">
            <v>323.57944800000007</v>
          </cell>
          <cell r="Q15">
            <v>4993.51</v>
          </cell>
          <cell r="S15">
            <v>5569.5</v>
          </cell>
          <cell r="T15">
            <v>4885.0084500000003</v>
          </cell>
          <cell r="U15">
            <v>684.49154999999996</v>
          </cell>
          <cell r="V15">
            <v>4652.5264800000014</v>
          </cell>
          <cell r="W15">
            <v>322.37352000000016</v>
          </cell>
          <cell r="X15">
            <v>4974.9000000000015</v>
          </cell>
          <cell r="Z15">
            <v>5569.5</v>
          </cell>
          <cell r="AA15">
            <v>4885.0084500000003</v>
          </cell>
          <cell r="AB15">
            <v>684.49154999999996</v>
          </cell>
          <cell r="AC15">
            <v>6970.1671759999999</v>
          </cell>
          <cell r="AD15">
            <v>482.96282400000007</v>
          </cell>
          <cell r="AE15">
            <v>7453.13</v>
          </cell>
          <cell r="AG15">
            <v>5569.5</v>
          </cell>
          <cell r="AH15">
            <v>4885.0084500000003</v>
          </cell>
          <cell r="AI15">
            <v>684.49154999999996</v>
          </cell>
          <cell r="AJ15">
            <v>8225.2242800000004</v>
          </cell>
          <cell r="AK15">
            <v>569.92572000000007</v>
          </cell>
          <cell r="AL15">
            <v>8795.15</v>
          </cell>
          <cell r="AN15">
            <v>5569.5</v>
          </cell>
          <cell r="AO15">
            <v>4885.0084500000003</v>
          </cell>
          <cell r="AP15">
            <v>684.49154999999996</v>
          </cell>
          <cell r="AQ15">
            <v>0</v>
          </cell>
          <cell r="AR15">
            <v>0</v>
          </cell>
          <cell r="AS15"/>
          <cell r="AU15">
            <v>5569.5</v>
          </cell>
          <cell r="AV15">
            <v>4885.0084500000003</v>
          </cell>
          <cell r="AW15">
            <v>684.49154999999996</v>
          </cell>
          <cell r="AX15">
            <v>0</v>
          </cell>
          <cell r="AY15">
            <v>0</v>
          </cell>
          <cell r="AZ15"/>
          <cell r="BB15">
            <v>6004</v>
          </cell>
          <cell r="BC15">
            <v>5266.1084000000001</v>
          </cell>
          <cell r="BD15">
            <v>737.89159999999993</v>
          </cell>
          <cell r="BE15">
            <v>0</v>
          </cell>
          <cell r="BF15">
            <v>0</v>
          </cell>
          <cell r="BG15"/>
          <cell r="BI15">
            <v>5569.5</v>
          </cell>
          <cell r="BJ15">
            <v>4885.0084500000003</v>
          </cell>
          <cell r="BK15">
            <v>684.49154999999996</v>
          </cell>
          <cell r="BL15">
            <v>0</v>
          </cell>
          <cell r="BM15">
            <v>0</v>
          </cell>
          <cell r="BN15"/>
          <cell r="BP15">
            <v>5569.5</v>
          </cell>
          <cell r="BQ15">
            <v>4885.0084500000003</v>
          </cell>
          <cell r="BR15">
            <v>684.49154999999996</v>
          </cell>
          <cell r="BS15">
            <v>0</v>
          </cell>
          <cell r="BT15">
            <v>0</v>
          </cell>
          <cell r="BU15"/>
          <cell r="BW15">
            <v>5569.5</v>
          </cell>
          <cell r="BX15">
            <v>4885.0084500000003</v>
          </cell>
          <cell r="BY15">
            <v>684.49154999999996</v>
          </cell>
          <cell r="BZ15">
            <v>0</v>
          </cell>
          <cell r="CA15">
            <v>0</v>
          </cell>
          <cell r="CB15"/>
          <cell r="CD15">
            <v>5569.5</v>
          </cell>
          <cell r="CE15">
            <v>4885.0084500000003</v>
          </cell>
          <cell r="CF15">
            <v>684.49154999999996</v>
          </cell>
          <cell r="CG15">
            <v>0</v>
          </cell>
          <cell r="CH15">
            <v>0</v>
          </cell>
          <cell r="CI15"/>
          <cell r="CK15">
            <v>5569.5</v>
          </cell>
          <cell r="CL15">
            <v>4885.0084500000003</v>
          </cell>
          <cell r="CM15">
            <v>684.49154999999996</v>
          </cell>
          <cell r="CN15">
            <v>0</v>
          </cell>
          <cell r="CO15">
            <v>0</v>
          </cell>
          <cell r="CP15"/>
        </row>
        <row r="16">
          <cell r="L16">
            <v>4166.666666666667</v>
          </cell>
          <cell r="M16">
            <v>3654.5833333333335</v>
          </cell>
          <cell r="N16">
            <v>512.08333333333337</v>
          </cell>
          <cell r="O16">
            <v>4052.146784</v>
          </cell>
          <cell r="P16">
            <v>280.77321600000005</v>
          </cell>
          <cell r="Q16">
            <v>4332.92</v>
          </cell>
          <cell r="S16">
            <v>4166.666666666667</v>
          </cell>
          <cell r="T16">
            <v>3654.5833333333335</v>
          </cell>
          <cell r="U16">
            <v>512.08333333333337</v>
          </cell>
          <cell r="V16">
            <v>4039.016576</v>
          </cell>
          <cell r="W16">
            <v>279.86342400000007</v>
          </cell>
          <cell r="X16">
            <v>4318.88</v>
          </cell>
          <cell r="Z16">
            <v>4166.666666666667</v>
          </cell>
          <cell r="AA16">
            <v>3654.5833333333335</v>
          </cell>
          <cell r="AB16">
            <v>512.08333333333337</v>
          </cell>
          <cell r="AC16">
            <v>3684.78152</v>
          </cell>
          <cell r="AD16">
            <v>255.31848000000002</v>
          </cell>
          <cell r="AE16">
            <v>3940.1</v>
          </cell>
          <cell r="AG16">
            <v>4166.666666666667</v>
          </cell>
          <cell r="AH16">
            <v>3654.5833333333335</v>
          </cell>
          <cell r="AI16">
            <v>512.08333333333337</v>
          </cell>
          <cell r="AJ16">
            <v>4280.3542879999995</v>
          </cell>
          <cell r="AK16">
            <v>296.585712</v>
          </cell>
          <cell r="AL16">
            <v>4576.9399999999996</v>
          </cell>
          <cell r="AN16">
            <v>4166.666666666667</v>
          </cell>
          <cell r="AO16">
            <v>3654.5833333333335</v>
          </cell>
          <cell r="AP16">
            <v>512.08333333333337</v>
          </cell>
          <cell r="AQ16">
            <v>0</v>
          </cell>
          <cell r="AR16">
            <v>0</v>
          </cell>
          <cell r="AS16"/>
          <cell r="AU16">
            <v>4166.666666666667</v>
          </cell>
          <cell r="AV16">
            <v>3654.5833333333335</v>
          </cell>
          <cell r="AW16">
            <v>512.08333333333337</v>
          </cell>
          <cell r="AX16">
            <v>0</v>
          </cell>
          <cell r="AY16">
            <v>0</v>
          </cell>
          <cell r="AZ16"/>
          <cell r="BB16">
            <v>4166.666666666667</v>
          </cell>
          <cell r="BC16">
            <v>3654.5833333333335</v>
          </cell>
          <cell r="BD16">
            <v>512.08333333333337</v>
          </cell>
          <cell r="BE16">
            <v>0</v>
          </cell>
          <cell r="BF16">
            <v>0</v>
          </cell>
          <cell r="BG16"/>
          <cell r="BI16">
            <v>4166.666666666667</v>
          </cell>
          <cell r="BJ16">
            <v>3654.5833333333335</v>
          </cell>
          <cell r="BK16">
            <v>512.08333333333337</v>
          </cell>
          <cell r="BL16">
            <v>0</v>
          </cell>
          <cell r="BM16">
            <v>0</v>
          </cell>
          <cell r="BN16"/>
          <cell r="BP16">
            <v>4166.666666666667</v>
          </cell>
          <cell r="BQ16">
            <v>3654.5833333333335</v>
          </cell>
          <cell r="BR16">
            <v>512.08333333333337</v>
          </cell>
          <cell r="BS16">
            <v>0</v>
          </cell>
          <cell r="BT16">
            <v>0</v>
          </cell>
          <cell r="BU16"/>
          <cell r="BW16">
            <v>4166.666666666667</v>
          </cell>
          <cell r="BX16">
            <v>3654.5833333333335</v>
          </cell>
          <cell r="BY16">
            <v>512.08333333333337</v>
          </cell>
          <cell r="BZ16">
            <v>0</v>
          </cell>
          <cell r="CA16">
            <v>0</v>
          </cell>
          <cell r="CB16"/>
          <cell r="CD16">
            <v>4166.666666666667</v>
          </cell>
          <cell r="CE16">
            <v>3654.5833333333335</v>
          </cell>
          <cell r="CF16">
            <v>512.08333333333337</v>
          </cell>
          <cell r="CG16">
            <v>0</v>
          </cell>
          <cell r="CH16">
            <v>0</v>
          </cell>
          <cell r="CI16"/>
          <cell r="CK16">
            <v>4166.666666666667</v>
          </cell>
          <cell r="CL16">
            <v>3654.5833333333335</v>
          </cell>
          <cell r="CM16">
            <v>512.08333333333337</v>
          </cell>
          <cell r="CN16">
            <v>0</v>
          </cell>
          <cell r="CO16">
            <v>0</v>
          </cell>
          <cell r="CP16"/>
        </row>
        <row r="17">
          <cell r="L17">
            <v>29192.399999999998</v>
          </cell>
          <cell r="M17">
            <v>25604.654039999998</v>
          </cell>
          <cell r="N17">
            <v>3587.7459599999997</v>
          </cell>
          <cell r="O17">
            <v>29205.117647999999</v>
          </cell>
          <cell r="P17">
            <v>2023.6223520000003</v>
          </cell>
          <cell r="Q17">
            <v>31228.74</v>
          </cell>
          <cell r="S17">
            <v>29192.399999999998</v>
          </cell>
          <cell r="T17">
            <v>25604.654039999998</v>
          </cell>
          <cell r="U17">
            <v>3587.7459599999997</v>
          </cell>
          <cell r="V17">
            <v>36345.107791999995</v>
          </cell>
          <cell r="W17">
            <v>2518.3522080000002</v>
          </cell>
          <cell r="X17">
            <v>38863.46</v>
          </cell>
          <cell r="Z17">
            <v>29192.399999999998</v>
          </cell>
          <cell r="AA17">
            <v>25604.654039999998</v>
          </cell>
          <cell r="AB17">
            <v>3587.7459599999997</v>
          </cell>
          <cell r="AC17">
            <v>43354.067064000003</v>
          </cell>
          <cell r="AD17">
            <v>3004.0029360000003</v>
          </cell>
          <cell r="AE17">
            <v>46358.07</v>
          </cell>
          <cell r="AG17">
            <v>29192.399999999998</v>
          </cell>
          <cell r="AH17">
            <v>25604.654039999998</v>
          </cell>
          <cell r="AI17">
            <v>3587.7459599999997</v>
          </cell>
          <cell r="AJ17">
            <v>45293.634456</v>
          </cell>
          <cell r="AK17">
            <v>3138.3955440000004</v>
          </cell>
          <cell r="AL17">
            <v>48432.03</v>
          </cell>
          <cell r="AN17">
            <v>29192.399999999998</v>
          </cell>
          <cell r="AO17">
            <v>25604.654039999998</v>
          </cell>
          <cell r="AP17">
            <v>3587.7459599999997</v>
          </cell>
          <cell r="AQ17">
            <v>0</v>
          </cell>
          <cell r="AR17">
            <v>0</v>
          </cell>
          <cell r="AS17"/>
          <cell r="AU17">
            <v>29192.399999999998</v>
          </cell>
          <cell r="AV17">
            <v>25604.654039999998</v>
          </cell>
          <cell r="AW17">
            <v>3587.7459599999997</v>
          </cell>
          <cell r="AX17">
            <v>0</v>
          </cell>
          <cell r="AY17">
            <v>0</v>
          </cell>
          <cell r="AZ17"/>
          <cell r="BB17">
            <v>29192.399999999998</v>
          </cell>
          <cell r="BC17">
            <v>25604.654039999998</v>
          </cell>
          <cell r="BD17">
            <v>3587.7459599999997</v>
          </cell>
          <cell r="BE17">
            <v>0</v>
          </cell>
          <cell r="BF17">
            <v>0</v>
          </cell>
          <cell r="BG17"/>
          <cell r="BI17">
            <v>29192.399999999998</v>
          </cell>
          <cell r="BJ17">
            <v>25604.654039999998</v>
          </cell>
          <cell r="BK17">
            <v>3587.7459599999997</v>
          </cell>
          <cell r="BL17">
            <v>0</v>
          </cell>
          <cell r="BM17">
            <v>0</v>
          </cell>
          <cell r="BN17"/>
          <cell r="BP17">
            <v>29192.399999999998</v>
          </cell>
          <cell r="BQ17">
            <v>25604.654039999998</v>
          </cell>
          <cell r="BR17">
            <v>3587.7459599999997</v>
          </cell>
          <cell r="BS17">
            <v>0</v>
          </cell>
          <cell r="BT17">
            <v>0</v>
          </cell>
          <cell r="BU17"/>
          <cell r="BW17">
            <v>29192.399999999998</v>
          </cell>
          <cell r="BX17">
            <v>25604.654039999998</v>
          </cell>
          <cell r="BY17">
            <v>3587.7459599999997</v>
          </cell>
          <cell r="BZ17">
            <v>0</v>
          </cell>
          <cell r="CA17">
            <v>0</v>
          </cell>
          <cell r="CB17"/>
          <cell r="CD17">
            <v>29192.399999999998</v>
          </cell>
          <cell r="CE17">
            <v>25604.654039999998</v>
          </cell>
          <cell r="CF17">
            <v>3587.7459599999997</v>
          </cell>
          <cell r="CG17">
            <v>0</v>
          </cell>
          <cell r="CH17">
            <v>0</v>
          </cell>
          <cell r="CI17"/>
          <cell r="CK17">
            <v>29192.399999999998</v>
          </cell>
          <cell r="CL17">
            <v>25604.654039999998</v>
          </cell>
          <cell r="CM17">
            <v>3587.7459599999997</v>
          </cell>
          <cell r="CN17">
            <v>0</v>
          </cell>
          <cell r="CO17">
            <v>0</v>
          </cell>
          <cell r="CP17"/>
        </row>
        <row r="18">
          <cell r="L18">
            <v>7314.45</v>
          </cell>
          <cell r="M18">
            <v>6415.5040950000002</v>
          </cell>
          <cell r="N18">
            <v>898.94590499999993</v>
          </cell>
          <cell r="O18">
            <v>8533.5316640000001</v>
          </cell>
          <cell r="P18">
            <v>591.28833600000007</v>
          </cell>
          <cell r="Q18">
            <v>9124.82</v>
          </cell>
          <cell r="S18">
            <v>7314.45</v>
          </cell>
          <cell r="T18">
            <v>6415.5040950000002</v>
          </cell>
          <cell r="U18">
            <v>898.94590499999993</v>
          </cell>
          <cell r="V18">
            <v>0</v>
          </cell>
          <cell r="W18">
            <v>0</v>
          </cell>
          <cell r="X18"/>
          <cell r="Z18">
            <v>7314.45</v>
          </cell>
          <cell r="AA18">
            <v>6415.5040950000002</v>
          </cell>
          <cell r="AB18">
            <v>898.94590499999993</v>
          </cell>
          <cell r="AC18">
            <v>24756.932368000002</v>
          </cell>
          <cell r="AD18">
            <v>1715.4076320000004</v>
          </cell>
          <cell r="AE18">
            <v>26472.34</v>
          </cell>
          <cell r="AG18">
            <v>7314.45</v>
          </cell>
          <cell r="AH18">
            <v>6415.5040950000002</v>
          </cell>
          <cell r="AI18">
            <v>898.94590499999993</v>
          </cell>
          <cell r="AJ18">
            <v>0</v>
          </cell>
          <cell r="AK18">
            <v>0</v>
          </cell>
          <cell r="AL18"/>
          <cell r="AN18">
            <v>7314.45</v>
          </cell>
          <cell r="AO18">
            <v>6415.5040950000002</v>
          </cell>
          <cell r="AP18">
            <v>898.94590499999993</v>
          </cell>
          <cell r="AQ18">
            <v>0</v>
          </cell>
          <cell r="AR18">
            <v>0</v>
          </cell>
          <cell r="AS18"/>
          <cell r="AU18">
            <v>7314.45</v>
          </cell>
          <cell r="AV18">
            <v>6415.5040950000002</v>
          </cell>
          <cell r="AW18">
            <v>898.94590499999993</v>
          </cell>
          <cell r="AX18">
            <v>0</v>
          </cell>
          <cell r="AY18">
            <v>0</v>
          </cell>
          <cell r="AZ18"/>
          <cell r="BB18">
            <v>7314.45</v>
          </cell>
          <cell r="BC18">
            <v>6415.5040950000002</v>
          </cell>
          <cell r="BD18">
            <v>898.94590499999993</v>
          </cell>
          <cell r="BE18">
            <v>0</v>
          </cell>
          <cell r="BF18">
            <v>0</v>
          </cell>
          <cell r="BG18"/>
          <cell r="BI18">
            <v>7314.45</v>
          </cell>
          <cell r="BJ18">
            <v>6415.5040950000002</v>
          </cell>
          <cell r="BK18">
            <v>898.94590499999993</v>
          </cell>
          <cell r="BL18">
            <v>0</v>
          </cell>
          <cell r="BM18">
            <v>0</v>
          </cell>
          <cell r="BN18"/>
          <cell r="BP18">
            <v>7314.45</v>
          </cell>
          <cell r="BQ18">
            <v>6415.5040950000002</v>
          </cell>
          <cell r="BR18">
            <v>898.94590499999993</v>
          </cell>
          <cell r="BS18">
            <v>0</v>
          </cell>
          <cell r="BT18">
            <v>0</v>
          </cell>
          <cell r="BU18"/>
          <cell r="BW18">
            <v>7314.45</v>
          </cell>
          <cell r="BX18">
            <v>6415.5040950000002</v>
          </cell>
          <cell r="BY18">
            <v>898.94590499999993</v>
          </cell>
          <cell r="BZ18">
            <v>0</v>
          </cell>
          <cell r="CA18">
            <v>0</v>
          </cell>
          <cell r="CB18"/>
          <cell r="CD18">
            <v>7314.45</v>
          </cell>
          <cell r="CE18">
            <v>6415.5040950000002</v>
          </cell>
          <cell r="CF18">
            <v>898.94590499999993</v>
          </cell>
          <cell r="CG18">
            <v>0</v>
          </cell>
          <cell r="CH18">
            <v>0</v>
          </cell>
          <cell r="CI18"/>
          <cell r="CK18">
            <v>7314.45</v>
          </cell>
          <cell r="CL18">
            <v>6415.5040950000002</v>
          </cell>
          <cell r="CM18">
            <v>898.94590499999993</v>
          </cell>
          <cell r="CN18">
            <v>0</v>
          </cell>
          <cell r="CO18">
            <v>0</v>
          </cell>
          <cell r="CP18"/>
        </row>
        <row r="19">
          <cell r="L19">
            <v>3333.3333333333335</v>
          </cell>
          <cell r="M19">
            <v>2923.666666666667</v>
          </cell>
          <cell r="N19">
            <v>409.66666666666669</v>
          </cell>
          <cell r="O19">
            <v>3101.7684880000002</v>
          </cell>
          <cell r="P19">
            <v>214.92151200000004</v>
          </cell>
          <cell r="Q19">
            <v>3316.69</v>
          </cell>
          <cell r="S19">
            <v>3333.3333333333335</v>
          </cell>
          <cell r="T19">
            <v>2923.666666666667</v>
          </cell>
          <cell r="U19">
            <v>409.66666666666669</v>
          </cell>
          <cell r="V19">
            <v>2719.7673439999999</v>
          </cell>
          <cell r="W19">
            <v>188.45265600000002</v>
          </cell>
          <cell r="X19">
            <v>2908.22</v>
          </cell>
          <cell r="Z19">
            <v>3333.3333333333335</v>
          </cell>
          <cell r="AA19">
            <v>2923.666666666667</v>
          </cell>
          <cell r="AB19">
            <v>409.66666666666669</v>
          </cell>
          <cell r="AC19">
            <v>141.009456</v>
          </cell>
          <cell r="AD19">
            <v>9.770544000000001</v>
          </cell>
          <cell r="AE19">
            <v>150.78</v>
          </cell>
          <cell r="AG19">
            <v>3333.3333333333335</v>
          </cell>
          <cell r="AH19">
            <v>2923.666666666667</v>
          </cell>
          <cell r="AI19">
            <v>409.66666666666669</v>
          </cell>
          <cell r="AJ19">
            <v>4540.1528479999997</v>
          </cell>
          <cell r="AK19">
            <v>314.58715200000006</v>
          </cell>
          <cell r="AL19">
            <v>4854.74</v>
          </cell>
          <cell r="AN19">
            <v>3333.3333333333335</v>
          </cell>
          <cell r="AO19">
            <v>2923.666666666667</v>
          </cell>
          <cell r="AP19">
            <v>409.66666666666669</v>
          </cell>
          <cell r="AQ19">
            <v>0</v>
          </cell>
          <cell r="AR19">
            <v>0</v>
          </cell>
          <cell r="AS19"/>
          <cell r="AU19">
            <v>3333.3333333333335</v>
          </cell>
          <cell r="AV19">
            <v>2923.666666666667</v>
          </cell>
          <cell r="AW19">
            <v>409.66666666666669</v>
          </cell>
          <cell r="AX19">
            <v>0</v>
          </cell>
          <cell r="AY19">
            <v>0</v>
          </cell>
          <cell r="AZ19"/>
          <cell r="BB19">
            <v>3333.3333333333335</v>
          </cell>
          <cell r="BC19">
            <v>2923.666666666667</v>
          </cell>
          <cell r="BD19">
            <v>409.66666666666669</v>
          </cell>
          <cell r="BE19">
            <v>0</v>
          </cell>
          <cell r="BF19">
            <v>0</v>
          </cell>
          <cell r="BG19"/>
          <cell r="BI19">
            <v>3333.3333333333335</v>
          </cell>
          <cell r="BJ19">
            <v>2923.666666666667</v>
          </cell>
          <cell r="BK19">
            <v>409.66666666666669</v>
          </cell>
          <cell r="BL19">
            <v>0</v>
          </cell>
          <cell r="BM19">
            <v>0</v>
          </cell>
          <cell r="BN19"/>
          <cell r="BP19">
            <v>3333.3333333333335</v>
          </cell>
          <cell r="BQ19">
            <v>2923.666666666667</v>
          </cell>
          <cell r="BR19">
            <v>409.66666666666669</v>
          </cell>
          <cell r="BS19">
            <v>0</v>
          </cell>
          <cell r="BT19">
            <v>0</v>
          </cell>
          <cell r="BU19"/>
          <cell r="BW19">
            <v>3333.3333333333335</v>
          </cell>
          <cell r="BX19">
            <v>2923.666666666667</v>
          </cell>
          <cell r="BY19">
            <v>409.66666666666669</v>
          </cell>
          <cell r="BZ19">
            <v>0</v>
          </cell>
          <cell r="CA19">
            <v>0</v>
          </cell>
          <cell r="CB19"/>
          <cell r="CD19">
            <v>3333.3333333333335</v>
          </cell>
          <cell r="CE19">
            <v>2923.666666666667</v>
          </cell>
          <cell r="CF19">
            <v>409.66666666666669</v>
          </cell>
          <cell r="CG19">
            <v>0</v>
          </cell>
          <cell r="CH19">
            <v>0</v>
          </cell>
          <cell r="CI19"/>
          <cell r="CK19">
            <v>3333.3333333333335</v>
          </cell>
          <cell r="CL19">
            <v>2923.666666666667</v>
          </cell>
          <cell r="CM19">
            <v>409.66666666666669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/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/>
          <cell r="Z20">
            <v>236515.84628571401</v>
          </cell>
          <cell r="AA20">
            <v>207448.04877719976</v>
          </cell>
          <cell r="AB20">
            <v>29067.79750851425</v>
          </cell>
          <cell r="AC20">
            <v>55390.380976</v>
          </cell>
          <cell r="AD20">
            <v>3837.9990240000006</v>
          </cell>
          <cell r="AE20">
            <v>59228.38</v>
          </cell>
          <cell r="AG20">
            <v>0</v>
          </cell>
          <cell r="AH20">
            <v>0</v>
          </cell>
          <cell r="AI20">
            <v>0</v>
          </cell>
          <cell r="AJ20">
            <v>38236.942575999994</v>
          </cell>
          <cell r="AK20">
            <v>2649.4374240000002</v>
          </cell>
          <cell r="AL20">
            <v>40886.379999999997</v>
          </cell>
          <cell r="AN20">
            <v>5487.6683999999896</v>
          </cell>
          <cell r="AO20">
            <v>4813.2339536399904</v>
          </cell>
          <cell r="AP20">
            <v>674.43444635999867</v>
          </cell>
          <cell r="AQ20">
            <v>0</v>
          </cell>
          <cell r="AR20">
            <v>0</v>
          </cell>
          <cell r="AS20"/>
          <cell r="AU20">
            <v>5487.6683999999896</v>
          </cell>
          <cell r="AV20">
            <v>4813.2339536399904</v>
          </cell>
          <cell r="AW20">
            <v>674.43444635999867</v>
          </cell>
          <cell r="AX20">
            <v>0</v>
          </cell>
          <cell r="AY20">
            <v>0</v>
          </cell>
          <cell r="AZ20"/>
          <cell r="BB20">
            <v>109470.6684</v>
          </cell>
          <cell r="BC20">
            <v>96016.723253639997</v>
          </cell>
          <cell r="BD20">
            <v>13453.945146359998</v>
          </cell>
          <cell r="BE20">
            <v>0</v>
          </cell>
          <cell r="BF20">
            <v>0</v>
          </cell>
          <cell r="BG20"/>
          <cell r="BI20">
            <v>15128.514685714201</v>
          </cell>
          <cell r="BJ20">
            <v>13269.220230839925</v>
          </cell>
          <cell r="BK20">
            <v>1859.2944548742753</v>
          </cell>
          <cell r="BL20">
            <v>0</v>
          </cell>
          <cell r="BM20">
            <v>0</v>
          </cell>
          <cell r="BN20"/>
          <cell r="BP20">
            <v>109470.6684</v>
          </cell>
          <cell r="BQ20">
            <v>96016.723253639997</v>
          </cell>
          <cell r="BR20">
            <v>13453.945146359998</v>
          </cell>
          <cell r="BS20">
            <v>0</v>
          </cell>
          <cell r="BT20">
            <v>0</v>
          </cell>
          <cell r="BU20"/>
          <cell r="BW20">
            <v>5487.6683999999896</v>
          </cell>
          <cell r="BX20">
            <v>4813.2339536399904</v>
          </cell>
          <cell r="BY20">
            <v>674.43444635999867</v>
          </cell>
          <cell r="BZ20">
            <v>0</v>
          </cell>
          <cell r="CA20">
            <v>0</v>
          </cell>
          <cell r="CB20"/>
          <cell r="CD20">
            <v>5487.6683999999896</v>
          </cell>
          <cell r="CE20">
            <v>4813.2339536399904</v>
          </cell>
          <cell r="CF20">
            <v>674.43444635999867</v>
          </cell>
          <cell r="CG20">
            <v>0</v>
          </cell>
          <cell r="CH20">
            <v>0</v>
          </cell>
          <cell r="CI20"/>
          <cell r="CK20">
            <v>5487.6683999999896</v>
          </cell>
          <cell r="CL20">
            <v>4813.2339536399904</v>
          </cell>
          <cell r="CM20">
            <v>674.43444635999867</v>
          </cell>
          <cell r="CN20">
            <v>0</v>
          </cell>
          <cell r="CO20">
            <v>0</v>
          </cell>
          <cell r="CP20"/>
        </row>
        <row r="21">
          <cell r="L21">
            <v>139380.42720000001</v>
          </cell>
          <cell r="M21">
            <v>122250.57269712001</v>
          </cell>
          <cell r="N21">
            <v>17129.85450288</v>
          </cell>
          <cell r="O21">
            <v>12162.276</v>
          </cell>
          <cell r="P21">
            <v>842.72400000000016</v>
          </cell>
          <cell r="Q21">
            <v>13005</v>
          </cell>
          <cell r="S21">
            <v>0</v>
          </cell>
          <cell r="T21">
            <v>0</v>
          </cell>
          <cell r="U21">
            <v>0</v>
          </cell>
          <cell r="V21">
            <v>54484.752</v>
          </cell>
          <cell r="W21">
            <v>3775.2480000000005</v>
          </cell>
          <cell r="X21">
            <v>58260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/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11581.203333333235</v>
          </cell>
          <cell r="M22">
            <v>10157.87344366658</v>
          </cell>
          <cell r="N22">
            <v>1423.3298896666545</v>
          </cell>
          <cell r="O22">
            <v>9849.4048240000011</v>
          </cell>
          <cell r="P22">
            <v>682.46517600000016</v>
          </cell>
          <cell r="Q22">
            <v>10531.87</v>
          </cell>
          <cell r="S22">
            <v>11581.203333333235</v>
          </cell>
          <cell r="T22">
            <v>10157.87344366658</v>
          </cell>
          <cell r="U22">
            <v>1423.3298896666545</v>
          </cell>
          <cell r="V22">
            <v>12334.240575999998</v>
          </cell>
          <cell r="W22">
            <v>854.63942400000008</v>
          </cell>
          <cell r="X22">
            <v>13188.88</v>
          </cell>
          <cell r="Z22">
            <v>11581.203333333235</v>
          </cell>
          <cell r="AA22">
            <v>10157.87344366658</v>
          </cell>
          <cell r="AB22">
            <v>1423.3298896666545</v>
          </cell>
          <cell r="AC22">
            <v>4818.1410479999995</v>
          </cell>
          <cell r="AD22">
            <v>333.84895200000005</v>
          </cell>
          <cell r="AE22">
            <v>5151.99</v>
          </cell>
          <cell r="AG22">
            <v>11581.203333333235</v>
          </cell>
          <cell r="AH22">
            <v>10157.87344366658</v>
          </cell>
          <cell r="AI22">
            <v>1423.3298896666545</v>
          </cell>
          <cell r="AJ22">
            <v>3302.2192560000003</v>
          </cell>
          <cell r="AK22">
            <v>228.81074400000006</v>
          </cell>
          <cell r="AL22">
            <v>3531.03</v>
          </cell>
          <cell r="AN22">
            <v>11581.203333333235</v>
          </cell>
          <cell r="AO22">
            <v>10157.87344366658</v>
          </cell>
          <cell r="AP22">
            <v>1423.3298896666545</v>
          </cell>
          <cell r="AQ22">
            <v>0</v>
          </cell>
          <cell r="AR22">
            <v>0</v>
          </cell>
          <cell r="AS22"/>
          <cell r="AU22">
            <v>11581.203333333235</v>
          </cell>
          <cell r="AV22">
            <v>10157.87344366658</v>
          </cell>
          <cell r="AW22">
            <v>1423.3298896666545</v>
          </cell>
          <cell r="AX22">
            <v>0</v>
          </cell>
          <cell r="AY22">
            <v>0</v>
          </cell>
          <cell r="AZ22"/>
          <cell r="BB22">
            <v>11581.203333333235</v>
          </cell>
          <cell r="BC22">
            <v>10157.87344366658</v>
          </cell>
          <cell r="BD22">
            <v>1423.3298896666545</v>
          </cell>
          <cell r="BE22">
            <v>0</v>
          </cell>
          <cell r="BF22">
            <v>0</v>
          </cell>
          <cell r="BG22"/>
          <cell r="BI22">
            <v>11581.203333333235</v>
          </cell>
          <cell r="BJ22">
            <v>10157.87344366658</v>
          </cell>
          <cell r="BK22">
            <v>1423.3298896666545</v>
          </cell>
          <cell r="BL22">
            <v>0</v>
          </cell>
          <cell r="BM22">
            <v>0</v>
          </cell>
          <cell r="BN22"/>
          <cell r="BP22">
            <v>11581.203333333235</v>
          </cell>
          <cell r="BQ22">
            <v>10157.87344366658</v>
          </cell>
          <cell r="BR22">
            <v>1423.3298896666545</v>
          </cell>
          <cell r="BS22">
            <v>0</v>
          </cell>
          <cell r="BT22">
            <v>0</v>
          </cell>
          <cell r="BU22"/>
          <cell r="BW22">
            <v>11581.203333333235</v>
          </cell>
          <cell r="BX22">
            <v>10157.87344366658</v>
          </cell>
          <cell r="BY22">
            <v>1423.3298896666545</v>
          </cell>
          <cell r="BZ22">
            <v>0</v>
          </cell>
          <cell r="CA22">
            <v>0</v>
          </cell>
          <cell r="CB22"/>
          <cell r="CD22">
            <v>11581.203333333235</v>
          </cell>
          <cell r="CE22">
            <v>10157.87344366658</v>
          </cell>
          <cell r="CF22">
            <v>1423.3298896666545</v>
          </cell>
          <cell r="CG22">
            <v>0</v>
          </cell>
          <cell r="CH22">
            <v>0</v>
          </cell>
          <cell r="CI22"/>
          <cell r="CK22">
            <v>11581.203333333235</v>
          </cell>
          <cell r="CL22">
            <v>10157.87344366658</v>
          </cell>
          <cell r="CM22">
            <v>1423.3298896666545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10916.037250890535</v>
          </cell>
          <cell r="M24">
            <v>9574.4562727560879</v>
          </cell>
          <cell r="N24">
            <v>1341.5809781344467</v>
          </cell>
          <cell r="O24">
            <v>0</v>
          </cell>
          <cell r="P24">
            <v>0</v>
          </cell>
          <cell r="Q24"/>
          <cell r="S24">
            <v>10916.037250890535</v>
          </cell>
          <cell r="T24">
            <v>9574.4562727560879</v>
          </cell>
          <cell r="U24">
            <v>1341.5809781344467</v>
          </cell>
          <cell r="V24">
            <v>0</v>
          </cell>
          <cell r="W24">
            <v>0</v>
          </cell>
          <cell r="X24"/>
          <cell r="Z24">
            <v>10916.037250890535</v>
          </cell>
          <cell r="AA24">
            <v>9574.4562727560879</v>
          </cell>
          <cell r="AB24">
            <v>1341.5809781344467</v>
          </cell>
          <cell r="AC24">
            <v>0</v>
          </cell>
          <cell r="AD24">
            <v>0</v>
          </cell>
          <cell r="AE24"/>
          <cell r="AG24">
            <v>10916.037250890535</v>
          </cell>
          <cell r="AH24">
            <v>9574.4562727560879</v>
          </cell>
          <cell r="AI24">
            <v>1341.5809781344467</v>
          </cell>
          <cell r="AJ24">
            <v>0</v>
          </cell>
          <cell r="AK24">
            <v>0</v>
          </cell>
          <cell r="AL24"/>
          <cell r="AN24">
            <v>10916.037250890535</v>
          </cell>
          <cell r="AO24">
            <v>9574.4562727560879</v>
          </cell>
          <cell r="AP24">
            <v>1341.5809781344467</v>
          </cell>
          <cell r="AQ24">
            <v>0</v>
          </cell>
          <cell r="AR24">
            <v>0</v>
          </cell>
          <cell r="AS24"/>
          <cell r="AU24">
            <v>10916.037250890535</v>
          </cell>
          <cell r="AV24">
            <v>9574.4562727560879</v>
          </cell>
          <cell r="AW24">
            <v>1341.5809781344467</v>
          </cell>
          <cell r="AX24">
            <v>0</v>
          </cell>
          <cell r="AY24">
            <v>0</v>
          </cell>
          <cell r="AZ24"/>
          <cell r="BB24">
            <v>9019.4380188905343</v>
          </cell>
          <cell r="BC24">
            <v>7910.9490863688879</v>
          </cell>
          <cell r="BD24">
            <v>1108.4889325216466</v>
          </cell>
          <cell r="BE24">
            <v>0</v>
          </cell>
          <cell r="BF24">
            <v>0</v>
          </cell>
          <cell r="BG24"/>
          <cell r="BI24">
            <v>10916.037250890535</v>
          </cell>
          <cell r="BJ24">
            <v>9574.4562727560879</v>
          </cell>
          <cell r="BK24">
            <v>1341.5809781344467</v>
          </cell>
          <cell r="BL24">
            <v>0</v>
          </cell>
          <cell r="BM24">
            <v>0</v>
          </cell>
          <cell r="BN24"/>
          <cell r="BP24">
            <v>10916.037250890535</v>
          </cell>
          <cell r="BQ24">
            <v>9574.4562727560879</v>
          </cell>
          <cell r="BR24">
            <v>1341.5809781344467</v>
          </cell>
          <cell r="BS24">
            <v>0</v>
          </cell>
          <cell r="BT24">
            <v>0</v>
          </cell>
          <cell r="BU24"/>
          <cell r="BW24">
            <v>10916.037250890535</v>
          </cell>
          <cell r="BX24">
            <v>9574.4562727560879</v>
          </cell>
          <cell r="BY24">
            <v>1341.5809781344467</v>
          </cell>
          <cell r="BZ24">
            <v>0</v>
          </cell>
          <cell r="CA24">
            <v>0</v>
          </cell>
          <cell r="CB24"/>
          <cell r="CD24">
            <v>10916.037250890535</v>
          </cell>
          <cell r="CE24">
            <v>9574.4562727560879</v>
          </cell>
          <cell r="CF24">
            <v>1341.5809781344467</v>
          </cell>
          <cell r="CG24">
            <v>0</v>
          </cell>
          <cell r="CH24">
            <v>0</v>
          </cell>
          <cell r="CI24"/>
          <cell r="CK24">
            <v>10916.037250890535</v>
          </cell>
          <cell r="CL24">
            <v>9574.4562727560879</v>
          </cell>
          <cell r="CM24">
            <v>1341.5809781344467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/>
          <cell r="S25">
            <v>0</v>
          </cell>
          <cell r="T25">
            <v>0</v>
          </cell>
          <cell r="U25">
            <v>0</v>
          </cell>
          <cell r="V25">
            <v>15071.804775999999</v>
          </cell>
          <cell r="W25">
            <v>1044.3252240000002</v>
          </cell>
          <cell r="X25">
            <v>16116.13</v>
          </cell>
          <cell r="Z25">
            <v>42775.264559999901</v>
          </cell>
          <cell r="AA25">
            <v>37518.184545575918</v>
          </cell>
          <cell r="AB25">
            <v>5257.0800144239874</v>
          </cell>
          <cell r="AC25">
            <v>30319.006312000001</v>
          </cell>
          <cell r="AD25">
            <v>2100.8036880000004</v>
          </cell>
          <cell r="AE25">
            <v>32419.81</v>
          </cell>
          <cell r="AG25">
            <v>60967.8356099999</v>
          </cell>
          <cell r="AH25">
            <v>53474.888613530915</v>
          </cell>
          <cell r="AI25">
            <v>7492.946996468987</v>
          </cell>
          <cell r="AJ25">
            <v>38551.412927999998</v>
          </cell>
          <cell r="AK25">
            <v>2671.2270720000006</v>
          </cell>
          <cell r="AL25">
            <v>41222.639999999999</v>
          </cell>
          <cell r="AN25">
            <v>60967.8356099999</v>
          </cell>
          <cell r="AO25">
            <v>53474.888613530915</v>
          </cell>
          <cell r="AP25">
            <v>7492.946996468987</v>
          </cell>
          <cell r="AQ25">
            <v>0</v>
          </cell>
          <cell r="AR25">
            <v>0</v>
          </cell>
          <cell r="AS25"/>
          <cell r="AU25">
            <v>62987.486189999901</v>
          </cell>
          <cell r="AV25">
            <v>55246.324137248914</v>
          </cell>
          <cell r="AW25">
            <v>7741.1620527509876</v>
          </cell>
          <cell r="AX25">
            <v>0</v>
          </cell>
          <cell r="AY25">
            <v>0</v>
          </cell>
          <cell r="AZ25"/>
          <cell r="BB25">
            <v>29665.715189999901</v>
          </cell>
          <cell r="BC25">
            <v>26019.798793148911</v>
          </cell>
          <cell r="BD25">
            <v>3645.9163968509874</v>
          </cell>
          <cell r="BE25">
            <v>0</v>
          </cell>
          <cell r="BF25">
            <v>0</v>
          </cell>
          <cell r="BG25"/>
          <cell r="BI25">
            <v>29665.715189999901</v>
          </cell>
          <cell r="BJ25">
            <v>26019.798793148911</v>
          </cell>
          <cell r="BK25">
            <v>3645.9163968509874</v>
          </cell>
          <cell r="BL25">
            <v>0</v>
          </cell>
          <cell r="BM25">
            <v>0</v>
          </cell>
          <cell r="BN25"/>
          <cell r="BP25">
            <v>29665.715189999901</v>
          </cell>
          <cell r="BQ25">
            <v>26019.798793148911</v>
          </cell>
          <cell r="BR25">
            <v>3645.9163968509874</v>
          </cell>
          <cell r="BS25">
            <v>0</v>
          </cell>
          <cell r="BT25">
            <v>0</v>
          </cell>
          <cell r="BU25"/>
          <cell r="BW25">
            <v>24576.335804999901</v>
          </cell>
          <cell r="BX25">
            <v>21555.904134565411</v>
          </cell>
          <cell r="BY25">
            <v>3020.4316704344878</v>
          </cell>
          <cell r="BZ25">
            <v>0</v>
          </cell>
          <cell r="CA25">
            <v>0</v>
          </cell>
          <cell r="CB25"/>
          <cell r="CD25">
            <v>11932.3696739999</v>
          </cell>
          <cell r="CE25">
            <v>10465.881441065312</v>
          </cell>
          <cell r="CF25">
            <v>1466.4882329345876</v>
          </cell>
          <cell r="CG25">
            <v>0</v>
          </cell>
          <cell r="CH25">
            <v>0</v>
          </cell>
          <cell r="CI25"/>
          <cell r="CK25">
            <v>11932.3696739999</v>
          </cell>
          <cell r="CL25">
            <v>10465.881441065312</v>
          </cell>
          <cell r="CM25">
            <v>1466.4882329345876</v>
          </cell>
          <cell r="CN25">
            <v>0</v>
          </cell>
          <cell r="CO25">
            <v>0</v>
          </cell>
          <cell r="CP25"/>
        </row>
        <row r="26">
          <cell r="L26">
            <v>42762.113243834574</v>
          </cell>
          <cell r="M26">
            <v>37506.649526167304</v>
          </cell>
          <cell r="N26">
            <v>5255.4637176672686</v>
          </cell>
          <cell r="O26">
            <v>81031.395311999993</v>
          </cell>
          <cell r="P26">
            <v>5614.6646880000008</v>
          </cell>
          <cell r="Q26">
            <v>86646.06</v>
          </cell>
          <cell r="S26">
            <v>87204.704123833799</v>
          </cell>
          <cell r="T26">
            <v>76487.245987014627</v>
          </cell>
          <cell r="U26">
            <v>10717.458136819174</v>
          </cell>
          <cell r="V26">
            <v>118171.488568</v>
          </cell>
          <cell r="W26">
            <v>8188.1014320000013</v>
          </cell>
          <cell r="X26">
            <v>126359.59</v>
          </cell>
          <cell r="Z26">
            <v>134497.57704367381</v>
          </cell>
          <cell r="AA26">
            <v>117967.8248250063</v>
          </cell>
          <cell r="AB26">
            <v>16529.752218667512</v>
          </cell>
          <cell r="AC26">
            <v>140596.836408</v>
          </cell>
          <cell r="AD26">
            <v>9741.9535920000017</v>
          </cell>
          <cell r="AE26">
            <v>150338.79</v>
          </cell>
          <cell r="AG26">
            <v>134497.57704367381</v>
          </cell>
          <cell r="AH26">
            <v>117967.8248250063</v>
          </cell>
          <cell r="AI26">
            <v>16529.752218667512</v>
          </cell>
          <cell r="AJ26">
            <v>164174.22907199999</v>
          </cell>
          <cell r="AK26">
            <v>11375.630928</v>
          </cell>
          <cell r="AL26">
            <v>175549.86</v>
          </cell>
          <cell r="AN26">
            <v>150775.93592383378</v>
          </cell>
          <cell r="AO26">
            <v>132245.5733987946</v>
          </cell>
          <cell r="AP26">
            <v>18530.362525039171</v>
          </cell>
          <cell r="AQ26">
            <v>0</v>
          </cell>
          <cell r="AR26">
            <v>0</v>
          </cell>
          <cell r="AS26"/>
          <cell r="AU26">
            <v>116571.63510367372</v>
          </cell>
          <cell r="AV26">
            <v>102244.98114943222</v>
          </cell>
          <cell r="AW26">
            <v>14326.653954241499</v>
          </cell>
          <cell r="AX26">
            <v>0</v>
          </cell>
          <cell r="AY26">
            <v>0</v>
          </cell>
          <cell r="AZ26"/>
          <cell r="BB26">
            <v>100293.27622351371</v>
          </cell>
          <cell r="BC26">
            <v>87967.232575643866</v>
          </cell>
          <cell r="BD26">
            <v>12326.043647869834</v>
          </cell>
          <cell r="BE26">
            <v>0</v>
          </cell>
          <cell r="BF26">
            <v>0</v>
          </cell>
          <cell r="BG26"/>
          <cell r="BI26">
            <v>134497.57704367381</v>
          </cell>
          <cell r="BJ26">
            <v>117967.8248250063</v>
          </cell>
          <cell r="BK26">
            <v>16529.752218667512</v>
          </cell>
          <cell r="BL26">
            <v>0</v>
          </cell>
          <cell r="BM26">
            <v>0</v>
          </cell>
          <cell r="BN26"/>
          <cell r="BP26">
            <v>168747.94696190575</v>
          </cell>
          <cell r="BQ26">
            <v>148008.82428028755</v>
          </cell>
          <cell r="BR26">
            <v>20739.122681618217</v>
          </cell>
          <cell r="BS26">
            <v>0</v>
          </cell>
          <cell r="BT26">
            <v>0</v>
          </cell>
          <cell r="BU26"/>
          <cell r="BW26">
            <v>159963.02897206572</v>
          </cell>
          <cell r="BX26">
            <v>140303.57271139883</v>
          </cell>
          <cell r="BY26">
            <v>19659.456260666877</v>
          </cell>
          <cell r="BZ26">
            <v>0</v>
          </cell>
          <cell r="CA26">
            <v>0</v>
          </cell>
          <cell r="CB26"/>
          <cell r="CD26">
            <v>112202.65304190648</v>
          </cell>
          <cell r="CE26">
            <v>98412.946983056172</v>
          </cell>
          <cell r="CF26">
            <v>13789.706058850306</v>
          </cell>
          <cell r="CG26">
            <v>0</v>
          </cell>
          <cell r="CH26">
            <v>0</v>
          </cell>
          <cell r="CI26"/>
          <cell r="CK26">
            <v>109352.3710020665</v>
          </cell>
          <cell r="CL26">
            <v>95912.964605912537</v>
          </cell>
          <cell r="CM26">
            <v>13439.406396153972</v>
          </cell>
          <cell r="CN26">
            <v>0</v>
          </cell>
          <cell r="CO26">
            <v>0</v>
          </cell>
          <cell r="CP26"/>
        </row>
        <row r="27">
          <cell r="L27">
            <v>2903.3251919999898</v>
          </cell>
          <cell r="M27">
            <v>2546.5065259031912</v>
          </cell>
          <cell r="N27">
            <v>356.81866609679872</v>
          </cell>
          <cell r="O27">
            <v>9462.6809200000007</v>
          </cell>
          <cell r="P27">
            <v>655.66908000000012</v>
          </cell>
          <cell r="Q27">
            <v>10118.35</v>
          </cell>
          <cell r="S27">
            <v>10481.2029359999</v>
          </cell>
          <cell r="T27">
            <v>9193.0630951655112</v>
          </cell>
          <cell r="U27">
            <v>1288.1398408343875</v>
          </cell>
          <cell r="V27">
            <v>18095.521472</v>
          </cell>
          <cell r="W27">
            <v>1253.8385280000002</v>
          </cell>
          <cell r="X27">
            <v>19349.36</v>
          </cell>
          <cell r="Z27">
            <v>10481.2029359999</v>
          </cell>
          <cell r="AA27">
            <v>9193.0630951655112</v>
          </cell>
          <cell r="AB27">
            <v>1288.1398408343875</v>
          </cell>
          <cell r="AC27">
            <v>10498.190472</v>
          </cell>
          <cell r="AD27">
            <v>727.41952800000013</v>
          </cell>
          <cell r="AE27">
            <v>11225.61</v>
          </cell>
          <cell r="AG27">
            <v>7412.0344499999901</v>
          </cell>
          <cell r="AH27">
            <v>6501.0954160949914</v>
          </cell>
          <cell r="AI27">
            <v>910.93903390499872</v>
          </cell>
          <cell r="AJ27">
            <v>20405.933072</v>
          </cell>
          <cell r="AK27">
            <v>1413.9269280000003</v>
          </cell>
          <cell r="AL27">
            <v>21819.86</v>
          </cell>
          <cell r="AN27">
            <v>2903.4364499999901</v>
          </cell>
          <cell r="AO27">
            <v>2546.6041102949912</v>
          </cell>
          <cell r="AP27">
            <v>356.83233970499879</v>
          </cell>
          <cell r="AQ27">
            <v>0</v>
          </cell>
          <cell r="AR27">
            <v>0</v>
          </cell>
          <cell r="AS27"/>
          <cell r="AU27">
            <v>10315.359641999899</v>
          </cell>
          <cell r="AV27">
            <v>9047.6019419981112</v>
          </cell>
          <cell r="AW27">
            <v>1267.7577000017875</v>
          </cell>
          <cell r="AX27">
            <v>0</v>
          </cell>
          <cell r="AY27">
            <v>0</v>
          </cell>
          <cell r="AZ27"/>
          <cell r="BB27">
            <v>5806.7616419999904</v>
          </cell>
          <cell r="BC27">
            <v>5093.110636198192</v>
          </cell>
          <cell r="BD27">
            <v>713.65100580179876</v>
          </cell>
          <cell r="BE27">
            <v>0</v>
          </cell>
          <cell r="BF27">
            <v>0</v>
          </cell>
          <cell r="BG27"/>
          <cell r="BI27">
            <v>10315.359641999899</v>
          </cell>
          <cell r="BJ27">
            <v>9047.6019419981112</v>
          </cell>
          <cell r="BK27">
            <v>1267.7577000017875</v>
          </cell>
          <cell r="BL27">
            <v>0</v>
          </cell>
          <cell r="BM27">
            <v>0</v>
          </cell>
          <cell r="BN27"/>
          <cell r="BP27">
            <v>10315.359641999899</v>
          </cell>
          <cell r="BQ27">
            <v>9047.6019419981112</v>
          </cell>
          <cell r="BR27">
            <v>1267.7577000017875</v>
          </cell>
          <cell r="BS27">
            <v>0</v>
          </cell>
          <cell r="BT27">
            <v>0</v>
          </cell>
          <cell r="BU27"/>
          <cell r="BW27">
            <v>7711.7741169999899</v>
          </cell>
          <cell r="BX27">
            <v>6763.9970780206913</v>
          </cell>
          <cell r="BY27">
            <v>947.77703897929871</v>
          </cell>
          <cell r="BZ27">
            <v>0</v>
          </cell>
          <cell r="CA27">
            <v>0</v>
          </cell>
          <cell r="CB27"/>
          <cell r="CD27">
            <v>4808.4489249999897</v>
          </cell>
          <cell r="CE27">
            <v>4217.4905521174915</v>
          </cell>
          <cell r="CF27">
            <v>590.95837288249868</v>
          </cell>
          <cell r="CG27">
            <v>0</v>
          </cell>
          <cell r="CH27">
            <v>0</v>
          </cell>
          <cell r="CI27"/>
          <cell r="CK27">
            <v>4808.4489249999897</v>
          </cell>
          <cell r="CL27">
            <v>4217.4905521174915</v>
          </cell>
          <cell r="CM27">
            <v>590.95837288249868</v>
          </cell>
          <cell r="CN27">
            <v>0</v>
          </cell>
          <cell r="CO27">
            <v>0</v>
          </cell>
          <cell r="CP27"/>
        </row>
        <row r="28">
          <cell r="L28">
            <v>6116.8058999999903</v>
          </cell>
          <cell r="M28">
            <v>5365.0504548899917</v>
          </cell>
          <cell r="N28">
            <v>751.75544510999873</v>
          </cell>
          <cell r="O28">
            <v>12310.710943999999</v>
          </cell>
          <cell r="P28">
            <v>853.0090560000001</v>
          </cell>
          <cell r="Q28">
            <v>13163.72</v>
          </cell>
          <cell r="S28">
            <v>6116.8058999999903</v>
          </cell>
          <cell r="T28">
            <v>5365.0504548899917</v>
          </cell>
          <cell r="U28">
            <v>751.75544510999873</v>
          </cell>
          <cell r="V28">
            <v>9325.9359759999988</v>
          </cell>
          <cell r="W28">
            <v>646.19402400000001</v>
          </cell>
          <cell r="X28">
            <v>9972.1299999999992</v>
          </cell>
          <cell r="Z28">
            <v>8155.7411999999904</v>
          </cell>
          <cell r="AA28">
            <v>7153.4006065199919</v>
          </cell>
          <cell r="AB28">
            <v>1002.3405934799988</v>
          </cell>
          <cell r="AC28">
            <v>4190.2758240000003</v>
          </cell>
          <cell r="AD28">
            <v>290.34417600000006</v>
          </cell>
          <cell r="AE28">
            <v>4480.62</v>
          </cell>
          <cell r="AG28">
            <v>8341.5685499999909</v>
          </cell>
          <cell r="AH28">
            <v>7316.3897752049925</v>
          </cell>
          <cell r="AI28">
            <v>1025.1787747949988</v>
          </cell>
          <cell r="AJ28">
            <v>4602.3530000000001</v>
          </cell>
          <cell r="AK28">
            <v>318.89700000000005</v>
          </cell>
          <cell r="AL28">
            <v>4921.25</v>
          </cell>
          <cell r="AN28">
            <v>7136.2735499999899</v>
          </cell>
          <cell r="AO28">
            <v>6259.2255307049909</v>
          </cell>
          <cell r="AP28">
            <v>877.04801929499877</v>
          </cell>
          <cell r="AQ28">
            <v>0</v>
          </cell>
          <cell r="AR28">
            <v>0</v>
          </cell>
          <cell r="AS28"/>
          <cell r="AU28">
            <v>6302.6332499999899</v>
          </cell>
          <cell r="AV28">
            <v>5528.0396235749913</v>
          </cell>
          <cell r="AW28">
            <v>774.59362642499877</v>
          </cell>
          <cell r="AX28">
            <v>0</v>
          </cell>
          <cell r="AY28">
            <v>0</v>
          </cell>
          <cell r="AZ28"/>
          <cell r="BB28">
            <v>5097.3382499999898</v>
          </cell>
          <cell r="BC28">
            <v>4470.8753790749906</v>
          </cell>
          <cell r="BD28">
            <v>626.4628709249987</v>
          </cell>
          <cell r="BE28">
            <v>0</v>
          </cell>
          <cell r="BF28">
            <v>0</v>
          </cell>
          <cell r="BG28"/>
          <cell r="BI28">
            <v>8341.5685499999909</v>
          </cell>
          <cell r="BJ28">
            <v>7316.3897752049925</v>
          </cell>
          <cell r="BK28">
            <v>1025.1787747949988</v>
          </cell>
          <cell r="BL28">
            <v>0</v>
          </cell>
          <cell r="BM28">
            <v>0</v>
          </cell>
          <cell r="BN28"/>
          <cell r="BP28">
            <v>8341.5685499999909</v>
          </cell>
          <cell r="BQ28">
            <v>7316.3897752049925</v>
          </cell>
          <cell r="BR28">
            <v>1025.1787747949988</v>
          </cell>
          <cell r="BS28">
            <v>0</v>
          </cell>
          <cell r="BT28">
            <v>0</v>
          </cell>
          <cell r="BU28"/>
          <cell r="BW28">
            <v>7560.0881249999902</v>
          </cell>
          <cell r="BX28">
            <v>6630.9532944374914</v>
          </cell>
          <cell r="BY28">
            <v>929.13483056249879</v>
          </cell>
          <cell r="BZ28">
            <v>0</v>
          </cell>
          <cell r="CA28">
            <v>0</v>
          </cell>
          <cell r="CB28"/>
          <cell r="CD28">
            <v>5521.1528249999901</v>
          </cell>
          <cell r="CE28">
            <v>4842.6031428074912</v>
          </cell>
          <cell r="CF28">
            <v>678.54968219249872</v>
          </cell>
          <cell r="CG28">
            <v>0</v>
          </cell>
          <cell r="CH28">
            <v>0</v>
          </cell>
          <cell r="CI28"/>
          <cell r="CK28">
            <v>5521.1528249999901</v>
          </cell>
          <cell r="CL28">
            <v>4842.6031428074912</v>
          </cell>
          <cell r="CM28">
            <v>678.54968219249872</v>
          </cell>
          <cell r="CN28">
            <v>0</v>
          </cell>
          <cell r="CO28">
            <v>0</v>
          </cell>
          <cell r="CP28"/>
        </row>
        <row r="29">
          <cell r="L29">
            <v>10704.021666666566</v>
          </cell>
          <cell r="M29">
            <v>9388.4974038332439</v>
          </cell>
          <cell r="N29">
            <v>1315.5242628333208</v>
          </cell>
          <cell r="O29">
            <v>0</v>
          </cell>
          <cell r="P29">
            <v>0</v>
          </cell>
          <cell r="Q29"/>
          <cell r="S29">
            <v>18953.942166666569</v>
          </cell>
          <cell r="T29">
            <v>16624.50267438325</v>
          </cell>
          <cell r="U29">
            <v>2329.4394922833212</v>
          </cell>
          <cell r="V29">
            <v>0</v>
          </cell>
          <cell r="W29">
            <v>0</v>
          </cell>
          <cell r="X29"/>
          <cell r="Z29">
            <v>10704.021666666566</v>
          </cell>
          <cell r="AA29">
            <v>9388.4974038332439</v>
          </cell>
          <cell r="AB29">
            <v>1315.5242628333208</v>
          </cell>
          <cell r="AC29">
            <v>0</v>
          </cell>
          <cell r="AD29">
            <v>0</v>
          </cell>
          <cell r="AE29"/>
          <cell r="AG29">
            <v>18953.942166666569</v>
          </cell>
          <cell r="AH29">
            <v>16624.50267438325</v>
          </cell>
          <cell r="AI29">
            <v>2329.4394922833212</v>
          </cell>
          <cell r="AJ29">
            <v>0</v>
          </cell>
          <cell r="AK29">
            <v>0</v>
          </cell>
          <cell r="AL29"/>
          <cell r="AN29">
            <v>10704.021666666566</v>
          </cell>
          <cell r="AO29">
            <v>9388.4974038332439</v>
          </cell>
          <cell r="AP29">
            <v>1315.5242628333208</v>
          </cell>
          <cell r="AQ29">
            <v>0</v>
          </cell>
          <cell r="AR29">
            <v>0</v>
          </cell>
          <cell r="AS29"/>
          <cell r="AU29">
            <v>18953.942166666569</v>
          </cell>
          <cell r="AV29">
            <v>16624.50267438325</v>
          </cell>
          <cell r="AW29">
            <v>2329.4394922833212</v>
          </cell>
          <cell r="AX29">
            <v>0</v>
          </cell>
          <cell r="AY29">
            <v>0</v>
          </cell>
          <cell r="AZ29"/>
          <cell r="BB29">
            <v>10704.021666666566</v>
          </cell>
          <cell r="BC29">
            <v>9388.4974038332439</v>
          </cell>
          <cell r="BD29">
            <v>1315.5242628333208</v>
          </cell>
          <cell r="BE29">
            <v>0</v>
          </cell>
          <cell r="BF29">
            <v>0</v>
          </cell>
          <cell r="BG29"/>
          <cell r="BI29">
            <v>18953.942166666569</v>
          </cell>
          <cell r="BJ29">
            <v>16624.50267438325</v>
          </cell>
          <cell r="BK29">
            <v>2329.4394922833212</v>
          </cell>
          <cell r="BL29">
            <v>0</v>
          </cell>
          <cell r="BM29">
            <v>0</v>
          </cell>
          <cell r="BN29"/>
          <cell r="BP29">
            <v>10704.021666666566</v>
          </cell>
          <cell r="BQ29">
            <v>9388.4974038332439</v>
          </cell>
          <cell r="BR29">
            <v>1315.5242628333208</v>
          </cell>
          <cell r="BS29">
            <v>0</v>
          </cell>
          <cell r="BT29">
            <v>0</v>
          </cell>
          <cell r="BU29"/>
          <cell r="BW29">
            <v>18953.942166666569</v>
          </cell>
          <cell r="BX29">
            <v>16624.50267438325</v>
          </cell>
          <cell r="BY29">
            <v>2329.4394922833212</v>
          </cell>
          <cell r="BZ29">
            <v>0</v>
          </cell>
          <cell r="CA29">
            <v>0</v>
          </cell>
          <cell r="CB29"/>
          <cell r="CD29">
            <v>10704.021666666566</v>
          </cell>
          <cell r="CE29">
            <v>9388.4974038332439</v>
          </cell>
          <cell r="CF29">
            <v>1315.5242628333208</v>
          </cell>
          <cell r="CG29">
            <v>0</v>
          </cell>
          <cell r="CH29">
            <v>0</v>
          </cell>
          <cell r="CI29"/>
          <cell r="CK29">
            <v>18953.942166666569</v>
          </cell>
          <cell r="CL29">
            <v>16624.50267438325</v>
          </cell>
          <cell r="CM29">
            <v>2329.4394922833212</v>
          </cell>
          <cell r="CN29">
            <v>0</v>
          </cell>
          <cell r="CO29">
            <v>0</v>
          </cell>
          <cell r="CP29"/>
        </row>
        <row r="30">
          <cell r="L30">
            <v>4833.333333333333</v>
          </cell>
          <cell r="M30">
            <v>4239.3166666666666</v>
          </cell>
          <cell r="N30">
            <v>594.01666666666665</v>
          </cell>
          <cell r="O30">
            <v>2319.2959999999998</v>
          </cell>
          <cell r="P30">
            <v>160.70400000000004</v>
          </cell>
          <cell r="Q30">
            <v>2480</v>
          </cell>
          <cell r="S30">
            <v>4833.333333333333</v>
          </cell>
          <cell r="T30">
            <v>4239.3166666666666</v>
          </cell>
          <cell r="U30">
            <v>594.01666666666665</v>
          </cell>
          <cell r="V30">
            <v>2280.0176000000001</v>
          </cell>
          <cell r="W30">
            <v>157.98240000000001</v>
          </cell>
          <cell r="X30">
            <v>2438</v>
          </cell>
          <cell r="Z30">
            <v>4833.333333333333</v>
          </cell>
          <cell r="AA30">
            <v>4239.3166666666666</v>
          </cell>
          <cell r="AB30">
            <v>594.01666666666665</v>
          </cell>
          <cell r="AC30">
            <v>2319.2959999999998</v>
          </cell>
          <cell r="AD30">
            <v>160.70400000000004</v>
          </cell>
          <cell r="AE30">
            <v>2480</v>
          </cell>
          <cell r="AG30">
            <v>4833.333333333333</v>
          </cell>
          <cell r="AH30">
            <v>4239.3166666666666</v>
          </cell>
          <cell r="AI30">
            <v>594.01666666666665</v>
          </cell>
          <cell r="AJ30">
            <v>2319.2959999999998</v>
          </cell>
          <cell r="AK30">
            <v>160.70400000000004</v>
          </cell>
          <cell r="AL30">
            <v>2480</v>
          </cell>
          <cell r="AN30">
            <v>4833.333333333333</v>
          </cell>
          <cell r="AO30">
            <v>4239.3166666666666</v>
          </cell>
          <cell r="AP30">
            <v>594.01666666666665</v>
          </cell>
          <cell r="AQ30">
            <v>0</v>
          </cell>
          <cell r="AR30">
            <v>0</v>
          </cell>
          <cell r="AS30"/>
          <cell r="AU30">
            <v>4833.333333333333</v>
          </cell>
          <cell r="AV30">
            <v>4239.3166666666666</v>
          </cell>
          <cell r="AW30">
            <v>594.01666666666665</v>
          </cell>
          <cell r="AX30">
            <v>0</v>
          </cell>
          <cell r="AY30">
            <v>0</v>
          </cell>
          <cell r="AZ30"/>
          <cell r="BB30">
            <v>4833.333333333333</v>
          </cell>
          <cell r="BC30">
            <v>4239.3166666666666</v>
          </cell>
          <cell r="BD30">
            <v>594.01666666666665</v>
          </cell>
          <cell r="BE30">
            <v>0</v>
          </cell>
          <cell r="BF30">
            <v>0</v>
          </cell>
          <cell r="BG30"/>
          <cell r="BI30">
            <v>4833.333333333333</v>
          </cell>
          <cell r="BJ30">
            <v>4239.3166666666666</v>
          </cell>
          <cell r="BK30">
            <v>594.01666666666665</v>
          </cell>
          <cell r="BL30">
            <v>0</v>
          </cell>
          <cell r="BM30">
            <v>0</v>
          </cell>
          <cell r="BN30"/>
          <cell r="BP30">
            <v>4833.333333333333</v>
          </cell>
          <cell r="BQ30">
            <v>4239.3166666666666</v>
          </cell>
          <cell r="BR30">
            <v>594.01666666666665</v>
          </cell>
          <cell r="BS30">
            <v>0</v>
          </cell>
          <cell r="BT30">
            <v>0</v>
          </cell>
          <cell r="BU30"/>
          <cell r="BW30">
            <v>4833.333333333333</v>
          </cell>
          <cell r="BX30">
            <v>4239.3166666666666</v>
          </cell>
          <cell r="BY30">
            <v>594.01666666666665</v>
          </cell>
          <cell r="BZ30">
            <v>0</v>
          </cell>
          <cell r="CA30">
            <v>0</v>
          </cell>
          <cell r="CB30"/>
          <cell r="CD30">
            <v>4833.333333333333</v>
          </cell>
          <cell r="CE30">
            <v>4239.3166666666666</v>
          </cell>
          <cell r="CF30">
            <v>594.01666666666665</v>
          </cell>
          <cell r="CG30">
            <v>0</v>
          </cell>
          <cell r="CH30">
            <v>0</v>
          </cell>
          <cell r="CI30"/>
          <cell r="CK30">
            <v>4833.333333333333</v>
          </cell>
          <cell r="CL30">
            <v>4239.3166666666666</v>
          </cell>
          <cell r="CM30">
            <v>594.01666666666665</v>
          </cell>
          <cell r="CN30">
            <v>0</v>
          </cell>
          <cell r="CO30">
            <v>0</v>
          </cell>
          <cell r="CP30"/>
        </row>
        <row r="31">
          <cell r="L31">
            <v>416.66666666666669</v>
          </cell>
          <cell r="M31">
            <v>365.45833333333337</v>
          </cell>
          <cell r="N31">
            <v>51.208333333333336</v>
          </cell>
          <cell r="O31">
            <v>0</v>
          </cell>
          <cell r="P31">
            <v>0</v>
          </cell>
          <cell r="Q31"/>
          <cell r="S31">
            <v>416.66666666666669</v>
          </cell>
          <cell r="T31">
            <v>365.45833333333337</v>
          </cell>
          <cell r="U31">
            <v>51.208333333333336</v>
          </cell>
          <cell r="V31">
            <v>0</v>
          </cell>
          <cell r="W31">
            <v>0</v>
          </cell>
          <cell r="X31"/>
          <cell r="Z31">
            <v>416.66666666666669</v>
          </cell>
          <cell r="AA31">
            <v>365.45833333333337</v>
          </cell>
          <cell r="AB31">
            <v>51.208333333333336</v>
          </cell>
          <cell r="AC31">
            <v>0</v>
          </cell>
          <cell r="AD31">
            <v>0</v>
          </cell>
          <cell r="AE31"/>
          <cell r="AG31">
            <v>416.66666666666669</v>
          </cell>
          <cell r="AH31">
            <v>365.45833333333337</v>
          </cell>
          <cell r="AI31">
            <v>51.208333333333336</v>
          </cell>
          <cell r="AJ31">
            <v>0</v>
          </cell>
          <cell r="AK31">
            <v>0</v>
          </cell>
          <cell r="AL31"/>
          <cell r="AN31">
            <v>416.66666666666669</v>
          </cell>
          <cell r="AO31">
            <v>365.45833333333337</v>
          </cell>
          <cell r="AP31">
            <v>51.208333333333336</v>
          </cell>
          <cell r="AQ31">
            <v>0</v>
          </cell>
          <cell r="AR31">
            <v>0</v>
          </cell>
          <cell r="AS31"/>
          <cell r="AU31">
            <v>416.66666666666669</v>
          </cell>
          <cell r="AV31">
            <v>365.45833333333337</v>
          </cell>
          <cell r="AW31">
            <v>51.208333333333336</v>
          </cell>
          <cell r="AX31">
            <v>0</v>
          </cell>
          <cell r="AY31">
            <v>0</v>
          </cell>
          <cell r="AZ31"/>
          <cell r="BB31">
            <v>416.66666666666669</v>
          </cell>
          <cell r="BC31">
            <v>365.45833333333337</v>
          </cell>
          <cell r="BD31">
            <v>51.208333333333336</v>
          </cell>
          <cell r="BE31">
            <v>0</v>
          </cell>
          <cell r="BF31">
            <v>0</v>
          </cell>
          <cell r="BG31"/>
          <cell r="BI31">
            <v>416.66666666666669</v>
          </cell>
          <cell r="BJ31">
            <v>365.45833333333337</v>
          </cell>
          <cell r="BK31">
            <v>51.208333333333336</v>
          </cell>
          <cell r="BL31">
            <v>0</v>
          </cell>
          <cell r="BM31">
            <v>0</v>
          </cell>
          <cell r="BN31"/>
          <cell r="BP31">
            <v>416.66666666666669</v>
          </cell>
          <cell r="BQ31">
            <v>365.45833333333337</v>
          </cell>
          <cell r="BR31">
            <v>51.208333333333336</v>
          </cell>
          <cell r="BS31">
            <v>0</v>
          </cell>
          <cell r="BT31">
            <v>0</v>
          </cell>
          <cell r="BU31"/>
          <cell r="BW31">
            <v>416.66666666666669</v>
          </cell>
          <cell r="BX31">
            <v>365.45833333333337</v>
          </cell>
          <cell r="BY31">
            <v>51.208333333333336</v>
          </cell>
          <cell r="BZ31">
            <v>0</v>
          </cell>
          <cell r="CA31">
            <v>0</v>
          </cell>
          <cell r="CB31"/>
          <cell r="CD31">
            <v>416.66666666666669</v>
          </cell>
          <cell r="CE31">
            <v>365.45833333333337</v>
          </cell>
          <cell r="CF31">
            <v>51.208333333333336</v>
          </cell>
          <cell r="CG31">
            <v>0</v>
          </cell>
          <cell r="CH31">
            <v>0</v>
          </cell>
          <cell r="CI31"/>
          <cell r="CK31">
            <v>416.66666666666669</v>
          </cell>
          <cell r="CL31">
            <v>365.45833333333337</v>
          </cell>
          <cell r="CM31">
            <v>51.208333333333336</v>
          </cell>
          <cell r="CN31">
            <v>0</v>
          </cell>
          <cell r="CO31">
            <v>0</v>
          </cell>
          <cell r="CP31"/>
        </row>
        <row r="32">
          <cell r="L32">
            <v>377431.56</v>
          </cell>
          <cell r="M32">
            <v>331045.22127600003</v>
          </cell>
          <cell r="N32">
            <v>46386.338724000001</v>
          </cell>
          <cell r="O32">
            <v>93329.845784000034</v>
          </cell>
          <cell r="P32">
            <v>6466.8242160000036</v>
          </cell>
          <cell r="Q32">
            <v>99796.670000000042</v>
          </cell>
          <cell r="S32">
            <v>335390.484</v>
          </cell>
          <cell r="T32">
            <v>294170.99351639999</v>
          </cell>
          <cell r="U32">
            <v>41219.490483599999</v>
          </cell>
          <cell r="V32">
            <v>101603.82204000001</v>
          </cell>
          <cell r="W32">
            <v>7040.1279600000016</v>
          </cell>
          <cell r="X32">
            <v>108643.95000000001</v>
          </cell>
          <cell r="Z32">
            <v>306549.408</v>
          </cell>
          <cell r="AA32">
            <v>268874.48575679999</v>
          </cell>
          <cell r="AB32">
            <v>37674.922243199995</v>
          </cell>
          <cell r="AC32">
            <v>174623.12515199999</v>
          </cell>
          <cell r="AD32">
            <v>12099.634848000002</v>
          </cell>
          <cell r="AE32">
            <v>186722.75999999998</v>
          </cell>
          <cell r="AG32">
            <v>335390.484</v>
          </cell>
          <cell r="AH32">
            <v>294170.99351639999</v>
          </cell>
          <cell r="AI32">
            <v>41219.490483599999</v>
          </cell>
          <cell r="AJ32">
            <v>189615.11060799999</v>
          </cell>
          <cell r="AK32">
            <v>13138.429392</v>
          </cell>
          <cell r="AL32">
            <v>202753.53999999998</v>
          </cell>
          <cell r="AN32">
            <v>364231.56</v>
          </cell>
          <cell r="AO32">
            <v>319467.501276</v>
          </cell>
          <cell r="AP32">
            <v>44764.058723999995</v>
          </cell>
          <cell r="AQ32">
            <v>0</v>
          </cell>
          <cell r="AR32">
            <v>0</v>
          </cell>
          <cell r="AS32"/>
          <cell r="AU32">
            <v>430231.56</v>
          </cell>
          <cell r="AV32">
            <v>377356.10127600003</v>
          </cell>
          <cell r="AW32">
            <v>52875.458723999996</v>
          </cell>
          <cell r="AX32">
            <v>0</v>
          </cell>
          <cell r="AY32">
            <v>0</v>
          </cell>
          <cell r="AZ32"/>
          <cell r="BB32">
            <v>188760</v>
          </cell>
          <cell r="BC32">
            <v>165561.39600000001</v>
          </cell>
          <cell r="BD32">
            <v>23198.603999999999</v>
          </cell>
          <cell r="BE32">
            <v>0</v>
          </cell>
          <cell r="BF32">
            <v>0</v>
          </cell>
          <cell r="BG32"/>
          <cell r="BI32">
            <v>90640</v>
          </cell>
          <cell r="BJ32">
            <v>79500.343999999997</v>
          </cell>
          <cell r="BK32">
            <v>11139.655999999999</v>
          </cell>
          <cell r="BL32">
            <v>0</v>
          </cell>
          <cell r="BM32">
            <v>0</v>
          </cell>
          <cell r="BN32"/>
          <cell r="BP32">
            <v>2640</v>
          </cell>
          <cell r="BQ32">
            <v>2315.5439999999999</v>
          </cell>
          <cell r="BR32">
            <v>324.45599999999996</v>
          </cell>
          <cell r="BS32">
            <v>0</v>
          </cell>
          <cell r="BT32">
            <v>0</v>
          </cell>
          <cell r="BU32"/>
          <cell r="BW32">
            <v>2640</v>
          </cell>
          <cell r="BX32">
            <v>2315.5439999999999</v>
          </cell>
          <cell r="BY32">
            <v>324.45599999999996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173469.38775510204</v>
          </cell>
          <cell r="M33">
            <v>152150</v>
          </cell>
          <cell r="N33">
            <v>21319.387755102041</v>
          </cell>
          <cell r="O33">
            <v>99081.157447999998</v>
          </cell>
          <cell r="P33">
            <v>6865.3325520000017</v>
          </cell>
          <cell r="Q33">
            <v>105946.49</v>
          </cell>
          <cell r="S33">
            <v>156122.44897959183</v>
          </cell>
          <cell r="T33">
            <v>136935</v>
          </cell>
          <cell r="U33">
            <v>19187.448979591834</v>
          </cell>
          <cell r="V33">
            <v>56036.866032000005</v>
          </cell>
          <cell r="W33">
            <v>3882.7939680000009</v>
          </cell>
          <cell r="X33">
            <v>59919.66</v>
          </cell>
          <cell r="Z33">
            <v>138775.51020408163</v>
          </cell>
          <cell r="AA33">
            <v>121720</v>
          </cell>
          <cell r="AB33">
            <v>17055.510204081631</v>
          </cell>
          <cell r="AC33">
            <v>149803.89911199998</v>
          </cell>
          <cell r="AD33">
            <v>10379.910888000002</v>
          </cell>
          <cell r="AE33">
            <v>160183.81</v>
          </cell>
          <cell r="AG33">
            <v>156122.44897959183</v>
          </cell>
          <cell r="AH33">
            <v>136935</v>
          </cell>
          <cell r="AI33">
            <v>19187.448979591834</v>
          </cell>
          <cell r="AJ33">
            <v>2476.54988</v>
          </cell>
          <cell r="AK33">
            <v>171.60012000000003</v>
          </cell>
          <cell r="AL33">
            <v>2648.15</v>
          </cell>
          <cell r="AN33">
            <v>173469.38775510204</v>
          </cell>
          <cell r="AO33">
            <v>152150</v>
          </cell>
          <cell r="AP33">
            <v>21319.387755102041</v>
          </cell>
          <cell r="AQ33">
            <v>0</v>
          </cell>
          <cell r="AR33">
            <v>0</v>
          </cell>
          <cell r="AS33"/>
          <cell r="AU33">
            <v>173469.38775510204</v>
          </cell>
          <cell r="AV33">
            <v>152150</v>
          </cell>
          <cell r="AW33">
            <v>21319.387755102041</v>
          </cell>
          <cell r="AX33">
            <v>0</v>
          </cell>
          <cell r="AY33">
            <v>0</v>
          </cell>
          <cell r="AZ33"/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464502.35000000003</v>
          </cell>
          <cell r="M34">
            <v>407415.01118500001</v>
          </cell>
          <cell r="N34">
            <v>57087.338815000003</v>
          </cell>
          <cell r="O34">
            <v>366451.50813600002</v>
          </cell>
          <cell r="P34">
            <v>25391.421864000004</v>
          </cell>
          <cell r="Q34">
            <v>391842.93</v>
          </cell>
          <cell r="S34">
            <v>341954.9</v>
          </cell>
          <cell r="T34">
            <v>299928.64279000001</v>
          </cell>
          <cell r="U34">
            <v>42026.257210000003</v>
          </cell>
          <cell r="V34">
            <v>37230.957288000005</v>
          </cell>
          <cell r="W34">
            <v>2579.7327120000004</v>
          </cell>
          <cell r="X34">
            <v>39810.69</v>
          </cell>
          <cell r="Z34">
            <v>0</v>
          </cell>
          <cell r="AA34">
            <v>0</v>
          </cell>
          <cell r="AB34">
            <v>0</v>
          </cell>
          <cell r="AC34">
            <v>35903.973952</v>
          </cell>
          <cell r="AD34">
            <v>2487.7860480000004</v>
          </cell>
          <cell r="AE34">
            <v>38391.760000000002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30000</v>
          </cell>
          <cell r="BC34">
            <v>26313</v>
          </cell>
          <cell r="BD34">
            <v>3687</v>
          </cell>
          <cell r="BE34">
            <v>0</v>
          </cell>
          <cell r="BF34">
            <v>0</v>
          </cell>
          <cell r="BG34"/>
          <cell r="BI34">
            <v>45000</v>
          </cell>
          <cell r="BJ34">
            <v>39469.5</v>
          </cell>
          <cell r="BK34">
            <v>5530.5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168979.5918367347</v>
          </cell>
          <cell r="M35">
            <v>148212</v>
          </cell>
          <cell r="N35">
            <v>20767.591836734693</v>
          </cell>
          <cell r="O35">
            <v>80719.618336</v>
          </cell>
          <cell r="P35">
            <v>5593.0616640000017</v>
          </cell>
          <cell r="Q35">
            <v>86312.680000000008</v>
          </cell>
          <cell r="S35">
            <v>112653.06122448981</v>
          </cell>
          <cell r="T35">
            <v>98808.000000000015</v>
          </cell>
          <cell r="U35">
            <v>13845.061224489797</v>
          </cell>
          <cell r="V35">
            <v>23065.585759999998</v>
          </cell>
          <cell r="W35">
            <v>1598.2142400000002</v>
          </cell>
          <cell r="X35">
            <v>24663.8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14166.666666666666</v>
          </cell>
          <cell r="M36">
            <v>12425.583333333332</v>
          </cell>
          <cell r="N36">
            <v>1741.0833333333333</v>
          </cell>
          <cell r="O36">
            <v>10533.120191999998</v>
          </cell>
          <cell r="P36">
            <v>729.83980800000006</v>
          </cell>
          <cell r="Q36">
            <v>11262.96</v>
          </cell>
          <cell r="S36">
            <v>14166.666666666666</v>
          </cell>
          <cell r="T36">
            <v>12425.583333333332</v>
          </cell>
          <cell r="U36">
            <v>1741.0833333333333</v>
          </cell>
          <cell r="V36">
            <v>13177.753568</v>
          </cell>
          <cell r="W36">
            <v>913.08643200000017</v>
          </cell>
          <cell r="X36">
            <v>14090.84</v>
          </cell>
          <cell r="Z36">
            <v>14166.666666666666</v>
          </cell>
          <cell r="AA36">
            <v>12425.583333333332</v>
          </cell>
          <cell r="AB36">
            <v>1741.0833333333333</v>
          </cell>
          <cell r="AC36">
            <v>12263.156024</v>
          </cell>
          <cell r="AD36">
            <v>849.71397600000023</v>
          </cell>
          <cell r="AE36">
            <v>13112.87</v>
          </cell>
          <cell r="AG36">
            <v>14166.666666666666</v>
          </cell>
          <cell r="AH36">
            <v>12425.583333333332</v>
          </cell>
          <cell r="AI36">
            <v>1741.0833333333333</v>
          </cell>
          <cell r="AJ36">
            <v>24415.210288000002</v>
          </cell>
          <cell r="AK36">
            <v>1691.7297120000005</v>
          </cell>
          <cell r="AL36">
            <v>26106.940000000002</v>
          </cell>
          <cell r="AN36">
            <v>14166.666666666666</v>
          </cell>
          <cell r="AO36">
            <v>12425.583333333332</v>
          </cell>
          <cell r="AP36">
            <v>1741.0833333333333</v>
          </cell>
          <cell r="AQ36">
            <v>0</v>
          </cell>
          <cell r="AR36">
            <v>0</v>
          </cell>
          <cell r="AS36"/>
          <cell r="AU36">
            <v>14166.666666666666</v>
          </cell>
          <cell r="AV36">
            <v>12425.583333333332</v>
          </cell>
          <cell r="AW36">
            <v>1741.0833333333333</v>
          </cell>
          <cell r="AX36">
            <v>0</v>
          </cell>
          <cell r="AY36">
            <v>0</v>
          </cell>
          <cell r="AZ36"/>
          <cell r="BB36">
            <v>14166.666666666666</v>
          </cell>
          <cell r="BC36">
            <v>12425.583333333332</v>
          </cell>
          <cell r="BD36">
            <v>1741.0833333333333</v>
          </cell>
          <cell r="BE36">
            <v>0</v>
          </cell>
          <cell r="BF36">
            <v>0</v>
          </cell>
          <cell r="BG36"/>
          <cell r="BI36">
            <v>14166.666666666666</v>
          </cell>
          <cell r="BJ36">
            <v>12425.583333333332</v>
          </cell>
          <cell r="BK36">
            <v>1741.0833333333333</v>
          </cell>
          <cell r="BL36">
            <v>0</v>
          </cell>
          <cell r="BM36">
            <v>0</v>
          </cell>
          <cell r="BN36"/>
          <cell r="BP36">
            <v>14166.666666666666</v>
          </cell>
          <cell r="BQ36">
            <v>12425.583333333332</v>
          </cell>
          <cell r="BR36">
            <v>1741.0833333333333</v>
          </cell>
          <cell r="BS36">
            <v>0</v>
          </cell>
          <cell r="BT36">
            <v>0</v>
          </cell>
          <cell r="BU36"/>
          <cell r="BW36">
            <v>14166.666666666666</v>
          </cell>
          <cell r="BX36">
            <v>12425.583333333332</v>
          </cell>
          <cell r="BY36">
            <v>1741.0833333333333</v>
          </cell>
          <cell r="BZ36">
            <v>0</v>
          </cell>
          <cell r="CA36">
            <v>0</v>
          </cell>
          <cell r="CB36"/>
          <cell r="CD36">
            <v>14166.666666666666</v>
          </cell>
          <cell r="CE36">
            <v>12425.583333333332</v>
          </cell>
          <cell r="CF36">
            <v>1741.0833333333333</v>
          </cell>
          <cell r="CG36">
            <v>0</v>
          </cell>
          <cell r="CH36">
            <v>0</v>
          </cell>
          <cell r="CI36"/>
          <cell r="CK36">
            <v>14166.666666666666</v>
          </cell>
          <cell r="CL36">
            <v>12425.583333333332</v>
          </cell>
          <cell r="CM36">
            <v>1741.0833333333333</v>
          </cell>
          <cell r="CN36">
            <v>0</v>
          </cell>
          <cell r="CO36">
            <v>0</v>
          </cell>
          <cell r="CP36"/>
        </row>
        <row r="37">
          <cell r="L37">
            <v>11666.666666666666</v>
          </cell>
          <cell r="M37">
            <v>10232.833333333332</v>
          </cell>
          <cell r="N37">
            <v>1433.8333333333333</v>
          </cell>
          <cell r="O37">
            <v>21863.517088000001</v>
          </cell>
          <cell r="P37">
            <v>1514.9229120000005</v>
          </cell>
          <cell r="Q37">
            <v>23378.440000000002</v>
          </cell>
          <cell r="S37">
            <v>11666.666666666666</v>
          </cell>
          <cell r="T37">
            <v>10232.833333333332</v>
          </cell>
          <cell r="U37">
            <v>1433.8333333333333</v>
          </cell>
          <cell r="V37">
            <v>19821.264736000005</v>
          </cell>
          <cell r="W37">
            <v>1373.4152640000004</v>
          </cell>
          <cell r="X37">
            <v>21194.680000000004</v>
          </cell>
          <cell r="Z37">
            <v>11666.666666666666</v>
          </cell>
          <cell r="AA37">
            <v>10232.833333333332</v>
          </cell>
          <cell r="AB37">
            <v>1433.8333333333333</v>
          </cell>
          <cell r="AC37">
            <v>19435.578903999998</v>
          </cell>
          <cell r="AD37">
            <v>1346.691096</v>
          </cell>
          <cell r="AE37">
            <v>20782.269999999997</v>
          </cell>
          <cell r="AG37">
            <v>11666.666666666666</v>
          </cell>
          <cell r="AH37">
            <v>10232.833333333332</v>
          </cell>
          <cell r="AI37">
            <v>1433.8333333333333</v>
          </cell>
          <cell r="AJ37">
            <v>22533.354087999996</v>
          </cell>
          <cell r="AK37">
            <v>1561.335912</v>
          </cell>
          <cell r="AL37">
            <v>24094.689999999995</v>
          </cell>
          <cell r="AN37">
            <v>11666.666666666666</v>
          </cell>
          <cell r="AO37">
            <v>10232.833333333332</v>
          </cell>
          <cell r="AP37">
            <v>1433.8333333333333</v>
          </cell>
          <cell r="AQ37">
            <v>0</v>
          </cell>
          <cell r="AR37">
            <v>0</v>
          </cell>
          <cell r="AS37"/>
          <cell r="AU37">
            <v>11666.666666666666</v>
          </cell>
          <cell r="AV37">
            <v>10232.833333333332</v>
          </cell>
          <cell r="AW37">
            <v>1433.8333333333333</v>
          </cell>
          <cell r="AX37">
            <v>0</v>
          </cell>
          <cell r="AY37">
            <v>0</v>
          </cell>
          <cell r="AZ37"/>
          <cell r="BB37">
            <v>11666.666666666666</v>
          </cell>
          <cell r="BC37">
            <v>10232.833333333332</v>
          </cell>
          <cell r="BD37">
            <v>1433.8333333333333</v>
          </cell>
          <cell r="BE37">
            <v>0</v>
          </cell>
          <cell r="BF37">
            <v>0</v>
          </cell>
          <cell r="BG37"/>
          <cell r="BI37">
            <v>11666.666666666666</v>
          </cell>
          <cell r="BJ37">
            <v>10232.833333333332</v>
          </cell>
          <cell r="BK37">
            <v>1433.8333333333333</v>
          </cell>
          <cell r="BL37">
            <v>0</v>
          </cell>
          <cell r="BM37">
            <v>0</v>
          </cell>
          <cell r="BN37"/>
          <cell r="BP37">
            <v>11666.666666666666</v>
          </cell>
          <cell r="BQ37">
            <v>10232.833333333332</v>
          </cell>
          <cell r="BR37">
            <v>1433.8333333333333</v>
          </cell>
          <cell r="BS37">
            <v>0</v>
          </cell>
          <cell r="BT37">
            <v>0</v>
          </cell>
          <cell r="BU37"/>
          <cell r="BW37">
            <v>11666.666666666666</v>
          </cell>
          <cell r="BX37">
            <v>10232.833333333332</v>
          </cell>
          <cell r="BY37">
            <v>1433.8333333333333</v>
          </cell>
          <cell r="BZ37">
            <v>0</v>
          </cell>
          <cell r="CA37">
            <v>0</v>
          </cell>
          <cell r="CB37"/>
          <cell r="CD37">
            <v>11666.666666666666</v>
          </cell>
          <cell r="CE37">
            <v>10232.833333333332</v>
          </cell>
          <cell r="CF37">
            <v>1433.8333333333333</v>
          </cell>
          <cell r="CG37">
            <v>0</v>
          </cell>
          <cell r="CH37">
            <v>0</v>
          </cell>
          <cell r="CI37"/>
          <cell r="CK37">
            <v>11666.666666666666</v>
          </cell>
          <cell r="CL37">
            <v>10232.833333333332</v>
          </cell>
          <cell r="CM37">
            <v>1433.8333333333333</v>
          </cell>
          <cell r="CN37">
            <v>0</v>
          </cell>
          <cell r="CO37">
            <v>0</v>
          </cell>
          <cell r="CP37"/>
        </row>
        <row r="38">
          <cell r="L38">
            <v>1666.6666666666667</v>
          </cell>
          <cell r="M38">
            <v>1461.8333333333335</v>
          </cell>
          <cell r="N38">
            <v>204.83333333333334</v>
          </cell>
          <cell r="O38">
            <v>880.32246400000008</v>
          </cell>
          <cell r="P38">
            <v>60.997536000000011</v>
          </cell>
          <cell r="Q38">
            <v>941.32</v>
          </cell>
          <cell r="S38">
            <v>1666.6666666666667</v>
          </cell>
          <cell r="T38">
            <v>1461.8333333333335</v>
          </cell>
          <cell r="U38">
            <v>204.83333333333334</v>
          </cell>
          <cell r="V38">
            <v>1372.8268399999999</v>
          </cell>
          <cell r="W38">
            <v>95.123160000000013</v>
          </cell>
          <cell r="X38">
            <v>1467.95</v>
          </cell>
          <cell r="Z38">
            <v>1666.6666666666667</v>
          </cell>
          <cell r="AA38">
            <v>1461.8333333333335</v>
          </cell>
          <cell r="AB38">
            <v>204.83333333333334</v>
          </cell>
          <cell r="AC38">
            <v>1786.531264</v>
          </cell>
          <cell r="AD38">
            <v>123.78873600000001</v>
          </cell>
          <cell r="AE38">
            <v>1910.32</v>
          </cell>
          <cell r="AG38">
            <v>1666.6666666666667</v>
          </cell>
          <cell r="AH38">
            <v>1461.8333333333335</v>
          </cell>
          <cell r="AI38">
            <v>204.83333333333334</v>
          </cell>
          <cell r="AJ38">
            <v>747.50536</v>
          </cell>
          <cell r="AK38">
            <v>51.794640000000008</v>
          </cell>
          <cell r="AL38">
            <v>799.3</v>
          </cell>
          <cell r="AN38">
            <v>1666.6666666666667</v>
          </cell>
          <cell r="AO38">
            <v>1461.8333333333335</v>
          </cell>
          <cell r="AP38">
            <v>204.83333333333334</v>
          </cell>
          <cell r="AQ38">
            <v>0</v>
          </cell>
          <cell r="AR38">
            <v>0</v>
          </cell>
          <cell r="AS38"/>
          <cell r="AU38">
            <v>1666.6666666666667</v>
          </cell>
          <cell r="AV38">
            <v>1461.8333333333335</v>
          </cell>
          <cell r="AW38">
            <v>204.83333333333334</v>
          </cell>
          <cell r="AX38">
            <v>0</v>
          </cell>
          <cell r="AY38">
            <v>0</v>
          </cell>
          <cell r="AZ38"/>
          <cell r="BB38">
            <v>1666.6666666666667</v>
          </cell>
          <cell r="BC38">
            <v>1461.8333333333335</v>
          </cell>
          <cell r="BD38">
            <v>204.83333333333334</v>
          </cell>
          <cell r="BE38">
            <v>0</v>
          </cell>
          <cell r="BF38">
            <v>0</v>
          </cell>
          <cell r="BG38"/>
          <cell r="BI38">
            <v>1666.6666666666667</v>
          </cell>
          <cell r="BJ38">
            <v>1461.8333333333335</v>
          </cell>
          <cell r="BK38">
            <v>204.83333333333334</v>
          </cell>
          <cell r="BL38">
            <v>0</v>
          </cell>
          <cell r="BM38">
            <v>0</v>
          </cell>
          <cell r="BN38"/>
          <cell r="BP38">
            <v>1666.6666666666667</v>
          </cell>
          <cell r="BQ38">
            <v>1461.8333333333335</v>
          </cell>
          <cell r="BR38">
            <v>204.83333333333334</v>
          </cell>
          <cell r="BS38">
            <v>0</v>
          </cell>
          <cell r="BT38">
            <v>0</v>
          </cell>
          <cell r="BU38"/>
          <cell r="BW38">
            <v>1666.6666666666667</v>
          </cell>
          <cell r="BX38">
            <v>1461.8333333333335</v>
          </cell>
          <cell r="BY38">
            <v>204.83333333333334</v>
          </cell>
          <cell r="BZ38">
            <v>0</v>
          </cell>
          <cell r="CA38">
            <v>0</v>
          </cell>
          <cell r="CB38"/>
          <cell r="CD38">
            <v>1666.6666666666667</v>
          </cell>
          <cell r="CE38">
            <v>1461.8333333333335</v>
          </cell>
          <cell r="CF38">
            <v>204.83333333333334</v>
          </cell>
          <cell r="CG38">
            <v>0</v>
          </cell>
          <cell r="CH38">
            <v>0</v>
          </cell>
          <cell r="CI38"/>
          <cell r="CK38">
            <v>1666.6666666666667</v>
          </cell>
          <cell r="CL38">
            <v>1461.8333333333335</v>
          </cell>
          <cell r="CM38">
            <v>204.83333333333334</v>
          </cell>
          <cell r="CN38">
            <v>0</v>
          </cell>
          <cell r="CO38">
            <v>0</v>
          </cell>
          <cell r="CP38"/>
        </row>
        <row r="39">
          <cell r="L39">
            <v>83.333333333333329</v>
          </cell>
          <cell r="M39">
            <v>73.091666666666669</v>
          </cell>
          <cell r="N39">
            <v>10.241666666666665</v>
          </cell>
          <cell r="O39">
            <v>187.04</v>
          </cell>
          <cell r="P39">
            <v>12.960000000000003</v>
          </cell>
          <cell r="Q39">
            <v>200</v>
          </cell>
          <cell r="S39">
            <v>83.333333333333329</v>
          </cell>
          <cell r="T39">
            <v>73.091666666666669</v>
          </cell>
          <cell r="U39">
            <v>10.241666666666665</v>
          </cell>
          <cell r="V39">
            <v>613.86527999999998</v>
          </cell>
          <cell r="W39">
            <v>42.534720000000007</v>
          </cell>
          <cell r="X39">
            <v>656.4</v>
          </cell>
          <cell r="Z39">
            <v>83.333333333333329</v>
          </cell>
          <cell r="AA39">
            <v>73.091666666666669</v>
          </cell>
          <cell r="AB39">
            <v>10.241666666666665</v>
          </cell>
          <cell r="AC39">
            <v>0</v>
          </cell>
          <cell r="AD39">
            <v>0</v>
          </cell>
          <cell r="AE39"/>
          <cell r="AG39">
            <v>83.333333333333329</v>
          </cell>
          <cell r="AH39">
            <v>73.091666666666669</v>
          </cell>
          <cell r="AI39">
            <v>10.241666666666665</v>
          </cell>
          <cell r="AJ39">
            <v>1290.38896</v>
          </cell>
          <cell r="AK39">
            <v>89.411040000000014</v>
          </cell>
          <cell r="AL39">
            <v>1379.8</v>
          </cell>
          <cell r="AN39">
            <v>83.333333333333329</v>
          </cell>
          <cell r="AO39">
            <v>73.091666666666669</v>
          </cell>
          <cell r="AP39">
            <v>10.241666666666665</v>
          </cell>
          <cell r="AQ39">
            <v>0</v>
          </cell>
          <cell r="AR39">
            <v>0</v>
          </cell>
          <cell r="AS39"/>
          <cell r="AU39">
            <v>83.333333333333329</v>
          </cell>
          <cell r="AV39">
            <v>73.091666666666669</v>
          </cell>
          <cell r="AW39">
            <v>10.241666666666665</v>
          </cell>
          <cell r="AX39">
            <v>0</v>
          </cell>
          <cell r="AY39">
            <v>0</v>
          </cell>
          <cell r="AZ39"/>
          <cell r="BB39">
            <v>83.333333333333329</v>
          </cell>
          <cell r="BC39">
            <v>73.091666666666669</v>
          </cell>
          <cell r="BD39">
            <v>10.241666666666665</v>
          </cell>
          <cell r="BE39">
            <v>0</v>
          </cell>
          <cell r="BF39">
            <v>0</v>
          </cell>
          <cell r="BG39"/>
          <cell r="BI39">
            <v>83.333333333333329</v>
          </cell>
          <cell r="BJ39">
            <v>73.091666666666669</v>
          </cell>
          <cell r="BK39">
            <v>10.241666666666665</v>
          </cell>
          <cell r="BL39">
            <v>0</v>
          </cell>
          <cell r="BM39">
            <v>0</v>
          </cell>
          <cell r="BN39"/>
          <cell r="BP39">
            <v>83.333333333333329</v>
          </cell>
          <cell r="BQ39">
            <v>73.091666666666669</v>
          </cell>
          <cell r="BR39">
            <v>10.241666666666665</v>
          </cell>
          <cell r="BS39">
            <v>0</v>
          </cell>
          <cell r="BT39">
            <v>0</v>
          </cell>
          <cell r="BU39"/>
          <cell r="BW39">
            <v>83.333333333333329</v>
          </cell>
          <cell r="BX39">
            <v>73.091666666666669</v>
          </cell>
          <cell r="BY39">
            <v>10.241666666666665</v>
          </cell>
          <cell r="BZ39">
            <v>0</v>
          </cell>
          <cell r="CA39">
            <v>0</v>
          </cell>
          <cell r="CB39"/>
          <cell r="CD39">
            <v>83.333333333333329</v>
          </cell>
          <cell r="CE39">
            <v>73.091666666666669</v>
          </cell>
          <cell r="CF39">
            <v>10.241666666666665</v>
          </cell>
          <cell r="CG39">
            <v>0</v>
          </cell>
          <cell r="CH39">
            <v>0</v>
          </cell>
          <cell r="CI39"/>
          <cell r="CK39">
            <v>83.333333333333329</v>
          </cell>
          <cell r="CL39">
            <v>73.091666666666669</v>
          </cell>
          <cell r="CM39">
            <v>10.241666666666665</v>
          </cell>
          <cell r="CN39">
            <v>0</v>
          </cell>
          <cell r="CO39">
            <v>0</v>
          </cell>
          <cell r="CP39"/>
        </row>
        <row r="40">
          <cell r="L40">
            <v>5833.333333333333</v>
          </cell>
          <cell r="M40">
            <v>5116.4166666666661</v>
          </cell>
          <cell r="N40">
            <v>716.91666666666663</v>
          </cell>
          <cell r="O40">
            <v>2627.5379199999998</v>
          </cell>
          <cell r="P40">
            <v>182.06208000000004</v>
          </cell>
          <cell r="Q40">
            <v>2809.6</v>
          </cell>
          <cell r="S40">
            <v>5833.333333333333</v>
          </cell>
          <cell r="T40">
            <v>5116.4166666666661</v>
          </cell>
          <cell r="U40">
            <v>716.91666666666663</v>
          </cell>
          <cell r="V40">
            <v>4327.2171600000001</v>
          </cell>
          <cell r="W40">
            <v>299.83284000000003</v>
          </cell>
          <cell r="X40">
            <v>4627.05</v>
          </cell>
          <cell r="Z40">
            <v>5833.333333333333</v>
          </cell>
          <cell r="AA40">
            <v>5116.4166666666661</v>
          </cell>
          <cell r="AB40">
            <v>716.91666666666663</v>
          </cell>
          <cell r="AC40">
            <v>4039.6899200000003</v>
          </cell>
          <cell r="AD40">
            <v>279.91008000000005</v>
          </cell>
          <cell r="AE40">
            <v>4319.6000000000004</v>
          </cell>
          <cell r="AG40">
            <v>5833.333333333333</v>
          </cell>
          <cell r="AH40">
            <v>5116.4166666666661</v>
          </cell>
          <cell r="AI40">
            <v>716.91666666666663</v>
          </cell>
          <cell r="AJ40">
            <v>5693.1328719999992</v>
          </cell>
          <cell r="AK40">
            <v>394.47712800000005</v>
          </cell>
          <cell r="AL40">
            <v>6087.61</v>
          </cell>
          <cell r="AN40">
            <v>5833.333333333333</v>
          </cell>
          <cell r="AO40">
            <v>5116.4166666666661</v>
          </cell>
          <cell r="AP40">
            <v>716.91666666666663</v>
          </cell>
          <cell r="AQ40">
            <v>0</v>
          </cell>
          <cell r="AR40">
            <v>0</v>
          </cell>
          <cell r="AS40"/>
          <cell r="AU40">
            <v>5833.333333333333</v>
          </cell>
          <cell r="AV40">
            <v>5116.4166666666661</v>
          </cell>
          <cell r="AW40">
            <v>716.91666666666663</v>
          </cell>
          <cell r="AX40">
            <v>0</v>
          </cell>
          <cell r="AY40">
            <v>0</v>
          </cell>
          <cell r="AZ40"/>
          <cell r="BB40">
            <v>5833.333333333333</v>
          </cell>
          <cell r="BC40">
            <v>5116.4166666666661</v>
          </cell>
          <cell r="BD40">
            <v>716.91666666666663</v>
          </cell>
          <cell r="BE40">
            <v>0</v>
          </cell>
          <cell r="BF40">
            <v>0</v>
          </cell>
          <cell r="BG40"/>
          <cell r="BI40">
            <v>5833.333333333333</v>
          </cell>
          <cell r="BJ40">
            <v>5116.4166666666661</v>
          </cell>
          <cell r="BK40">
            <v>716.91666666666663</v>
          </cell>
          <cell r="BL40">
            <v>0</v>
          </cell>
          <cell r="BM40">
            <v>0</v>
          </cell>
          <cell r="BN40"/>
          <cell r="BP40">
            <v>5833.333333333333</v>
          </cell>
          <cell r="BQ40">
            <v>5116.4166666666661</v>
          </cell>
          <cell r="BR40">
            <v>716.91666666666663</v>
          </cell>
          <cell r="BS40">
            <v>0</v>
          </cell>
          <cell r="BT40">
            <v>0</v>
          </cell>
          <cell r="BU40"/>
          <cell r="BW40">
            <v>5833.333333333333</v>
          </cell>
          <cell r="BX40">
            <v>5116.4166666666661</v>
          </cell>
          <cell r="BY40">
            <v>716.91666666666663</v>
          </cell>
          <cell r="BZ40">
            <v>0</v>
          </cell>
          <cell r="CA40">
            <v>0</v>
          </cell>
          <cell r="CB40"/>
          <cell r="CD40">
            <v>5833.333333333333</v>
          </cell>
          <cell r="CE40">
            <v>5116.4166666666661</v>
          </cell>
          <cell r="CF40">
            <v>716.91666666666663</v>
          </cell>
          <cell r="CG40">
            <v>0</v>
          </cell>
          <cell r="CH40">
            <v>0</v>
          </cell>
          <cell r="CI40"/>
          <cell r="CK40">
            <v>5833.333333333333</v>
          </cell>
          <cell r="CL40">
            <v>5116.4166666666661</v>
          </cell>
          <cell r="CM40">
            <v>716.91666666666663</v>
          </cell>
          <cell r="CN40">
            <v>0</v>
          </cell>
          <cell r="CO40">
            <v>0</v>
          </cell>
          <cell r="CP40"/>
        </row>
        <row r="41">
          <cell r="L41">
            <v>11833.333333333334</v>
          </cell>
          <cell r="M41">
            <v>10379.016666666666</v>
          </cell>
          <cell r="N41">
            <v>1454.3166666666666</v>
          </cell>
          <cell r="O41">
            <v>11066.533333333333</v>
          </cell>
          <cell r="P41">
            <v>766.80000000000018</v>
          </cell>
          <cell r="Q41">
            <v>11833.333333333334</v>
          </cell>
          <cell r="S41">
            <v>11833.333333333334</v>
          </cell>
          <cell r="T41">
            <v>10379.016666666666</v>
          </cell>
          <cell r="U41">
            <v>1454.3166666666666</v>
          </cell>
          <cell r="V41">
            <v>11066.533333333333</v>
          </cell>
          <cell r="W41">
            <v>766.80000000000018</v>
          </cell>
          <cell r="X41">
            <v>11833.333333333334</v>
          </cell>
          <cell r="Z41">
            <v>11833.333333333334</v>
          </cell>
          <cell r="AA41">
            <v>10379.016666666666</v>
          </cell>
          <cell r="AB41">
            <v>1454.3166666666666</v>
          </cell>
          <cell r="AC41">
            <v>11066.533333333333</v>
          </cell>
          <cell r="AD41">
            <v>766.80000000000018</v>
          </cell>
          <cell r="AE41">
            <v>11833.333333333334</v>
          </cell>
          <cell r="AG41">
            <v>11833.333333333334</v>
          </cell>
          <cell r="AH41">
            <v>10379.016666666666</v>
          </cell>
          <cell r="AI41">
            <v>1454.3166666666666</v>
          </cell>
          <cell r="AJ41">
            <v>11066.533333333333</v>
          </cell>
          <cell r="AK41">
            <v>766.80000000000018</v>
          </cell>
          <cell r="AL41">
            <v>11833.333333333334</v>
          </cell>
          <cell r="AN41">
            <v>11833.333333333334</v>
          </cell>
          <cell r="AO41">
            <v>10379.016666666666</v>
          </cell>
          <cell r="AP41">
            <v>1454.3166666666666</v>
          </cell>
          <cell r="AQ41">
            <v>0</v>
          </cell>
          <cell r="AR41">
            <v>0</v>
          </cell>
          <cell r="AS41"/>
          <cell r="AU41">
            <v>11833.333333333334</v>
          </cell>
          <cell r="AV41">
            <v>10379.016666666666</v>
          </cell>
          <cell r="AW41">
            <v>1454.3166666666666</v>
          </cell>
          <cell r="AX41">
            <v>0</v>
          </cell>
          <cell r="AY41">
            <v>0</v>
          </cell>
          <cell r="AZ41"/>
          <cell r="BB41">
            <v>11833.333333333334</v>
          </cell>
          <cell r="BC41">
            <v>10379.016666666666</v>
          </cell>
          <cell r="BD41">
            <v>1454.3166666666666</v>
          </cell>
          <cell r="BE41">
            <v>0</v>
          </cell>
          <cell r="BF41">
            <v>0</v>
          </cell>
          <cell r="BG41"/>
          <cell r="BI41">
            <v>11833.333333333334</v>
          </cell>
          <cell r="BJ41">
            <v>10379.016666666666</v>
          </cell>
          <cell r="BK41">
            <v>1454.3166666666666</v>
          </cell>
          <cell r="BL41">
            <v>0</v>
          </cell>
          <cell r="BM41">
            <v>0</v>
          </cell>
          <cell r="BN41"/>
          <cell r="BP41">
            <v>11833.333333333334</v>
          </cell>
          <cell r="BQ41">
            <v>10379.016666666666</v>
          </cell>
          <cell r="BR41">
            <v>1454.3166666666666</v>
          </cell>
          <cell r="BS41">
            <v>0</v>
          </cell>
          <cell r="BT41">
            <v>0</v>
          </cell>
          <cell r="BU41"/>
          <cell r="BW41">
            <v>11833.333333333334</v>
          </cell>
          <cell r="BX41">
            <v>10379.016666666666</v>
          </cell>
          <cell r="BY41">
            <v>1454.3166666666666</v>
          </cell>
          <cell r="BZ41">
            <v>0</v>
          </cell>
          <cell r="CA41">
            <v>0</v>
          </cell>
          <cell r="CB41"/>
          <cell r="CD41">
            <v>11833.333333333334</v>
          </cell>
          <cell r="CE41">
            <v>10379.016666666666</v>
          </cell>
          <cell r="CF41">
            <v>1454.3166666666666</v>
          </cell>
          <cell r="CG41">
            <v>0</v>
          </cell>
          <cell r="CH41">
            <v>0</v>
          </cell>
          <cell r="CI41"/>
          <cell r="CK41">
            <v>11833.333333333334</v>
          </cell>
          <cell r="CL41">
            <v>10379.016666666666</v>
          </cell>
          <cell r="CM41">
            <v>1454.3166666666666</v>
          </cell>
          <cell r="CN41">
            <v>0</v>
          </cell>
          <cell r="CO41">
            <v>0</v>
          </cell>
          <cell r="CP41"/>
        </row>
        <row r="42">
          <cell r="L42">
            <v>79506.45</v>
          </cell>
          <cell r="M42">
            <v>69735.107294999994</v>
          </cell>
          <cell r="N42">
            <v>9771.3427049999991</v>
          </cell>
          <cell r="O42">
            <v>68600.585984000005</v>
          </cell>
          <cell r="P42">
            <v>4753.3340160000007</v>
          </cell>
          <cell r="Q42">
            <v>73353.919999999998</v>
          </cell>
          <cell r="S42">
            <v>79506.45</v>
          </cell>
          <cell r="T42">
            <v>69735.107294999994</v>
          </cell>
          <cell r="U42">
            <v>9771.3427049999991</v>
          </cell>
          <cell r="V42">
            <v>68600.585984000005</v>
          </cell>
          <cell r="W42">
            <v>4753.3340160000007</v>
          </cell>
          <cell r="X42">
            <v>73353.919999999998</v>
          </cell>
          <cell r="Z42">
            <v>79506.45</v>
          </cell>
          <cell r="AA42">
            <v>69735.107294999994</v>
          </cell>
          <cell r="AB42">
            <v>9771.3427049999991</v>
          </cell>
          <cell r="AC42">
            <v>68600.585984000005</v>
          </cell>
          <cell r="AD42">
            <v>4753.3340160000007</v>
          </cell>
          <cell r="AE42">
            <v>73353.919999999998</v>
          </cell>
          <cell r="AG42">
            <v>79506.45</v>
          </cell>
          <cell r="AH42">
            <v>69735.107294999994</v>
          </cell>
          <cell r="AI42">
            <v>9771.3427049999991</v>
          </cell>
          <cell r="AJ42">
            <v>68600.585984000005</v>
          </cell>
          <cell r="AK42">
            <v>4753.3340160000007</v>
          </cell>
          <cell r="AL42">
            <v>73353.919999999998</v>
          </cell>
          <cell r="AN42">
            <v>79506.45</v>
          </cell>
          <cell r="AO42">
            <v>69735.107294999994</v>
          </cell>
          <cell r="AP42">
            <v>9771.3427049999991</v>
          </cell>
          <cell r="AQ42">
            <v>0</v>
          </cell>
          <cell r="AR42">
            <v>0</v>
          </cell>
          <cell r="AS42"/>
          <cell r="AU42">
            <v>79506.45</v>
          </cell>
          <cell r="AV42">
            <v>69735.107294999994</v>
          </cell>
          <cell r="AW42">
            <v>9771.3427049999991</v>
          </cell>
          <cell r="AX42">
            <v>0</v>
          </cell>
          <cell r="AY42">
            <v>0</v>
          </cell>
          <cell r="AZ42"/>
          <cell r="BB42">
            <v>79506.45</v>
          </cell>
          <cell r="BC42">
            <v>69735.107294999994</v>
          </cell>
          <cell r="BD42">
            <v>9771.3427049999991</v>
          </cell>
          <cell r="BE42">
            <v>0</v>
          </cell>
          <cell r="BF42">
            <v>0</v>
          </cell>
          <cell r="BG42"/>
          <cell r="BI42">
            <v>79506.45</v>
          </cell>
          <cell r="BJ42">
            <v>69735.107294999994</v>
          </cell>
          <cell r="BK42">
            <v>9771.3427049999991</v>
          </cell>
          <cell r="BL42">
            <v>0</v>
          </cell>
          <cell r="BM42">
            <v>0</v>
          </cell>
          <cell r="BN42"/>
          <cell r="BP42">
            <v>79506.45</v>
          </cell>
          <cell r="BQ42">
            <v>69735.107294999994</v>
          </cell>
          <cell r="BR42">
            <v>9771.3427049999991</v>
          </cell>
          <cell r="BS42">
            <v>0</v>
          </cell>
          <cell r="BT42">
            <v>0</v>
          </cell>
          <cell r="BU42"/>
          <cell r="BW42">
            <v>79506.45</v>
          </cell>
          <cell r="BX42">
            <v>69735.107294999994</v>
          </cell>
          <cell r="BY42">
            <v>9771.3427049999991</v>
          </cell>
          <cell r="BZ42">
            <v>0</v>
          </cell>
          <cell r="CA42">
            <v>0</v>
          </cell>
          <cell r="CB42"/>
          <cell r="CD42">
            <v>79506.45</v>
          </cell>
          <cell r="CE42">
            <v>69735.107294999994</v>
          </cell>
          <cell r="CF42">
            <v>9771.3427049999991</v>
          </cell>
          <cell r="CG42">
            <v>0</v>
          </cell>
          <cell r="CH42">
            <v>0</v>
          </cell>
          <cell r="CI42"/>
          <cell r="CK42">
            <v>79506.45</v>
          </cell>
          <cell r="CL42">
            <v>69735.107294999994</v>
          </cell>
          <cell r="CM42">
            <v>9771.3427049999991</v>
          </cell>
          <cell r="CN42">
            <v>0</v>
          </cell>
          <cell r="CO42">
            <v>0</v>
          </cell>
          <cell r="CP42"/>
        </row>
        <row r="43">
          <cell r="L43">
            <v>3495.25</v>
          </cell>
          <cell r="M43">
            <v>3065.683775</v>
          </cell>
          <cell r="N43">
            <v>429.56622499999997</v>
          </cell>
          <cell r="O43">
            <v>3899.5876079999998</v>
          </cell>
          <cell r="P43">
            <v>270.20239200000003</v>
          </cell>
          <cell r="Q43">
            <v>4169.79</v>
          </cell>
          <cell r="S43">
            <v>3495.25</v>
          </cell>
          <cell r="T43">
            <v>3065.683775</v>
          </cell>
          <cell r="U43">
            <v>429.56622499999997</v>
          </cell>
          <cell r="V43">
            <v>3462.4096640000002</v>
          </cell>
          <cell r="W43">
            <v>239.91033600000006</v>
          </cell>
          <cell r="X43">
            <v>3702.32</v>
          </cell>
          <cell r="Z43">
            <v>3495.25</v>
          </cell>
          <cell r="AA43">
            <v>3065.683775</v>
          </cell>
          <cell r="AB43">
            <v>429.56622499999997</v>
          </cell>
          <cell r="AC43">
            <v>4960.4036719999995</v>
          </cell>
          <cell r="AD43">
            <v>343.70632800000004</v>
          </cell>
          <cell r="AE43">
            <v>5304.11</v>
          </cell>
          <cell r="AG43">
            <v>3495.25</v>
          </cell>
          <cell r="AH43">
            <v>3065.683775</v>
          </cell>
          <cell r="AI43">
            <v>429.56622499999997</v>
          </cell>
          <cell r="AJ43">
            <v>3813.801712</v>
          </cell>
          <cell r="AK43">
            <v>264.25828800000005</v>
          </cell>
          <cell r="AL43">
            <v>4078.06</v>
          </cell>
          <cell r="AN43">
            <v>3495.25</v>
          </cell>
          <cell r="AO43">
            <v>3065.683775</v>
          </cell>
          <cell r="AP43">
            <v>429.56622499999997</v>
          </cell>
          <cell r="AQ43">
            <v>0</v>
          </cell>
          <cell r="AR43">
            <v>0</v>
          </cell>
          <cell r="AS43"/>
          <cell r="AU43">
            <v>3495.25</v>
          </cell>
          <cell r="AV43">
            <v>3065.683775</v>
          </cell>
          <cell r="AW43">
            <v>429.56622499999997</v>
          </cell>
          <cell r="AX43">
            <v>0</v>
          </cell>
          <cell r="AY43">
            <v>0</v>
          </cell>
          <cell r="AZ43"/>
          <cell r="BB43">
            <v>3495.25</v>
          </cell>
          <cell r="BC43">
            <v>3065.683775</v>
          </cell>
          <cell r="BD43">
            <v>429.56622499999997</v>
          </cell>
          <cell r="BE43">
            <v>0</v>
          </cell>
          <cell r="BF43">
            <v>0</v>
          </cell>
          <cell r="BG43"/>
          <cell r="BI43">
            <v>3495.25</v>
          </cell>
          <cell r="BJ43">
            <v>3065.683775</v>
          </cell>
          <cell r="BK43">
            <v>429.56622499999997</v>
          </cell>
          <cell r="BL43">
            <v>0</v>
          </cell>
          <cell r="BM43">
            <v>0</v>
          </cell>
          <cell r="BN43"/>
          <cell r="BP43">
            <v>3495.25</v>
          </cell>
          <cell r="BQ43">
            <v>3065.683775</v>
          </cell>
          <cell r="BR43">
            <v>429.56622499999997</v>
          </cell>
          <cell r="BS43">
            <v>0</v>
          </cell>
          <cell r="BT43">
            <v>0</v>
          </cell>
          <cell r="BU43"/>
          <cell r="BW43">
            <v>3495.25</v>
          </cell>
          <cell r="BX43">
            <v>3065.683775</v>
          </cell>
          <cell r="BY43">
            <v>429.56622499999997</v>
          </cell>
          <cell r="BZ43">
            <v>0</v>
          </cell>
          <cell r="CA43">
            <v>0</v>
          </cell>
          <cell r="CB43"/>
          <cell r="CD43">
            <v>3495.25</v>
          </cell>
          <cell r="CE43">
            <v>3065.683775</v>
          </cell>
          <cell r="CF43">
            <v>429.56622499999997</v>
          </cell>
          <cell r="CG43">
            <v>0</v>
          </cell>
          <cell r="CH43">
            <v>0</v>
          </cell>
          <cell r="CI43"/>
          <cell r="CK43">
            <v>3495.25</v>
          </cell>
          <cell r="CL43">
            <v>3065.683775</v>
          </cell>
          <cell r="CM43">
            <v>429.56622499999997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2083.3333333333335</v>
          </cell>
          <cell r="M48">
            <v>1827.2916666666667</v>
          </cell>
          <cell r="N48">
            <v>256.04166666666669</v>
          </cell>
          <cell r="O48">
            <v>673.15695999999991</v>
          </cell>
          <cell r="P48">
            <v>46.643040000000006</v>
          </cell>
          <cell r="Q48">
            <v>719.8</v>
          </cell>
          <cell r="S48">
            <v>2083.3333333333335</v>
          </cell>
          <cell r="T48">
            <v>1827.2916666666667</v>
          </cell>
          <cell r="U48">
            <v>256.04166666666669</v>
          </cell>
          <cell r="V48">
            <v>2991.5645199999999</v>
          </cell>
          <cell r="W48">
            <v>207.28548000000004</v>
          </cell>
          <cell r="X48">
            <v>3198.85</v>
          </cell>
          <cell r="Z48">
            <v>2083.3333333333335</v>
          </cell>
          <cell r="AA48">
            <v>1827.2916666666667</v>
          </cell>
          <cell r="AB48">
            <v>256.04166666666669</v>
          </cell>
          <cell r="AC48">
            <v>791.55327999999997</v>
          </cell>
          <cell r="AD48">
            <v>54.846720000000005</v>
          </cell>
          <cell r="AE48">
            <v>846.4</v>
          </cell>
          <cell r="AG48">
            <v>2083.3333333333335</v>
          </cell>
          <cell r="AH48">
            <v>1827.2916666666667</v>
          </cell>
          <cell r="AI48">
            <v>256.04166666666669</v>
          </cell>
          <cell r="AJ48">
            <v>1733.047176</v>
          </cell>
          <cell r="AK48">
            <v>120.08282400000003</v>
          </cell>
          <cell r="AL48">
            <v>1853.13</v>
          </cell>
          <cell r="AN48">
            <v>2083.3333333333335</v>
          </cell>
          <cell r="AO48">
            <v>1827.2916666666667</v>
          </cell>
          <cell r="AP48">
            <v>256.04166666666669</v>
          </cell>
          <cell r="AQ48">
            <v>0</v>
          </cell>
          <cell r="AR48">
            <v>0</v>
          </cell>
          <cell r="AS48"/>
          <cell r="AU48">
            <v>2083.3333333333335</v>
          </cell>
          <cell r="AV48">
            <v>1827.2916666666667</v>
          </cell>
          <cell r="AW48">
            <v>256.04166666666669</v>
          </cell>
          <cell r="AX48">
            <v>0</v>
          </cell>
          <cell r="AY48">
            <v>0</v>
          </cell>
          <cell r="AZ48"/>
          <cell r="BB48">
            <v>2083.3333333333335</v>
          </cell>
          <cell r="BC48">
            <v>1827.2916666666667</v>
          </cell>
          <cell r="BD48">
            <v>256.04166666666669</v>
          </cell>
          <cell r="BE48">
            <v>0</v>
          </cell>
          <cell r="BF48">
            <v>0</v>
          </cell>
          <cell r="BG48"/>
          <cell r="BI48">
            <v>2083.3333333333335</v>
          </cell>
          <cell r="BJ48">
            <v>1827.2916666666667</v>
          </cell>
          <cell r="BK48">
            <v>256.04166666666669</v>
          </cell>
          <cell r="BL48">
            <v>0</v>
          </cell>
          <cell r="BM48">
            <v>0</v>
          </cell>
          <cell r="BN48"/>
          <cell r="BP48">
            <v>2083.3333333333335</v>
          </cell>
          <cell r="BQ48">
            <v>1827.2916666666667</v>
          </cell>
          <cell r="BR48">
            <v>256.04166666666669</v>
          </cell>
          <cell r="BS48">
            <v>0</v>
          </cell>
          <cell r="BT48">
            <v>0</v>
          </cell>
          <cell r="BU48"/>
          <cell r="BW48">
            <v>2083.3333333333335</v>
          </cell>
          <cell r="BX48">
            <v>1827.2916666666667</v>
          </cell>
          <cell r="BY48">
            <v>256.04166666666669</v>
          </cell>
          <cell r="BZ48">
            <v>0</v>
          </cell>
          <cell r="CA48">
            <v>0</v>
          </cell>
          <cell r="CB48"/>
          <cell r="CD48">
            <v>2083.3333333333335</v>
          </cell>
          <cell r="CE48">
            <v>1827.2916666666667</v>
          </cell>
          <cell r="CF48">
            <v>256.04166666666669</v>
          </cell>
          <cell r="CG48">
            <v>0</v>
          </cell>
          <cell r="CH48">
            <v>0</v>
          </cell>
          <cell r="CI48"/>
          <cell r="CK48">
            <v>2083.3333333333335</v>
          </cell>
          <cell r="CL48">
            <v>1827.2916666666667</v>
          </cell>
          <cell r="CM48">
            <v>256.04166666666669</v>
          </cell>
          <cell r="CN48">
            <v>0</v>
          </cell>
          <cell r="CO48">
            <v>0</v>
          </cell>
          <cell r="CP48"/>
        </row>
        <row r="49">
          <cell r="L49">
            <v>4200</v>
          </cell>
          <cell r="M49">
            <v>3683.82</v>
          </cell>
          <cell r="N49">
            <v>516.17999999999995</v>
          </cell>
          <cell r="O49">
            <v>5973.3281439999992</v>
          </cell>
          <cell r="P49">
            <v>413.89185600000002</v>
          </cell>
          <cell r="Q49">
            <v>6387.2199999999993</v>
          </cell>
          <cell r="S49">
            <v>4200</v>
          </cell>
          <cell r="T49">
            <v>3683.82</v>
          </cell>
          <cell r="U49">
            <v>516.17999999999995</v>
          </cell>
          <cell r="V49">
            <v>9091.2755919999981</v>
          </cell>
          <cell r="W49">
            <v>629.93440800000008</v>
          </cell>
          <cell r="X49">
            <v>9721.2099999999991</v>
          </cell>
          <cell r="Z49">
            <v>4200</v>
          </cell>
          <cell r="AA49">
            <v>3683.82</v>
          </cell>
          <cell r="AB49">
            <v>516.17999999999995</v>
          </cell>
          <cell r="AC49">
            <v>5729.0164960000002</v>
          </cell>
          <cell r="AD49">
            <v>396.96350400000011</v>
          </cell>
          <cell r="AE49">
            <v>6125.9800000000005</v>
          </cell>
          <cell r="AG49">
            <v>4200</v>
          </cell>
          <cell r="AH49">
            <v>3683.82</v>
          </cell>
          <cell r="AI49">
            <v>516.17999999999995</v>
          </cell>
          <cell r="AJ49">
            <v>6555.7800559999996</v>
          </cell>
          <cell r="AK49">
            <v>454.24994400000008</v>
          </cell>
          <cell r="AL49">
            <v>7010.03</v>
          </cell>
          <cell r="AN49">
            <v>4200</v>
          </cell>
          <cell r="AO49">
            <v>3683.82</v>
          </cell>
          <cell r="AP49">
            <v>516.17999999999995</v>
          </cell>
          <cell r="AQ49">
            <v>0</v>
          </cell>
          <cell r="AR49">
            <v>0</v>
          </cell>
          <cell r="AS49"/>
          <cell r="AU49">
            <v>4200</v>
          </cell>
          <cell r="AV49">
            <v>3683.82</v>
          </cell>
          <cell r="AW49">
            <v>516.17999999999995</v>
          </cell>
          <cell r="AX49">
            <v>0</v>
          </cell>
          <cell r="AY49">
            <v>0</v>
          </cell>
          <cell r="AZ49"/>
          <cell r="BB49">
            <v>4200</v>
          </cell>
          <cell r="BC49">
            <v>3683.82</v>
          </cell>
          <cell r="BD49">
            <v>516.17999999999995</v>
          </cell>
          <cell r="BE49">
            <v>0</v>
          </cell>
          <cell r="BF49">
            <v>0</v>
          </cell>
          <cell r="BG49"/>
          <cell r="BI49">
            <v>4200</v>
          </cell>
          <cell r="BJ49">
            <v>3683.82</v>
          </cell>
          <cell r="BK49">
            <v>516.17999999999995</v>
          </cell>
          <cell r="BL49">
            <v>0</v>
          </cell>
          <cell r="BM49">
            <v>0</v>
          </cell>
          <cell r="BN49"/>
          <cell r="BP49">
            <v>4200</v>
          </cell>
          <cell r="BQ49">
            <v>3683.82</v>
          </cell>
          <cell r="BR49">
            <v>516.17999999999995</v>
          </cell>
          <cell r="BS49">
            <v>0</v>
          </cell>
          <cell r="BT49">
            <v>0</v>
          </cell>
          <cell r="BU49"/>
          <cell r="BW49">
            <v>4200</v>
          </cell>
          <cell r="BX49">
            <v>3683.82</v>
          </cell>
          <cell r="BY49">
            <v>516.17999999999995</v>
          </cell>
          <cell r="BZ49">
            <v>0</v>
          </cell>
          <cell r="CA49">
            <v>0</v>
          </cell>
          <cell r="CB49"/>
          <cell r="CD49">
            <v>4200</v>
          </cell>
          <cell r="CE49">
            <v>3683.82</v>
          </cell>
          <cell r="CF49">
            <v>516.17999999999995</v>
          </cell>
          <cell r="CG49">
            <v>0</v>
          </cell>
          <cell r="CH49">
            <v>0</v>
          </cell>
          <cell r="CI49"/>
          <cell r="CK49">
            <v>4200</v>
          </cell>
          <cell r="CL49">
            <v>3683.82</v>
          </cell>
          <cell r="CM49">
            <v>516.17999999999995</v>
          </cell>
          <cell r="CN49">
            <v>0</v>
          </cell>
          <cell r="CO49">
            <v>0</v>
          </cell>
          <cell r="CP49"/>
        </row>
        <row r="50">
          <cell r="L50">
            <v>415.16666666666669</v>
          </cell>
          <cell r="M50">
            <v>364.14268333333337</v>
          </cell>
          <cell r="N50">
            <v>51.023983333333334</v>
          </cell>
          <cell r="O50">
            <v>363.11945599999996</v>
          </cell>
          <cell r="P50">
            <v>25.160544000000002</v>
          </cell>
          <cell r="Q50">
            <v>388.28</v>
          </cell>
          <cell r="S50">
            <v>415.16666666666669</v>
          </cell>
          <cell r="T50">
            <v>364.14268333333337</v>
          </cell>
          <cell r="U50">
            <v>51.023983333333334</v>
          </cell>
          <cell r="V50">
            <v>420.47527200000002</v>
          </cell>
          <cell r="W50">
            <v>29.134728000000006</v>
          </cell>
          <cell r="X50">
            <v>449.61</v>
          </cell>
          <cell r="Z50">
            <v>415.16666666666669</v>
          </cell>
          <cell r="AA50">
            <v>364.14268333333337</v>
          </cell>
          <cell r="AB50">
            <v>51.023983333333334</v>
          </cell>
          <cell r="AC50">
            <v>741.70712000000003</v>
          </cell>
          <cell r="AD50">
            <v>51.392880000000012</v>
          </cell>
          <cell r="AE50">
            <v>793.1</v>
          </cell>
          <cell r="AG50">
            <v>415.16666666666669</v>
          </cell>
          <cell r="AH50">
            <v>364.14268333333337</v>
          </cell>
          <cell r="AI50">
            <v>51.023983333333334</v>
          </cell>
          <cell r="AJ50">
            <v>343.37738400000001</v>
          </cell>
          <cell r="AK50">
            <v>23.792616000000006</v>
          </cell>
          <cell r="AL50">
            <v>367.17</v>
          </cell>
          <cell r="AN50">
            <v>415.16666666666669</v>
          </cell>
          <cell r="AO50">
            <v>364.14268333333337</v>
          </cell>
          <cell r="AP50">
            <v>51.023983333333334</v>
          </cell>
          <cell r="AQ50">
            <v>0</v>
          </cell>
          <cell r="AR50">
            <v>0</v>
          </cell>
          <cell r="AS50"/>
          <cell r="AU50">
            <v>415.16666666666669</v>
          </cell>
          <cell r="AV50">
            <v>364.14268333333337</v>
          </cell>
          <cell r="AW50">
            <v>51.023983333333334</v>
          </cell>
          <cell r="AX50">
            <v>0</v>
          </cell>
          <cell r="AY50">
            <v>0</v>
          </cell>
          <cell r="AZ50"/>
          <cell r="BB50">
            <v>415.16666666666669</v>
          </cell>
          <cell r="BC50">
            <v>364.14268333333337</v>
          </cell>
          <cell r="BD50">
            <v>51.023983333333334</v>
          </cell>
          <cell r="BE50">
            <v>0</v>
          </cell>
          <cell r="BF50">
            <v>0</v>
          </cell>
          <cell r="BG50"/>
          <cell r="BI50">
            <v>415.16666666666669</v>
          </cell>
          <cell r="BJ50">
            <v>364.14268333333337</v>
          </cell>
          <cell r="BK50">
            <v>51.023983333333334</v>
          </cell>
          <cell r="BL50">
            <v>0</v>
          </cell>
          <cell r="BM50">
            <v>0</v>
          </cell>
          <cell r="BN50"/>
          <cell r="BP50">
            <v>415.16666666666669</v>
          </cell>
          <cell r="BQ50">
            <v>364.14268333333337</v>
          </cell>
          <cell r="BR50">
            <v>51.023983333333334</v>
          </cell>
          <cell r="BS50">
            <v>0</v>
          </cell>
          <cell r="BT50">
            <v>0</v>
          </cell>
          <cell r="BU50"/>
          <cell r="BW50">
            <v>415.16666666666669</v>
          </cell>
          <cell r="BX50">
            <v>364.14268333333337</v>
          </cell>
          <cell r="BY50">
            <v>51.023983333333334</v>
          </cell>
          <cell r="BZ50">
            <v>0</v>
          </cell>
          <cell r="CA50">
            <v>0</v>
          </cell>
          <cell r="CB50"/>
          <cell r="CD50">
            <v>415.16666666666669</v>
          </cell>
          <cell r="CE50">
            <v>364.14268333333337</v>
          </cell>
          <cell r="CF50">
            <v>51.023983333333334</v>
          </cell>
          <cell r="CG50">
            <v>0</v>
          </cell>
          <cell r="CH50">
            <v>0</v>
          </cell>
          <cell r="CI50"/>
          <cell r="CK50">
            <v>415.16666666666669</v>
          </cell>
          <cell r="CL50">
            <v>364.14268333333337</v>
          </cell>
          <cell r="CM50">
            <v>51.023983333333334</v>
          </cell>
          <cell r="CN50">
            <v>0</v>
          </cell>
          <cell r="CO50">
            <v>0</v>
          </cell>
          <cell r="CP50"/>
        </row>
        <row r="51">
          <cell r="L51">
            <v>312.04475000000002</v>
          </cell>
          <cell r="M51">
            <v>273.69445022500003</v>
          </cell>
          <cell r="N51">
            <v>38.350299775000003</v>
          </cell>
          <cell r="O51">
            <v>289.03291200000001</v>
          </cell>
          <cell r="P51">
            <v>20.027088000000003</v>
          </cell>
          <cell r="Q51">
            <v>309.06</v>
          </cell>
          <cell r="S51">
            <v>312.04475000000002</v>
          </cell>
          <cell r="T51">
            <v>273.69445022500003</v>
          </cell>
          <cell r="U51">
            <v>38.350299775000003</v>
          </cell>
          <cell r="V51">
            <v>281.51390399999997</v>
          </cell>
          <cell r="W51">
            <v>19.506096000000003</v>
          </cell>
          <cell r="X51">
            <v>301.02</v>
          </cell>
          <cell r="Z51">
            <v>312.04475000000002</v>
          </cell>
          <cell r="AA51">
            <v>273.69445022500003</v>
          </cell>
          <cell r="AB51">
            <v>38.350299775000003</v>
          </cell>
          <cell r="AC51">
            <v>261.827944</v>
          </cell>
          <cell r="AD51">
            <v>18.142056000000004</v>
          </cell>
          <cell r="AE51">
            <v>279.97000000000003</v>
          </cell>
          <cell r="AG51">
            <v>312.04475000000002</v>
          </cell>
          <cell r="AH51">
            <v>273.69445022500003</v>
          </cell>
          <cell r="AI51">
            <v>38.350299775000003</v>
          </cell>
          <cell r="AJ51">
            <v>349.18497600000001</v>
          </cell>
          <cell r="AK51">
            <v>24.195024000000004</v>
          </cell>
          <cell r="AL51">
            <v>373.38</v>
          </cell>
          <cell r="AN51">
            <v>312.04475000000002</v>
          </cell>
          <cell r="AO51">
            <v>273.69445022500003</v>
          </cell>
          <cell r="AP51">
            <v>38.350299775000003</v>
          </cell>
          <cell r="AQ51">
            <v>0</v>
          </cell>
          <cell r="AR51">
            <v>0</v>
          </cell>
          <cell r="AS51"/>
          <cell r="AU51">
            <v>312.04475000000002</v>
          </cell>
          <cell r="AV51">
            <v>273.69445022500003</v>
          </cell>
          <cell r="AW51">
            <v>38.350299775000003</v>
          </cell>
          <cell r="AX51">
            <v>0</v>
          </cell>
          <cell r="AY51">
            <v>0</v>
          </cell>
          <cell r="AZ51"/>
          <cell r="BB51">
            <v>312.04475000000002</v>
          </cell>
          <cell r="BC51">
            <v>273.69445022500003</v>
          </cell>
          <cell r="BD51">
            <v>38.350299775000003</v>
          </cell>
          <cell r="BE51">
            <v>0</v>
          </cell>
          <cell r="BF51">
            <v>0</v>
          </cell>
          <cell r="BG51"/>
          <cell r="BI51">
            <v>312.04475000000002</v>
          </cell>
          <cell r="BJ51">
            <v>273.69445022500003</v>
          </cell>
          <cell r="BK51">
            <v>38.350299775000003</v>
          </cell>
          <cell r="BL51">
            <v>0</v>
          </cell>
          <cell r="BM51">
            <v>0</v>
          </cell>
          <cell r="BN51"/>
          <cell r="BP51">
            <v>312.04475000000002</v>
          </cell>
          <cell r="BQ51">
            <v>273.69445022500003</v>
          </cell>
          <cell r="BR51">
            <v>38.350299775000003</v>
          </cell>
          <cell r="BS51">
            <v>0</v>
          </cell>
          <cell r="BT51">
            <v>0</v>
          </cell>
          <cell r="BU51"/>
          <cell r="BW51">
            <v>312.04475000000002</v>
          </cell>
          <cell r="BX51">
            <v>273.69445022500003</v>
          </cell>
          <cell r="BY51">
            <v>38.350299775000003</v>
          </cell>
          <cell r="BZ51">
            <v>0</v>
          </cell>
          <cell r="CA51">
            <v>0</v>
          </cell>
          <cell r="CB51"/>
          <cell r="CD51">
            <v>312.04475000000002</v>
          </cell>
          <cell r="CE51">
            <v>273.69445022500003</v>
          </cell>
          <cell r="CF51">
            <v>38.350299775000003</v>
          </cell>
          <cell r="CG51">
            <v>0</v>
          </cell>
          <cell r="CH51">
            <v>0</v>
          </cell>
          <cell r="CI51"/>
          <cell r="CK51">
            <v>312.04475000000002</v>
          </cell>
          <cell r="CL51">
            <v>273.69445022500003</v>
          </cell>
          <cell r="CM51">
            <v>38.350299775000003</v>
          </cell>
          <cell r="CN51">
            <v>0</v>
          </cell>
          <cell r="CO51">
            <v>0</v>
          </cell>
          <cell r="CP51"/>
        </row>
        <row r="52">
          <cell r="L52">
            <v>1250</v>
          </cell>
          <cell r="M52">
            <v>1096.375</v>
          </cell>
          <cell r="N52">
            <v>153.625</v>
          </cell>
          <cell r="O52">
            <v>0</v>
          </cell>
          <cell r="P52">
            <v>0</v>
          </cell>
          <cell r="Q52"/>
          <cell r="S52">
            <v>1250</v>
          </cell>
          <cell r="T52">
            <v>1096.375</v>
          </cell>
          <cell r="U52">
            <v>153.625</v>
          </cell>
          <cell r="V52">
            <v>713.55759999999998</v>
          </cell>
          <cell r="W52">
            <v>49.442400000000006</v>
          </cell>
          <cell r="X52">
            <v>763</v>
          </cell>
          <cell r="Z52">
            <v>1250</v>
          </cell>
          <cell r="AA52">
            <v>1096.375</v>
          </cell>
          <cell r="AB52">
            <v>153.625</v>
          </cell>
          <cell r="AC52">
            <v>712.62239999999997</v>
          </cell>
          <cell r="AD52">
            <v>49.377600000000008</v>
          </cell>
          <cell r="AE52">
            <v>762</v>
          </cell>
          <cell r="AG52">
            <v>1250</v>
          </cell>
          <cell r="AH52">
            <v>1096.375</v>
          </cell>
          <cell r="AI52">
            <v>153.625</v>
          </cell>
          <cell r="AJ52">
            <v>5303.5191999999997</v>
          </cell>
          <cell r="AK52">
            <v>367.48080000000004</v>
          </cell>
          <cell r="AL52">
            <v>5671</v>
          </cell>
          <cell r="AN52">
            <v>1250</v>
          </cell>
          <cell r="AO52">
            <v>1096.375</v>
          </cell>
          <cell r="AP52">
            <v>153.625</v>
          </cell>
          <cell r="AQ52">
            <v>0</v>
          </cell>
          <cell r="AR52">
            <v>0</v>
          </cell>
          <cell r="AS52"/>
          <cell r="AU52">
            <v>1250</v>
          </cell>
          <cell r="AV52">
            <v>1096.375</v>
          </cell>
          <cell r="AW52">
            <v>153.625</v>
          </cell>
          <cell r="AX52">
            <v>0</v>
          </cell>
          <cell r="AY52">
            <v>0</v>
          </cell>
          <cell r="AZ52"/>
          <cell r="BB52">
            <v>1250</v>
          </cell>
          <cell r="BC52">
            <v>1096.375</v>
          </cell>
          <cell r="BD52">
            <v>153.625</v>
          </cell>
          <cell r="BE52">
            <v>0</v>
          </cell>
          <cell r="BF52">
            <v>0</v>
          </cell>
          <cell r="BG52"/>
          <cell r="BI52">
            <v>1250</v>
          </cell>
          <cell r="BJ52">
            <v>1096.375</v>
          </cell>
          <cell r="BK52">
            <v>153.625</v>
          </cell>
          <cell r="BL52">
            <v>0</v>
          </cell>
          <cell r="BM52">
            <v>0</v>
          </cell>
          <cell r="BN52"/>
          <cell r="BP52">
            <v>1250</v>
          </cell>
          <cell r="BQ52">
            <v>1096.375</v>
          </cell>
          <cell r="BR52">
            <v>153.625</v>
          </cell>
          <cell r="BS52">
            <v>0</v>
          </cell>
          <cell r="BT52">
            <v>0</v>
          </cell>
          <cell r="BU52"/>
          <cell r="BW52">
            <v>1250</v>
          </cell>
          <cell r="BX52">
            <v>1096.375</v>
          </cell>
          <cell r="BY52">
            <v>153.625</v>
          </cell>
          <cell r="BZ52">
            <v>0</v>
          </cell>
          <cell r="CA52">
            <v>0</v>
          </cell>
          <cell r="CB52"/>
          <cell r="CD52">
            <v>1250</v>
          </cell>
          <cell r="CE52">
            <v>1096.375</v>
          </cell>
          <cell r="CF52">
            <v>153.625</v>
          </cell>
          <cell r="CG52">
            <v>0</v>
          </cell>
          <cell r="CH52">
            <v>0</v>
          </cell>
          <cell r="CI52"/>
          <cell r="CK52">
            <v>1250</v>
          </cell>
          <cell r="CL52">
            <v>1096.375</v>
          </cell>
          <cell r="CM52">
            <v>153.625</v>
          </cell>
          <cell r="CN52">
            <v>0</v>
          </cell>
          <cell r="CO52">
            <v>0</v>
          </cell>
          <cell r="CP52"/>
        </row>
        <row r="53">
          <cell r="L53">
            <v>416.66666666666669</v>
          </cell>
          <cell r="M53">
            <v>365.45833333333337</v>
          </cell>
          <cell r="N53">
            <v>51.208333333333336</v>
          </cell>
          <cell r="O53">
            <v>0</v>
          </cell>
          <cell r="P53">
            <v>0</v>
          </cell>
          <cell r="Q53"/>
          <cell r="S53">
            <v>416.66666666666669</v>
          </cell>
          <cell r="T53">
            <v>365.45833333333337</v>
          </cell>
          <cell r="U53">
            <v>51.208333333333336</v>
          </cell>
          <cell r="V53">
            <v>0</v>
          </cell>
          <cell r="W53">
            <v>0</v>
          </cell>
          <cell r="X53"/>
          <cell r="Z53">
            <v>416.66666666666669</v>
          </cell>
          <cell r="AA53">
            <v>365.45833333333337</v>
          </cell>
          <cell r="AB53">
            <v>51.208333333333336</v>
          </cell>
          <cell r="AC53">
            <v>205.744</v>
          </cell>
          <cell r="AD53">
            <v>14.256000000000002</v>
          </cell>
          <cell r="AE53">
            <v>220</v>
          </cell>
          <cell r="AG53">
            <v>416.66666666666669</v>
          </cell>
          <cell r="AH53">
            <v>365.45833333333337</v>
          </cell>
          <cell r="AI53">
            <v>51.208333333333336</v>
          </cell>
          <cell r="AJ53">
            <v>0</v>
          </cell>
          <cell r="AK53">
            <v>0</v>
          </cell>
          <cell r="AL53"/>
          <cell r="AN53">
            <v>416.66666666666669</v>
          </cell>
          <cell r="AO53">
            <v>365.45833333333337</v>
          </cell>
          <cell r="AP53">
            <v>51.208333333333336</v>
          </cell>
          <cell r="AQ53">
            <v>0</v>
          </cell>
          <cell r="AR53">
            <v>0</v>
          </cell>
          <cell r="AS53"/>
          <cell r="AU53">
            <v>416.66666666666669</v>
          </cell>
          <cell r="AV53">
            <v>365.45833333333337</v>
          </cell>
          <cell r="AW53">
            <v>51.208333333333336</v>
          </cell>
          <cell r="AX53">
            <v>0</v>
          </cell>
          <cell r="AY53">
            <v>0</v>
          </cell>
          <cell r="AZ53"/>
          <cell r="BB53">
            <v>416.66666666666669</v>
          </cell>
          <cell r="BC53">
            <v>365.45833333333337</v>
          </cell>
          <cell r="BD53">
            <v>51.208333333333336</v>
          </cell>
          <cell r="BE53">
            <v>0</v>
          </cell>
          <cell r="BF53">
            <v>0</v>
          </cell>
          <cell r="BG53"/>
          <cell r="BI53">
            <v>416.66666666666669</v>
          </cell>
          <cell r="BJ53">
            <v>365.45833333333337</v>
          </cell>
          <cell r="BK53">
            <v>51.208333333333336</v>
          </cell>
          <cell r="BL53">
            <v>0</v>
          </cell>
          <cell r="BM53">
            <v>0</v>
          </cell>
          <cell r="BN53"/>
          <cell r="BP53">
            <v>416.66666666666669</v>
          </cell>
          <cell r="BQ53">
            <v>365.45833333333337</v>
          </cell>
          <cell r="BR53">
            <v>51.208333333333336</v>
          </cell>
          <cell r="BS53">
            <v>0</v>
          </cell>
          <cell r="BT53">
            <v>0</v>
          </cell>
          <cell r="BU53"/>
          <cell r="BW53">
            <v>416.66666666666669</v>
          </cell>
          <cell r="BX53">
            <v>365.45833333333337</v>
          </cell>
          <cell r="BY53">
            <v>51.208333333333336</v>
          </cell>
          <cell r="BZ53">
            <v>0</v>
          </cell>
          <cell r="CA53">
            <v>0</v>
          </cell>
          <cell r="CB53"/>
          <cell r="CD53">
            <v>416.66666666666669</v>
          </cell>
          <cell r="CE53">
            <v>365.45833333333337</v>
          </cell>
          <cell r="CF53">
            <v>51.208333333333336</v>
          </cell>
          <cell r="CG53">
            <v>0</v>
          </cell>
          <cell r="CH53">
            <v>0</v>
          </cell>
          <cell r="CI53"/>
          <cell r="CK53">
            <v>416.66666666666669</v>
          </cell>
          <cell r="CL53">
            <v>365.45833333333337</v>
          </cell>
          <cell r="CM53">
            <v>51.208333333333336</v>
          </cell>
          <cell r="CN53">
            <v>0</v>
          </cell>
          <cell r="CO53">
            <v>0</v>
          </cell>
          <cell r="CP53"/>
        </row>
        <row r="54">
          <cell r="L54">
            <v>24475.45357142857</v>
          </cell>
          <cell r="M54">
            <v>21467.4203275</v>
          </cell>
          <cell r="N54">
            <v>3008.0332439285712</v>
          </cell>
          <cell r="O54">
            <v>6921.6396479999994</v>
          </cell>
          <cell r="P54">
            <v>479.60035200000004</v>
          </cell>
          <cell r="Q54">
            <v>7401.24</v>
          </cell>
          <cell r="S54">
            <v>24475.45357142857</v>
          </cell>
          <cell r="T54">
            <v>21467.4203275</v>
          </cell>
          <cell r="U54">
            <v>3008.0332439285712</v>
          </cell>
          <cell r="V54">
            <v>18076.649136</v>
          </cell>
          <cell r="W54">
            <v>1252.5308640000003</v>
          </cell>
          <cell r="X54">
            <v>19329.18</v>
          </cell>
          <cell r="Z54">
            <v>24475.45357142857</v>
          </cell>
          <cell r="AA54">
            <v>21467.4203275</v>
          </cell>
          <cell r="AB54">
            <v>3008.0332439285712</v>
          </cell>
          <cell r="AC54">
            <v>16056.983938048739</v>
          </cell>
          <cell r="AD54">
            <v>1112.5882797108197</v>
          </cell>
          <cell r="AE54">
            <v>17169.57221775956</v>
          </cell>
          <cell r="AG54">
            <v>24475.45357142857</v>
          </cell>
          <cell r="AH54">
            <v>21467.4203275</v>
          </cell>
          <cell r="AI54">
            <v>3008.0332439285712</v>
          </cell>
          <cell r="AJ54">
            <v>0</v>
          </cell>
          <cell r="AK54">
            <v>0</v>
          </cell>
          <cell r="AL54"/>
          <cell r="AN54">
            <v>24475.45357142857</v>
          </cell>
          <cell r="AO54">
            <v>21467.4203275</v>
          </cell>
          <cell r="AP54">
            <v>3008.0332439285712</v>
          </cell>
          <cell r="AQ54">
            <v>0</v>
          </cell>
          <cell r="AR54">
            <v>0</v>
          </cell>
          <cell r="AS54"/>
          <cell r="AU54">
            <v>24475.45357142857</v>
          </cell>
          <cell r="AV54">
            <v>21467.4203275</v>
          </cell>
          <cell r="AW54">
            <v>3008.0332439285712</v>
          </cell>
          <cell r="AX54">
            <v>0</v>
          </cell>
          <cell r="AY54">
            <v>0</v>
          </cell>
          <cell r="AZ54"/>
          <cell r="BB54">
            <v>24475.45357142857</v>
          </cell>
          <cell r="BC54">
            <v>21467.4203275</v>
          </cell>
          <cell r="BD54">
            <v>3008.0332439285712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-15307.223183391005</v>
          </cell>
          <cell r="M56">
            <v>-13425.96545415225</v>
          </cell>
          <cell r="N56">
            <v>-1881.2577292387543</v>
          </cell>
          <cell r="O56">
            <v>0</v>
          </cell>
          <cell r="P56">
            <v>0</v>
          </cell>
          <cell r="Q56"/>
          <cell r="S56">
            <v>-15307.223183391005</v>
          </cell>
          <cell r="T56">
            <v>-13425.96545415225</v>
          </cell>
          <cell r="U56">
            <v>-1881.2577292387543</v>
          </cell>
          <cell r="V56">
            <v>-11635.412375999998</v>
          </cell>
          <cell r="W56">
            <v>-806.21762400000011</v>
          </cell>
          <cell r="X56">
            <v>-12441.63</v>
          </cell>
          <cell r="Z56">
            <v>-15307.223183391005</v>
          </cell>
          <cell r="AA56">
            <v>-13425.96545415225</v>
          </cell>
          <cell r="AB56">
            <v>-1881.2577292387543</v>
          </cell>
          <cell r="AC56">
            <v>1281.0463119999999</v>
          </cell>
          <cell r="AD56">
            <v>88.763688000000016</v>
          </cell>
          <cell r="AE56">
            <v>1369.81</v>
          </cell>
          <cell r="AG56">
            <v>-15307.223183391005</v>
          </cell>
          <cell r="AH56">
            <v>-13425.96545415225</v>
          </cell>
          <cell r="AI56">
            <v>-1881.2577292387543</v>
          </cell>
          <cell r="AJ56">
            <v>-16779.377103999996</v>
          </cell>
          <cell r="AK56">
            <v>-1162.6428960000001</v>
          </cell>
          <cell r="AL56">
            <v>-17942.019999999997</v>
          </cell>
          <cell r="AN56">
            <v>-15307.223183391005</v>
          </cell>
          <cell r="AO56">
            <v>-13425.96545415225</v>
          </cell>
          <cell r="AP56">
            <v>-1881.2577292387543</v>
          </cell>
          <cell r="AQ56">
            <v>0</v>
          </cell>
          <cell r="AR56">
            <v>0</v>
          </cell>
          <cell r="AS56"/>
          <cell r="AU56">
            <v>-15307.223183391005</v>
          </cell>
          <cell r="AV56">
            <v>-13425.96545415225</v>
          </cell>
          <cell r="AW56">
            <v>-1881.2577292387543</v>
          </cell>
          <cell r="AX56">
            <v>0</v>
          </cell>
          <cell r="AY56">
            <v>0</v>
          </cell>
          <cell r="AZ56"/>
          <cell r="BB56">
            <v>-15307.223183391005</v>
          </cell>
          <cell r="BC56">
            <v>-13425.96545415225</v>
          </cell>
          <cell r="BD56">
            <v>-1881.2577292387543</v>
          </cell>
          <cell r="BE56">
            <v>0</v>
          </cell>
          <cell r="BF56">
            <v>0</v>
          </cell>
          <cell r="BG56"/>
          <cell r="BI56">
            <v>-15307.223183391005</v>
          </cell>
          <cell r="BJ56">
            <v>-13425.96545415225</v>
          </cell>
          <cell r="BK56">
            <v>-1881.2577292387543</v>
          </cell>
          <cell r="BL56">
            <v>0</v>
          </cell>
          <cell r="BM56">
            <v>0</v>
          </cell>
          <cell r="BN56"/>
          <cell r="BP56">
            <v>-15307.223183391005</v>
          </cell>
          <cell r="BQ56">
            <v>-13425.96545415225</v>
          </cell>
          <cell r="BR56">
            <v>-1881.2577292387543</v>
          </cell>
          <cell r="BS56">
            <v>0</v>
          </cell>
          <cell r="BT56">
            <v>0</v>
          </cell>
          <cell r="BU56"/>
          <cell r="BW56">
            <v>-15307.223183391005</v>
          </cell>
          <cell r="BX56">
            <v>-13425.96545415225</v>
          </cell>
          <cell r="BY56">
            <v>-1881.2577292387543</v>
          </cell>
          <cell r="BZ56">
            <v>0</v>
          </cell>
          <cell r="CA56">
            <v>0</v>
          </cell>
          <cell r="CB56"/>
          <cell r="CD56">
            <v>-15307.223183391005</v>
          </cell>
          <cell r="CE56">
            <v>-13425.96545415225</v>
          </cell>
          <cell r="CF56">
            <v>-1881.2577292387543</v>
          </cell>
          <cell r="CG56">
            <v>0</v>
          </cell>
          <cell r="CH56">
            <v>0</v>
          </cell>
          <cell r="CI56"/>
          <cell r="CK56">
            <v>-15307.223183391005</v>
          </cell>
          <cell r="CL56">
            <v>-13425.96545415225</v>
          </cell>
          <cell r="CM56">
            <v>-1881.2577292387543</v>
          </cell>
          <cell r="CN56">
            <v>0</v>
          </cell>
          <cell r="CO56">
            <v>0</v>
          </cell>
          <cell r="CP56"/>
        </row>
        <row r="57">
          <cell r="L57">
            <v>-5102.4077277970009</v>
          </cell>
          <cell r="M57">
            <v>-4475.3218180507492</v>
          </cell>
          <cell r="N57">
            <v>-627.08590974625145</v>
          </cell>
          <cell r="O57">
            <v>-18814.624808</v>
          </cell>
          <cell r="P57">
            <v>-1303.6651920000002</v>
          </cell>
          <cell r="Q57">
            <v>-20118.29</v>
          </cell>
          <cell r="S57">
            <v>-5102.4077277970009</v>
          </cell>
          <cell r="T57">
            <v>-4475.3218180507492</v>
          </cell>
          <cell r="U57">
            <v>-627.08590974625145</v>
          </cell>
          <cell r="V57">
            <v>-2779.8820000000001</v>
          </cell>
          <cell r="W57">
            <v>-192.61800000000002</v>
          </cell>
          <cell r="X57">
            <v>-2972.5</v>
          </cell>
          <cell r="Z57">
            <v>-5102.4077277970009</v>
          </cell>
          <cell r="AA57">
            <v>-4475.3218180507492</v>
          </cell>
          <cell r="AB57">
            <v>-627.08590974625145</v>
          </cell>
          <cell r="AC57">
            <v>-12222.241024000001</v>
          </cell>
          <cell r="AD57">
            <v>-846.87897600000019</v>
          </cell>
          <cell r="AE57">
            <v>-13069.12</v>
          </cell>
          <cell r="AG57">
            <v>-5102.4077277970009</v>
          </cell>
          <cell r="AH57">
            <v>-4475.3218180507492</v>
          </cell>
          <cell r="AI57">
            <v>-627.08590974625145</v>
          </cell>
          <cell r="AJ57">
            <v>0</v>
          </cell>
          <cell r="AK57">
            <v>0</v>
          </cell>
          <cell r="AL57"/>
          <cell r="AN57">
            <v>-5102.4077277970009</v>
          </cell>
          <cell r="AO57">
            <v>-4475.3218180507492</v>
          </cell>
          <cell r="AP57">
            <v>-627.08590974625145</v>
          </cell>
          <cell r="AQ57">
            <v>0</v>
          </cell>
          <cell r="AR57">
            <v>0</v>
          </cell>
          <cell r="AS57"/>
          <cell r="AU57">
            <v>-5102.4077277970009</v>
          </cell>
          <cell r="AV57">
            <v>-4475.3218180507492</v>
          </cell>
          <cell r="AW57">
            <v>-627.08590974625145</v>
          </cell>
          <cell r="AX57">
            <v>0</v>
          </cell>
          <cell r="AY57">
            <v>0</v>
          </cell>
          <cell r="AZ57"/>
          <cell r="BB57">
            <v>-5102.4077277970009</v>
          </cell>
          <cell r="BC57">
            <v>-4475.3218180507492</v>
          </cell>
          <cell r="BD57">
            <v>-627.08590974625145</v>
          </cell>
          <cell r="BE57">
            <v>0</v>
          </cell>
          <cell r="BF57">
            <v>0</v>
          </cell>
          <cell r="BG57"/>
          <cell r="BI57">
            <v>-5102.4077277970009</v>
          </cell>
          <cell r="BJ57">
            <v>-4475.3218180507492</v>
          </cell>
          <cell r="BK57">
            <v>-627.08590974625145</v>
          </cell>
          <cell r="BL57">
            <v>0</v>
          </cell>
          <cell r="BM57">
            <v>0</v>
          </cell>
          <cell r="BN57"/>
          <cell r="BP57">
            <v>-5102.4077277970009</v>
          </cell>
          <cell r="BQ57">
            <v>-4475.3218180507492</v>
          </cell>
          <cell r="BR57">
            <v>-627.08590974625145</v>
          </cell>
          <cell r="BS57">
            <v>0</v>
          </cell>
          <cell r="BT57">
            <v>0</v>
          </cell>
          <cell r="BU57"/>
          <cell r="BW57">
            <v>-5102.4077277970009</v>
          </cell>
          <cell r="BX57">
            <v>-4475.3218180507492</v>
          </cell>
          <cell r="BY57">
            <v>-627.08590974625145</v>
          </cell>
          <cell r="BZ57">
            <v>0</v>
          </cell>
          <cell r="CA57">
            <v>0</v>
          </cell>
          <cell r="CB57"/>
          <cell r="CD57">
            <v>-5102.4077277970009</v>
          </cell>
          <cell r="CE57">
            <v>-4475.3218180507492</v>
          </cell>
          <cell r="CF57">
            <v>-627.08590974625145</v>
          </cell>
          <cell r="CG57">
            <v>0</v>
          </cell>
          <cell r="CH57">
            <v>0</v>
          </cell>
          <cell r="CI57"/>
          <cell r="CK57">
            <v>-5102.4077277970009</v>
          </cell>
          <cell r="CL57">
            <v>-4475.3218180507492</v>
          </cell>
          <cell r="CM57">
            <v>-627.08590974625145</v>
          </cell>
          <cell r="CN57">
            <v>0</v>
          </cell>
          <cell r="CO57">
            <v>0</v>
          </cell>
          <cell r="CP57"/>
        </row>
      </sheetData>
      <sheetData sheetId="13">
        <row r="4">
          <cell r="L4">
            <v>57892.989960000006</v>
          </cell>
          <cell r="M4">
            <v>50777.941493916005</v>
          </cell>
          <cell r="N4">
            <v>7115.0484660840002</v>
          </cell>
          <cell r="O4">
            <v>52206.264342000009</v>
          </cell>
          <cell r="P4">
            <v>2414.2256580000003</v>
          </cell>
          <cell r="Q4">
            <v>54620.490000000013</v>
          </cell>
          <cell r="S4">
            <v>92869.989960000006</v>
          </cell>
          <cell r="T4">
            <v>81456.26819391601</v>
          </cell>
          <cell r="U4">
            <v>11413.721766084</v>
          </cell>
          <cell r="V4">
            <v>28947.846258000001</v>
          </cell>
          <cell r="W4">
            <v>1338.663742</v>
          </cell>
          <cell r="X4">
            <v>30286.510000000002</v>
          </cell>
          <cell r="Z4">
            <v>57892.989960000006</v>
          </cell>
          <cell r="AA4">
            <v>50777.941493916005</v>
          </cell>
          <cell r="AB4">
            <v>7115.0484660840002</v>
          </cell>
          <cell r="AC4">
            <v>55380.390120000018</v>
          </cell>
          <cell r="AD4">
            <v>2561.0098800000005</v>
          </cell>
          <cell r="AE4">
            <v>57941.400000000016</v>
          </cell>
          <cell r="AG4">
            <v>57892.989960000006</v>
          </cell>
          <cell r="AH4">
            <v>50777.941493916005</v>
          </cell>
          <cell r="AI4">
            <v>7115.0484660840002</v>
          </cell>
          <cell r="AJ4">
            <v>47944.017611999996</v>
          </cell>
          <cell r="AK4">
            <v>2217.1223879999998</v>
          </cell>
          <cell r="AL4">
            <v>50161.14</v>
          </cell>
          <cell r="AN4">
            <v>57892.989960000006</v>
          </cell>
          <cell r="AO4">
            <v>50777.941493916005</v>
          </cell>
          <cell r="AP4">
            <v>7115.0484660840002</v>
          </cell>
          <cell r="AQ4">
            <v>0</v>
          </cell>
          <cell r="AR4">
            <v>0</v>
          </cell>
          <cell r="AS4"/>
          <cell r="AU4">
            <v>57892.989960000006</v>
          </cell>
          <cell r="AV4">
            <v>50777.941493916005</v>
          </cell>
          <cell r="AW4">
            <v>7115.0484660840002</v>
          </cell>
          <cell r="AX4">
            <v>0</v>
          </cell>
          <cell r="AY4">
            <v>0</v>
          </cell>
          <cell r="AZ4"/>
          <cell r="BB4">
            <v>57892.989960000006</v>
          </cell>
          <cell r="BC4">
            <v>50777.941493916005</v>
          </cell>
          <cell r="BD4">
            <v>7115.0484660840002</v>
          </cell>
          <cell r="BE4">
            <v>0</v>
          </cell>
          <cell r="BF4">
            <v>0</v>
          </cell>
          <cell r="BG4"/>
          <cell r="BI4">
            <v>62524.429156800012</v>
          </cell>
          <cell r="BJ4">
            <v>54840.176813429294</v>
          </cell>
          <cell r="BK4">
            <v>7684.2523433707211</v>
          </cell>
          <cell r="BL4">
            <v>0</v>
          </cell>
          <cell r="BM4">
            <v>0</v>
          </cell>
          <cell r="BN4"/>
          <cell r="BP4">
            <v>62524.429156800012</v>
          </cell>
          <cell r="BQ4">
            <v>54840.176813429294</v>
          </cell>
          <cell r="BR4">
            <v>7684.2523433707211</v>
          </cell>
          <cell r="BS4">
            <v>0</v>
          </cell>
          <cell r="BT4">
            <v>0</v>
          </cell>
          <cell r="BU4"/>
          <cell r="BW4">
            <v>62524.429156800012</v>
          </cell>
          <cell r="BX4">
            <v>54840.176813429294</v>
          </cell>
          <cell r="BY4">
            <v>7684.2523433707211</v>
          </cell>
          <cell r="BZ4">
            <v>0</v>
          </cell>
          <cell r="CA4">
            <v>0</v>
          </cell>
          <cell r="CB4"/>
          <cell r="CD4">
            <v>62524.429156800012</v>
          </cell>
          <cell r="CE4">
            <v>54840.176813429294</v>
          </cell>
          <cell r="CF4">
            <v>7684.2523433707211</v>
          </cell>
          <cell r="CG4">
            <v>0</v>
          </cell>
          <cell r="CH4">
            <v>0</v>
          </cell>
          <cell r="CI4"/>
          <cell r="CK4">
            <v>62524.429156800012</v>
          </cell>
          <cell r="CL4">
            <v>54840.176813429294</v>
          </cell>
          <cell r="CM4">
            <v>7684.2523433707211</v>
          </cell>
          <cell r="CN4">
            <v>0</v>
          </cell>
          <cell r="CO4">
            <v>0</v>
          </cell>
          <cell r="CP4"/>
        </row>
        <row r="5">
          <cell r="L5">
            <v>2916.6666666666665</v>
          </cell>
          <cell r="M5">
            <v>2558.208333333333</v>
          </cell>
          <cell r="N5">
            <v>358.45833333333331</v>
          </cell>
          <cell r="O5">
            <v>2343.5738099999999</v>
          </cell>
          <cell r="P5">
            <v>108.37618999999998</v>
          </cell>
          <cell r="Q5">
            <v>2451.9499999999998</v>
          </cell>
          <cell r="S5">
            <v>2916.6666666666665</v>
          </cell>
          <cell r="T5">
            <v>2558.208333333333</v>
          </cell>
          <cell r="U5">
            <v>358.45833333333331</v>
          </cell>
          <cell r="V5">
            <v>339.825132</v>
          </cell>
          <cell r="W5">
            <v>15.714867999999999</v>
          </cell>
          <cell r="X5">
            <v>355.54</v>
          </cell>
          <cell r="Z5">
            <v>2916.6666666666665</v>
          </cell>
          <cell r="AA5">
            <v>2558.208333333333</v>
          </cell>
          <cell r="AB5">
            <v>358.45833333333331</v>
          </cell>
          <cell r="AC5">
            <v>3927.688056</v>
          </cell>
          <cell r="AD5">
            <v>181.63194399999998</v>
          </cell>
          <cell r="AE5">
            <v>4109.32</v>
          </cell>
          <cell r="AG5">
            <v>2916.6666666666665</v>
          </cell>
          <cell r="AH5">
            <v>2558.208333333333</v>
          </cell>
          <cell r="AI5">
            <v>358.45833333333331</v>
          </cell>
          <cell r="AJ5">
            <v>4729.7954159999999</v>
          </cell>
          <cell r="AK5">
            <v>218.72458399999996</v>
          </cell>
          <cell r="AL5">
            <v>4948.5199999999995</v>
          </cell>
          <cell r="AN5">
            <v>2916.6666666666665</v>
          </cell>
          <cell r="AO5">
            <v>2558.208333333333</v>
          </cell>
          <cell r="AP5">
            <v>358.45833333333331</v>
          </cell>
          <cell r="AQ5">
            <v>0</v>
          </cell>
          <cell r="AR5">
            <v>0</v>
          </cell>
          <cell r="AS5"/>
          <cell r="AU5">
            <v>2916.6666666666665</v>
          </cell>
          <cell r="AV5">
            <v>2558.208333333333</v>
          </cell>
          <cell r="AW5">
            <v>358.45833333333331</v>
          </cell>
          <cell r="AX5">
            <v>0</v>
          </cell>
          <cell r="AY5">
            <v>0</v>
          </cell>
          <cell r="AZ5"/>
          <cell r="BB5">
            <v>2916.6666666666665</v>
          </cell>
          <cell r="BC5">
            <v>2558.208333333333</v>
          </cell>
          <cell r="BD5">
            <v>358.45833333333331</v>
          </cell>
          <cell r="BE5">
            <v>0</v>
          </cell>
          <cell r="BF5">
            <v>0</v>
          </cell>
          <cell r="BG5"/>
          <cell r="BI5">
            <v>2916.6666666666665</v>
          </cell>
          <cell r="BJ5">
            <v>2558.208333333333</v>
          </cell>
          <cell r="BK5">
            <v>358.45833333333331</v>
          </cell>
          <cell r="BL5">
            <v>0</v>
          </cell>
          <cell r="BM5">
            <v>0</v>
          </cell>
          <cell r="BN5"/>
          <cell r="BP5">
            <v>2916.6666666666665</v>
          </cell>
          <cell r="BQ5">
            <v>2558.208333333333</v>
          </cell>
          <cell r="BR5">
            <v>358.45833333333331</v>
          </cell>
          <cell r="BS5">
            <v>0</v>
          </cell>
          <cell r="BT5">
            <v>0</v>
          </cell>
          <cell r="BU5"/>
          <cell r="BW5">
            <v>2916.6666666666665</v>
          </cell>
          <cell r="BX5">
            <v>2558.208333333333</v>
          </cell>
          <cell r="BY5">
            <v>358.45833333333331</v>
          </cell>
          <cell r="BZ5">
            <v>0</v>
          </cell>
          <cell r="CA5">
            <v>0</v>
          </cell>
          <cell r="CB5"/>
          <cell r="CD5">
            <v>2916.6666666666665</v>
          </cell>
          <cell r="CE5">
            <v>2558.208333333333</v>
          </cell>
          <cell r="CF5">
            <v>358.45833333333331</v>
          </cell>
          <cell r="CG5">
            <v>0</v>
          </cell>
          <cell r="CH5">
            <v>0</v>
          </cell>
          <cell r="CI5"/>
          <cell r="CK5">
            <v>2916.6666666666665</v>
          </cell>
          <cell r="CL5">
            <v>2558.208333333333</v>
          </cell>
          <cell r="CM5">
            <v>358.45833333333331</v>
          </cell>
          <cell r="CN5">
            <v>0</v>
          </cell>
          <cell r="CO5">
            <v>0</v>
          </cell>
          <cell r="CP5"/>
        </row>
        <row r="6">
          <cell r="L6">
            <v>7637.8842413333341</v>
          </cell>
          <cell r="M6">
            <v>6699.188268073467</v>
          </cell>
          <cell r="N6">
            <v>938.69597325986672</v>
          </cell>
          <cell r="O6">
            <v>6669.0084779999997</v>
          </cell>
          <cell r="P6">
            <v>308.40152199999994</v>
          </cell>
          <cell r="Q6">
            <v>6977.41</v>
          </cell>
          <cell r="S6">
            <v>7637.8842413333341</v>
          </cell>
          <cell r="T6">
            <v>6699.188268073467</v>
          </cell>
          <cell r="U6">
            <v>938.69597325986672</v>
          </cell>
          <cell r="V6">
            <v>5826.3369660000008</v>
          </cell>
          <cell r="W6">
            <v>269.43303400000002</v>
          </cell>
          <cell r="X6">
            <v>6095.77</v>
          </cell>
          <cell r="Z6">
            <v>7637.8842413333341</v>
          </cell>
          <cell r="AA6">
            <v>6699.188268073467</v>
          </cell>
          <cell r="AB6">
            <v>938.69597325986672</v>
          </cell>
          <cell r="AC6">
            <v>6696.6980039999999</v>
          </cell>
          <cell r="AD6">
            <v>309.68199599999997</v>
          </cell>
          <cell r="AE6">
            <v>7006.38</v>
          </cell>
          <cell r="AG6">
            <v>7637.8842413333341</v>
          </cell>
          <cell r="AH6">
            <v>6699.188268073467</v>
          </cell>
          <cell r="AI6">
            <v>938.69597325986672</v>
          </cell>
          <cell r="AJ6">
            <v>6689.2523220000003</v>
          </cell>
          <cell r="AK6">
            <v>309.33767799999998</v>
          </cell>
          <cell r="AL6">
            <v>6998.59</v>
          </cell>
          <cell r="AN6">
            <v>7637.8842413333341</v>
          </cell>
          <cell r="AO6">
            <v>6699.188268073467</v>
          </cell>
          <cell r="AP6">
            <v>938.69597325986672</v>
          </cell>
          <cell r="AQ6">
            <v>0</v>
          </cell>
          <cell r="AR6">
            <v>0</v>
          </cell>
          <cell r="AS6"/>
          <cell r="AU6">
            <v>7637.8842413333341</v>
          </cell>
          <cell r="AV6">
            <v>6699.188268073467</v>
          </cell>
          <cell r="AW6">
            <v>938.69597325986672</v>
          </cell>
          <cell r="AX6">
            <v>0</v>
          </cell>
          <cell r="AY6">
            <v>0</v>
          </cell>
          <cell r="AZ6"/>
          <cell r="BB6">
            <v>7637.8842413333341</v>
          </cell>
          <cell r="BC6">
            <v>6699.188268073467</v>
          </cell>
          <cell r="BD6">
            <v>938.69597325986672</v>
          </cell>
          <cell r="BE6">
            <v>0</v>
          </cell>
          <cell r="BF6">
            <v>0</v>
          </cell>
          <cell r="BG6"/>
          <cell r="BI6">
            <v>8221.8483139733362</v>
          </cell>
          <cell r="BJ6">
            <v>7211.3831561860134</v>
          </cell>
          <cell r="BK6">
            <v>1010.4651577873229</v>
          </cell>
          <cell r="BL6">
            <v>0</v>
          </cell>
          <cell r="BM6">
            <v>0</v>
          </cell>
          <cell r="BN6"/>
          <cell r="BP6">
            <v>8221.8483139733362</v>
          </cell>
          <cell r="BQ6">
            <v>7211.3831561860134</v>
          </cell>
          <cell r="BR6">
            <v>1010.4651577873229</v>
          </cell>
          <cell r="BS6">
            <v>0</v>
          </cell>
          <cell r="BT6">
            <v>0</v>
          </cell>
          <cell r="BU6"/>
          <cell r="BW6">
            <v>8221.8483139733362</v>
          </cell>
          <cell r="BX6">
            <v>7211.3831561860134</v>
          </cell>
          <cell r="BY6">
            <v>1010.4651577873229</v>
          </cell>
          <cell r="BZ6">
            <v>0</v>
          </cell>
          <cell r="CA6">
            <v>0</v>
          </cell>
          <cell r="CB6"/>
          <cell r="CD6">
            <v>8221.8483139733362</v>
          </cell>
          <cell r="CE6">
            <v>7211.3831561860134</v>
          </cell>
          <cell r="CF6">
            <v>1010.4651577873229</v>
          </cell>
          <cell r="CG6">
            <v>0</v>
          </cell>
          <cell r="CH6">
            <v>0</v>
          </cell>
          <cell r="CI6"/>
          <cell r="CK6">
            <v>8221.8483139733362</v>
          </cell>
          <cell r="CL6">
            <v>7211.3831561860134</v>
          </cell>
          <cell r="CM6">
            <v>1010.4651577873229</v>
          </cell>
          <cell r="CN6">
            <v>0</v>
          </cell>
          <cell r="CO6">
            <v>0</v>
          </cell>
          <cell r="CP6"/>
        </row>
        <row r="7">
          <cell r="L7">
            <v>5925.9446699999999</v>
          </cell>
          <cell r="M7">
            <v>5197.6460700569996</v>
          </cell>
          <cell r="N7">
            <v>728.298599943</v>
          </cell>
          <cell r="O7">
            <v>4480.379406</v>
          </cell>
          <cell r="P7">
            <v>207.19059399999998</v>
          </cell>
          <cell r="Q7">
            <v>4687.57</v>
          </cell>
          <cell r="S7">
            <v>5925.9446699999999</v>
          </cell>
          <cell r="T7">
            <v>5197.6460700569996</v>
          </cell>
          <cell r="U7">
            <v>728.298599943</v>
          </cell>
          <cell r="V7">
            <v>4059.6935940000003</v>
          </cell>
          <cell r="W7">
            <v>187.73640599999999</v>
          </cell>
          <cell r="X7">
            <v>4247.43</v>
          </cell>
          <cell r="Z7">
            <v>5925.9446699999999</v>
          </cell>
          <cell r="AA7">
            <v>5197.6460700569996</v>
          </cell>
          <cell r="AB7">
            <v>728.298599943</v>
          </cell>
          <cell r="AC7">
            <v>4525.1012879999998</v>
          </cell>
          <cell r="AD7">
            <v>209.25871199999997</v>
          </cell>
          <cell r="AE7">
            <v>4734.3599999999997</v>
          </cell>
          <cell r="AG7">
            <v>5925.9446699999999</v>
          </cell>
          <cell r="AH7">
            <v>5197.6460700569996</v>
          </cell>
          <cell r="AI7">
            <v>728.298599943</v>
          </cell>
          <cell r="AJ7">
            <v>4420.0684259999998</v>
          </cell>
          <cell r="AK7">
            <v>204.40157399999998</v>
          </cell>
          <cell r="AL7">
            <v>4624.47</v>
          </cell>
          <cell r="AN7">
            <v>5925.9446699999999</v>
          </cell>
          <cell r="AO7">
            <v>5197.6460700569996</v>
          </cell>
          <cell r="AP7">
            <v>728.298599943</v>
          </cell>
          <cell r="AQ7">
            <v>0</v>
          </cell>
          <cell r="AR7">
            <v>0</v>
          </cell>
          <cell r="AS7"/>
          <cell r="AU7">
            <v>5925.9446699999999</v>
          </cell>
          <cell r="AV7">
            <v>5197.6460700569996</v>
          </cell>
          <cell r="AW7">
            <v>728.298599943</v>
          </cell>
          <cell r="AX7">
            <v>0</v>
          </cell>
          <cell r="AY7">
            <v>0</v>
          </cell>
          <cell r="AZ7"/>
          <cell r="BB7">
            <v>5925.9446699999999</v>
          </cell>
          <cell r="BC7">
            <v>5197.6460700569996</v>
          </cell>
          <cell r="BD7">
            <v>728.298599943</v>
          </cell>
          <cell r="BE7">
            <v>0</v>
          </cell>
          <cell r="BF7">
            <v>0</v>
          </cell>
          <cell r="BG7"/>
          <cell r="BI7">
            <v>6379.0202436000009</v>
          </cell>
          <cell r="BJ7">
            <v>5595.0386556615613</v>
          </cell>
          <cell r="BK7">
            <v>783.98158793844004</v>
          </cell>
          <cell r="BL7">
            <v>0</v>
          </cell>
          <cell r="BM7">
            <v>0</v>
          </cell>
          <cell r="BN7"/>
          <cell r="BP7">
            <v>6379.0202436000009</v>
          </cell>
          <cell r="BQ7">
            <v>5595.0386556615613</v>
          </cell>
          <cell r="BR7">
            <v>783.98158793844004</v>
          </cell>
          <cell r="BS7">
            <v>0</v>
          </cell>
          <cell r="BT7">
            <v>0</v>
          </cell>
          <cell r="BU7"/>
          <cell r="BW7">
            <v>6379.0202436000009</v>
          </cell>
          <cell r="BX7">
            <v>5595.0386556615613</v>
          </cell>
          <cell r="BY7">
            <v>783.98158793844004</v>
          </cell>
          <cell r="BZ7">
            <v>0</v>
          </cell>
          <cell r="CA7">
            <v>0</v>
          </cell>
          <cell r="CB7"/>
          <cell r="CD7">
            <v>6379.0202436000009</v>
          </cell>
          <cell r="CE7">
            <v>5595.0386556615613</v>
          </cell>
          <cell r="CF7">
            <v>783.98158793844004</v>
          </cell>
          <cell r="CG7">
            <v>0</v>
          </cell>
          <cell r="CH7">
            <v>0</v>
          </cell>
          <cell r="CI7"/>
          <cell r="CK7">
            <v>6379.0202436000009</v>
          </cell>
          <cell r="CL7">
            <v>5595.0386556615613</v>
          </cell>
          <cell r="CM7">
            <v>783.98158793844004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66936.136984200013</v>
          </cell>
          <cell r="BC8">
            <v>58709.685748841832</v>
          </cell>
          <cell r="BD8">
            <v>8226.4512353581813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6176.1512227333342</v>
          </cell>
          <cell r="M9">
            <v>5417.1022374594077</v>
          </cell>
          <cell r="N9">
            <v>759.04898527392675</v>
          </cell>
          <cell r="O9">
            <v>13050.693917999999</v>
          </cell>
          <cell r="P9">
            <v>603.51608199999987</v>
          </cell>
          <cell r="Q9">
            <v>13654.21</v>
          </cell>
          <cell r="S9">
            <v>6176.1512227333342</v>
          </cell>
          <cell r="T9">
            <v>5417.1022374594077</v>
          </cell>
          <cell r="U9">
            <v>759.04898527392675</v>
          </cell>
          <cell r="V9">
            <v>20612.916612000001</v>
          </cell>
          <cell r="W9">
            <v>953.22338799999989</v>
          </cell>
          <cell r="X9">
            <v>21566.14</v>
          </cell>
          <cell r="Z9">
            <v>6176.1512227333342</v>
          </cell>
          <cell r="AA9">
            <v>5417.1022374594077</v>
          </cell>
          <cell r="AB9">
            <v>759.04898527392675</v>
          </cell>
          <cell r="AC9">
            <v>1895.647698</v>
          </cell>
          <cell r="AD9">
            <v>87.662301999999997</v>
          </cell>
          <cell r="AE9">
            <v>1983.31</v>
          </cell>
          <cell r="AG9">
            <v>6176.1512227333342</v>
          </cell>
          <cell r="AH9">
            <v>5417.1022374594077</v>
          </cell>
          <cell r="AI9">
            <v>759.04898527392675</v>
          </cell>
          <cell r="AJ9">
            <v>7550.82</v>
          </cell>
          <cell r="AK9">
            <v>349.17999999999995</v>
          </cell>
          <cell r="AL9">
            <v>7900</v>
          </cell>
          <cell r="AN9">
            <v>6176.1512227333342</v>
          </cell>
          <cell r="AO9">
            <v>5417.1022374594077</v>
          </cell>
          <cell r="AP9">
            <v>759.04898527392675</v>
          </cell>
          <cell r="AQ9">
            <v>0</v>
          </cell>
          <cell r="AR9">
            <v>0</v>
          </cell>
          <cell r="AS9"/>
          <cell r="AU9">
            <v>6176.1512227333342</v>
          </cell>
          <cell r="AV9">
            <v>5417.1022374594077</v>
          </cell>
          <cell r="AW9">
            <v>759.04898527392675</v>
          </cell>
          <cell r="AX9">
            <v>0</v>
          </cell>
          <cell r="AY9">
            <v>0</v>
          </cell>
          <cell r="AZ9"/>
          <cell r="BB9">
            <v>6176.1512227333342</v>
          </cell>
          <cell r="BC9">
            <v>5417.1022374594077</v>
          </cell>
          <cell r="BD9">
            <v>759.04898527392675</v>
          </cell>
          <cell r="BE9">
            <v>0</v>
          </cell>
          <cell r="BF9">
            <v>0</v>
          </cell>
          <cell r="BG9"/>
          <cell r="BI9">
            <v>6648.3566538853347</v>
          </cell>
          <cell r="BJ9">
            <v>5831.2736211228275</v>
          </cell>
          <cell r="BK9">
            <v>817.08303276250763</v>
          </cell>
          <cell r="BL9">
            <v>0</v>
          </cell>
          <cell r="BM9">
            <v>0</v>
          </cell>
          <cell r="BN9"/>
          <cell r="BP9">
            <v>6648.3566538853347</v>
          </cell>
          <cell r="BQ9">
            <v>5831.2736211228275</v>
          </cell>
          <cell r="BR9">
            <v>817.08303276250763</v>
          </cell>
          <cell r="BS9">
            <v>0</v>
          </cell>
          <cell r="BT9">
            <v>0</v>
          </cell>
          <cell r="BU9"/>
          <cell r="BW9">
            <v>6648.3566538853347</v>
          </cell>
          <cell r="BX9">
            <v>5831.2736211228275</v>
          </cell>
          <cell r="BY9">
            <v>817.08303276250763</v>
          </cell>
          <cell r="BZ9">
            <v>0</v>
          </cell>
          <cell r="CA9">
            <v>0</v>
          </cell>
          <cell r="CB9"/>
          <cell r="CD9">
            <v>6648.3566538853347</v>
          </cell>
          <cell r="CE9">
            <v>5831.2736211228275</v>
          </cell>
          <cell r="CF9">
            <v>817.08303276250763</v>
          </cell>
          <cell r="CG9">
            <v>0</v>
          </cell>
          <cell r="CH9">
            <v>0</v>
          </cell>
          <cell r="CI9"/>
          <cell r="CK9">
            <v>6648.3566538853347</v>
          </cell>
          <cell r="CL9">
            <v>5831.2736211228275</v>
          </cell>
          <cell r="CM9">
            <v>817.08303276250763</v>
          </cell>
          <cell r="CN9">
            <v>0</v>
          </cell>
          <cell r="CO9">
            <v>0</v>
          </cell>
          <cell r="CP9"/>
        </row>
        <row r="10">
          <cell r="L10">
            <v>4000</v>
          </cell>
          <cell r="M10">
            <v>3508.4</v>
          </cell>
          <cell r="N10">
            <v>491.59999999999997</v>
          </cell>
          <cell r="O10">
            <v>4378.7109599999994</v>
          </cell>
          <cell r="P10">
            <v>202.48903999999999</v>
          </cell>
          <cell r="Q10">
            <v>4581.2</v>
          </cell>
          <cell r="S10">
            <v>4000</v>
          </cell>
          <cell r="T10">
            <v>3508.4</v>
          </cell>
          <cell r="U10">
            <v>491.59999999999997</v>
          </cell>
          <cell r="V10">
            <v>868.70750399999997</v>
          </cell>
          <cell r="W10">
            <v>40.172495999999995</v>
          </cell>
          <cell r="X10">
            <v>908.88</v>
          </cell>
          <cell r="Z10">
            <v>4000</v>
          </cell>
          <cell r="AA10">
            <v>3508.4</v>
          </cell>
          <cell r="AB10">
            <v>491.59999999999997</v>
          </cell>
          <cell r="AC10">
            <v>4249.7257499999996</v>
          </cell>
          <cell r="AD10">
            <v>196.52424999999999</v>
          </cell>
          <cell r="AE10">
            <v>4446.25</v>
          </cell>
          <cell r="AG10">
            <v>4000</v>
          </cell>
          <cell r="AH10">
            <v>3508.4</v>
          </cell>
          <cell r="AI10">
            <v>491.59999999999997</v>
          </cell>
          <cell r="AJ10">
            <v>4698.9517500000002</v>
          </cell>
          <cell r="AK10">
            <v>217.29824999999997</v>
          </cell>
          <cell r="AL10">
            <v>4916.25</v>
          </cell>
          <cell r="AN10">
            <v>4000</v>
          </cell>
          <cell r="AO10">
            <v>3508.4</v>
          </cell>
          <cell r="AP10">
            <v>491.59999999999997</v>
          </cell>
          <cell r="AQ10">
            <v>0</v>
          </cell>
          <cell r="AR10">
            <v>0</v>
          </cell>
          <cell r="AS10"/>
          <cell r="AU10">
            <v>4000</v>
          </cell>
          <cell r="AV10">
            <v>3508.4</v>
          </cell>
          <cell r="AW10">
            <v>491.59999999999997</v>
          </cell>
          <cell r="AX10">
            <v>0</v>
          </cell>
          <cell r="AY10">
            <v>0</v>
          </cell>
          <cell r="AZ10"/>
          <cell r="BB10">
            <v>4000</v>
          </cell>
          <cell r="BC10">
            <v>3508.4</v>
          </cell>
          <cell r="BD10">
            <v>491.59999999999997</v>
          </cell>
          <cell r="BE10">
            <v>0</v>
          </cell>
          <cell r="BF10">
            <v>0</v>
          </cell>
          <cell r="BG10"/>
          <cell r="BI10">
            <v>4000</v>
          </cell>
          <cell r="BJ10">
            <v>3508.4</v>
          </cell>
          <cell r="BK10">
            <v>491.59999999999997</v>
          </cell>
          <cell r="BL10">
            <v>0</v>
          </cell>
          <cell r="BM10">
            <v>0</v>
          </cell>
          <cell r="BN10"/>
          <cell r="BP10">
            <v>4000</v>
          </cell>
          <cell r="BQ10">
            <v>3508.4</v>
          </cell>
          <cell r="BR10">
            <v>491.59999999999997</v>
          </cell>
          <cell r="BS10">
            <v>0</v>
          </cell>
          <cell r="BT10">
            <v>0</v>
          </cell>
          <cell r="BU10"/>
          <cell r="BW10">
            <v>4000</v>
          </cell>
          <cell r="BX10">
            <v>3508.4</v>
          </cell>
          <cell r="BY10">
            <v>491.59999999999997</v>
          </cell>
          <cell r="BZ10">
            <v>0</v>
          </cell>
          <cell r="CA10">
            <v>0</v>
          </cell>
          <cell r="CB10"/>
          <cell r="CD10">
            <v>4000</v>
          </cell>
          <cell r="CE10">
            <v>3508.4</v>
          </cell>
          <cell r="CF10">
            <v>491.59999999999997</v>
          </cell>
          <cell r="CG10">
            <v>0</v>
          </cell>
          <cell r="CH10">
            <v>0</v>
          </cell>
          <cell r="CI10"/>
          <cell r="CK10">
            <v>4000</v>
          </cell>
          <cell r="CL10">
            <v>3508.4</v>
          </cell>
          <cell r="CM10">
            <v>491.59999999999997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/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/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2766.94542</v>
          </cell>
          <cell r="P12">
            <v>127.95457999999999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92.234700000000004</v>
          </cell>
          <cell r="W12">
            <v>4.2652999999999999</v>
          </cell>
          <cell r="X12">
            <v>96.5</v>
          </cell>
          <cell r="Z12">
            <v>3105</v>
          </cell>
          <cell r="AA12">
            <v>2723.3955000000001</v>
          </cell>
          <cell r="AB12">
            <v>381.60449999999997</v>
          </cell>
          <cell r="AC12">
            <v>5723.9516699999995</v>
          </cell>
          <cell r="AD12">
            <v>264.69832999999994</v>
          </cell>
          <cell r="AE12">
            <v>5988.65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2965.6084500000002</v>
          </cell>
          <cell r="AK12">
            <v>137.14155</v>
          </cell>
          <cell r="AL12">
            <v>3102.75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/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/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/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/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/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/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/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/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/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/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/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/>
        </row>
        <row r="14">
          <cell r="L14">
            <v>2250</v>
          </cell>
          <cell r="M14">
            <v>1973.4749999999999</v>
          </cell>
          <cell r="N14">
            <v>276.52499999999998</v>
          </cell>
          <cell r="O14">
            <v>1842.3045</v>
          </cell>
          <cell r="P14">
            <v>85.195499999999996</v>
          </cell>
          <cell r="Q14">
            <v>1927.5</v>
          </cell>
          <cell r="S14">
            <v>2250</v>
          </cell>
          <cell r="T14">
            <v>1973.4749999999999</v>
          </cell>
          <cell r="U14">
            <v>276.52499999999998</v>
          </cell>
          <cell r="V14">
            <v>6793.4249639999998</v>
          </cell>
          <cell r="W14">
            <v>314.155036</v>
          </cell>
          <cell r="X14">
            <v>7107.58</v>
          </cell>
          <cell r="Z14">
            <v>2250</v>
          </cell>
          <cell r="AA14">
            <v>1973.4749999999999</v>
          </cell>
          <cell r="AB14">
            <v>276.52499999999998</v>
          </cell>
          <cell r="AC14">
            <v>2046.0428279999999</v>
          </cell>
          <cell r="AD14">
            <v>94.617171999999982</v>
          </cell>
          <cell r="AE14">
            <v>2140.66</v>
          </cell>
          <cell r="AG14">
            <v>2250</v>
          </cell>
          <cell r="AH14">
            <v>1973.4749999999999</v>
          </cell>
          <cell r="AI14">
            <v>276.52499999999998</v>
          </cell>
          <cell r="AJ14">
            <v>2287.860228</v>
          </cell>
          <cell r="AK14">
            <v>105.79977199999999</v>
          </cell>
          <cell r="AL14">
            <v>2393.66</v>
          </cell>
          <cell r="AN14">
            <v>2250</v>
          </cell>
          <cell r="AO14">
            <v>1973.4749999999999</v>
          </cell>
          <cell r="AP14">
            <v>276.52499999999998</v>
          </cell>
          <cell r="AQ14">
            <v>0</v>
          </cell>
          <cell r="AR14">
            <v>0</v>
          </cell>
          <cell r="AS14"/>
          <cell r="AU14">
            <v>2250</v>
          </cell>
          <cell r="AV14">
            <v>1973.4749999999999</v>
          </cell>
          <cell r="AW14">
            <v>276.52499999999998</v>
          </cell>
          <cell r="AX14">
            <v>0</v>
          </cell>
          <cell r="AY14">
            <v>0</v>
          </cell>
          <cell r="AZ14"/>
          <cell r="BB14">
            <v>2250</v>
          </cell>
          <cell r="BC14">
            <v>1973.4749999999999</v>
          </cell>
          <cell r="BD14">
            <v>276.52499999999998</v>
          </cell>
          <cell r="BE14">
            <v>0</v>
          </cell>
          <cell r="BF14">
            <v>0</v>
          </cell>
          <cell r="BG14"/>
          <cell r="BI14">
            <v>2250</v>
          </cell>
          <cell r="BJ14">
            <v>1973.4749999999999</v>
          </cell>
          <cell r="BK14">
            <v>276.52499999999998</v>
          </cell>
          <cell r="BL14">
            <v>0</v>
          </cell>
          <cell r="BM14">
            <v>0</v>
          </cell>
          <cell r="BN14"/>
          <cell r="BP14">
            <v>2250</v>
          </cell>
          <cell r="BQ14">
            <v>1973.4749999999999</v>
          </cell>
          <cell r="BR14">
            <v>276.52499999999998</v>
          </cell>
          <cell r="BS14">
            <v>0</v>
          </cell>
          <cell r="BT14">
            <v>0</v>
          </cell>
          <cell r="BU14"/>
          <cell r="BW14">
            <v>2250</v>
          </cell>
          <cell r="BX14">
            <v>1973.4749999999999</v>
          </cell>
          <cell r="BY14">
            <v>276.52499999999998</v>
          </cell>
          <cell r="BZ14">
            <v>0</v>
          </cell>
          <cell r="CA14">
            <v>0</v>
          </cell>
          <cell r="CB14"/>
          <cell r="CD14">
            <v>2250</v>
          </cell>
          <cell r="CE14">
            <v>1973.4749999999999</v>
          </cell>
          <cell r="CF14">
            <v>276.52499999999998</v>
          </cell>
          <cell r="CG14">
            <v>0</v>
          </cell>
          <cell r="CH14">
            <v>0</v>
          </cell>
          <cell r="CI14"/>
          <cell r="CK14">
            <v>2250</v>
          </cell>
          <cell r="CL14">
            <v>1973.4749999999999</v>
          </cell>
          <cell r="CM14">
            <v>276.52499999999998</v>
          </cell>
          <cell r="CN14">
            <v>0</v>
          </cell>
          <cell r="CO14">
            <v>0</v>
          </cell>
          <cell r="CP14"/>
        </row>
        <row r="15">
          <cell r="L15">
            <v>8206.2000000000007</v>
          </cell>
          <cell r="M15">
            <v>7197.6580200000008</v>
          </cell>
          <cell r="N15">
            <v>1008.5419800000001</v>
          </cell>
          <cell r="O15">
            <v>7114.898736000001</v>
          </cell>
          <cell r="P15">
            <v>329.02126400000003</v>
          </cell>
          <cell r="Q15">
            <v>7443.920000000001</v>
          </cell>
          <cell r="S15">
            <v>8206.2000000000007</v>
          </cell>
          <cell r="T15">
            <v>7197.6580200000008</v>
          </cell>
          <cell r="U15">
            <v>1008.5419800000001</v>
          </cell>
          <cell r="V15">
            <v>7002.6304680000057</v>
          </cell>
          <cell r="W15">
            <v>323.82953200000026</v>
          </cell>
          <cell r="X15">
            <v>7326.4600000000064</v>
          </cell>
          <cell r="Z15">
            <v>8206.2000000000007</v>
          </cell>
          <cell r="AA15">
            <v>7197.6580200000008</v>
          </cell>
          <cell r="AB15">
            <v>1008.5419800000001</v>
          </cell>
          <cell r="AC15">
            <v>10498.679244000001</v>
          </cell>
          <cell r="AD15">
            <v>485.50075599999997</v>
          </cell>
          <cell r="AE15">
            <v>10984.18</v>
          </cell>
          <cell r="AG15">
            <v>8206.2000000000007</v>
          </cell>
          <cell r="AH15">
            <v>7197.6580200000008</v>
          </cell>
          <cell r="AI15">
            <v>1008.5419800000001</v>
          </cell>
          <cell r="AJ15">
            <v>12382.035354000001</v>
          </cell>
          <cell r="AK15">
            <v>572.59464600000001</v>
          </cell>
          <cell r="AL15">
            <v>12954.630000000001</v>
          </cell>
          <cell r="AN15">
            <v>8206.2000000000007</v>
          </cell>
          <cell r="AO15">
            <v>7197.6580200000008</v>
          </cell>
          <cell r="AP15">
            <v>1008.5419800000001</v>
          </cell>
          <cell r="AQ15">
            <v>0</v>
          </cell>
          <cell r="AR15">
            <v>0</v>
          </cell>
          <cell r="AS15"/>
          <cell r="AU15">
            <v>8206.2000000000007</v>
          </cell>
          <cell r="AV15">
            <v>7197.6580200000008</v>
          </cell>
          <cell r="AW15">
            <v>1008.5419800000001</v>
          </cell>
          <cell r="AX15">
            <v>0</v>
          </cell>
          <cell r="AY15">
            <v>0</v>
          </cell>
          <cell r="AZ15"/>
          <cell r="BB15">
            <v>8846.4</v>
          </cell>
          <cell r="BC15">
            <v>7759.1774399999995</v>
          </cell>
          <cell r="BD15">
            <v>1087.2225599999999</v>
          </cell>
          <cell r="BE15">
            <v>0</v>
          </cell>
          <cell r="BF15">
            <v>0</v>
          </cell>
          <cell r="BG15"/>
          <cell r="BI15">
            <v>8206.2000000000007</v>
          </cell>
          <cell r="BJ15">
            <v>7197.6580200000008</v>
          </cell>
          <cell r="BK15">
            <v>1008.5419800000001</v>
          </cell>
          <cell r="BL15">
            <v>0</v>
          </cell>
          <cell r="BM15">
            <v>0</v>
          </cell>
          <cell r="BN15"/>
          <cell r="BP15">
            <v>8206.2000000000007</v>
          </cell>
          <cell r="BQ15">
            <v>7197.6580200000008</v>
          </cell>
          <cell r="BR15">
            <v>1008.5419800000001</v>
          </cell>
          <cell r="BS15">
            <v>0</v>
          </cell>
          <cell r="BT15">
            <v>0</v>
          </cell>
          <cell r="BU15"/>
          <cell r="BW15">
            <v>8206.2000000000007</v>
          </cell>
          <cell r="BX15">
            <v>7197.6580200000008</v>
          </cell>
          <cell r="BY15">
            <v>1008.5419800000001</v>
          </cell>
          <cell r="BZ15">
            <v>0</v>
          </cell>
          <cell r="CA15">
            <v>0</v>
          </cell>
          <cell r="CB15"/>
          <cell r="CD15">
            <v>8206.2000000000007</v>
          </cell>
          <cell r="CE15">
            <v>7197.6580200000008</v>
          </cell>
          <cell r="CF15">
            <v>1008.5419800000001</v>
          </cell>
          <cell r="CG15">
            <v>0</v>
          </cell>
          <cell r="CH15">
            <v>0</v>
          </cell>
          <cell r="CI15"/>
          <cell r="CK15">
            <v>8206.2000000000007</v>
          </cell>
          <cell r="CL15">
            <v>7197.6580200000008</v>
          </cell>
          <cell r="CM15">
            <v>1008.5419800000001</v>
          </cell>
          <cell r="CN15">
            <v>0</v>
          </cell>
          <cell r="CO15">
            <v>0</v>
          </cell>
          <cell r="CP15"/>
        </row>
        <row r="16">
          <cell r="L16">
            <v>1666.6666666666667</v>
          </cell>
          <cell r="M16">
            <v>1461.8333333333335</v>
          </cell>
          <cell r="N16">
            <v>204.83333333333334</v>
          </cell>
          <cell r="O16">
            <v>304.34583600000002</v>
          </cell>
          <cell r="P16">
            <v>14.074164</v>
          </cell>
          <cell r="Q16">
            <v>318.42</v>
          </cell>
          <cell r="S16">
            <v>1666.6666666666667</v>
          </cell>
          <cell r="T16">
            <v>1461.8333333333335</v>
          </cell>
          <cell r="U16">
            <v>204.83333333333334</v>
          </cell>
          <cell r="V16">
            <v>1443.6881100000001</v>
          </cell>
          <cell r="W16">
            <v>66.761889999999994</v>
          </cell>
          <cell r="X16">
            <v>1510.45</v>
          </cell>
          <cell r="Z16">
            <v>1666.6666666666667</v>
          </cell>
          <cell r="AA16">
            <v>1461.8333333333335</v>
          </cell>
          <cell r="AB16">
            <v>204.83333333333334</v>
          </cell>
          <cell r="AC16">
            <v>1715.7087899999999</v>
          </cell>
          <cell r="AD16">
            <v>79.34120999999999</v>
          </cell>
          <cell r="AE16">
            <v>1795.05</v>
          </cell>
          <cell r="AG16">
            <v>1666.6666666666667</v>
          </cell>
          <cell r="AH16">
            <v>1461.8333333333335</v>
          </cell>
          <cell r="AI16">
            <v>204.83333333333334</v>
          </cell>
          <cell r="AJ16">
            <v>85.133105999999998</v>
          </cell>
          <cell r="AK16">
            <v>3.9368939999999992</v>
          </cell>
          <cell r="AL16">
            <v>89.07</v>
          </cell>
          <cell r="AN16">
            <v>1666.6666666666667</v>
          </cell>
          <cell r="AO16">
            <v>1461.8333333333335</v>
          </cell>
          <cell r="AP16">
            <v>204.83333333333334</v>
          </cell>
          <cell r="AQ16">
            <v>0</v>
          </cell>
          <cell r="AR16">
            <v>0</v>
          </cell>
          <cell r="AS16"/>
          <cell r="AU16">
            <v>1666.6666666666667</v>
          </cell>
          <cell r="AV16">
            <v>1461.8333333333335</v>
          </cell>
          <cell r="AW16">
            <v>204.83333333333334</v>
          </cell>
          <cell r="AX16">
            <v>0</v>
          </cell>
          <cell r="AY16">
            <v>0</v>
          </cell>
          <cell r="AZ16"/>
          <cell r="BB16">
            <v>1666.6666666666667</v>
          </cell>
          <cell r="BC16">
            <v>1461.8333333333335</v>
          </cell>
          <cell r="BD16">
            <v>204.83333333333334</v>
          </cell>
          <cell r="BE16">
            <v>0</v>
          </cell>
          <cell r="BF16">
            <v>0</v>
          </cell>
          <cell r="BG16"/>
          <cell r="BI16">
            <v>1666.6666666666667</v>
          </cell>
          <cell r="BJ16">
            <v>1461.8333333333335</v>
          </cell>
          <cell r="BK16">
            <v>204.83333333333334</v>
          </cell>
          <cell r="BL16">
            <v>0</v>
          </cell>
          <cell r="BM16">
            <v>0</v>
          </cell>
          <cell r="BN16"/>
          <cell r="BP16">
            <v>1666.6666666666667</v>
          </cell>
          <cell r="BQ16">
            <v>1461.8333333333335</v>
          </cell>
          <cell r="BR16">
            <v>204.83333333333334</v>
          </cell>
          <cell r="BS16">
            <v>0</v>
          </cell>
          <cell r="BT16">
            <v>0</v>
          </cell>
          <cell r="BU16"/>
          <cell r="BW16">
            <v>1666.6666666666667</v>
          </cell>
          <cell r="BX16">
            <v>1461.8333333333335</v>
          </cell>
          <cell r="BY16">
            <v>204.83333333333334</v>
          </cell>
          <cell r="BZ16">
            <v>0</v>
          </cell>
          <cell r="CA16">
            <v>0</v>
          </cell>
          <cell r="CB16"/>
          <cell r="CD16">
            <v>1666.6666666666667</v>
          </cell>
          <cell r="CE16">
            <v>1461.8333333333335</v>
          </cell>
          <cell r="CF16">
            <v>204.83333333333334</v>
          </cell>
          <cell r="CG16">
            <v>0</v>
          </cell>
          <cell r="CH16">
            <v>0</v>
          </cell>
          <cell r="CI16"/>
          <cell r="CK16">
            <v>1666.6666666666667</v>
          </cell>
          <cell r="CL16">
            <v>1461.8333333333335</v>
          </cell>
          <cell r="CM16">
            <v>204.83333333333334</v>
          </cell>
          <cell r="CN16">
            <v>0</v>
          </cell>
          <cell r="CO16">
            <v>0</v>
          </cell>
          <cell r="CP16"/>
        </row>
        <row r="17">
          <cell r="L17">
            <v>37778.400000000001</v>
          </cell>
          <cell r="M17">
            <v>33135.434639999999</v>
          </cell>
          <cell r="N17">
            <v>4642.9653600000001</v>
          </cell>
          <cell r="O17">
            <v>35335.734840000005</v>
          </cell>
          <cell r="P17">
            <v>1634.0651599999999</v>
          </cell>
          <cell r="Q17">
            <v>36969.800000000003</v>
          </cell>
          <cell r="S17">
            <v>37778.400000000001</v>
          </cell>
          <cell r="T17">
            <v>33135.434639999999</v>
          </cell>
          <cell r="U17">
            <v>4642.9653600000001</v>
          </cell>
          <cell r="V17">
            <v>50344.604891999996</v>
          </cell>
          <cell r="W17">
            <v>2328.1351079999995</v>
          </cell>
          <cell r="X17">
            <v>52672.74</v>
          </cell>
          <cell r="Z17">
            <v>37778.400000000001</v>
          </cell>
          <cell r="AA17">
            <v>33135.434639999999</v>
          </cell>
          <cell r="AB17">
            <v>4642.9653600000001</v>
          </cell>
          <cell r="AC17">
            <v>37596.660623999996</v>
          </cell>
          <cell r="AD17">
            <v>1738.6193759999999</v>
          </cell>
          <cell r="AE17">
            <v>39335.279999999999</v>
          </cell>
          <cell r="AG17">
            <v>37778.400000000001</v>
          </cell>
          <cell r="AH17">
            <v>33135.434639999999</v>
          </cell>
          <cell r="AI17">
            <v>4642.9653600000001</v>
          </cell>
          <cell r="AJ17">
            <v>38573.746290000003</v>
          </cell>
          <cell r="AK17">
            <v>1783.8037099999999</v>
          </cell>
          <cell r="AL17">
            <v>40357.550000000003</v>
          </cell>
          <cell r="AN17">
            <v>37778.400000000001</v>
          </cell>
          <cell r="AO17">
            <v>33135.434639999999</v>
          </cell>
          <cell r="AP17">
            <v>4642.9653600000001</v>
          </cell>
          <cell r="AQ17">
            <v>0</v>
          </cell>
          <cell r="AR17">
            <v>0</v>
          </cell>
          <cell r="AS17"/>
          <cell r="AU17">
            <v>37778.400000000001</v>
          </cell>
          <cell r="AV17">
            <v>33135.434639999999</v>
          </cell>
          <cell r="AW17">
            <v>4642.9653600000001</v>
          </cell>
          <cell r="AX17">
            <v>0</v>
          </cell>
          <cell r="AY17">
            <v>0</v>
          </cell>
          <cell r="AZ17"/>
          <cell r="BB17">
            <v>37778.400000000001</v>
          </cell>
          <cell r="BC17">
            <v>33135.434639999999</v>
          </cell>
          <cell r="BD17">
            <v>4642.9653600000001</v>
          </cell>
          <cell r="BE17">
            <v>0</v>
          </cell>
          <cell r="BF17">
            <v>0</v>
          </cell>
          <cell r="BG17"/>
          <cell r="BI17">
            <v>37778.400000000001</v>
          </cell>
          <cell r="BJ17">
            <v>33135.434639999999</v>
          </cell>
          <cell r="BK17">
            <v>4642.9653600000001</v>
          </cell>
          <cell r="BL17">
            <v>0</v>
          </cell>
          <cell r="BM17">
            <v>0</v>
          </cell>
          <cell r="BN17"/>
          <cell r="BP17">
            <v>37778.400000000001</v>
          </cell>
          <cell r="BQ17">
            <v>33135.434639999999</v>
          </cell>
          <cell r="BR17">
            <v>4642.9653600000001</v>
          </cell>
          <cell r="BS17">
            <v>0</v>
          </cell>
          <cell r="BT17">
            <v>0</v>
          </cell>
          <cell r="BU17"/>
          <cell r="BW17">
            <v>37778.400000000001</v>
          </cell>
          <cell r="BX17">
            <v>33135.434639999999</v>
          </cell>
          <cell r="BY17">
            <v>4642.9653600000001</v>
          </cell>
          <cell r="BZ17">
            <v>0</v>
          </cell>
          <cell r="CA17">
            <v>0</v>
          </cell>
          <cell r="CB17"/>
          <cell r="CD17">
            <v>37778.400000000001</v>
          </cell>
          <cell r="CE17">
            <v>33135.434639999999</v>
          </cell>
          <cell r="CF17">
            <v>4642.9653600000001</v>
          </cell>
          <cell r="CG17">
            <v>0</v>
          </cell>
          <cell r="CH17">
            <v>0</v>
          </cell>
          <cell r="CI17"/>
          <cell r="CK17">
            <v>37778.400000000001</v>
          </cell>
          <cell r="CL17">
            <v>33135.434639999999</v>
          </cell>
          <cell r="CM17">
            <v>4642.9653600000001</v>
          </cell>
          <cell r="CN17">
            <v>0</v>
          </cell>
          <cell r="CO17">
            <v>0</v>
          </cell>
          <cell r="CP17"/>
        </row>
        <row r="18">
          <cell r="L18">
            <v>6501.7333333333336</v>
          </cell>
          <cell r="M18">
            <v>5702.6703066666669</v>
          </cell>
          <cell r="N18">
            <v>799.0630266666667</v>
          </cell>
          <cell r="O18">
            <v>7772.1450480000003</v>
          </cell>
          <cell r="P18">
            <v>359.41495199999997</v>
          </cell>
          <cell r="Q18">
            <v>8131.56</v>
          </cell>
          <cell r="S18">
            <v>6501.7333333333336</v>
          </cell>
          <cell r="T18">
            <v>5702.6703066666669</v>
          </cell>
          <cell r="U18">
            <v>799.0630266666667</v>
          </cell>
          <cell r="V18">
            <v>0</v>
          </cell>
          <cell r="W18">
            <v>0</v>
          </cell>
          <cell r="X18"/>
          <cell r="Z18">
            <v>6501.7333333333336</v>
          </cell>
          <cell r="AA18">
            <v>5702.6703066666669</v>
          </cell>
          <cell r="AB18">
            <v>799.0630266666667</v>
          </cell>
          <cell r="AC18">
            <v>26559.894654</v>
          </cell>
          <cell r="AD18">
            <v>1228.2353459999999</v>
          </cell>
          <cell r="AE18">
            <v>27788.13</v>
          </cell>
          <cell r="AG18">
            <v>6501.7333333333336</v>
          </cell>
          <cell r="AH18">
            <v>5702.6703066666669</v>
          </cell>
          <cell r="AI18">
            <v>799.0630266666667</v>
          </cell>
          <cell r="AJ18">
            <v>0</v>
          </cell>
          <cell r="AK18">
            <v>0</v>
          </cell>
          <cell r="AL18"/>
          <cell r="AN18">
            <v>6501.7333333333336</v>
          </cell>
          <cell r="AO18">
            <v>5702.6703066666669</v>
          </cell>
          <cell r="AP18">
            <v>799.0630266666667</v>
          </cell>
          <cell r="AQ18">
            <v>0</v>
          </cell>
          <cell r="AR18">
            <v>0</v>
          </cell>
          <cell r="AS18"/>
          <cell r="AU18">
            <v>6501.7333333333336</v>
          </cell>
          <cell r="AV18">
            <v>5702.6703066666669</v>
          </cell>
          <cell r="AW18">
            <v>799.0630266666667</v>
          </cell>
          <cell r="AX18">
            <v>0</v>
          </cell>
          <cell r="AY18">
            <v>0</v>
          </cell>
          <cell r="AZ18"/>
          <cell r="BB18">
            <v>6501.7333333333336</v>
          </cell>
          <cell r="BC18">
            <v>5702.6703066666669</v>
          </cell>
          <cell r="BD18">
            <v>799.0630266666667</v>
          </cell>
          <cell r="BE18">
            <v>0</v>
          </cell>
          <cell r="BF18">
            <v>0</v>
          </cell>
          <cell r="BG18"/>
          <cell r="BI18">
            <v>6501.7333333333336</v>
          </cell>
          <cell r="BJ18">
            <v>5702.6703066666669</v>
          </cell>
          <cell r="BK18">
            <v>799.0630266666667</v>
          </cell>
          <cell r="BL18">
            <v>0</v>
          </cell>
          <cell r="BM18">
            <v>0</v>
          </cell>
          <cell r="BN18"/>
          <cell r="BP18">
            <v>6501.7333333333336</v>
          </cell>
          <cell r="BQ18">
            <v>5702.6703066666669</v>
          </cell>
          <cell r="BR18">
            <v>799.0630266666667</v>
          </cell>
          <cell r="BS18">
            <v>0</v>
          </cell>
          <cell r="BT18">
            <v>0</v>
          </cell>
          <cell r="BU18"/>
          <cell r="BW18">
            <v>6501.7333333333336</v>
          </cell>
          <cell r="BX18">
            <v>5702.6703066666669</v>
          </cell>
          <cell r="BY18">
            <v>799.0630266666667</v>
          </cell>
          <cell r="BZ18">
            <v>0</v>
          </cell>
          <cell r="CA18">
            <v>0</v>
          </cell>
          <cell r="CB18"/>
          <cell r="CD18">
            <v>6501.7333333333336</v>
          </cell>
          <cell r="CE18">
            <v>5702.6703066666669</v>
          </cell>
          <cell r="CF18">
            <v>799.0630266666667</v>
          </cell>
          <cell r="CG18">
            <v>0</v>
          </cell>
          <cell r="CH18">
            <v>0</v>
          </cell>
          <cell r="CI18"/>
          <cell r="CK18">
            <v>6501.7333333333336</v>
          </cell>
          <cell r="CL18">
            <v>5702.6703066666669</v>
          </cell>
          <cell r="CM18">
            <v>799.0630266666667</v>
          </cell>
          <cell r="CN18">
            <v>0</v>
          </cell>
          <cell r="CO18">
            <v>0</v>
          </cell>
          <cell r="CP18"/>
        </row>
        <row r="19">
          <cell r="L19">
            <v>2500</v>
          </cell>
          <cell r="M19">
            <v>2192.75</v>
          </cell>
          <cell r="N19">
            <v>307.25</v>
          </cell>
          <cell r="O19">
            <v>6562.1118059999999</v>
          </cell>
          <cell r="P19">
            <v>303.45819399999993</v>
          </cell>
          <cell r="Q19">
            <v>6865.57</v>
          </cell>
          <cell r="S19">
            <v>2500</v>
          </cell>
          <cell r="T19">
            <v>2192.75</v>
          </cell>
          <cell r="U19">
            <v>307.25</v>
          </cell>
          <cell r="V19">
            <v>2129.7326759999996</v>
          </cell>
          <cell r="W19">
            <v>98.487323999999987</v>
          </cell>
          <cell r="X19">
            <v>2228.2199999999998</v>
          </cell>
          <cell r="Z19">
            <v>2500</v>
          </cell>
          <cell r="AA19">
            <v>2192.75</v>
          </cell>
          <cell r="AB19">
            <v>307.25</v>
          </cell>
          <cell r="AC19">
            <v>3883.023522</v>
          </cell>
          <cell r="AD19">
            <v>179.56647799999999</v>
          </cell>
          <cell r="AE19">
            <v>4062.59</v>
          </cell>
          <cell r="AG19">
            <v>2500</v>
          </cell>
          <cell r="AH19">
            <v>2192.75</v>
          </cell>
          <cell r="AI19">
            <v>307.25</v>
          </cell>
          <cell r="AJ19">
            <v>3706.3630080000003</v>
          </cell>
          <cell r="AK19">
            <v>171.39699199999998</v>
          </cell>
          <cell r="AL19">
            <v>3877.76</v>
          </cell>
          <cell r="AN19">
            <v>2500</v>
          </cell>
          <cell r="AO19">
            <v>2192.75</v>
          </cell>
          <cell r="AP19">
            <v>307.25</v>
          </cell>
          <cell r="AQ19">
            <v>0</v>
          </cell>
          <cell r="AR19">
            <v>0</v>
          </cell>
          <cell r="AS19"/>
          <cell r="AU19">
            <v>2500</v>
          </cell>
          <cell r="AV19">
            <v>2192.75</v>
          </cell>
          <cell r="AW19">
            <v>307.25</v>
          </cell>
          <cell r="AX19">
            <v>0</v>
          </cell>
          <cell r="AY19">
            <v>0</v>
          </cell>
          <cell r="AZ19"/>
          <cell r="BB19">
            <v>2500</v>
          </cell>
          <cell r="BC19">
            <v>2192.75</v>
          </cell>
          <cell r="BD19">
            <v>307.25</v>
          </cell>
          <cell r="BE19">
            <v>0</v>
          </cell>
          <cell r="BF19">
            <v>0</v>
          </cell>
          <cell r="BG19"/>
          <cell r="BI19">
            <v>2500</v>
          </cell>
          <cell r="BJ19">
            <v>2192.75</v>
          </cell>
          <cell r="BK19">
            <v>307.25</v>
          </cell>
          <cell r="BL19">
            <v>0</v>
          </cell>
          <cell r="BM19">
            <v>0</v>
          </cell>
          <cell r="BN19"/>
          <cell r="BP19">
            <v>2500</v>
          </cell>
          <cell r="BQ19">
            <v>2192.75</v>
          </cell>
          <cell r="BR19">
            <v>307.25</v>
          </cell>
          <cell r="BS19">
            <v>0</v>
          </cell>
          <cell r="BT19">
            <v>0</v>
          </cell>
          <cell r="BU19"/>
          <cell r="BW19">
            <v>2500</v>
          </cell>
          <cell r="BX19">
            <v>2192.75</v>
          </cell>
          <cell r="BY19">
            <v>307.25</v>
          </cell>
          <cell r="BZ19">
            <v>0</v>
          </cell>
          <cell r="CA19">
            <v>0</v>
          </cell>
          <cell r="CB19"/>
          <cell r="CD19">
            <v>2500</v>
          </cell>
          <cell r="CE19">
            <v>2192.75</v>
          </cell>
          <cell r="CF19">
            <v>307.25</v>
          </cell>
          <cell r="CG19">
            <v>0</v>
          </cell>
          <cell r="CH19">
            <v>0</v>
          </cell>
          <cell r="CI19"/>
          <cell r="CK19">
            <v>2500</v>
          </cell>
          <cell r="CL19">
            <v>2192.75</v>
          </cell>
          <cell r="CM19">
            <v>307.25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/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/>
          <cell r="Z20">
            <v>335465.90490285697</v>
          </cell>
          <cell r="AA20">
            <v>294237.14519029588</v>
          </cell>
          <cell r="AB20">
            <v>41228.759712561121</v>
          </cell>
          <cell r="AC20">
            <v>148607.54505000002</v>
          </cell>
          <cell r="AD20">
            <v>6872.2049499999994</v>
          </cell>
          <cell r="AE20">
            <v>155479.75</v>
          </cell>
          <cell r="AG20">
            <v>0</v>
          </cell>
          <cell r="AH20">
            <v>0</v>
          </cell>
          <cell r="AI20">
            <v>0</v>
          </cell>
          <cell r="AJ20">
            <v>36824.269086</v>
          </cell>
          <cell r="AK20">
            <v>1702.9009139999998</v>
          </cell>
          <cell r="AL20">
            <v>38527.17</v>
          </cell>
          <cell r="AN20">
            <v>8079.24</v>
          </cell>
          <cell r="AO20">
            <v>7086.3014039999998</v>
          </cell>
          <cell r="AP20">
            <v>992.93859599999996</v>
          </cell>
          <cell r="AQ20">
            <v>0</v>
          </cell>
          <cell r="AR20">
            <v>0</v>
          </cell>
          <cell r="AS20"/>
          <cell r="AU20">
            <v>8079.24</v>
          </cell>
          <cell r="AV20">
            <v>7086.3014039999998</v>
          </cell>
          <cell r="AW20">
            <v>992.93859599999996</v>
          </cell>
          <cell r="AX20">
            <v>0</v>
          </cell>
          <cell r="AY20">
            <v>0</v>
          </cell>
          <cell r="AZ20"/>
          <cell r="BB20">
            <v>156084.24</v>
          </cell>
          <cell r="BC20">
            <v>136901.48690399999</v>
          </cell>
          <cell r="BD20">
            <v>19182.753095999997</v>
          </cell>
          <cell r="BE20">
            <v>0</v>
          </cell>
          <cell r="BF20">
            <v>0</v>
          </cell>
          <cell r="BG20"/>
          <cell r="BI20">
            <v>22345.144902857101</v>
          </cell>
          <cell r="BJ20">
            <v>19598.926594295961</v>
          </cell>
          <cell r="BK20">
            <v>2746.2183085611377</v>
          </cell>
          <cell r="BL20">
            <v>0</v>
          </cell>
          <cell r="BM20">
            <v>0</v>
          </cell>
          <cell r="BN20"/>
          <cell r="BP20">
            <v>32873.24</v>
          </cell>
          <cell r="BQ20">
            <v>28833.118803999998</v>
          </cell>
          <cell r="BR20">
            <v>4040.1211959999996</v>
          </cell>
          <cell r="BS20">
            <v>0</v>
          </cell>
          <cell r="BT20">
            <v>0</v>
          </cell>
          <cell r="BU20"/>
          <cell r="BW20">
            <v>8079.24</v>
          </cell>
          <cell r="BX20">
            <v>7086.3014039999998</v>
          </cell>
          <cell r="BY20">
            <v>992.93859599999996</v>
          </cell>
          <cell r="BZ20">
            <v>0</v>
          </cell>
          <cell r="CA20">
            <v>0</v>
          </cell>
          <cell r="CB20"/>
          <cell r="CD20">
            <v>8079.24</v>
          </cell>
          <cell r="CE20">
            <v>7086.3014039999998</v>
          </cell>
          <cell r="CF20">
            <v>992.93859599999996</v>
          </cell>
          <cell r="CG20">
            <v>0</v>
          </cell>
          <cell r="CH20">
            <v>0</v>
          </cell>
          <cell r="CI20"/>
          <cell r="CK20">
            <v>8079.24</v>
          </cell>
          <cell r="CL20">
            <v>7086.3014039999998</v>
          </cell>
          <cell r="CM20">
            <v>992.93859599999996</v>
          </cell>
          <cell r="CN20">
            <v>0</v>
          </cell>
          <cell r="CO20">
            <v>0</v>
          </cell>
          <cell r="CP20"/>
        </row>
        <row r="21">
          <cell r="L21">
            <v>133913.64300000001</v>
          </cell>
          <cell r="M21">
            <v>117455.65627530002</v>
          </cell>
          <cell r="N21">
            <v>16457.9867247</v>
          </cell>
          <cell r="O21">
            <v>7598.61</v>
          </cell>
          <cell r="P21">
            <v>351.39</v>
          </cell>
          <cell r="Q21">
            <v>7950</v>
          </cell>
          <cell r="S21">
            <v>0</v>
          </cell>
          <cell r="T21">
            <v>0</v>
          </cell>
          <cell r="U21">
            <v>0</v>
          </cell>
          <cell r="V21">
            <v>58208.22</v>
          </cell>
          <cell r="W21">
            <v>2691.7799999999997</v>
          </cell>
          <cell r="X21">
            <v>60900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/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17050.499999999902</v>
          </cell>
          <cell r="M22">
            <v>14954.993549999914</v>
          </cell>
          <cell r="N22">
            <v>2095.506449999988</v>
          </cell>
          <cell r="O22">
            <v>14821.647948</v>
          </cell>
          <cell r="P22">
            <v>685.4120519999999</v>
          </cell>
          <cell r="Q22">
            <v>15507.06</v>
          </cell>
          <cell r="S22">
            <v>17050.499999999902</v>
          </cell>
          <cell r="T22">
            <v>14954.993549999914</v>
          </cell>
          <cell r="U22">
            <v>2095.506449999988</v>
          </cell>
          <cell r="V22">
            <v>18618.009084000001</v>
          </cell>
          <cell r="W22">
            <v>860.97091599999987</v>
          </cell>
          <cell r="X22">
            <v>19478.98</v>
          </cell>
          <cell r="Z22">
            <v>17050.499999999902</v>
          </cell>
          <cell r="AA22">
            <v>14954.993549999914</v>
          </cell>
          <cell r="AB22">
            <v>2095.506449999988</v>
          </cell>
          <cell r="AC22">
            <v>7251.1193519999997</v>
          </cell>
          <cell r="AD22">
            <v>335.32064799999995</v>
          </cell>
          <cell r="AE22">
            <v>7586.44</v>
          </cell>
          <cell r="AG22">
            <v>17050.499999999902</v>
          </cell>
          <cell r="AH22">
            <v>14954.993549999914</v>
          </cell>
          <cell r="AI22">
            <v>2095.506449999988</v>
          </cell>
          <cell r="AJ22">
            <v>4970.0261879999998</v>
          </cell>
          <cell r="AK22">
            <v>229.83381199999997</v>
          </cell>
          <cell r="AL22">
            <v>5199.8599999999997</v>
          </cell>
          <cell r="AN22">
            <v>17050.499999999902</v>
          </cell>
          <cell r="AO22">
            <v>14954.993549999914</v>
          </cell>
          <cell r="AP22">
            <v>2095.506449999988</v>
          </cell>
          <cell r="AQ22">
            <v>0</v>
          </cell>
          <cell r="AR22">
            <v>0</v>
          </cell>
          <cell r="AS22"/>
          <cell r="AU22">
            <v>17050.499999999902</v>
          </cell>
          <cell r="AV22">
            <v>14954.993549999914</v>
          </cell>
          <cell r="AW22">
            <v>2095.506449999988</v>
          </cell>
          <cell r="AX22">
            <v>0</v>
          </cell>
          <cell r="AY22">
            <v>0</v>
          </cell>
          <cell r="AZ22"/>
          <cell r="BB22">
            <v>17050.499999999902</v>
          </cell>
          <cell r="BC22">
            <v>14954.993549999914</v>
          </cell>
          <cell r="BD22">
            <v>2095.506449999988</v>
          </cell>
          <cell r="BE22">
            <v>0</v>
          </cell>
          <cell r="BF22">
            <v>0</v>
          </cell>
          <cell r="BG22"/>
          <cell r="BI22">
            <v>17050.499999999902</v>
          </cell>
          <cell r="BJ22">
            <v>14954.993549999914</v>
          </cell>
          <cell r="BK22">
            <v>2095.506449999988</v>
          </cell>
          <cell r="BL22">
            <v>0</v>
          </cell>
          <cell r="BM22">
            <v>0</v>
          </cell>
          <cell r="BN22"/>
          <cell r="BP22">
            <v>17050.499999999902</v>
          </cell>
          <cell r="BQ22">
            <v>14954.993549999914</v>
          </cell>
          <cell r="BR22">
            <v>2095.506449999988</v>
          </cell>
          <cell r="BS22">
            <v>0</v>
          </cell>
          <cell r="BT22">
            <v>0</v>
          </cell>
          <cell r="BU22"/>
          <cell r="BW22">
            <v>17050.499999999902</v>
          </cell>
          <cell r="BX22">
            <v>14954.993549999914</v>
          </cell>
          <cell r="BY22">
            <v>2095.506449999988</v>
          </cell>
          <cell r="BZ22">
            <v>0</v>
          </cell>
          <cell r="CA22">
            <v>0</v>
          </cell>
          <cell r="CB22"/>
          <cell r="CD22">
            <v>17050.499999999902</v>
          </cell>
          <cell r="CE22">
            <v>14954.993549999914</v>
          </cell>
          <cell r="CF22">
            <v>2095.506449999988</v>
          </cell>
          <cell r="CG22">
            <v>0</v>
          </cell>
          <cell r="CH22">
            <v>0</v>
          </cell>
          <cell r="CI22"/>
          <cell r="CK22">
            <v>17050.499999999902</v>
          </cell>
          <cell r="CL22">
            <v>14954.993549999914</v>
          </cell>
          <cell r="CM22">
            <v>2095.506449999988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16152.870966447266</v>
          </cell>
          <cell r="M24">
            <v>14167.683124670897</v>
          </cell>
          <cell r="N24">
            <v>1985.1878417763689</v>
          </cell>
          <cell r="O24">
            <v>4539.2662440000004</v>
          </cell>
          <cell r="P24">
            <v>209.91375600000001</v>
          </cell>
          <cell r="Q24">
            <v>4749.18</v>
          </cell>
          <cell r="S24">
            <v>16152.870966447266</v>
          </cell>
          <cell r="T24">
            <v>14167.683124670897</v>
          </cell>
          <cell r="U24">
            <v>1985.1878417763689</v>
          </cell>
          <cell r="V24">
            <v>0</v>
          </cell>
          <cell r="W24">
            <v>0</v>
          </cell>
          <cell r="X24"/>
          <cell r="Z24">
            <v>16152.870966447266</v>
          </cell>
          <cell r="AA24">
            <v>14167.683124670897</v>
          </cell>
          <cell r="AB24">
            <v>1985.1878417763689</v>
          </cell>
          <cell r="AC24">
            <v>0</v>
          </cell>
          <cell r="AD24">
            <v>0</v>
          </cell>
          <cell r="AE24"/>
          <cell r="AG24">
            <v>16152.870966447266</v>
          </cell>
          <cell r="AH24">
            <v>14167.683124670897</v>
          </cell>
          <cell r="AI24">
            <v>1985.1878417763689</v>
          </cell>
          <cell r="AJ24">
            <v>17156.533535999999</v>
          </cell>
          <cell r="AK24">
            <v>793.38646399999982</v>
          </cell>
          <cell r="AL24">
            <v>17949.919999999998</v>
          </cell>
          <cell r="AN24">
            <v>16152.870966447266</v>
          </cell>
          <cell r="AO24">
            <v>14167.683124670897</v>
          </cell>
          <cell r="AP24">
            <v>1985.1878417763689</v>
          </cell>
          <cell r="AQ24">
            <v>0</v>
          </cell>
          <cell r="AR24">
            <v>0</v>
          </cell>
          <cell r="AS24"/>
          <cell r="AU24">
            <v>16152.870966447266</v>
          </cell>
          <cell r="AV24">
            <v>14167.683124670897</v>
          </cell>
          <cell r="AW24">
            <v>1985.1878417763689</v>
          </cell>
          <cell r="AX24">
            <v>0</v>
          </cell>
          <cell r="AY24">
            <v>0</v>
          </cell>
          <cell r="AZ24"/>
          <cell r="BB24">
            <v>13346.405280687268</v>
          </cell>
          <cell r="BC24">
            <v>11706.132071690803</v>
          </cell>
          <cell r="BD24">
            <v>1640.2732089964652</v>
          </cell>
          <cell r="BE24">
            <v>0</v>
          </cell>
          <cell r="BF24">
            <v>0</v>
          </cell>
          <cell r="BG24"/>
          <cell r="BI24">
            <v>16152.870966447266</v>
          </cell>
          <cell r="BJ24">
            <v>14167.683124670897</v>
          </cell>
          <cell r="BK24">
            <v>1985.1878417763689</v>
          </cell>
          <cell r="BL24">
            <v>0</v>
          </cell>
          <cell r="BM24">
            <v>0</v>
          </cell>
          <cell r="BN24"/>
          <cell r="BP24">
            <v>16152.870966447266</v>
          </cell>
          <cell r="BQ24">
            <v>14167.683124670897</v>
          </cell>
          <cell r="BR24">
            <v>1985.1878417763689</v>
          </cell>
          <cell r="BS24">
            <v>0</v>
          </cell>
          <cell r="BT24">
            <v>0</v>
          </cell>
          <cell r="BU24"/>
          <cell r="BW24">
            <v>16152.870966447266</v>
          </cell>
          <cell r="BX24">
            <v>14167.683124670897</v>
          </cell>
          <cell r="BY24">
            <v>1985.1878417763689</v>
          </cell>
          <cell r="BZ24">
            <v>0</v>
          </cell>
          <cell r="CA24">
            <v>0</v>
          </cell>
          <cell r="CB24"/>
          <cell r="CD24">
            <v>16152.870966447266</v>
          </cell>
          <cell r="CE24">
            <v>14167.683124670897</v>
          </cell>
          <cell r="CF24">
            <v>1985.1878417763689</v>
          </cell>
          <cell r="CG24">
            <v>0</v>
          </cell>
          <cell r="CH24">
            <v>0</v>
          </cell>
          <cell r="CI24"/>
          <cell r="CK24">
            <v>16152.870966447266</v>
          </cell>
          <cell r="CL24">
            <v>14167.683124670897</v>
          </cell>
          <cell r="CM24">
            <v>1985.1878417763689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788.525442</v>
          </cell>
          <cell r="P25">
            <v>36.464557999999997</v>
          </cell>
          <cell r="Q25">
            <v>824.99</v>
          </cell>
          <cell r="S25">
            <v>0</v>
          </cell>
          <cell r="T25">
            <v>0</v>
          </cell>
          <cell r="U25">
            <v>0</v>
          </cell>
          <cell r="V25">
            <v>35292.981906000001</v>
          </cell>
          <cell r="W25">
            <v>1632.088094</v>
          </cell>
          <cell r="X25">
            <v>36925.07</v>
          </cell>
          <cell r="Z25">
            <v>71359.47</v>
          </cell>
          <cell r="AA25">
            <v>62589.391136999999</v>
          </cell>
          <cell r="AB25">
            <v>8770.0788630000006</v>
          </cell>
          <cell r="AC25">
            <v>37265.122278000003</v>
          </cell>
          <cell r="AD25">
            <v>1723.287722</v>
          </cell>
          <cell r="AE25">
            <v>38988.410000000003</v>
          </cell>
          <cell r="AG25">
            <v>106526.97900000001</v>
          </cell>
          <cell r="AH25">
            <v>93434.813280900009</v>
          </cell>
          <cell r="AI25">
            <v>13092.165719099999</v>
          </cell>
          <cell r="AJ25">
            <v>59290.845101999999</v>
          </cell>
          <cell r="AK25">
            <v>2741.8448979999998</v>
          </cell>
          <cell r="AL25">
            <v>62032.69</v>
          </cell>
          <cell r="AN25">
            <v>106526.978999999</v>
          </cell>
          <cell r="AO25">
            <v>93434.813280899121</v>
          </cell>
          <cell r="AP25">
            <v>13092.165719099878</v>
          </cell>
          <cell r="AQ25">
            <v>0</v>
          </cell>
          <cell r="AR25">
            <v>0</v>
          </cell>
          <cell r="AS25"/>
          <cell r="AU25">
            <v>109500.417</v>
          </cell>
          <cell r="AV25">
            <v>96042.8157507</v>
          </cell>
          <cell r="AW25">
            <v>13457.6012493</v>
          </cell>
          <cell r="AX25">
            <v>0</v>
          </cell>
          <cell r="AY25">
            <v>0</v>
          </cell>
          <cell r="AZ25"/>
          <cell r="BB25">
            <v>60442.317000000003</v>
          </cell>
          <cell r="BC25">
            <v>53013.956240700005</v>
          </cell>
          <cell r="BD25">
            <v>7428.3607592999997</v>
          </cell>
          <cell r="BE25">
            <v>0</v>
          </cell>
          <cell r="BF25">
            <v>0</v>
          </cell>
          <cell r="BG25"/>
          <cell r="BI25">
            <v>60442.317000000003</v>
          </cell>
          <cell r="BJ25">
            <v>53013.956240700005</v>
          </cell>
          <cell r="BK25">
            <v>7428.3607592999997</v>
          </cell>
          <cell r="BL25">
            <v>0</v>
          </cell>
          <cell r="BM25">
            <v>0</v>
          </cell>
          <cell r="BN25"/>
          <cell r="BP25">
            <v>60442.317000000003</v>
          </cell>
          <cell r="BQ25">
            <v>53013.956240700005</v>
          </cell>
          <cell r="BR25">
            <v>7428.3607592999997</v>
          </cell>
          <cell r="BS25">
            <v>0</v>
          </cell>
          <cell r="BT25">
            <v>0</v>
          </cell>
          <cell r="BU25"/>
          <cell r="BW25">
            <v>55016.724866999997</v>
          </cell>
          <cell r="BX25">
            <v>48255.169380845698</v>
          </cell>
          <cell r="BY25">
            <v>6761.5554861542996</v>
          </cell>
          <cell r="BZ25">
            <v>0</v>
          </cell>
          <cell r="CA25">
            <v>0</v>
          </cell>
          <cell r="CB25"/>
          <cell r="CD25">
            <v>31092.241946999999</v>
          </cell>
          <cell r="CE25">
            <v>27271.005411713697</v>
          </cell>
          <cell r="CF25">
            <v>3821.2365352862998</v>
          </cell>
          <cell r="CG25">
            <v>0</v>
          </cell>
          <cell r="CH25">
            <v>0</v>
          </cell>
          <cell r="CI25"/>
          <cell r="CK25">
            <v>31092.241946999999</v>
          </cell>
          <cell r="CL25">
            <v>27271.005411713697</v>
          </cell>
          <cell r="CM25">
            <v>3821.2365352862998</v>
          </cell>
          <cell r="CN25">
            <v>0</v>
          </cell>
          <cell r="CO25">
            <v>0</v>
          </cell>
          <cell r="CP25"/>
        </row>
        <row r="26">
          <cell r="L26">
            <v>62894.778898133336</v>
          </cell>
          <cell r="M26">
            <v>55165.010571552746</v>
          </cell>
          <cell r="N26">
            <v>7729.7683265805863</v>
          </cell>
          <cell r="O26">
            <v>107499.982518</v>
          </cell>
          <cell r="P26">
            <v>4971.2274820000002</v>
          </cell>
          <cell r="Q26">
            <v>112471.21</v>
          </cell>
          <cell r="S26">
            <v>128325.54689813334</v>
          </cell>
          <cell r="T26">
            <v>112554.33718435276</v>
          </cell>
          <cell r="U26">
            <v>15771.209713780587</v>
          </cell>
          <cell r="V26">
            <v>174208.05545400002</v>
          </cell>
          <cell r="W26">
            <v>8056.0745459999998</v>
          </cell>
          <cell r="X26">
            <v>182264.13</v>
          </cell>
          <cell r="Z26">
            <v>197952.65312213334</v>
          </cell>
          <cell r="AA26">
            <v>173624.27205342316</v>
          </cell>
          <cell r="AB26">
            <v>24328.381068710187</v>
          </cell>
          <cell r="AC26">
            <v>225437.41573200002</v>
          </cell>
          <cell r="AD26">
            <v>10425.124268</v>
          </cell>
          <cell r="AE26">
            <v>235862.54</v>
          </cell>
          <cell r="AG26">
            <v>197952.65312213334</v>
          </cell>
          <cell r="AH26">
            <v>173624.27205342316</v>
          </cell>
          <cell r="AI26">
            <v>24328.381068710187</v>
          </cell>
          <cell r="AJ26">
            <v>228529.02729599999</v>
          </cell>
          <cell r="AK26">
            <v>10568.092703999999</v>
          </cell>
          <cell r="AL26">
            <v>239097.12</v>
          </cell>
          <cell r="AN26">
            <v>221918.52689813331</v>
          </cell>
          <cell r="AO26">
            <v>194644.73994235272</v>
          </cell>
          <cell r="AP26">
            <v>27273.786955780583</v>
          </cell>
          <cell r="AQ26">
            <v>0</v>
          </cell>
          <cell r="AR26">
            <v>0</v>
          </cell>
          <cell r="AS26"/>
          <cell r="AU26">
            <v>171561.11912213333</v>
          </cell>
          <cell r="AV26">
            <v>150476.25758202316</v>
          </cell>
          <cell r="AW26">
            <v>21084.861540110185</v>
          </cell>
          <cell r="AX26">
            <v>0</v>
          </cell>
          <cell r="AY26">
            <v>0</v>
          </cell>
          <cell r="AZ26"/>
          <cell r="BB26">
            <v>147595.24534613334</v>
          </cell>
          <cell r="BC26">
            <v>129455.78969309355</v>
          </cell>
          <cell r="BD26">
            <v>18139.455653039786</v>
          </cell>
          <cell r="BE26">
            <v>0</v>
          </cell>
          <cell r="BF26">
            <v>0</v>
          </cell>
          <cell r="BG26"/>
          <cell r="BI26">
            <v>197952.65312213334</v>
          </cell>
          <cell r="BJ26">
            <v>173624.27205342316</v>
          </cell>
          <cell r="BK26">
            <v>24328.381068710187</v>
          </cell>
          <cell r="BL26">
            <v>0</v>
          </cell>
          <cell r="BM26">
            <v>0</v>
          </cell>
          <cell r="BN26"/>
          <cell r="BP26">
            <v>248377.88629733335</v>
          </cell>
          <cell r="BQ26">
            <v>217852.24407139109</v>
          </cell>
          <cell r="BR26">
            <v>30525.642225942265</v>
          </cell>
          <cell r="BS26">
            <v>0</v>
          </cell>
          <cell r="BT26">
            <v>0</v>
          </cell>
          <cell r="BU26"/>
          <cell r="BW26">
            <v>239440.85500333246</v>
          </cell>
          <cell r="BX26">
            <v>210013.5739234229</v>
          </cell>
          <cell r="BY26">
            <v>29427.281079909557</v>
          </cell>
          <cell r="BZ26">
            <v>0</v>
          </cell>
          <cell r="CA26">
            <v>0</v>
          </cell>
          <cell r="CB26"/>
          <cell r="CD26">
            <v>175068.49842733331</v>
          </cell>
          <cell r="CE26">
            <v>153552.57997061405</v>
          </cell>
          <cell r="CF26">
            <v>21515.918456719264</v>
          </cell>
          <cell r="CG26">
            <v>0</v>
          </cell>
          <cell r="CH26">
            <v>0</v>
          </cell>
          <cell r="CI26"/>
          <cell r="CK26">
            <v>170872.16020333336</v>
          </cell>
          <cell r="CL26">
            <v>149871.9717143437</v>
          </cell>
          <cell r="CM26">
            <v>21000.188488989668</v>
          </cell>
          <cell r="CN26">
            <v>0</v>
          </cell>
          <cell r="CO26">
            <v>0</v>
          </cell>
          <cell r="CP26"/>
        </row>
        <row r="27">
          <cell r="L27">
            <v>2849.6208000000001</v>
          </cell>
          <cell r="M27">
            <v>2499.4024036800001</v>
          </cell>
          <cell r="N27">
            <v>350.21839632000001</v>
          </cell>
          <cell r="O27">
            <v>16067.772198000001</v>
          </cell>
          <cell r="P27">
            <v>743.03780199999994</v>
          </cell>
          <cell r="Q27">
            <v>16810.810000000001</v>
          </cell>
          <cell r="S27">
            <v>10287.3264</v>
          </cell>
          <cell r="T27">
            <v>9023.0139854400004</v>
          </cell>
          <cell r="U27">
            <v>1264.31241456</v>
          </cell>
          <cell r="V27">
            <v>17338.326696</v>
          </cell>
          <cell r="W27">
            <v>801.79330399999992</v>
          </cell>
          <cell r="X27">
            <v>18140.12</v>
          </cell>
          <cell r="Z27">
            <v>10287.3264</v>
          </cell>
          <cell r="AA27">
            <v>9023.0139854400004</v>
          </cell>
          <cell r="AB27">
            <v>1264.31241456</v>
          </cell>
          <cell r="AC27">
            <v>2463.47892</v>
          </cell>
          <cell r="AD27">
            <v>113.92107999999999</v>
          </cell>
          <cell r="AE27">
            <v>2577.4</v>
          </cell>
          <cell r="AG27">
            <v>10912.395</v>
          </cell>
          <cell r="AH27">
            <v>9571.2616545000001</v>
          </cell>
          <cell r="AI27">
            <v>1341.1333454999999</v>
          </cell>
          <cell r="AJ27">
            <v>4176.6739559999996</v>
          </cell>
          <cell r="AK27">
            <v>193.14604399999996</v>
          </cell>
          <cell r="AL27">
            <v>4369.82</v>
          </cell>
          <cell r="AN27">
            <v>4274.5950000000003</v>
          </cell>
          <cell r="AO27">
            <v>3749.2472745000005</v>
          </cell>
          <cell r="AP27">
            <v>525.34772550000002</v>
          </cell>
          <cell r="AQ27">
            <v>0</v>
          </cell>
          <cell r="AR27">
            <v>0</v>
          </cell>
          <cell r="AS27"/>
          <cell r="AU27">
            <v>13762.015799999999</v>
          </cell>
          <cell r="AV27">
            <v>12070.664058179998</v>
          </cell>
          <cell r="AW27">
            <v>1691.3517418199999</v>
          </cell>
          <cell r="AX27">
            <v>0</v>
          </cell>
          <cell r="AY27">
            <v>0</v>
          </cell>
          <cell r="AZ27"/>
          <cell r="BB27">
            <v>7124.2157999999999</v>
          </cell>
          <cell r="BC27">
            <v>6248.6496781799997</v>
          </cell>
          <cell r="BD27">
            <v>875.56612181999992</v>
          </cell>
          <cell r="BE27">
            <v>0</v>
          </cell>
          <cell r="BF27">
            <v>0</v>
          </cell>
          <cell r="BG27"/>
          <cell r="BI27">
            <v>13762.015799999999</v>
          </cell>
          <cell r="BJ27">
            <v>12070.664058179998</v>
          </cell>
          <cell r="BK27">
            <v>1691.3517418199999</v>
          </cell>
          <cell r="BL27">
            <v>0</v>
          </cell>
          <cell r="BM27">
            <v>0</v>
          </cell>
          <cell r="BN27"/>
          <cell r="BP27">
            <v>13762.015799999999</v>
          </cell>
          <cell r="BQ27">
            <v>12070.664058179998</v>
          </cell>
          <cell r="BR27">
            <v>1691.3517418199999</v>
          </cell>
          <cell r="BS27">
            <v>0</v>
          </cell>
          <cell r="BT27">
            <v>0</v>
          </cell>
          <cell r="BU27"/>
          <cell r="BW27">
            <v>11682.225235</v>
          </cell>
          <cell r="BX27">
            <v>10246.4797536185</v>
          </cell>
          <cell r="BY27">
            <v>1435.7454813815</v>
          </cell>
          <cell r="BZ27">
            <v>0</v>
          </cell>
          <cell r="CA27">
            <v>0</v>
          </cell>
          <cell r="CB27"/>
          <cell r="CD27">
            <v>8832.6044349999993</v>
          </cell>
          <cell r="CE27">
            <v>7747.0773499384995</v>
          </cell>
          <cell r="CF27">
            <v>1085.5270850615</v>
          </cell>
          <cell r="CG27">
            <v>0</v>
          </cell>
          <cell r="CH27">
            <v>0</v>
          </cell>
          <cell r="CI27"/>
          <cell r="CK27">
            <v>8832.6044349999993</v>
          </cell>
          <cell r="CL27">
            <v>7747.0773499384995</v>
          </cell>
          <cell r="CM27">
            <v>1085.5270850615</v>
          </cell>
          <cell r="CN27">
            <v>0</v>
          </cell>
          <cell r="CO27">
            <v>0</v>
          </cell>
          <cell r="CP27"/>
        </row>
        <row r="28">
          <cell r="L28">
            <v>9005.49</v>
          </cell>
          <cell r="M28">
            <v>7898.715279</v>
          </cell>
          <cell r="N28">
            <v>1106.774721</v>
          </cell>
          <cell r="O28">
            <v>10132.598286</v>
          </cell>
          <cell r="P28">
            <v>468.57171399999999</v>
          </cell>
          <cell r="Q28">
            <v>10601.17</v>
          </cell>
          <cell r="S28">
            <v>9005.49</v>
          </cell>
          <cell r="T28">
            <v>7898.715279</v>
          </cell>
          <cell r="U28">
            <v>1106.774721</v>
          </cell>
          <cell r="V28">
            <v>9290.6722979999995</v>
          </cell>
          <cell r="W28">
            <v>429.63770199999993</v>
          </cell>
          <cell r="X28">
            <v>9720.31</v>
          </cell>
          <cell r="Z28">
            <v>12007.32</v>
          </cell>
          <cell r="AA28">
            <v>10531.620371999999</v>
          </cell>
          <cell r="AB28">
            <v>1475.6996279999998</v>
          </cell>
          <cell r="AC28">
            <v>4850.9239500000003</v>
          </cell>
          <cell r="AD28">
            <v>224.32604999999998</v>
          </cell>
          <cell r="AE28">
            <v>5075.25</v>
          </cell>
          <cell r="AG28">
            <v>12280.905000000001</v>
          </cell>
          <cell r="AH28">
            <v>10771.581775500001</v>
          </cell>
          <cell r="AI28">
            <v>1509.3232244999999</v>
          </cell>
          <cell r="AJ28">
            <v>4873.6528739999994</v>
          </cell>
          <cell r="AK28">
            <v>225.37712599999998</v>
          </cell>
          <cell r="AL28">
            <v>5099.03</v>
          </cell>
          <cell r="AN28">
            <v>10506.405000000001</v>
          </cell>
          <cell r="AO28">
            <v>9215.1678255000006</v>
          </cell>
          <cell r="AP28">
            <v>1291.2371745</v>
          </cell>
          <cell r="AQ28">
            <v>0</v>
          </cell>
          <cell r="AR28">
            <v>0</v>
          </cell>
          <cell r="AS28"/>
          <cell r="AU28">
            <v>9279.0750000000007</v>
          </cell>
          <cell r="AV28">
            <v>8138.6766825000004</v>
          </cell>
          <cell r="AW28">
            <v>1140.3983175000001</v>
          </cell>
          <cell r="AX28">
            <v>0</v>
          </cell>
          <cell r="AY28">
            <v>0</v>
          </cell>
          <cell r="AZ28"/>
          <cell r="BB28">
            <v>7504.5749999999998</v>
          </cell>
          <cell r="BC28">
            <v>6582.2627324999994</v>
          </cell>
          <cell r="BD28">
            <v>922.31226749999996</v>
          </cell>
          <cell r="BE28">
            <v>0</v>
          </cell>
          <cell r="BF28">
            <v>0</v>
          </cell>
          <cell r="BG28"/>
          <cell r="BI28">
            <v>12280.905000000001</v>
          </cell>
          <cell r="BJ28">
            <v>10771.581775500001</v>
          </cell>
          <cell r="BK28">
            <v>1509.3232244999999</v>
          </cell>
          <cell r="BL28">
            <v>0</v>
          </cell>
          <cell r="BM28">
            <v>0</v>
          </cell>
          <cell r="BN28"/>
          <cell r="BP28">
            <v>12280.905000000001</v>
          </cell>
          <cell r="BQ28">
            <v>10771.581775500001</v>
          </cell>
          <cell r="BR28">
            <v>1509.3232244999999</v>
          </cell>
          <cell r="BS28">
            <v>0</v>
          </cell>
          <cell r="BT28">
            <v>0</v>
          </cell>
          <cell r="BU28"/>
          <cell r="BW28">
            <v>11656.644495</v>
          </cell>
          <cell r="BX28">
            <v>10224.042886564501</v>
          </cell>
          <cell r="BY28">
            <v>1432.6016084355001</v>
          </cell>
          <cell r="BZ28">
            <v>0</v>
          </cell>
          <cell r="CA28">
            <v>0</v>
          </cell>
          <cell r="CB28"/>
          <cell r="CD28">
            <v>8654.8144950000005</v>
          </cell>
          <cell r="CE28">
            <v>7591.1377935645005</v>
          </cell>
          <cell r="CF28">
            <v>1063.6767014355</v>
          </cell>
          <cell r="CG28">
            <v>0</v>
          </cell>
          <cell r="CH28">
            <v>0</v>
          </cell>
          <cell r="CI28"/>
          <cell r="CK28">
            <v>8654.8144950000005</v>
          </cell>
          <cell r="CL28">
            <v>7591.1377935645005</v>
          </cell>
          <cell r="CM28">
            <v>1063.6767014355</v>
          </cell>
          <cell r="CN28">
            <v>0</v>
          </cell>
          <cell r="CO28">
            <v>0</v>
          </cell>
          <cell r="CP28"/>
        </row>
        <row r="29">
          <cell r="L29">
            <v>15846.698333333336</v>
          </cell>
          <cell r="M29">
            <v>13899.139108166668</v>
          </cell>
          <cell r="N29">
            <v>1947.5592251666669</v>
          </cell>
          <cell r="O29">
            <v>0</v>
          </cell>
          <cell r="P29">
            <v>0</v>
          </cell>
          <cell r="Q29"/>
          <cell r="S29">
            <v>19119.313333333332</v>
          </cell>
          <cell r="T29">
            <v>16769.549724666664</v>
          </cell>
          <cell r="U29">
            <v>2349.7636086666662</v>
          </cell>
          <cell r="V29">
            <v>0</v>
          </cell>
          <cell r="W29">
            <v>0</v>
          </cell>
          <cell r="X29"/>
          <cell r="Z29">
            <v>15846.698333333336</v>
          </cell>
          <cell r="AA29">
            <v>13899.139108166668</v>
          </cell>
          <cell r="AB29">
            <v>1947.5592251666669</v>
          </cell>
          <cell r="AC29">
            <v>0</v>
          </cell>
          <cell r="AD29">
            <v>0</v>
          </cell>
          <cell r="AE29"/>
          <cell r="AG29">
            <v>19119.313333333332</v>
          </cell>
          <cell r="AH29">
            <v>16769.549724666664</v>
          </cell>
          <cell r="AI29">
            <v>2349.7636086666662</v>
          </cell>
          <cell r="AJ29">
            <v>0</v>
          </cell>
          <cell r="AK29">
            <v>0</v>
          </cell>
          <cell r="AL29"/>
          <cell r="AN29">
            <v>15846.698333333336</v>
          </cell>
          <cell r="AO29">
            <v>13899.139108166668</v>
          </cell>
          <cell r="AP29">
            <v>1947.5592251666669</v>
          </cell>
          <cell r="AQ29">
            <v>0</v>
          </cell>
          <cell r="AR29">
            <v>0</v>
          </cell>
          <cell r="AS29"/>
          <cell r="AU29">
            <v>19119.313333333332</v>
          </cell>
          <cell r="AV29">
            <v>16769.549724666664</v>
          </cell>
          <cell r="AW29">
            <v>2349.7636086666662</v>
          </cell>
          <cell r="AX29">
            <v>0</v>
          </cell>
          <cell r="AY29">
            <v>0</v>
          </cell>
          <cell r="AZ29"/>
          <cell r="BB29">
            <v>15846.698333333336</v>
          </cell>
          <cell r="BC29">
            <v>13899.139108166668</v>
          </cell>
          <cell r="BD29">
            <v>1947.5592251666669</v>
          </cell>
          <cell r="BE29">
            <v>0</v>
          </cell>
          <cell r="BF29">
            <v>0</v>
          </cell>
          <cell r="BG29"/>
          <cell r="BI29">
            <v>19119.313333333332</v>
          </cell>
          <cell r="BJ29">
            <v>16769.549724666664</v>
          </cell>
          <cell r="BK29">
            <v>2349.7636086666662</v>
          </cell>
          <cell r="BL29">
            <v>0</v>
          </cell>
          <cell r="BM29">
            <v>0</v>
          </cell>
          <cell r="BN29"/>
          <cell r="BP29">
            <v>15846.698333333336</v>
          </cell>
          <cell r="BQ29">
            <v>13899.139108166668</v>
          </cell>
          <cell r="BR29">
            <v>1947.5592251666669</v>
          </cell>
          <cell r="BS29">
            <v>0</v>
          </cell>
          <cell r="BT29">
            <v>0</v>
          </cell>
          <cell r="BU29"/>
          <cell r="BW29">
            <v>19119.313333333332</v>
          </cell>
          <cell r="BX29">
            <v>16769.549724666664</v>
          </cell>
          <cell r="BY29">
            <v>2349.7636086666662</v>
          </cell>
          <cell r="BZ29">
            <v>0</v>
          </cell>
          <cell r="CA29">
            <v>0</v>
          </cell>
          <cell r="CB29"/>
          <cell r="CD29">
            <v>15846.698333333336</v>
          </cell>
          <cell r="CE29">
            <v>13899.139108166668</v>
          </cell>
          <cell r="CF29">
            <v>1947.5592251666669</v>
          </cell>
          <cell r="CG29">
            <v>0</v>
          </cell>
          <cell r="CH29">
            <v>0</v>
          </cell>
          <cell r="CI29"/>
          <cell r="CK29">
            <v>19119.313333333332</v>
          </cell>
          <cell r="CL29">
            <v>16769.549724666664</v>
          </cell>
          <cell r="CM29">
            <v>2349.7636086666662</v>
          </cell>
          <cell r="CN29">
            <v>0</v>
          </cell>
          <cell r="CO29">
            <v>0</v>
          </cell>
          <cell r="CP29"/>
        </row>
        <row r="30">
          <cell r="L30">
            <v>2500</v>
          </cell>
          <cell r="M30">
            <v>2192.75</v>
          </cell>
          <cell r="N30">
            <v>307.25</v>
          </cell>
          <cell r="O30">
            <v>0</v>
          </cell>
          <cell r="P30">
            <v>0</v>
          </cell>
          <cell r="Q30"/>
          <cell r="S30">
            <v>2500</v>
          </cell>
          <cell r="T30">
            <v>2192.75</v>
          </cell>
          <cell r="U30">
            <v>307.25</v>
          </cell>
          <cell r="V30">
            <v>0</v>
          </cell>
          <cell r="W30">
            <v>0</v>
          </cell>
          <cell r="X30"/>
          <cell r="Z30">
            <v>2500</v>
          </cell>
          <cell r="AA30">
            <v>2192.75</v>
          </cell>
          <cell r="AB30">
            <v>307.25</v>
          </cell>
          <cell r="AC30">
            <v>0</v>
          </cell>
          <cell r="AD30">
            <v>0</v>
          </cell>
          <cell r="AE30"/>
          <cell r="AG30">
            <v>2500</v>
          </cell>
          <cell r="AH30">
            <v>2192.75</v>
          </cell>
          <cell r="AI30">
            <v>307.25</v>
          </cell>
          <cell r="AJ30">
            <v>0</v>
          </cell>
          <cell r="AK30">
            <v>0</v>
          </cell>
          <cell r="AL30"/>
          <cell r="AN30">
            <v>2500</v>
          </cell>
          <cell r="AO30">
            <v>2192.75</v>
          </cell>
          <cell r="AP30">
            <v>307.25</v>
          </cell>
          <cell r="AQ30">
            <v>0</v>
          </cell>
          <cell r="AR30">
            <v>0</v>
          </cell>
          <cell r="AS30"/>
          <cell r="AU30">
            <v>2500</v>
          </cell>
          <cell r="AV30">
            <v>2192.75</v>
          </cell>
          <cell r="AW30">
            <v>307.25</v>
          </cell>
          <cell r="AX30">
            <v>0</v>
          </cell>
          <cell r="AY30">
            <v>0</v>
          </cell>
          <cell r="AZ30"/>
          <cell r="BB30">
            <v>2500</v>
          </cell>
          <cell r="BC30">
            <v>2192.75</v>
          </cell>
          <cell r="BD30">
            <v>307.25</v>
          </cell>
          <cell r="BE30">
            <v>0</v>
          </cell>
          <cell r="BF30">
            <v>0</v>
          </cell>
          <cell r="BG30"/>
          <cell r="BI30">
            <v>2500</v>
          </cell>
          <cell r="BJ30">
            <v>2192.75</v>
          </cell>
          <cell r="BK30">
            <v>307.25</v>
          </cell>
          <cell r="BL30">
            <v>0</v>
          </cell>
          <cell r="BM30">
            <v>0</v>
          </cell>
          <cell r="BN30"/>
          <cell r="BP30">
            <v>2500</v>
          </cell>
          <cell r="BQ30">
            <v>2192.75</v>
          </cell>
          <cell r="BR30">
            <v>307.25</v>
          </cell>
          <cell r="BS30">
            <v>0</v>
          </cell>
          <cell r="BT30">
            <v>0</v>
          </cell>
          <cell r="BU30"/>
          <cell r="BW30">
            <v>2500</v>
          </cell>
          <cell r="BX30">
            <v>2192.75</v>
          </cell>
          <cell r="BY30">
            <v>307.25</v>
          </cell>
          <cell r="BZ30">
            <v>0</v>
          </cell>
          <cell r="CA30">
            <v>0</v>
          </cell>
          <cell r="CB30"/>
          <cell r="CD30">
            <v>2500</v>
          </cell>
          <cell r="CE30">
            <v>2192.75</v>
          </cell>
          <cell r="CF30">
            <v>307.25</v>
          </cell>
          <cell r="CG30">
            <v>0</v>
          </cell>
          <cell r="CH30">
            <v>0</v>
          </cell>
          <cell r="CI30"/>
          <cell r="CK30">
            <v>2500</v>
          </cell>
          <cell r="CL30">
            <v>2192.75</v>
          </cell>
          <cell r="CM30">
            <v>307.25</v>
          </cell>
          <cell r="CN30">
            <v>0</v>
          </cell>
          <cell r="CO30">
            <v>0</v>
          </cell>
          <cell r="CP30"/>
        </row>
        <row r="31">
          <cell r="L31">
            <v>416.66666666666669</v>
          </cell>
          <cell r="M31">
            <v>365.45833333333337</v>
          </cell>
          <cell r="N31">
            <v>51.208333333333336</v>
          </cell>
          <cell r="O31">
            <v>0</v>
          </cell>
          <cell r="P31">
            <v>0</v>
          </cell>
          <cell r="Q31"/>
          <cell r="S31">
            <v>416.66666666666669</v>
          </cell>
          <cell r="T31">
            <v>365.45833333333337</v>
          </cell>
          <cell r="U31">
            <v>51.208333333333336</v>
          </cell>
          <cell r="V31">
            <v>0</v>
          </cell>
          <cell r="W31">
            <v>0</v>
          </cell>
          <cell r="X31"/>
          <cell r="Z31">
            <v>416.66666666666669</v>
          </cell>
          <cell r="AA31">
            <v>365.45833333333337</v>
          </cell>
          <cell r="AB31">
            <v>51.208333333333336</v>
          </cell>
          <cell r="AC31">
            <v>0</v>
          </cell>
          <cell r="AD31">
            <v>0</v>
          </cell>
          <cell r="AE31"/>
          <cell r="AG31">
            <v>416.66666666666669</v>
          </cell>
          <cell r="AH31">
            <v>365.45833333333337</v>
          </cell>
          <cell r="AI31">
            <v>51.208333333333336</v>
          </cell>
          <cell r="AJ31">
            <v>0</v>
          </cell>
          <cell r="AK31">
            <v>0</v>
          </cell>
          <cell r="AL31"/>
          <cell r="AN31">
            <v>416.66666666666669</v>
          </cell>
          <cell r="AO31">
            <v>365.45833333333337</v>
          </cell>
          <cell r="AP31">
            <v>51.208333333333336</v>
          </cell>
          <cell r="AQ31">
            <v>0</v>
          </cell>
          <cell r="AR31">
            <v>0</v>
          </cell>
          <cell r="AS31"/>
          <cell r="AU31">
            <v>416.66666666666669</v>
          </cell>
          <cell r="AV31">
            <v>365.45833333333337</v>
          </cell>
          <cell r="AW31">
            <v>51.208333333333336</v>
          </cell>
          <cell r="AX31">
            <v>0</v>
          </cell>
          <cell r="AY31">
            <v>0</v>
          </cell>
          <cell r="AZ31"/>
          <cell r="BB31">
            <v>416.66666666666669</v>
          </cell>
          <cell r="BC31">
            <v>365.45833333333337</v>
          </cell>
          <cell r="BD31">
            <v>51.208333333333336</v>
          </cell>
          <cell r="BE31">
            <v>0</v>
          </cell>
          <cell r="BF31">
            <v>0</v>
          </cell>
          <cell r="BG31"/>
          <cell r="BI31">
            <v>416.66666666666669</v>
          </cell>
          <cell r="BJ31">
            <v>365.45833333333337</v>
          </cell>
          <cell r="BK31">
            <v>51.208333333333336</v>
          </cell>
          <cell r="BL31">
            <v>0</v>
          </cell>
          <cell r="BM31">
            <v>0</v>
          </cell>
          <cell r="BN31"/>
          <cell r="BP31">
            <v>416.66666666666669</v>
          </cell>
          <cell r="BQ31">
            <v>365.45833333333337</v>
          </cell>
          <cell r="BR31">
            <v>51.208333333333336</v>
          </cell>
          <cell r="BS31">
            <v>0</v>
          </cell>
          <cell r="BT31">
            <v>0</v>
          </cell>
          <cell r="BU31"/>
          <cell r="BW31">
            <v>416.66666666666669</v>
          </cell>
          <cell r="BX31">
            <v>365.45833333333337</v>
          </cell>
          <cell r="BY31">
            <v>51.208333333333336</v>
          </cell>
          <cell r="BZ31">
            <v>0</v>
          </cell>
          <cell r="CA31">
            <v>0</v>
          </cell>
          <cell r="CB31"/>
          <cell r="CD31">
            <v>416.66666666666669</v>
          </cell>
          <cell r="CE31">
            <v>365.45833333333337</v>
          </cell>
          <cell r="CF31">
            <v>51.208333333333336</v>
          </cell>
          <cell r="CG31">
            <v>0</v>
          </cell>
          <cell r="CH31">
            <v>0</v>
          </cell>
          <cell r="CI31"/>
          <cell r="CK31">
            <v>416.66666666666669</v>
          </cell>
          <cell r="CL31">
            <v>365.45833333333337</v>
          </cell>
          <cell r="CM31">
            <v>51.208333333333336</v>
          </cell>
          <cell r="CN31">
            <v>0</v>
          </cell>
          <cell r="CO31">
            <v>0</v>
          </cell>
          <cell r="CP31"/>
        </row>
        <row r="32">
          <cell r="L32">
            <v>531514.67599999998</v>
          </cell>
          <cell r="M32">
            <v>466191.52231959999</v>
          </cell>
          <cell r="N32">
            <v>65323.153680399992</v>
          </cell>
          <cell r="O32">
            <v>422492.57985600003</v>
          </cell>
          <cell r="P32">
            <v>19537.740143999999</v>
          </cell>
          <cell r="Q32">
            <v>442030.32</v>
          </cell>
          <cell r="S32">
            <v>35376</v>
          </cell>
          <cell r="T32">
            <v>31028.2896</v>
          </cell>
          <cell r="U32">
            <v>4347.7103999999999</v>
          </cell>
          <cell r="V32">
            <v>283392.10022400005</v>
          </cell>
          <cell r="W32">
            <v>13105.179776000001</v>
          </cell>
          <cell r="X32">
            <v>296497.28000000003</v>
          </cell>
          <cell r="Z32">
            <v>324784.41600000003</v>
          </cell>
          <cell r="AA32">
            <v>284868.41127360001</v>
          </cell>
          <cell r="AB32">
            <v>39916.004726400002</v>
          </cell>
          <cell r="AC32">
            <v>314105.96858399996</v>
          </cell>
          <cell r="AD32">
            <v>14525.511415999998</v>
          </cell>
          <cell r="AE32">
            <v>328631.48</v>
          </cell>
          <cell r="AG32">
            <v>422422.57200000004</v>
          </cell>
          <cell r="AH32">
            <v>370506.83790120005</v>
          </cell>
          <cell r="AI32">
            <v>51915.734098800007</v>
          </cell>
          <cell r="AJ32">
            <v>135275.86504800001</v>
          </cell>
          <cell r="AK32">
            <v>6255.6949519999989</v>
          </cell>
          <cell r="AL32">
            <v>141531.56</v>
          </cell>
          <cell r="AN32">
            <v>432982.57200000004</v>
          </cell>
          <cell r="AO32">
            <v>379769.01390120003</v>
          </cell>
          <cell r="AP32">
            <v>53213.5580988</v>
          </cell>
          <cell r="AQ32">
            <v>0</v>
          </cell>
          <cell r="AR32">
            <v>0</v>
          </cell>
          <cell r="AS32"/>
          <cell r="AU32">
            <v>492822.57200000004</v>
          </cell>
          <cell r="AV32">
            <v>432254.67790120002</v>
          </cell>
          <cell r="AW32">
            <v>60567.894098800003</v>
          </cell>
          <cell r="AX32">
            <v>0</v>
          </cell>
          <cell r="AY32">
            <v>0</v>
          </cell>
          <cell r="AZ32"/>
          <cell r="BB32">
            <v>565876.52</v>
          </cell>
          <cell r="BC32">
            <v>496330.29569200001</v>
          </cell>
          <cell r="BD32">
            <v>69546.224308000004</v>
          </cell>
          <cell r="BE32">
            <v>0</v>
          </cell>
          <cell r="BF32">
            <v>0</v>
          </cell>
          <cell r="BG32"/>
          <cell r="BI32">
            <v>67760</v>
          </cell>
          <cell r="BJ32">
            <v>59432.296000000002</v>
          </cell>
          <cell r="BK32">
            <v>8327.7039999999997</v>
          </cell>
          <cell r="BL32">
            <v>0</v>
          </cell>
          <cell r="BM32">
            <v>0</v>
          </cell>
          <cell r="BN32"/>
          <cell r="BP32">
            <v>4400</v>
          </cell>
          <cell r="BQ32">
            <v>3859.24</v>
          </cell>
          <cell r="BR32">
            <v>540.76</v>
          </cell>
          <cell r="BS32">
            <v>0</v>
          </cell>
          <cell r="BT32">
            <v>0</v>
          </cell>
          <cell r="BU32"/>
          <cell r="BW32">
            <v>4400</v>
          </cell>
          <cell r="BX32">
            <v>3859.24</v>
          </cell>
          <cell r="BY32">
            <v>540.76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225510.20408163263</v>
          </cell>
          <cell r="M33">
            <v>197795</v>
          </cell>
          <cell r="N33">
            <v>27715.204081632648</v>
          </cell>
          <cell r="O33">
            <v>95755.857641999988</v>
          </cell>
          <cell r="P33">
            <v>4428.1323579999989</v>
          </cell>
          <cell r="Q33">
            <v>100183.98999999999</v>
          </cell>
          <cell r="S33">
            <v>0</v>
          </cell>
          <cell r="T33">
            <v>0</v>
          </cell>
          <cell r="U33">
            <v>0</v>
          </cell>
          <cell r="V33">
            <v>60843.178997999996</v>
          </cell>
          <cell r="W33">
            <v>2813.6310019999996</v>
          </cell>
          <cell r="X33">
            <v>63656.81</v>
          </cell>
          <cell r="Z33">
            <v>138775.51020408163</v>
          </cell>
          <cell r="AA33">
            <v>121720</v>
          </cell>
          <cell r="AB33">
            <v>17055.510204081631</v>
          </cell>
          <cell r="AC33">
            <v>16895.571462</v>
          </cell>
          <cell r="AD33">
            <v>781.31853799999988</v>
          </cell>
          <cell r="AE33">
            <v>17676.89</v>
          </cell>
          <cell r="AG33">
            <v>190816.32653061225</v>
          </cell>
          <cell r="AH33">
            <v>167365</v>
          </cell>
          <cell r="AI33">
            <v>23451.326530612245</v>
          </cell>
          <cell r="AJ33">
            <v>82581.081768000004</v>
          </cell>
          <cell r="AK33">
            <v>3818.878232</v>
          </cell>
          <cell r="AL33">
            <v>86399.96</v>
          </cell>
          <cell r="AN33">
            <v>190816.32653061225</v>
          </cell>
          <cell r="AO33">
            <v>167365</v>
          </cell>
          <cell r="AP33">
            <v>23451.326530612245</v>
          </cell>
          <cell r="AQ33">
            <v>0</v>
          </cell>
          <cell r="AR33">
            <v>0</v>
          </cell>
          <cell r="AS33"/>
          <cell r="AU33">
            <v>190816.32653061225</v>
          </cell>
          <cell r="AV33">
            <v>167365</v>
          </cell>
          <cell r="AW33">
            <v>23451.326530612245</v>
          </cell>
          <cell r="AX33">
            <v>0</v>
          </cell>
          <cell r="AY33">
            <v>0</v>
          </cell>
          <cell r="AZ33"/>
          <cell r="BB33">
            <v>173469.38775510204</v>
          </cell>
          <cell r="BC33">
            <v>152150</v>
          </cell>
          <cell r="BD33">
            <v>21319.387755102041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16666.666666666668</v>
          </cell>
          <cell r="M36">
            <v>14618.333333333334</v>
          </cell>
          <cell r="N36">
            <v>2048.3333333333335</v>
          </cell>
          <cell r="O36">
            <v>14111.966448000001</v>
          </cell>
          <cell r="P36">
            <v>652.59355200000005</v>
          </cell>
          <cell r="Q36">
            <v>14764.560000000001</v>
          </cell>
          <cell r="S36">
            <v>16666.666666666668</v>
          </cell>
          <cell r="T36">
            <v>14618.333333333334</v>
          </cell>
          <cell r="U36">
            <v>2048.3333333333335</v>
          </cell>
          <cell r="V36">
            <v>28050.942654000006</v>
          </cell>
          <cell r="W36">
            <v>1297.1873460000002</v>
          </cell>
          <cell r="X36">
            <v>29348.130000000005</v>
          </cell>
          <cell r="Z36">
            <v>16666.666666666668</v>
          </cell>
          <cell r="AA36">
            <v>14618.333333333334</v>
          </cell>
          <cell r="AB36">
            <v>2048.3333333333335</v>
          </cell>
          <cell r="AC36">
            <v>16175.079864000001</v>
          </cell>
          <cell r="AD36">
            <v>748.000136</v>
          </cell>
          <cell r="AE36">
            <v>16923.080000000002</v>
          </cell>
          <cell r="AG36">
            <v>16666.666666666668</v>
          </cell>
          <cell r="AH36">
            <v>14618.333333333334</v>
          </cell>
          <cell r="AI36">
            <v>2048.3333333333335</v>
          </cell>
          <cell r="AJ36">
            <v>10541.757150000001</v>
          </cell>
          <cell r="AK36">
            <v>487.49285000000003</v>
          </cell>
          <cell r="AL36">
            <v>11029.250000000002</v>
          </cell>
          <cell r="AN36">
            <v>16666.666666666668</v>
          </cell>
          <cell r="AO36">
            <v>14618.333333333334</v>
          </cell>
          <cell r="AP36">
            <v>2048.3333333333335</v>
          </cell>
          <cell r="AQ36">
            <v>0</v>
          </cell>
          <cell r="AR36">
            <v>0</v>
          </cell>
          <cell r="AS36"/>
          <cell r="AU36">
            <v>16666.666666666668</v>
          </cell>
          <cell r="AV36">
            <v>14618.333333333334</v>
          </cell>
          <cell r="AW36">
            <v>2048.3333333333335</v>
          </cell>
          <cell r="AX36">
            <v>0</v>
          </cell>
          <cell r="AY36">
            <v>0</v>
          </cell>
          <cell r="AZ36"/>
          <cell r="BB36">
            <v>16666.666666666668</v>
          </cell>
          <cell r="BC36">
            <v>14618.333333333334</v>
          </cell>
          <cell r="BD36">
            <v>2048.3333333333335</v>
          </cell>
          <cell r="BE36">
            <v>0</v>
          </cell>
          <cell r="BF36">
            <v>0</v>
          </cell>
          <cell r="BG36"/>
          <cell r="BI36">
            <v>16666.666666666668</v>
          </cell>
          <cell r="BJ36">
            <v>14618.333333333334</v>
          </cell>
          <cell r="BK36">
            <v>2048.3333333333335</v>
          </cell>
          <cell r="BL36">
            <v>0</v>
          </cell>
          <cell r="BM36">
            <v>0</v>
          </cell>
          <cell r="BN36"/>
          <cell r="BP36">
            <v>16666.666666666668</v>
          </cell>
          <cell r="BQ36">
            <v>14618.333333333334</v>
          </cell>
          <cell r="BR36">
            <v>2048.3333333333335</v>
          </cell>
          <cell r="BS36">
            <v>0</v>
          </cell>
          <cell r="BT36">
            <v>0</v>
          </cell>
          <cell r="BU36"/>
          <cell r="BW36">
            <v>16666.666666666668</v>
          </cell>
          <cell r="BX36">
            <v>14618.333333333334</v>
          </cell>
          <cell r="BY36">
            <v>2048.3333333333335</v>
          </cell>
          <cell r="BZ36">
            <v>0</v>
          </cell>
          <cell r="CA36">
            <v>0</v>
          </cell>
          <cell r="CB36"/>
          <cell r="CD36">
            <v>16666.666666666668</v>
          </cell>
          <cell r="CE36">
            <v>14618.333333333334</v>
          </cell>
          <cell r="CF36">
            <v>2048.3333333333335</v>
          </cell>
          <cell r="CG36">
            <v>0</v>
          </cell>
          <cell r="CH36">
            <v>0</v>
          </cell>
          <cell r="CI36"/>
          <cell r="CK36">
            <v>16666.666666666668</v>
          </cell>
          <cell r="CL36">
            <v>14618.333333333334</v>
          </cell>
          <cell r="CM36">
            <v>2048.3333333333335</v>
          </cell>
          <cell r="CN36">
            <v>0</v>
          </cell>
          <cell r="CO36">
            <v>0</v>
          </cell>
          <cell r="CP36"/>
        </row>
        <row r="37">
          <cell r="L37">
            <v>13333.333333333334</v>
          </cell>
          <cell r="M37">
            <v>11694.666666666668</v>
          </cell>
          <cell r="N37">
            <v>1638.6666666666667</v>
          </cell>
          <cell r="O37">
            <v>15099.2505</v>
          </cell>
          <cell r="P37">
            <v>698.2494999999999</v>
          </cell>
          <cell r="Q37">
            <v>15797.5</v>
          </cell>
          <cell r="S37">
            <v>13333.333333333334</v>
          </cell>
          <cell r="T37">
            <v>11694.666666666668</v>
          </cell>
          <cell r="U37">
            <v>1638.6666666666667</v>
          </cell>
          <cell r="V37">
            <v>10221.048017999992</v>
          </cell>
          <cell r="W37">
            <v>472.66198199999963</v>
          </cell>
          <cell r="X37">
            <v>10693.709999999992</v>
          </cell>
          <cell r="Z37">
            <v>13333.333333333334</v>
          </cell>
          <cell r="AA37">
            <v>11694.666666666668</v>
          </cell>
          <cell r="AB37">
            <v>1638.6666666666667</v>
          </cell>
          <cell r="AC37">
            <v>22221.078785999998</v>
          </cell>
          <cell r="AD37">
            <v>1027.5912139999998</v>
          </cell>
          <cell r="AE37">
            <v>23248.67</v>
          </cell>
          <cell r="AG37">
            <v>13333.333333333334</v>
          </cell>
          <cell r="AH37">
            <v>11694.666666666668</v>
          </cell>
          <cell r="AI37">
            <v>1638.6666666666667</v>
          </cell>
          <cell r="AJ37">
            <v>36352.763387999999</v>
          </cell>
          <cell r="AK37">
            <v>1681.0966119999998</v>
          </cell>
          <cell r="AL37">
            <v>38033.86</v>
          </cell>
          <cell r="AN37">
            <v>13333.333333333334</v>
          </cell>
          <cell r="AO37">
            <v>11694.666666666668</v>
          </cell>
          <cell r="AP37">
            <v>1638.6666666666667</v>
          </cell>
          <cell r="AQ37">
            <v>0</v>
          </cell>
          <cell r="AR37">
            <v>0</v>
          </cell>
          <cell r="AS37"/>
          <cell r="AU37">
            <v>13333.333333333334</v>
          </cell>
          <cell r="AV37">
            <v>11694.666666666668</v>
          </cell>
          <cell r="AW37">
            <v>1638.6666666666667</v>
          </cell>
          <cell r="AX37">
            <v>0</v>
          </cell>
          <cell r="AY37">
            <v>0</v>
          </cell>
          <cell r="AZ37"/>
          <cell r="BB37">
            <v>13333.333333333334</v>
          </cell>
          <cell r="BC37">
            <v>11694.666666666668</v>
          </cell>
          <cell r="BD37">
            <v>1638.6666666666667</v>
          </cell>
          <cell r="BE37">
            <v>0</v>
          </cell>
          <cell r="BF37">
            <v>0</v>
          </cell>
          <cell r="BG37"/>
          <cell r="BI37">
            <v>13333.333333333334</v>
          </cell>
          <cell r="BJ37">
            <v>11694.666666666668</v>
          </cell>
          <cell r="BK37">
            <v>1638.6666666666667</v>
          </cell>
          <cell r="BL37">
            <v>0</v>
          </cell>
          <cell r="BM37">
            <v>0</v>
          </cell>
          <cell r="BN37"/>
          <cell r="BP37">
            <v>13333.333333333334</v>
          </cell>
          <cell r="BQ37">
            <v>11694.666666666668</v>
          </cell>
          <cell r="BR37">
            <v>1638.6666666666667</v>
          </cell>
          <cell r="BS37">
            <v>0</v>
          </cell>
          <cell r="BT37">
            <v>0</v>
          </cell>
          <cell r="BU37"/>
          <cell r="BW37">
            <v>13333.333333333334</v>
          </cell>
          <cell r="BX37">
            <v>11694.666666666668</v>
          </cell>
          <cell r="BY37">
            <v>1638.6666666666667</v>
          </cell>
          <cell r="BZ37">
            <v>0</v>
          </cell>
          <cell r="CA37">
            <v>0</v>
          </cell>
          <cell r="CB37"/>
          <cell r="CD37">
            <v>13333.333333333334</v>
          </cell>
          <cell r="CE37">
            <v>11694.666666666668</v>
          </cell>
          <cell r="CF37">
            <v>1638.6666666666667</v>
          </cell>
          <cell r="CG37">
            <v>0</v>
          </cell>
          <cell r="CH37">
            <v>0</v>
          </cell>
          <cell r="CI37"/>
          <cell r="CK37">
            <v>13333.333333333334</v>
          </cell>
          <cell r="CL37">
            <v>11694.666666666668</v>
          </cell>
          <cell r="CM37">
            <v>1638.6666666666667</v>
          </cell>
          <cell r="CN37">
            <v>0</v>
          </cell>
          <cell r="CO37">
            <v>0</v>
          </cell>
          <cell r="CP37"/>
        </row>
        <row r="38">
          <cell r="L38">
            <v>833.33333333333337</v>
          </cell>
          <cell r="M38">
            <v>730.91666666666674</v>
          </cell>
          <cell r="N38">
            <v>102.41666666666667</v>
          </cell>
          <cell r="O38">
            <v>834.25091400000008</v>
          </cell>
          <cell r="P38">
            <v>38.579085999999997</v>
          </cell>
          <cell r="Q38">
            <v>872.83</v>
          </cell>
          <cell r="S38">
            <v>833.33333333333337</v>
          </cell>
          <cell r="T38">
            <v>730.91666666666674</v>
          </cell>
          <cell r="U38">
            <v>102.41666666666667</v>
          </cell>
          <cell r="V38">
            <v>2452.0953419999996</v>
          </cell>
          <cell r="W38">
            <v>113.39465799999998</v>
          </cell>
          <cell r="X38">
            <v>2565.4899999999998</v>
          </cell>
          <cell r="Z38">
            <v>833.33333333333337</v>
          </cell>
          <cell r="AA38">
            <v>730.91666666666674</v>
          </cell>
          <cell r="AB38">
            <v>102.41666666666667</v>
          </cell>
          <cell r="AC38">
            <v>2652.2303040000002</v>
          </cell>
          <cell r="AD38">
            <v>122.64969599999999</v>
          </cell>
          <cell r="AE38">
            <v>2774.88</v>
          </cell>
          <cell r="AG38">
            <v>833.33333333333337</v>
          </cell>
          <cell r="AH38">
            <v>730.91666666666674</v>
          </cell>
          <cell r="AI38">
            <v>102.41666666666667</v>
          </cell>
          <cell r="AJ38">
            <v>2268.6390900000001</v>
          </cell>
          <cell r="AK38">
            <v>104.91091</v>
          </cell>
          <cell r="AL38">
            <v>2373.5500000000002</v>
          </cell>
          <cell r="AN38">
            <v>833.33333333333337</v>
          </cell>
          <cell r="AO38">
            <v>730.91666666666674</v>
          </cell>
          <cell r="AP38">
            <v>102.41666666666667</v>
          </cell>
          <cell r="AQ38">
            <v>0</v>
          </cell>
          <cell r="AR38">
            <v>0</v>
          </cell>
          <cell r="AS38"/>
          <cell r="AU38">
            <v>833.33333333333337</v>
          </cell>
          <cell r="AV38">
            <v>730.91666666666674</v>
          </cell>
          <cell r="AW38">
            <v>102.41666666666667</v>
          </cell>
          <cell r="AX38">
            <v>0</v>
          </cell>
          <cell r="AY38">
            <v>0</v>
          </cell>
          <cell r="AZ38"/>
          <cell r="BB38">
            <v>833.33333333333337</v>
          </cell>
          <cell r="BC38">
            <v>730.91666666666674</v>
          </cell>
          <cell r="BD38">
            <v>102.41666666666667</v>
          </cell>
          <cell r="BE38">
            <v>0</v>
          </cell>
          <cell r="BF38">
            <v>0</v>
          </cell>
          <cell r="BG38"/>
          <cell r="BI38">
            <v>833.33333333333337</v>
          </cell>
          <cell r="BJ38">
            <v>730.91666666666674</v>
          </cell>
          <cell r="BK38">
            <v>102.41666666666667</v>
          </cell>
          <cell r="BL38">
            <v>0</v>
          </cell>
          <cell r="BM38">
            <v>0</v>
          </cell>
          <cell r="BN38"/>
          <cell r="BP38">
            <v>833.33333333333337</v>
          </cell>
          <cell r="BQ38">
            <v>730.91666666666674</v>
          </cell>
          <cell r="BR38">
            <v>102.41666666666667</v>
          </cell>
          <cell r="BS38">
            <v>0</v>
          </cell>
          <cell r="BT38">
            <v>0</v>
          </cell>
          <cell r="BU38"/>
          <cell r="BW38">
            <v>833.33333333333337</v>
          </cell>
          <cell r="BX38">
            <v>730.91666666666674</v>
          </cell>
          <cell r="BY38">
            <v>102.41666666666667</v>
          </cell>
          <cell r="BZ38">
            <v>0</v>
          </cell>
          <cell r="CA38">
            <v>0</v>
          </cell>
          <cell r="CB38"/>
          <cell r="CD38">
            <v>833.33333333333337</v>
          </cell>
          <cell r="CE38">
            <v>730.91666666666674</v>
          </cell>
          <cell r="CF38">
            <v>102.41666666666667</v>
          </cell>
          <cell r="CG38">
            <v>0</v>
          </cell>
          <cell r="CH38">
            <v>0</v>
          </cell>
          <cell r="CI38"/>
          <cell r="CK38">
            <v>833.33333333333337</v>
          </cell>
          <cell r="CL38">
            <v>730.91666666666674</v>
          </cell>
          <cell r="CM38">
            <v>102.41666666666667</v>
          </cell>
          <cell r="CN38">
            <v>0</v>
          </cell>
          <cell r="CO38">
            <v>0</v>
          </cell>
          <cell r="CP38"/>
        </row>
        <row r="39">
          <cell r="L39">
            <v>666.66666666666663</v>
          </cell>
          <cell r="M39">
            <v>584.73333333333335</v>
          </cell>
          <cell r="N39">
            <v>81.933333333333323</v>
          </cell>
          <cell r="O39">
            <v>896.54039999999998</v>
          </cell>
          <cell r="P39">
            <v>41.459599999999995</v>
          </cell>
          <cell r="Q39">
            <v>938</v>
          </cell>
          <cell r="S39">
            <v>666.66666666666663</v>
          </cell>
          <cell r="T39">
            <v>584.73333333333335</v>
          </cell>
          <cell r="U39">
            <v>81.933333333333323</v>
          </cell>
          <cell r="V39">
            <v>0</v>
          </cell>
          <cell r="W39">
            <v>0</v>
          </cell>
          <cell r="X39"/>
          <cell r="Z39">
            <v>666.66666666666663</v>
          </cell>
          <cell r="AA39">
            <v>584.73333333333335</v>
          </cell>
          <cell r="AB39">
            <v>81.933333333333323</v>
          </cell>
          <cell r="AC39">
            <v>0</v>
          </cell>
          <cell r="AD39">
            <v>0</v>
          </cell>
          <cell r="AE39"/>
          <cell r="AG39">
            <v>666.66666666666663</v>
          </cell>
          <cell r="AH39">
            <v>584.73333333333335</v>
          </cell>
          <cell r="AI39">
            <v>81.933333333333323</v>
          </cell>
          <cell r="AJ39">
            <v>4232.014776</v>
          </cell>
          <cell r="AK39">
            <v>195.70522399999999</v>
          </cell>
          <cell r="AL39">
            <v>4427.72</v>
          </cell>
          <cell r="AN39">
            <v>666.66666666666663</v>
          </cell>
          <cell r="AO39">
            <v>584.73333333333335</v>
          </cell>
          <cell r="AP39">
            <v>81.933333333333323</v>
          </cell>
          <cell r="AQ39">
            <v>0</v>
          </cell>
          <cell r="AR39">
            <v>0</v>
          </cell>
          <cell r="AS39"/>
          <cell r="AU39">
            <v>666.66666666666663</v>
          </cell>
          <cell r="AV39">
            <v>584.73333333333335</v>
          </cell>
          <cell r="AW39">
            <v>81.933333333333323</v>
          </cell>
          <cell r="AX39">
            <v>0</v>
          </cell>
          <cell r="AY39">
            <v>0</v>
          </cell>
          <cell r="AZ39"/>
          <cell r="BB39">
            <v>666.66666666666663</v>
          </cell>
          <cell r="BC39">
            <v>584.73333333333335</v>
          </cell>
          <cell r="BD39">
            <v>81.933333333333323</v>
          </cell>
          <cell r="BE39">
            <v>0</v>
          </cell>
          <cell r="BF39">
            <v>0</v>
          </cell>
          <cell r="BG39"/>
          <cell r="BI39">
            <v>666.66666666666663</v>
          </cell>
          <cell r="BJ39">
            <v>584.73333333333335</v>
          </cell>
          <cell r="BK39">
            <v>81.933333333333323</v>
          </cell>
          <cell r="BL39">
            <v>0</v>
          </cell>
          <cell r="BM39">
            <v>0</v>
          </cell>
          <cell r="BN39"/>
          <cell r="BP39">
            <v>666.66666666666663</v>
          </cell>
          <cell r="BQ39">
            <v>584.73333333333335</v>
          </cell>
          <cell r="BR39">
            <v>81.933333333333323</v>
          </cell>
          <cell r="BS39">
            <v>0</v>
          </cell>
          <cell r="BT39">
            <v>0</v>
          </cell>
          <cell r="BU39"/>
          <cell r="BW39">
            <v>666.66666666666663</v>
          </cell>
          <cell r="BX39">
            <v>584.73333333333335</v>
          </cell>
          <cell r="BY39">
            <v>81.933333333333323</v>
          </cell>
          <cell r="BZ39">
            <v>0</v>
          </cell>
          <cell r="CA39">
            <v>0</v>
          </cell>
          <cell r="CB39"/>
          <cell r="CD39">
            <v>666.66666666666663</v>
          </cell>
          <cell r="CE39">
            <v>584.73333333333335</v>
          </cell>
          <cell r="CF39">
            <v>81.933333333333323</v>
          </cell>
          <cell r="CG39">
            <v>0</v>
          </cell>
          <cell r="CH39">
            <v>0</v>
          </cell>
          <cell r="CI39"/>
          <cell r="CK39">
            <v>666.66666666666663</v>
          </cell>
          <cell r="CL39">
            <v>584.73333333333335</v>
          </cell>
          <cell r="CM39">
            <v>81.933333333333323</v>
          </cell>
          <cell r="CN39">
            <v>0</v>
          </cell>
          <cell r="CO39">
            <v>0</v>
          </cell>
          <cell r="CP39"/>
        </row>
        <row r="40">
          <cell r="L40">
            <v>2083.3333333333335</v>
          </cell>
          <cell r="M40">
            <v>1827.2916666666667</v>
          </cell>
          <cell r="N40">
            <v>256.04166666666669</v>
          </cell>
          <cell r="O40">
            <v>2110.0240800000001</v>
          </cell>
          <cell r="P40">
            <v>97.575919999999982</v>
          </cell>
          <cell r="Q40">
            <v>2207.6</v>
          </cell>
          <cell r="S40">
            <v>2083.3333333333335</v>
          </cell>
          <cell r="T40">
            <v>1827.2916666666667</v>
          </cell>
          <cell r="U40">
            <v>256.04166666666669</v>
          </cell>
          <cell r="V40">
            <v>1775.4940799999999</v>
          </cell>
          <cell r="W40">
            <v>82.105919999999983</v>
          </cell>
          <cell r="X40">
            <v>1857.6</v>
          </cell>
          <cell r="Z40">
            <v>2083.3333333333335</v>
          </cell>
          <cell r="AA40">
            <v>1827.2916666666667</v>
          </cell>
          <cell r="AB40">
            <v>256.04166666666669</v>
          </cell>
          <cell r="AC40">
            <v>4470.3721800000003</v>
          </cell>
          <cell r="AD40">
            <v>206.72782000000001</v>
          </cell>
          <cell r="AE40">
            <v>4677.1000000000004</v>
          </cell>
          <cell r="AG40">
            <v>2083.3333333333335</v>
          </cell>
          <cell r="AH40">
            <v>1827.2916666666667</v>
          </cell>
          <cell r="AI40">
            <v>256.04166666666669</v>
          </cell>
          <cell r="AJ40">
            <v>2558.3038380000003</v>
          </cell>
          <cell r="AK40">
            <v>118.306162</v>
          </cell>
          <cell r="AL40">
            <v>2676.61</v>
          </cell>
          <cell r="AN40">
            <v>2083.3333333333335</v>
          </cell>
          <cell r="AO40">
            <v>1827.2916666666667</v>
          </cell>
          <cell r="AP40">
            <v>256.04166666666669</v>
          </cell>
          <cell r="AQ40">
            <v>0</v>
          </cell>
          <cell r="AR40">
            <v>0</v>
          </cell>
          <cell r="AS40"/>
          <cell r="AU40">
            <v>2083.3333333333335</v>
          </cell>
          <cell r="AV40">
            <v>1827.2916666666667</v>
          </cell>
          <cell r="AW40">
            <v>256.04166666666669</v>
          </cell>
          <cell r="AX40">
            <v>0</v>
          </cell>
          <cell r="AY40">
            <v>0</v>
          </cell>
          <cell r="AZ40"/>
          <cell r="BB40">
            <v>2083.3333333333335</v>
          </cell>
          <cell r="BC40">
            <v>1827.2916666666667</v>
          </cell>
          <cell r="BD40">
            <v>256.04166666666669</v>
          </cell>
          <cell r="BE40">
            <v>0</v>
          </cell>
          <cell r="BF40">
            <v>0</v>
          </cell>
          <cell r="BG40"/>
          <cell r="BI40">
            <v>2083.3333333333335</v>
          </cell>
          <cell r="BJ40">
            <v>1827.2916666666667</v>
          </cell>
          <cell r="BK40">
            <v>256.04166666666669</v>
          </cell>
          <cell r="BL40">
            <v>0</v>
          </cell>
          <cell r="BM40">
            <v>0</v>
          </cell>
          <cell r="BN40"/>
          <cell r="BP40">
            <v>2083.3333333333335</v>
          </cell>
          <cell r="BQ40">
            <v>1827.2916666666667</v>
          </cell>
          <cell r="BR40">
            <v>256.04166666666669</v>
          </cell>
          <cell r="BS40">
            <v>0</v>
          </cell>
          <cell r="BT40">
            <v>0</v>
          </cell>
          <cell r="BU40"/>
          <cell r="BW40">
            <v>2083.3333333333335</v>
          </cell>
          <cell r="BX40">
            <v>1827.2916666666667</v>
          </cell>
          <cell r="BY40">
            <v>256.04166666666669</v>
          </cell>
          <cell r="BZ40">
            <v>0</v>
          </cell>
          <cell r="CA40">
            <v>0</v>
          </cell>
          <cell r="CB40"/>
          <cell r="CD40">
            <v>2083.3333333333335</v>
          </cell>
          <cell r="CE40">
            <v>1827.2916666666667</v>
          </cell>
          <cell r="CF40">
            <v>256.04166666666669</v>
          </cell>
          <cell r="CG40">
            <v>0</v>
          </cell>
          <cell r="CH40">
            <v>0</v>
          </cell>
          <cell r="CI40"/>
          <cell r="CK40">
            <v>2083.3333333333335</v>
          </cell>
          <cell r="CL40">
            <v>1827.2916666666667</v>
          </cell>
          <cell r="CM40">
            <v>256.04166666666669</v>
          </cell>
          <cell r="CN40">
            <v>0</v>
          </cell>
          <cell r="CO40">
            <v>0</v>
          </cell>
          <cell r="CP40"/>
        </row>
        <row r="41">
          <cell r="L41">
            <v>13083.333333333334</v>
          </cell>
          <cell r="M41">
            <v>11475.391666666666</v>
          </cell>
          <cell r="N41">
            <v>1607.9416666666666</v>
          </cell>
          <cell r="O41">
            <v>12505.050000000001</v>
          </cell>
          <cell r="P41">
            <v>578.2833333333333</v>
          </cell>
          <cell r="Q41">
            <v>13083.333333333334</v>
          </cell>
          <cell r="S41">
            <v>13083.333333333334</v>
          </cell>
          <cell r="T41">
            <v>11475.391666666666</v>
          </cell>
          <cell r="U41">
            <v>1607.9416666666666</v>
          </cell>
          <cell r="V41">
            <v>12505.050000000001</v>
          </cell>
          <cell r="W41">
            <v>578.2833333333333</v>
          </cell>
          <cell r="X41">
            <v>13083.333333333334</v>
          </cell>
          <cell r="Z41">
            <v>13083.333333333334</v>
          </cell>
          <cell r="AA41">
            <v>11475.391666666666</v>
          </cell>
          <cell r="AB41">
            <v>1607.9416666666666</v>
          </cell>
          <cell r="AC41">
            <v>12505.050000000001</v>
          </cell>
          <cell r="AD41">
            <v>578.2833333333333</v>
          </cell>
          <cell r="AE41">
            <v>13083.333333333334</v>
          </cell>
          <cell r="AG41">
            <v>13083.333333333334</v>
          </cell>
          <cell r="AH41">
            <v>11475.391666666666</v>
          </cell>
          <cell r="AI41">
            <v>1607.9416666666666</v>
          </cell>
          <cell r="AJ41">
            <v>12505.050000000001</v>
          </cell>
          <cell r="AK41">
            <v>578.2833333333333</v>
          </cell>
          <cell r="AL41">
            <v>13083.333333333334</v>
          </cell>
          <cell r="AN41">
            <v>13083.333333333334</v>
          </cell>
          <cell r="AO41">
            <v>11475.391666666666</v>
          </cell>
          <cell r="AP41">
            <v>1607.9416666666666</v>
          </cell>
          <cell r="AQ41">
            <v>0</v>
          </cell>
          <cell r="AR41">
            <v>0</v>
          </cell>
          <cell r="AS41"/>
          <cell r="AU41">
            <v>13083.333333333334</v>
          </cell>
          <cell r="AV41">
            <v>11475.391666666666</v>
          </cell>
          <cell r="AW41">
            <v>1607.9416666666666</v>
          </cell>
          <cell r="AX41">
            <v>0</v>
          </cell>
          <cell r="AY41">
            <v>0</v>
          </cell>
          <cell r="AZ41"/>
          <cell r="BB41">
            <v>13083.333333333334</v>
          </cell>
          <cell r="BC41">
            <v>11475.391666666666</v>
          </cell>
          <cell r="BD41">
            <v>1607.9416666666666</v>
          </cell>
          <cell r="BE41">
            <v>0</v>
          </cell>
          <cell r="BF41">
            <v>0</v>
          </cell>
          <cell r="BG41"/>
          <cell r="BI41">
            <v>13083.333333333334</v>
          </cell>
          <cell r="BJ41">
            <v>11475.391666666666</v>
          </cell>
          <cell r="BK41">
            <v>1607.9416666666666</v>
          </cell>
          <cell r="BL41">
            <v>0</v>
          </cell>
          <cell r="BM41">
            <v>0</v>
          </cell>
          <cell r="BN41"/>
          <cell r="BP41">
            <v>13083.333333333334</v>
          </cell>
          <cell r="BQ41">
            <v>11475.391666666666</v>
          </cell>
          <cell r="BR41">
            <v>1607.9416666666666</v>
          </cell>
          <cell r="BS41">
            <v>0</v>
          </cell>
          <cell r="BT41">
            <v>0</v>
          </cell>
          <cell r="BU41"/>
          <cell r="BW41">
            <v>13083.333333333334</v>
          </cell>
          <cell r="BX41">
            <v>11475.391666666666</v>
          </cell>
          <cell r="BY41">
            <v>1607.9416666666666</v>
          </cell>
          <cell r="BZ41">
            <v>0</v>
          </cell>
          <cell r="CA41">
            <v>0</v>
          </cell>
          <cell r="CB41"/>
          <cell r="CD41">
            <v>13083.333333333334</v>
          </cell>
          <cell r="CE41">
            <v>11475.391666666666</v>
          </cell>
          <cell r="CF41">
            <v>1607.9416666666666</v>
          </cell>
          <cell r="CG41">
            <v>0</v>
          </cell>
          <cell r="CH41">
            <v>0</v>
          </cell>
          <cell r="CI41"/>
          <cell r="CK41">
            <v>13083.333333333334</v>
          </cell>
          <cell r="CL41">
            <v>11475.391666666666</v>
          </cell>
          <cell r="CM41">
            <v>1607.9416666666666</v>
          </cell>
          <cell r="CN41">
            <v>0</v>
          </cell>
          <cell r="CO41">
            <v>0</v>
          </cell>
          <cell r="CP41"/>
        </row>
        <row r="42">
          <cell r="L42">
            <v>81065.399999999994</v>
          </cell>
          <cell r="M42">
            <v>71102.462339999998</v>
          </cell>
          <cell r="N42">
            <v>9962.9376599999996</v>
          </cell>
          <cell r="O42">
            <v>73277.993627999997</v>
          </cell>
          <cell r="P42">
            <v>3388.6663719999997</v>
          </cell>
          <cell r="Q42">
            <v>76666.66</v>
          </cell>
          <cell r="S42">
            <v>81065.399999999994</v>
          </cell>
          <cell r="T42">
            <v>71102.462339999998</v>
          </cell>
          <cell r="U42">
            <v>9962.9376599999996</v>
          </cell>
          <cell r="V42">
            <v>80446.503186000002</v>
          </cell>
          <cell r="W42">
            <v>3720.1668139999997</v>
          </cell>
          <cell r="X42">
            <v>84166.67</v>
          </cell>
          <cell r="Z42">
            <v>81065.399999999994</v>
          </cell>
          <cell r="AA42">
            <v>71102.462339999998</v>
          </cell>
          <cell r="AB42">
            <v>9962.9376599999996</v>
          </cell>
          <cell r="AC42">
            <v>80446.503186000002</v>
          </cell>
          <cell r="AD42">
            <v>3720.1668139999997</v>
          </cell>
          <cell r="AE42">
            <v>84166.67</v>
          </cell>
          <cell r="AG42">
            <v>81065.399999999994</v>
          </cell>
          <cell r="AH42">
            <v>71102.462339999998</v>
          </cell>
          <cell r="AI42">
            <v>9962.9376599999996</v>
          </cell>
          <cell r="AJ42">
            <v>80446.503186000002</v>
          </cell>
          <cell r="AK42">
            <v>3720.1668139999997</v>
          </cell>
          <cell r="AL42">
            <v>84166.67</v>
          </cell>
          <cell r="AN42">
            <v>81065.399999999994</v>
          </cell>
          <cell r="AO42">
            <v>71102.462339999998</v>
          </cell>
          <cell r="AP42">
            <v>9962.9376599999996</v>
          </cell>
          <cell r="AQ42">
            <v>0</v>
          </cell>
          <cell r="AR42">
            <v>0</v>
          </cell>
          <cell r="AS42"/>
          <cell r="AU42">
            <v>81065.399999999994</v>
          </cell>
          <cell r="AV42">
            <v>71102.462339999998</v>
          </cell>
          <cell r="AW42">
            <v>9962.9376599999996</v>
          </cell>
          <cell r="AX42">
            <v>0</v>
          </cell>
          <cell r="AY42">
            <v>0</v>
          </cell>
          <cell r="AZ42"/>
          <cell r="BB42">
            <v>81065.399999999994</v>
          </cell>
          <cell r="BC42">
            <v>71102.462339999998</v>
          </cell>
          <cell r="BD42">
            <v>9962.9376599999996</v>
          </cell>
          <cell r="BE42">
            <v>0</v>
          </cell>
          <cell r="BF42">
            <v>0</v>
          </cell>
          <cell r="BG42"/>
          <cell r="BI42">
            <v>81065.399999999994</v>
          </cell>
          <cell r="BJ42">
            <v>71102.462339999998</v>
          </cell>
          <cell r="BK42">
            <v>9962.9376599999996</v>
          </cell>
          <cell r="BL42">
            <v>0</v>
          </cell>
          <cell r="BM42">
            <v>0</v>
          </cell>
          <cell r="BN42"/>
          <cell r="BP42">
            <v>81065.399999999994</v>
          </cell>
          <cell r="BQ42">
            <v>71102.462339999998</v>
          </cell>
          <cell r="BR42">
            <v>9962.9376599999996</v>
          </cell>
          <cell r="BS42">
            <v>0</v>
          </cell>
          <cell r="BT42">
            <v>0</v>
          </cell>
          <cell r="BU42"/>
          <cell r="BW42">
            <v>81065.399999999994</v>
          </cell>
          <cell r="BX42">
            <v>71102.462339999998</v>
          </cell>
          <cell r="BY42">
            <v>9962.9376599999996</v>
          </cell>
          <cell r="BZ42">
            <v>0</v>
          </cell>
          <cell r="CA42">
            <v>0</v>
          </cell>
          <cell r="CB42"/>
          <cell r="CD42">
            <v>81065.399999999994</v>
          </cell>
          <cell r="CE42">
            <v>71102.462339999998</v>
          </cell>
          <cell r="CF42">
            <v>9962.9376599999996</v>
          </cell>
          <cell r="CG42">
            <v>0</v>
          </cell>
          <cell r="CH42">
            <v>0</v>
          </cell>
          <cell r="CI42"/>
          <cell r="CK42">
            <v>81065.399999999994</v>
          </cell>
          <cell r="CL42">
            <v>71102.462339999998</v>
          </cell>
          <cell r="CM42">
            <v>9962.9376599999996</v>
          </cell>
          <cell r="CN42">
            <v>0</v>
          </cell>
          <cell r="CO42">
            <v>0</v>
          </cell>
          <cell r="CP42"/>
        </row>
        <row r="43">
          <cell r="L43">
            <v>5138.25</v>
          </cell>
          <cell r="M43">
            <v>4506.7590749999999</v>
          </cell>
          <cell r="N43">
            <v>631.49092499999995</v>
          </cell>
          <cell r="O43">
            <v>5913.5441580000006</v>
          </cell>
          <cell r="P43">
            <v>273.46584200000001</v>
          </cell>
          <cell r="Q43">
            <v>6187.01</v>
          </cell>
          <cell r="S43">
            <v>5138.25</v>
          </cell>
          <cell r="T43">
            <v>4506.7590749999999</v>
          </cell>
          <cell r="U43">
            <v>631.49092499999995</v>
          </cell>
          <cell r="V43">
            <v>5061.9263580000006</v>
          </cell>
          <cell r="W43">
            <v>234.083642</v>
          </cell>
          <cell r="X43">
            <v>5296.01</v>
          </cell>
          <cell r="Z43">
            <v>5138.25</v>
          </cell>
          <cell r="AA43">
            <v>4506.7590749999999</v>
          </cell>
          <cell r="AB43">
            <v>631.49092499999995</v>
          </cell>
          <cell r="AC43">
            <v>5287.8679199999997</v>
          </cell>
          <cell r="AD43">
            <v>244.53207999999995</v>
          </cell>
          <cell r="AE43">
            <v>5532.4</v>
          </cell>
          <cell r="AG43">
            <v>5138.25</v>
          </cell>
          <cell r="AH43">
            <v>4506.7590749999999</v>
          </cell>
          <cell r="AI43">
            <v>631.49092499999995</v>
          </cell>
          <cell r="AJ43">
            <v>5737.9923720000006</v>
          </cell>
          <cell r="AK43">
            <v>265.34762799999999</v>
          </cell>
          <cell r="AL43">
            <v>6003.34</v>
          </cell>
          <cell r="AN43">
            <v>5138.25</v>
          </cell>
          <cell r="AO43">
            <v>4506.7590749999999</v>
          </cell>
          <cell r="AP43">
            <v>631.49092499999995</v>
          </cell>
          <cell r="AQ43">
            <v>0</v>
          </cell>
          <cell r="AR43">
            <v>0</v>
          </cell>
          <cell r="AS43"/>
          <cell r="AU43">
            <v>5138.25</v>
          </cell>
          <cell r="AV43">
            <v>4506.7590749999999</v>
          </cell>
          <cell r="AW43">
            <v>631.49092499999995</v>
          </cell>
          <cell r="AX43">
            <v>0</v>
          </cell>
          <cell r="AY43">
            <v>0</v>
          </cell>
          <cell r="AZ43"/>
          <cell r="BB43">
            <v>5138.25</v>
          </cell>
          <cell r="BC43">
            <v>4506.7590749999999</v>
          </cell>
          <cell r="BD43">
            <v>631.49092499999995</v>
          </cell>
          <cell r="BE43">
            <v>0</v>
          </cell>
          <cell r="BF43">
            <v>0</v>
          </cell>
          <cell r="BG43"/>
          <cell r="BI43">
            <v>5138.25</v>
          </cell>
          <cell r="BJ43">
            <v>4506.7590749999999</v>
          </cell>
          <cell r="BK43">
            <v>631.49092499999995</v>
          </cell>
          <cell r="BL43">
            <v>0</v>
          </cell>
          <cell r="BM43">
            <v>0</v>
          </cell>
          <cell r="BN43"/>
          <cell r="BP43">
            <v>5138.25</v>
          </cell>
          <cell r="BQ43">
            <v>4506.7590749999999</v>
          </cell>
          <cell r="BR43">
            <v>631.49092499999995</v>
          </cell>
          <cell r="BS43">
            <v>0</v>
          </cell>
          <cell r="BT43">
            <v>0</v>
          </cell>
          <cell r="BU43"/>
          <cell r="BW43">
            <v>5138.25</v>
          </cell>
          <cell r="BX43">
            <v>4506.7590749999999</v>
          </cell>
          <cell r="BY43">
            <v>631.49092499999995</v>
          </cell>
          <cell r="BZ43">
            <v>0</v>
          </cell>
          <cell r="CA43">
            <v>0</v>
          </cell>
          <cell r="CB43"/>
          <cell r="CD43">
            <v>5138.25</v>
          </cell>
          <cell r="CE43">
            <v>4506.7590749999999</v>
          </cell>
          <cell r="CF43">
            <v>631.49092499999995</v>
          </cell>
          <cell r="CG43">
            <v>0</v>
          </cell>
          <cell r="CH43">
            <v>0</v>
          </cell>
          <cell r="CI43"/>
          <cell r="CK43">
            <v>5138.25</v>
          </cell>
          <cell r="CL43">
            <v>4506.7590749999999</v>
          </cell>
          <cell r="CM43">
            <v>631.49092499999995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2083.3333333333335</v>
          </cell>
          <cell r="M48">
            <v>1827.2916666666667</v>
          </cell>
          <cell r="N48">
            <v>256.04166666666669</v>
          </cell>
          <cell r="O48">
            <v>2457.2184299999999</v>
          </cell>
          <cell r="P48">
            <v>113.63156999999998</v>
          </cell>
          <cell r="Q48">
            <v>2570.85</v>
          </cell>
          <cell r="S48">
            <v>2083.3333333333335</v>
          </cell>
          <cell r="T48">
            <v>1827.2916666666667</v>
          </cell>
          <cell r="U48">
            <v>256.04166666666669</v>
          </cell>
          <cell r="V48">
            <v>1593.84429</v>
          </cell>
          <cell r="W48">
            <v>73.705709999999996</v>
          </cell>
          <cell r="X48">
            <v>1667.55</v>
          </cell>
          <cell r="Z48">
            <v>2083.3333333333335</v>
          </cell>
          <cell r="AA48">
            <v>1827.2916666666667</v>
          </cell>
          <cell r="AB48">
            <v>256.04166666666669</v>
          </cell>
          <cell r="AC48">
            <v>761.33293200000003</v>
          </cell>
          <cell r="AD48">
            <v>35.207067999999992</v>
          </cell>
          <cell r="AE48">
            <v>796.54</v>
          </cell>
          <cell r="AG48">
            <v>2083.3333333333335</v>
          </cell>
          <cell r="AH48">
            <v>1827.2916666666667</v>
          </cell>
          <cell r="AI48">
            <v>256.04166666666669</v>
          </cell>
          <cell r="AJ48">
            <v>886.64787000000001</v>
          </cell>
          <cell r="AK48">
            <v>41.002129999999994</v>
          </cell>
          <cell r="AL48">
            <v>927.65</v>
          </cell>
          <cell r="AN48">
            <v>2083.3333333333335</v>
          </cell>
          <cell r="AO48">
            <v>1827.2916666666667</v>
          </cell>
          <cell r="AP48">
            <v>256.04166666666669</v>
          </cell>
          <cell r="AQ48">
            <v>0</v>
          </cell>
          <cell r="AR48">
            <v>0</v>
          </cell>
          <cell r="AS48"/>
          <cell r="AU48">
            <v>2083.3333333333335</v>
          </cell>
          <cell r="AV48">
            <v>1827.2916666666667</v>
          </cell>
          <cell r="AW48">
            <v>256.04166666666669</v>
          </cell>
          <cell r="AX48">
            <v>0</v>
          </cell>
          <cell r="AY48">
            <v>0</v>
          </cell>
          <cell r="AZ48"/>
          <cell r="BB48">
            <v>2083.3333333333335</v>
          </cell>
          <cell r="BC48">
            <v>1827.2916666666667</v>
          </cell>
          <cell r="BD48">
            <v>256.04166666666669</v>
          </cell>
          <cell r="BE48">
            <v>0</v>
          </cell>
          <cell r="BF48">
            <v>0</v>
          </cell>
          <cell r="BG48"/>
          <cell r="BI48">
            <v>2083.3333333333335</v>
          </cell>
          <cell r="BJ48">
            <v>1827.2916666666667</v>
          </cell>
          <cell r="BK48">
            <v>256.04166666666669</v>
          </cell>
          <cell r="BL48">
            <v>0</v>
          </cell>
          <cell r="BM48">
            <v>0</v>
          </cell>
          <cell r="BN48"/>
          <cell r="BP48">
            <v>2083.3333333333335</v>
          </cell>
          <cell r="BQ48">
            <v>1827.2916666666667</v>
          </cell>
          <cell r="BR48">
            <v>256.04166666666669</v>
          </cell>
          <cell r="BS48">
            <v>0</v>
          </cell>
          <cell r="BT48">
            <v>0</v>
          </cell>
          <cell r="BU48"/>
          <cell r="BW48">
            <v>2083.3333333333335</v>
          </cell>
          <cell r="BX48">
            <v>1827.2916666666667</v>
          </cell>
          <cell r="BY48">
            <v>256.04166666666669</v>
          </cell>
          <cell r="BZ48">
            <v>0</v>
          </cell>
          <cell r="CA48">
            <v>0</v>
          </cell>
          <cell r="CB48"/>
          <cell r="CD48">
            <v>2083.3333333333335</v>
          </cell>
          <cell r="CE48">
            <v>1827.2916666666667</v>
          </cell>
          <cell r="CF48">
            <v>256.04166666666669</v>
          </cell>
          <cell r="CG48">
            <v>0</v>
          </cell>
          <cell r="CH48">
            <v>0</v>
          </cell>
          <cell r="CI48"/>
          <cell r="CK48">
            <v>2083.3333333333335</v>
          </cell>
          <cell r="CL48">
            <v>1827.2916666666667</v>
          </cell>
          <cell r="CM48">
            <v>256.04166666666669</v>
          </cell>
          <cell r="CN48">
            <v>0</v>
          </cell>
          <cell r="CO48">
            <v>0</v>
          </cell>
          <cell r="CP48"/>
        </row>
        <row r="49">
          <cell r="L49">
            <v>5208.333333333333</v>
          </cell>
          <cell r="M49">
            <v>4568.2291666666661</v>
          </cell>
          <cell r="N49">
            <v>640.10416666666663</v>
          </cell>
          <cell r="O49">
            <v>9265.668569999998</v>
          </cell>
          <cell r="P49">
            <v>428.48142999999988</v>
          </cell>
          <cell r="Q49">
            <v>9694.1499999999978</v>
          </cell>
          <cell r="S49">
            <v>5208.333333333333</v>
          </cell>
          <cell r="T49">
            <v>4568.2291666666661</v>
          </cell>
          <cell r="U49">
            <v>640.10416666666663</v>
          </cell>
          <cell r="V49">
            <v>10615.994135999999</v>
          </cell>
          <cell r="W49">
            <v>490.92586399999993</v>
          </cell>
          <cell r="X49">
            <v>11106.92</v>
          </cell>
          <cell r="Z49">
            <v>5208.333333333333</v>
          </cell>
          <cell r="AA49">
            <v>4568.2291666666661</v>
          </cell>
          <cell r="AB49">
            <v>640.10416666666663</v>
          </cell>
          <cell r="AC49">
            <v>4298.9685659999986</v>
          </cell>
          <cell r="AD49">
            <v>198.80143399999992</v>
          </cell>
          <cell r="AE49">
            <v>4497.7699999999986</v>
          </cell>
          <cell r="AG49">
            <v>5208.333333333333</v>
          </cell>
          <cell r="AH49">
            <v>4568.2291666666661</v>
          </cell>
          <cell r="AI49">
            <v>640.10416666666663</v>
          </cell>
          <cell r="AJ49">
            <v>7118.0911080000005</v>
          </cell>
          <cell r="AK49">
            <v>329.16889199999997</v>
          </cell>
          <cell r="AL49">
            <v>7447.26</v>
          </cell>
          <cell r="AN49">
            <v>5208.333333333333</v>
          </cell>
          <cell r="AO49">
            <v>4568.2291666666661</v>
          </cell>
          <cell r="AP49">
            <v>640.10416666666663</v>
          </cell>
          <cell r="AQ49">
            <v>0</v>
          </cell>
          <cell r="AR49">
            <v>0</v>
          </cell>
          <cell r="AS49"/>
          <cell r="AU49">
            <v>5208.333333333333</v>
          </cell>
          <cell r="AV49">
            <v>4568.2291666666661</v>
          </cell>
          <cell r="AW49">
            <v>640.10416666666663</v>
          </cell>
          <cell r="AX49">
            <v>0</v>
          </cell>
          <cell r="AY49">
            <v>0</v>
          </cell>
          <cell r="AZ49"/>
          <cell r="BB49">
            <v>5208.333333333333</v>
          </cell>
          <cell r="BC49">
            <v>4568.2291666666661</v>
          </cell>
          <cell r="BD49">
            <v>640.10416666666663</v>
          </cell>
          <cell r="BE49">
            <v>0</v>
          </cell>
          <cell r="BF49">
            <v>0</v>
          </cell>
          <cell r="BG49"/>
          <cell r="BI49">
            <v>5208.333333333333</v>
          </cell>
          <cell r="BJ49">
            <v>4568.2291666666661</v>
          </cell>
          <cell r="BK49">
            <v>640.10416666666663</v>
          </cell>
          <cell r="BL49">
            <v>0</v>
          </cell>
          <cell r="BM49">
            <v>0</v>
          </cell>
          <cell r="BN49"/>
          <cell r="BP49">
            <v>5208.333333333333</v>
          </cell>
          <cell r="BQ49">
            <v>4568.2291666666661</v>
          </cell>
          <cell r="BR49">
            <v>640.10416666666663</v>
          </cell>
          <cell r="BS49">
            <v>0</v>
          </cell>
          <cell r="BT49">
            <v>0</v>
          </cell>
          <cell r="BU49"/>
          <cell r="BW49">
            <v>5208.333333333333</v>
          </cell>
          <cell r="BX49">
            <v>4568.2291666666661</v>
          </cell>
          <cell r="BY49">
            <v>640.10416666666663</v>
          </cell>
          <cell r="BZ49">
            <v>0</v>
          </cell>
          <cell r="CA49">
            <v>0</v>
          </cell>
          <cell r="CB49"/>
          <cell r="CD49">
            <v>5208.333333333333</v>
          </cell>
          <cell r="CE49">
            <v>4568.2291666666661</v>
          </cell>
          <cell r="CF49">
            <v>640.10416666666663</v>
          </cell>
          <cell r="CG49">
            <v>0</v>
          </cell>
          <cell r="CH49">
            <v>0</v>
          </cell>
          <cell r="CI49"/>
          <cell r="CK49">
            <v>5208.333333333333</v>
          </cell>
          <cell r="CL49">
            <v>4568.2291666666661</v>
          </cell>
          <cell r="CM49">
            <v>640.10416666666663</v>
          </cell>
          <cell r="CN49">
            <v>0</v>
          </cell>
          <cell r="CO49">
            <v>0</v>
          </cell>
          <cell r="CP49"/>
        </row>
        <row r="50">
          <cell r="L50">
            <v>611.26666666666665</v>
          </cell>
          <cell r="M50">
            <v>536.14199333333329</v>
          </cell>
          <cell r="N50">
            <v>75.124673333333334</v>
          </cell>
          <cell r="O50">
            <v>546.36395400000004</v>
          </cell>
          <cell r="P50">
            <v>25.266045999999999</v>
          </cell>
          <cell r="Q50">
            <v>571.63</v>
          </cell>
          <cell r="S50">
            <v>611.26666666666665</v>
          </cell>
          <cell r="T50">
            <v>536.14199333333329</v>
          </cell>
          <cell r="U50">
            <v>75.124673333333334</v>
          </cell>
          <cell r="V50">
            <v>632.7396</v>
          </cell>
          <cell r="W50">
            <v>29.260399999999997</v>
          </cell>
          <cell r="X50">
            <v>662</v>
          </cell>
          <cell r="Z50">
            <v>611.26666666666665</v>
          </cell>
          <cell r="AA50">
            <v>536.14199333333329</v>
          </cell>
          <cell r="AB50">
            <v>75.124673333333334</v>
          </cell>
          <cell r="AC50">
            <v>1116.058986</v>
          </cell>
          <cell r="AD50">
            <v>51.611013999999997</v>
          </cell>
          <cell r="AE50">
            <v>1167.67</v>
          </cell>
          <cell r="AG50">
            <v>611.26666666666665</v>
          </cell>
          <cell r="AH50">
            <v>536.14199333333329</v>
          </cell>
          <cell r="AI50">
            <v>75.124673333333334</v>
          </cell>
          <cell r="AJ50">
            <v>516.68636400000003</v>
          </cell>
          <cell r="AK50">
            <v>23.893636000000001</v>
          </cell>
          <cell r="AL50">
            <v>540.58000000000004</v>
          </cell>
          <cell r="AN50">
            <v>611.26666666666665</v>
          </cell>
          <cell r="AO50">
            <v>536.14199333333329</v>
          </cell>
          <cell r="AP50">
            <v>75.124673333333334</v>
          </cell>
          <cell r="AQ50">
            <v>0</v>
          </cell>
          <cell r="AR50">
            <v>0</v>
          </cell>
          <cell r="AS50"/>
          <cell r="AU50">
            <v>611.26666666666665</v>
          </cell>
          <cell r="AV50">
            <v>536.14199333333329</v>
          </cell>
          <cell r="AW50">
            <v>75.124673333333334</v>
          </cell>
          <cell r="AX50">
            <v>0</v>
          </cell>
          <cell r="AY50">
            <v>0</v>
          </cell>
          <cell r="AZ50"/>
          <cell r="BB50">
            <v>611.26666666666665</v>
          </cell>
          <cell r="BC50">
            <v>536.14199333333329</v>
          </cell>
          <cell r="BD50">
            <v>75.124673333333334</v>
          </cell>
          <cell r="BE50">
            <v>0</v>
          </cell>
          <cell r="BF50">
            <v>0</v>
          </cell>
          <cell r="BG50"/>
          <cell r="BI50">
            <v>611.26666666666665</v>
          </cell>
          <cell r="BJ50">
            <v>536.14199333333329</v>
          </cell>
          <cell r="BK50">
            <v>75.124673333333334</v>
          </cell>
          <cell r="BL50">
            <v>0</v>
          </cell>
          <cell r="BM50">
            <v>0</v>
          </cell>
          <cell r="BN50"/>
          <cell r="BP50">
            <v>611.26666666666665</v>
          </cell>
          <cell r="BQ50">
            <v>536.14199333333329</v>
          </cell>
          <cell r="BR50">
            <v>75.124673333333334</v>
          </cell>
          <cell r="BS50">
            <v>0</v>
          </cell>
          <cell r="BT50">
            <v>0</v>
          </cell>
          <cell r="BU50"/>
          <cell r="BW50">
            <v>611.26666666666665</v>
          </cell>
          <cell r="BX50">
            <v>536.14199333333329</v>
          </cell>
          <cell r="BY50">
            <v>75.124673333333334</v>
          </cell>
          <cell r="BZ50">
            <v>0</v>
          </cell>
          <cell r="CA50">
            <v>0</v>
          </cell>
          <cell r="CB50"/>
          <cell r="CD50">
            <v>611.26666666666665</v>
          </cell>
          <cell r="CE50">
            <v>536.14199333333329</v>
          </cell>
          <cell r="CF50">
            <v>75.124673333333334</v>
          </cell>
          <cell r="CG50">
            <v>0</v>
          </cell>
          <cell r="CH50">
            <v>0</v>
          </cell>
          <cell r="CI50"/>
          <cell r="CK50">
            <v>611.26666666666665</v>
          </cell>
          <cell r="CL50">
            <v>536.14199333333329</v>
          </cell>
          <cell r="CM50">
            <v>75.124673333333334</v>
          </cell>
          <cell r="CN50">
            <v>0</v>
          </cell>
          <cell r="CO50">
            <v>0</v>
          </cell>
          <cell r="CP50"/>
        </row>
        <row r="51">
          <cell r="L51">
            <v>459.43610000000001</v>
          </cell>
          <cell r="M51">
            <v>402.97140331000003</v>
          </cell>
          <cell r="N51">
            <v>56.464696689999997</v>
          </cell>
          <cell r="O51">
            <v>434.93679000000003</v>
          </cell>
          <cell r="P51">
            <v>20.113209999999999</v>
          </cell>
          <cell r="Q51">
            <v>455.05</v>
          </cell>
          <cell r="S51">
            <v>459.43610000000001</v>
          </cell>
          <cell r="T51">
            <v>402.97140331000003</v>
          </cell>
          <cell r="U51">
            <v>56.464696689999997</v>
          </cell>
          <cell r="V51">
            <v>423.61055999999996</v>
          </cell>
          <cell r="W51">
            <v>19.589439999999996</v>
          </cell>
          <cell r="X51">
            <v>443.2</v>
          </cell>
          <cell r="Z51">
            <v>459.43610000000001</v>
          </cell>
          <cell r="AA51">
            <v>402.97140331000003</v>
          </cell>
          <cell r="AB51">
            <v>56.464696689999997</v>
          </cell>
          <cell r="AC51">
            <v>393.99987600000003</v>
          </cell>
          <cell r="AD51">
            <v>18.220123999999998</v>
          </cell>
          <cell r="AE51">
            <v>412.22</v>
          </cell>
          <cell r="AG51">
            <v>459.43610000000001</v>
          </cell>
          <cell r="AH51">
            <v>402.97140331000003</v>
          </cell>
          <cell r="AI51">
            <v>56.464696689999997</v>
          </cell>
          <cell r="AJ51">
            <v>525.44149200000004</v>
          </cell>
          <cell r="AK51">
            <v>24.298507999999998</v>
          </cell>
          <cell r="AL51">
            <v>549.74</v>
          </cell>
          <cell r="AN51">
            <v>459.43610000000001</v>
          </cell>
          <cell r="AO51">
            <v>402.97140331000003</v>
          </cell>
          <cell r="AP51">
            <v>56.464696689999997</v>
          </cell>
          <cell r="AQ51">
            <v>0</v>
          </cell>
          <cell r="AR51">
            <v>0</v>
          </cell>
          <cell r="AS51"/>
          <cell r="AU51">
            <v>459.43610000000001</v>
          </cell>
          <cell r="AV51">
            <v>402.97140331000003</v>
          </cell>
          <cell r="AW51">
            <v>56.464696689999997</v>
          </cell>
          <cell r="AX51">
            <v>0</v>
          </cell>
          <cell r="AY51">
            <v>0</v>
          </cell>
          <cell r="AZ51"/>
          <cell r="BB51">
            <v>459.43610000000001</v>
          </cell>
          <cell r="BC51">
            <v>402.97140331000003</v>
          </cell>
          <cell r="BD51">
            <v>56.464696689999997</v>
          </cell>
          <cell r="BE51">
            <v>0</v>
          </cell>
          <cell r="BF51">
            <v>0</v>
          </cell>
          <cell r="BG51"/>
          <cell r="BI51">
            <v>459.43610000000001</v>
          </cell>
          <cell r="BJ51">
            <v>402.97140331000003</v>
          </cell>
          <cell r="BK51">
            <v>56.464696689999997</v>
          </cell>
          <cell r="BL51">
            <v>0</v>
          </cell>
          <cell r="BM51">
            <v>0</v>
          </cell>
          <cell r="BN51"/>
          <cell r="BP51">
            <v>459.43610000000001</v>
          </cell>
          <cell r="BQ51">
            <v>402.97140331000003</v>
          </cell>
          <cell r="BR51">
            <v>56.464696689999997</v>
          </cell>
          <cell r="BS51">
            <v>0</v>
          </cell>
          <cell r="BT51">
            <v>0</v>
          </cell>
          <cell r="BU51"/>
          <cell r="BW51">
            <v>459.43610000000001</v>
          </cell>
          <cell r="BX51">
            <v>402.97140331000003</v>
          </cell>
          <cell r="BY51">
            <v>56.464696689999997</v>
          </cell>
          <cell r="BZ51">
            <v>0</v>
          </cell>
          <cell r="CA51">
            <v>0</v>
          </cell>
          <cell r="CB51"/>
          <cell r="CD51">
            <v>459.43610000000001</v>
          </cell>
          <cell r="CE51">
            <v>402.97140331000003</v>
          </cell>
          <cell r="CF51">
            <v>56.464696689999997</v>
          </cell>
          <cell r="CG51">
            <v>0</v>
          </cell>
          <cell r="CH51">
            <v>0</v>
          </cell>
          <cell r="CI51"/>
          <cell r="CK51">
            <v>459.43610000000001</v>
          </cell>
          <cell r="CL51">
            <v>402.97140331000003</v>
          </cell>
          <cell r="CM51">
            <v>56.464696689999997</v>
          </cell>
          <cell r="CN51">
            <v>0</v>
          </cell>
          <cell r="CO51">
            <v>0</v>
          </cell>
          <cell r="CP51"/>
        </row>
        <row r="52">
          <cell r="L52">
            <v>1666.6666666666667</v>
          </cell>
          <cell r="M52">
            <v>1461.8333333333335</v>
          </cell>
          <cell r="N52">
            <v>204.83333333333334</v>
          </cell>
          <cell r="O52">
            <v>1138.5394020000001</v>
          </cell>
          <cell r="P52">
            <v>52.650597999999995</v>
          </cell>
          <cell r="Q52">
            <v>1191.19</v>
          </cell>
          <cell r="S52">
            <v>1666.6666666666667</v>
          </cell>
          <cell r="T52">
            <v>1461.8333333333335</v>
          </cell>
          <cell r="U52">
            <v>204.83333333333334</v>
          </cell>
          <cell r="V52">
            <v>0</v>
          </cell>
          <cell r="W52">
            <v>0</v>
          </cell>
          <cell r="X52"/>
          <cell r="Z52">
            <v>1666.6666666666667</v>
          </cell>
          <cell r="AA52">
            <v>1461.8333333333335</v>
          </cell>
          <cell r="AB52">
            <v>204.83333333333334</v>
          </cell>
          <cell r="AC52">
            <v>716.85</v>
          </cell>
          <cell r="AD52">
            <v>33.15</v>
          </cell>
          <cell r="AE52">
            <v>750</v>
          </cell>
          <cell r="AG52">
            <v>1666.6666666666667</v>
          </cell>
          <cell r="AH52">
            <v>1461.8333333333335</v>
          </cell>
          <cell r="AI52">
            <v>204.83333333333334</v>
          </cell>
          <cell r="AJ52">
            <v>6256.6668</v>
          </cell>
          <cell r="AK52">
            <v>289.33319999999998</v>
          </cell>
          <cell r="AL52">
            <v>6546</v>
          </cell>
          <cell r="AN52">
            <v>1666.6666666666667</v>
          </cell>
          <cell r="AO52">
            <v>1461.8333333333335</v>
          </cell>
          <cell r="AP52">
            <v>204.83333333333334</v>
          </cell>
          <cell r="AQ52">
            <v>0</v>
          </cell>
          <cell r="AR52">
            <v>0</v>
          </cell>
          <cell r="AS52"/>
          <cell r="AU52">
            <v>1666.6666666666667</v>
          </cell>
          <cell r="AV52">
            <v>1461.8333333333335</v>
          </cell>
          <cell r="AW52">
            <v>204.83333333333334</v>
          </cell>
          <cell r="AX52">
            <v>0</v>
          </cell>
          <cell r="AY52">
            <v>0</v>
          </cell>
          <cell r="AZ52"/>
          <cell r="BB52">
            <v>1666.6666666666667</v>
          </cell>
          <cell r="BC52">
            <v>1461.8333333333335</v>
          </cell>
          <cell r="BD52">
            <v>204.83333333333334</v>
          </cell>
          <cell r="BE52">
            <v>0</v>
          </cell>
          <cell r="BF52">
            <v>0</v>
          </cell>
          <cell r="BG52"/>
          <cell r="BI52">
            <v>1666.6666666666667</v>
          </cell>
          <cell r="BJ52">
            <v>1461.8333333333335</v>
          </cell>
          <cell r="BK52">
            <v>204.83333333333334</v>
          </cell>
          <cell r="BL52">
            <v>0</v>
          </cell>
          <cell r="BM52">
            <v>0</v>
          </cell>
          <cell r="BN52"/>
          <cell r="BP52">
            <v>1666.6666666666667</v>
          </cell>
          <cell r="BQ52">
            <v>1461.8333333333335</v>
          </cell>
          <cell r="BR52">
            <v>204.83333333333334</v>
          </cell>
          <cell r="BS52">
            <v>0</v>
          </cell>
          <cell r="BT52">
            <v>0</v>
          </cell>
          <cell r="BU52"/>
          <cell r="BW52">
            <v>1666.6666666666667</v>
          </cell>
          <cell r="BX52">
            <v>1461.8333333333335</v>
          </cell>
          <cell r="BY52">
            <v>204.83333333333334</v>
          </cell>
          <cell r="BZ52">
            <v>0</v>
          </cell>
          <cell r="CA52">
            <v>0</v>
          </cell>
          <cell r="CB52"/>
          <cell r="CD52">
            <v>1666.6666666666667</v>
          </cell>
          <cell r="CE52">
            <v>1461.8333333333335</v>
          </cell>
          <cell r="CF52">
            <v>204.83333333333334</v>
          </cell>
          <cell r="CG52">
            <v>0</v>
          </cell>
          <cell r="CH52">
            <v>0</v>
          </cell>
          <cell r="CI52"/>
          <cell r="CK52">
            <v>1666.6666666666667</v>
          </cell>
          <cell r="CL52">
            <v>1461.8333333333335</v>
          </cell>
          <cell r="CM52">
            <v>204.83333333333334</v>
          </cell>
          <cell r="CN52">
            <v>0</v>
          </cell>
          <cell r="CO52">
            <v>0</v>
          </cell>
          <cell r="CP52"/>
        </row>
        <row r="53">
          <cell r="L53">
            <v>1000</v>
          </cell>
          <cell r="M53">
            <v>877.1</v>
          </cell>
          <cell r="N53">
            <v>122.89999999999999</v>
          </cell>
          <cell r="O53">
            <v>0</v>
          </cell>
          <cell r="P53">
            <v>0</v>
          </cell>
          <cell r="Q53"/>
          <cell r="S53">
            <v>1000</v>
          </cell>
          <cell r="T53">
            <v>877.1</v>
          </cell>
          <cell r="U53">
            <v>122.89999999999999</v>
          </cell>
          <cell r="V53">
            <v>0</v>
          </cell>
          <cell r="W53">
            <v>0</v>
          </cell>
          <cell r="X53"/>
          <cell r="Z53">
            <v>1000</v>
          </cell>
          <cell r="AA53">
            <v>877.1</v>
          </cell>
          <cell r="AB53">
            <v>122.89999999999999</v>
          </cell>
          <cell r="AC53">
            <v>0</v>
          </cell>
          <cell r="AD53">
            <v>0</v>
          </cell>
          <cell r="AE53"/>
          <cell r="AG53">
            <v>1000</v>
          </cell>
          <cell r="AH53">
            <v>877.1</v>
          </cell>
          <cell r="AI53">
            <v>122.89999999999999</v>
          </cell>
          <cell r="AJ53">
            <v>0</v>
          </cell>
          <cell r="AK53">
            <v>0</v>
          </cell>
          <cell r="AL53"/>
          <cell r="AN53">
            <v>1000</v>
          </cell>
          <cell r="AO53">
            <v>877.1</v>
          </cell>
          <cell r="AP53">
            <v>122.89999999999999</v>
          </cell>
          <cell r="AQ53">
            <v>0</v>
          </cell>
          <cell r="AR53">
            <v>0</v>
          </cell>
          <cell r="AS53"/>
          <cell r="AU53">
            <v>1000</v>
          </cell>
          <cell r="AV53">
            <v>877.1</v>
          </cell>
          <cell r="AW53">
            <v>122.89999999999999</v>
          </cell>
          <cell r="AX53">
            <v>0</v>
          </cell>
          <cell r="AY53">
            <v>0</v>
          </cell>
          <cell r="AZ53"/>
          <cell r="BB53">
            <v>1000</v>
          </cell>
          <cell r="BC53">
            <v>877.1</v>
          </cell>
          <cell r="BD53">
            <v>122.89999999999999</v>
          </cell>
          <cell r="BE53">
            <v>0</v>
          </cell>
          <cell r="BF53">
            <v>0</v>
          </cell>
          <cell r="BG53"/>
          <cell r="BI53">
            <v>1000</v>
          </cell>
          <cell r="BJ53">
            <v>877.1</v>
          </cell>
          <cell r="BK53">
            <v>122.89999999999999</v>
          </cell>
          <cell r="BL53">
            <v>0</v>
          </cell>
          <cell r="BM53">
            <v>0</v>
          </cell>
          <cell r="BN53"/>
          <cell r="BP53">
            <v>1000</v>
          </cell>
          <cell r="BQ53">
            <v>877.1</v>
          </cell>
          <cell r="BR53">
            <v>122.89999999999999</v>
          </cell>
          <cell r="BS53">
            <v>0</v>
          </cell>
          <cell r="BT53">
            <v>0</v>
          </cell>
          <cell r="BU53"/>
          <cell r="BW53">
            <v>1000</v>
          </cell>
          <cell r="BX53">
            <v>877.1</v>
          </cell>
          <cell r="BY53">
            <v>122.89999999999999</v>
          </cell>
          <cell r="BZ53">
            <v>0</v>
          </cell>
          <cell r="CA53">
            <v>0</v>
          </cell>
          <cell r="CB53"/>
          <cell r="CD53">
            <v>1000</v>
          </cell>
          <cell r="CE53">
            <v>877.1</v>
          </cell>
          <cell r="CF53">
            <v>122.89999999999999</v>
          </cell>
          <cell r="CG53">
            <v>0</v>
          </cell>
          <cell r="CH53">
            <v>0</v>
          </cell>
          <cell r="CI53"/>
          <cell r="CK53">
            <v>1000</v>
          </cell>
          <cell r="CL53">
            <v>877.1</v>
          </cell>
          <cell r="CM53">
            <v>122.89999999999999</v>
          </cell>
          <cell r="CN53">
            <v>0</v>
          </cell>
          <cell r="CO53">
            <v>0</v>
          </cell>
          <cell r="CP53"/>
        </row>
        <row r="54">
          <cell r="L54">
            <v>25257.142857142859</v>
          </cell>
          <cell r="M54">
            <v>22153.040000000001</v>
          </cell>
          <cell r="N54">
            <v>3104.1028571428574</v>
          </cell>
          <cell r="O54">
            <v>3754.363284</v>
          </cell>
          <cell r="P54">
            <v>173.616716</v>
          </cell>
          <cell r="Q54">
            <v>3927.98</v>
          </cell>
          <cell r="S54">
            <v>25257.142857142859</v>
          </cell>
          <cell r="T54">
            <v>22153.040000000001</v>
          </cell>
          <cell r="U54">
            <v>3104.1028571428574</v>
          </cell>
          <cell r="V54">
            <v>17928.676566000002</v>
          </cell>
          <cell r="W54">
            <v>829.093434</v>
          </cell>
          <cell r="X54">
            <v>18757.77</v>
          </cell>
          <cell r="Z54">
            <v>25257.142857142859</v>
          </cell>
          <cell r="AA54">
            <v>22153.040000000001</v>
          </cell>
          <cell r="AB54">
            <v>3104.1028571428574</v>
          </cell>
          <cell r="AC54">
            <v>16620.492222000001</v>
          </cell>
          <cell r="AD54">
            <v>768.59777799999995</v>
          </cell>
          <cell r="AE54">
            <v>17389.09</v>
          </cell>
          <cell r="AG54">
            <v>25257.142857142859</v>
          </cell>
          <cell r="AH54">
            <v>22153.040000000001</v>
          </cell>
          <cell r="AI54">
            <v>3104.1028571428574</v>
          </cell>
          <cell r="AJ54">
            <v>9016.9885259999992</v>
          </cell>
          <cell r="AK54">
            <v>416.98147399999993</v>
          </cell>
          <cell r="AL54">
            <v>9433.9699999999993</v>
          </cell>
          <cell r="AN54">
            <v>25257.142857142859</v>
          </cell>
          <cell r="AO54">
            <v>22153.040000000001</v>
          </cell>
          <cell r="AP54">
            <v>3104.1028571428574</v>
          </cell>
          <cell r="AQ54">
            <v>0</v>
          </cell>
          <cell r="AR54">
            <v>0</v>
          </cell>
          <cell r="AS54"/>
          <cell r="AU54">
            <v>25257.142857142859</v>
          </cell>
          <cell r="AV54">
            <v>22153.040000000001</v>
          </cell>
          <cell r="AW54">
            <v>3104.1028571428574</v>
          </cell>
          <cell r="AX54">
            <v>0</v>
          </cell>
          <cell r="AY54">
            <v>0</v>
          </cell>
          <cell r="AZ54"/>
          <cell r="BB54">
            <v>25257.142857142859</v>
          </cell>
          <cell r="BC54">
            <v>22153.040000000001</v>
          </cell>
          <cell r="BD54">
            <v>3104.1028571428574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-13840.830449826988</v>
          </cell>
          <cell r="M56">
            <v>-12139.792387543252</v>
          </cell>
          <cell r="N56">
            <v>-1701.0380622837367</v>
          </cell>
          <cell r="O56">
            <v>0</v>
          </cell>
          <cell r="P56">
            <v>0</v>
          </cell>
          <cell r="Q56"/>
          <cell r="S56">
            <v>-13840.830449826988</v>
          </cell>
          <cell r="T56">
            <v>-12139.792387543252</v>
          </cell>
          <cell r="U56">
            <v>-1701.0380622837367</v>
          </cell>
          <cell r="V56">
            <v>-13158.938268</v>
          </cell>
          <cell r="W56">
            <v>-608.52173199999993</v>
          </cell>
          <cell r="X56">
            <v>-13767.46</v>
          </cell>
          <cell r="Z56">
            <v>-13840.830449826988</v>
          </cell>
          <cell r="AA56">
            <v>-12139.792387543252</v>
          </cell>
          <cell r="AB56">
            <v>-1701.0380622837367</v>
          </cell>
          <cell r="AC56">
            <v>1236.814758</v>
          </cell>
          <cell r="AD56">
            <v>57.195241999999993</v>
          </cell>
          <cell r="AE56">
            <v>1294.01</v>
          </cell>
          <cell r="AG56">
            <v>-13840.830449826988</v>
          </cell>
          <cell r="AH56">
            <v>-12139.792387543252</v>
          </cell>
          <cell r="AI56">
            <v>-1701.0380622837367</v>
          </cell>
          <cell r="AJ56">
            <v>-15028.091189999999</v>
          </cell>
          <cell r="AK56">
            <v>-694.95880999999986</v>
          </cell>
          <cell r="AL56">
            <v>-15723.05</v>
          </cell>
          <cell r="AN56">
            <v>-13840.830449826988</v>
          </cell>
          <cell r="AO56">
            <v>-12139.792387543252</v>
          </cell>
          <cell r="AP56">
            <v>-1701.0380622837367</v>
          </cell>
          <cell r="AQ56">
            <v>0</v>
          </cell>
          <cell r="AR56">
            <v>0</v>
          </cell>
          <cell r="AS56"/>
          <cell r="AU56">
            <v>-13840.830449826988</v>
          </cell>
          <cell r="AV56">
            <v>-12139.792387543252</v>
          </cell>
          <cell r="AW56">
            <v>-1701.0380622837367</v>
          </cell>
          <cell r="AX56">
            <v>0</v>
          </cell>
          <cell r="AY56">
            <v>0</v>
          </cell>
          <cell r="AZ56"/>
          <cell r="BB56">
            <v>-13840.830449826988</v>
          </cell>
          <cell r="BC56">
            <v>-12139.792387543252</v>
          </cell>
          <cell r="BD56">
            <v>-1701.0380622837367</v>
          </cell>
          <cell r="BE56">
            <v>0</v>
          </cell>
          <cell r="BF56">
            <v>0</v>
          </cell>
          <cell r="BG56"/>
          <cell r="BI56">
            <v>-13840.830449826988</v>
          </cell>
          <cell r="BJ56">
            <v>-12139.792387543252</v>
          </cell>
          <cell r="BK56">
            <v>-1701.0380622837367</v>
          </cell>
          <cell r="BL56">
            <v>0</v>
          </cell>
          <cell r="BM56">
            <v>0</v>
          </cell>
          <cell r="BN56"/>
          <cell r="BP56">
            <v>-13840.830449826988</v>
          </cell>
          <cell r="BQ56">
            <v>-12139.792387543252</v>
          </cell>
          <cell r="BR56">
            <v>-1701.0380622837367</v>
          </cell>
          <cell r="BS56">
            <v>0</v>
          </cell>
          <cell r="BT56">
            <v>0</v>
          </cell>
          <cell r="BU56"/>
          <cell r="BW56">
            <v>-13840.830449826988</v>
          </cell>
          <cell r="BX56">
            <v>-12139.792387543252</v>
          </cell>
          <cell r="BY56">
            <v>-1701.0380622837367</v>
          </cell>
          <cell r="BZ56">
            <v>0</v>
          </cell>
          <cell r="CA56">
            <v>0</v>
          </cell>
          <cell r="CB56"/>
          <cell r="CD56">
            <v>-13840.830449826988</v>
          </cell>
          <cell r="CE56">
            <v>-12139.792387543252</v>
          </cell>
          <cell r="CF56">
            <v>-1701.0380622837367</v>
          </cell>
          <cell r="CG56">
            <v>0</v>
          </cell>
          <cell r="CH56">
            <v>0</v>
          </cell>
          <cell r="CI56"/>
          <cell r="CK56">
            <v>-13840.830449826988</v>
          </cell>
          <cell r="CL56">
            <v>-12139.792387543252</v>
          </cell>
          <cell r="CM56">
            <v>-1701.0380622837367</v>
          </cell>
          <cell r="CN56">
            <v>0</v>
          </cell>
          <cell r="CO56">
            <v>0</v>
          </cell>
          <cell r="CP56"/>
        </row>
        <row r="57">
          <cell r="L57">
            <v>-4613.6101499423303</v>
          </cell>
          <cell r="M57">
            <v>-4046.5974625144181</v>
          </cell>
          <cell r="N57">
            <v>-567.0126874279124</v>
          </cell>
          <cell r="O57">
            <v>-17386.967357999998</v>
          </cell>
          <cell r="P57">
            <v>-804.04264199999989</v>
          </cell>
          <cell r="Q57">
            <v>-18191.009999999998</v>
          </cell>
          <cell r="S57">
            <v>-4613.6101499423303</v>
          </cell>
          <cell r="T57">
            <v>-4046.5974625144181</v>
          </cell>
          <cell r="U57">
            <v>-567.0126874279124</v>
          </cell>
          <cell r="V57">
            <v>-2568.9418919999998</v>
          </cell>
          <cell r="W57">
            <v>-118.79810799999998</v>
          </cell>
          <cell r="X57">
            <v>-2687.74</v>
          </cell>
          <cell r="Z57">
            <v>-4613.6101499423303</v>
          </cell>
          <cell r="AA57">
            <v>-4046.5974625144181</v>
          </cell>
          <cell r="AB57">
            <v>-567.0126874279124</v>
          </cell>
          <cell r="AC57">
            <v>-11294.812854</v>
          </cell>
          <cell r="AD57">
            <v>-522.31714599999987</v>
          </cell>
          <cell r="AE57">
            <v>-11817.13</v>
          </cell>
          <cell r="AG57">
            <v>-4613.6101499423303</v>
          </cell>
          <cell r="AH57">
            <v>-4046.5974625144181</v>
          </cell>
          <cell r="AI57">
            <v>-567.0126874279124</v>
          </cell>
          <cell r="AJ57">
            <v>0</v>
          </cell>
          <cell r="AK57">
            <v>0</v>
          </cell>
          <cell r="AL57"/>
          <cell r="AN57">
            <v>-4613.6101499423303</v>
          </cell>
          <cell r="AO57">
            <v>-4046.5974625144181</v>
          </cell>
          <cell r="AP57">
            <v>-567.0126874279124</v>
          </cell>
          <cell r="AQ57">
            <v>0</v>
          </cell>
          <cell r="AR57">
            <v>0</v>
          </cell>
          <cell r="AS57"/>
          <cell r="AU57">
            <v>-4613.6101499423303</v>
          </cell>
          <cell r="AV57">
            <v>-4046.5974625144181</v>
          </cell>
          <cell r="AW57">
            <v>-567.0126874279124</v>
          </cell>
          <cell r="AX57">
            <v>0</v>
          </cell>
          <cell r="AY57">
            <v>0</v>
          </cell>
          <cell r="AZ57"/>
          <cell r="BB57">
            <v>-4613.6101499423303</v>
          </cell>
          <cell r="BC57">
            <v>-4046.5974625144181</v>
          </cell>
          <cell r="BD57">
            <v>-567.0126874279124</v>
          </cell>
          <cell r="BE57">
            <v>0</v>
          </cell>
          <cell r="BF57">
            <v>0</v>
          </cell>
          <cell r="BG57"/>
          <cell r="BI57">
            <v>-4613.6101499423303</v>
          </cell>
          <cell r="BJ57">
            <v>-4046.5974625144181</v>
          </cell>
          <cell r="BK57">
            <v>-567.0126874279124</v>
          </cell>
          <cell r="BL57">
            <v>0</v>
          </cell>
          <cell r="BM57">
            <v>0</v>
          </cell>
          <cell r="BN57"/>
          <cell r="BP57">
            <v>-4613.6101499423303</v>
          </cell>
          <cell r="BQ57">
            <v>-4046.5974625144181</v>
          </cell>
          <cell r="BR57">
            <v>-567.0126874279124</v>
          </cell>
          <cell r="BS57">
            <v>0</v>
          </cell>
          <cell r="BT57">
            <v>0</v>
          </cell>
          <cell r="BU57"/>
          <cell r="BW57">
            <v>-4613.6101499423303</v>
          </cell>
          <cell r="BX57">
            <v>-4046.5974625144181</v>
          </cell>
          <cell r="BY57">
            <v>-567.0126874279124</v>
          </cell>
          <cell r="BZ57">
            <v>0</v>
          </cell>
          <cell r="CA57">
            <v>0</v>
          </cell>
          <cell r="CB57"/>
          <cell r="CD57">
            <v>-4613.6101499423303</v>
          </cell>
          <cell r="CE57">
            <v>-4046.5974625144181</v>
          </cell>
          <cell r="CF57">
            <v>-567.0126874279124</v>
          </cell>
          <cell r="CG57">
            <v>0</v>
          </cell>
          <cell r="CH57">
            <v>0</v>
          </cell>
          <cell r="CI57"/>
          <cell r="CK57">
            <v>-4613.6101499423303</v>
          </cell>
          <cell r="CL57">
            <v>-4046.5974625144181</v>
          </cell>
          <cell r="CM57">
            <v>-567.0126874279124</v>
          </cell>
          <cell r="CN57">
            <v>0</v>
          </cell>
          <cell r="CO57">
            <v>0</v>
          </cell>
          <cell r="CP57"/>
        </row>
      </sheetData>
      <sheetData sheetId="14"/>
      <sheetData sheetId="15">
        <row r="3">
          <cell r="CY3" t="str">
            <v>DEZ.23</v>
          </cell>
        </row>
        <row r="4">
          <cell r="L4">
            <v>90865.336032000007</v>
          </cell>
          <cell r="M4">
            <v>79697.986233667209</v>
          </cell>
          <cell r="N4">
            <v>11167.3497983328</v>
          </cell>
          <cell r="O4">
            <v>70582.059995999982</v>
          </cell>
          <cell r="P4">
            <v>2078.0800039999995</v>
          </cell>
          <cell r="Q4">
            <v>72660.139999999985</v>
          </cell>
          <cell r="S4">
            <v>139449.33603200002</v>
          </cell>
          <cell r="T4">
            <v>122311.01263366721</v>
          </cell>
          <cell r="U4">
            <v>17138.323398332803</v>
          </cell>
          <cell r="V4">
            <v>75801.848754000021</v>
          </cell>
          <cell r="W4">
            <v>2231.7612460000005</v>
          </cell>
          <cell r="X4">
            <v>78033.610000000015</v>
          </cell>
          <cell r="Z4">
            <v>90865.336032000007</v>
          </cell>
          <cell r="AA4">
            <v>79697.986233667209</v>
          </cell>
          <cell r="AB4">
            <v>11167.3497983328</v>
          </cell>
          <cell r="AC4">
            <v>72676.825811999995</v>
          </cell>
          <cell r="AD4">
            <v>2139.7541879999999</v>
          </cell>
          <cell r="AE4">
            <v>74816.58</v>
          </cell>
          <cell r="AG4">
            <v>90865.336032000007</v>
          </cell>
          <cell r="AH4">
            <v>79697.986233667209</v>
          </cell>
          <cell r="AI4">
            <v>11167.3497983328</v>
          </cell>
          <cell r="AJ4">
            <v>136506.742692</v>
          </cell>
          <cell r="AK4">
            <v>4019.0373079999999</v>
          </cell>
          <cell r="AL4">
            <v>140525.78</v>
          </cell>
          <cell r="AN4">
            <v>90865.336032000007</v>
          </cell>
          <cell r="AO4">
            <v>79697.986233667209</v>
          </cell>
          <cell r="AP4">
            <v>11167.3497983328</v>
          </cell>
          <cell r="AQ4">
            <v>0</v>
          </cell>
          <cell r="AR4">
            <v>0</v>
          </cell>
          <cell r="AS4"/>
          <cell r="AU4">
            <v>90865.336032000007</v>
          </cell>
          <cell r="AV4">
            <v>79697.986233667209</v>
          </cell>
          <cell r="AW4">
            <v>11167.3497983328</v>
          </cell>
          <cell r="AX4">
            <v>0</v>
          </cell>
          <cell r="AY4">
            <v>0</v>
          </cell>
          <cell r="AZ4"/>
          <cell r="BB4">
            <v>90865.336032000007</v>
          </cell>
          <cell r="BC4">
            <v>79697.986233667209</v>
          </cell>
          <cell r="BD4">
            <v>11167.3497983328</v>
          </cell>
          <cell r="BE4">
            <v>0</v>
          </cell>
          <cell r="BF4">
            <v>0</v>
          </cell>
          <cell r="BG4"/>
          <cell r="BI4">
            <v>98134.562914560011</v>
          </cell>
          <cell r="BJ4">
            <v>86073.82513236058</v>
          </cell>
          <cell r="BK4">
            <v>12060.737782199425</v>
          </cell>
          <cell r="BL4">
            <v>0</v>
          </cell>
          <cell r="BM4">
            <v>0</v>
          </cell>
          <cell r="BN4"/>
          <cell r="BP4">
            <v>98134.562914560011</v>
          </cell>
          <cell r="BQ4">
            <v>86073.82513236058</v>
          </cell>
          <cell r="BR4">
            <v>12060.737782199425</v>
          </cell>
          <cell r="BS4">
            <v>0</v>
          </cell>
          <cell r="BT4">
            <v>0</v>
          </cell>
          <cell r="BU4"/>
          <cell r="BW4">
            <v>98134.562914560011</v>
          </cell>
          <cell r="BX4">
            <v>86073.82513236058</v>
          </cell>
          <cell r="BY4">
            <v>12060.737782199425</v>
          </cell>
          <cell r="BZ4">
            <v>0</v>
          </cell>
          <cell r="CA4">
            <v>0</v>
          </cell>
          <cell r="CB4"/>
          <cell r="CD4">
            <v>98134.562914560011</v>
          </cell>
          <cell r="CE4">
            <v>86073.82513236058</v>
          </cell>
          <cell r="CF4">
            <v>12060.737782199425</v>
          </cell>
          <cell r="CG4">
            <v>0</v>
          </cell>
          <cell r="CH4">
            <v>0</v>
          </cell>
          <cell r="CI4"/>
          <cell r="CK4">
            <v>98134.562914560011</v>
          </cell>
          <cell r="CL4">
            <v>86073.82513236058</v>
          </cell>
          <cell r="CM4">
            <v>12060.737782199425</v>
          </cell>
          <cell r="CN4">
            <v>0</v>
          </cell>
          <cell r="CO4">
            <v>0</v>
          </cell>
          <cell r="CP4"/>
        </row>
        <row r="5">
          <cell r="L5">
            <v>2916.6666666666665</v>
          </cell>
          <cell r="M5">
            <v>2558.208333333333</v>
          </cell>
          <cell r="N5">
            <v>358.45833333333331</v>
          </cell>
          <cell r="O5">
            <v>3528.1539420000004</v>
          </cell>
          <cell r="P5">
            <v>103.876058</v>
          </cell>
          <cell r="Q5">
            <v>3632.03</v>
          </cell>
          <cell r="S5">
            <v>2916.6666666666665</v>
          </cell>
          <cell r="T5">
            <v>2558.208333333333</v>
          </cell>
          <cell r="U5">
            <v>358.45833333333331</v>
          </cell>
          <cell r="V5">
            <v>3683.8013640000004</v>
          </cell>
          <cell r="W5">
            <v>108.45863600000001</v>
          </cell>
          <cell r="X5">
            <v>3792.26</v>
          </cell>
          <cell r="Z5">
            <v>2916.6666666666665</v>
          </cell>
          <cell r="AA5">
            <v>2558.208333333333</v>
          </cell>
          <cell r="AB5">
            <v>358.45833333333331</v>
          </cell>
          <cell r="AC5">
            <v>4118.7554280000004</v>
          </cell>
          <cell r="AD5">
            <v>121.26457200000002</v>
          </cell>
          <cell r="AE5">
            <v>4240.0200000000004</v>
          </cell>
          <cell r="AG5">
            <v>2916.6666666666665</v>
          </cell>
          <cell r="AH5">
            <v>2558.208333333333</v>
          </cell>
          <cell r="AI5">
            <v>358.45833333333331</v>
          </cell>
          <cell r="AJ5">
            <v>6657.4121880000002</v>
          </cell>
          <cell r="AK5">
            <v>196.007812</v>
          </cell>
          <cell r="AL5">
            <v>6853.42</v>
          </cell>
          <cell r="AN5">
            <v>2916.6666666666665</v>
          </cell>
          <cell r="AO5">
            <v>2558.208333333333</v>
          </cell>
          <cell r="AP5">
            <v>358.45833333333331</v>
          </cell>
          <cell r="AQ5">
            <v>0</v>
          </cell>
          <cell r="AR5">
            <v>0</v>
          </cell>
          <cell r="AS5"/>
          <cell r="AU5">
            <v>2916.6666666666665</v>
          </cell>
          <cell r="AV5">
            <v>2558.208333333333</v>
          </cell>
          <cell r="AW5">
            <v>358.45833333333331</v>
          </cell>
          <cell r="AX5">
            <v>0</v>
          </cell>
          <cell r="AY5">
            <v>0</v>
          </cell>
          <cell r="AZ5"/>
          <cell r="BB5">
            <v>2916.6666666666665</v>
          </cell>
          <cell r="BC5">
            <v>2558.208333333333</v>
          </cell>
          <cell r="BD5">
            <v>358.45833333333331</v>
          </cell>
          <cell r="BE5">
            <v>0</v>
          </cell>
          <cell r="BF5">
            <v>0</v>
          </cell>
          <cell r="BG5"/>
          <cell r="BI5">
            <v>2916.6666666666665</v>
          </cell>
          <cell r="BJ5">
            <v>2558.208333333333</v>
          </cell>
          <cell r="BK5">
            <v>358.45833333333331</v>
          </cell>
          <cell r="BL5">
            <v>0</v>
          </cell>
          <cell r="BM5">
            <v>0</v>
          </cell>
          <cell r="BN5"/>
          <cell r="BP5">
            <v>2916.6666666666665</v>
          </cell>
          <cell r="BQ5">
            <v>2558.208333333333</v>
          </cell>
          <cell r="BR5">
            <v>358.45833333333331</v>
          </cell>
          <cell r="BS5">
            <v>0</v>
          </cell>
          <cell r="BT5">
            <v>0</v>
          </cell>
          <cell r="BU5"/>
          <cell r="BW5">
            <v>2916.6666666666665</v>
          </cell>
          <cell r="BX5">
            <v>2558.208333333333</v>
          </cell>
          <cell r="BY5">
            <v>358.45833333333331</v>
          </cell>
          <cell r="BZ5">
            <v>0</v>
          </cell>
          <cell r="CA5">
            <v>0</v>
          </cell>
          <cell r="CB5"/>
          <cell r="CD5">
            <v>2916.6666666666665</v>
          </cell>
          <cell r="CE5">
            <v>2558.208333333333</v>
          </cell>
          <cell r="CF5">
            <v>358.45833333333331</v>
          </cell>
          <cell r="CG5">
            <v>0</v>
          </cell>
          <cell r="CH5">
            <v>0</v>
          </cell>
          <cell r="CI5"/>
          <cell r="CK5">
            <v>2916.6666666666665</v>
          </cell>
          <cell r="CL5">
            <v>2558.208333333333</v>
          </cell>
          <cell r="CM5">
            <v>358.45833333333331</v>
          </cell>
          <cell r="CN5">
            <v>0</v>
          </cell>
          <cell r="CO5">
            <v>0</v>
          </cell>
          <cell r="CP5"/>
        </row>
        <row r="6">
          <cell r="L6">
            <v>11205.503656586669</v>
          </cell>
          <cell r="M6">
            <v>9828.3472571921666</v>
          </cell>
          <cell r="N6">
            <v>1377.1563993945015</v>
          </cell>
          <cell r="O6">
            <v>8694.9139739999991</v>
          </cell>
          <cell r="P6">
            <v>255.996026</v>
          </cell>
          <cell r="Q6">
            <v>8950.91</v>
          </cell>
          <cell r="S6">
            <v>11205.503656586669</v>
          </cell>
          <cell r="T6">
            <v>9828.3472571921666</v>
          </cell>
          <cell r="U6">
            <v>1377.1563993945015</v>
          </cell>
          <cell r="V6">
            <v>8702.3063280000006</v>
          </cell>
          <cell r="W6">
            <v>256.21367200000003</v>
          </cell>
          <cell r="X6">
            <v>8958.52</v>
          </cell>
          <cell r="Z6">
            <v>11205.503656586669</v>
          </cell>
          <cell r="AA6">
            <v>9828.3472571921666</v>
          </cell>
          <cell r="AB6">
            <v>1377.1563993945015</v>
          </cell>
          <cell r="AC6">
            <v>9882.9944579999992</v>
          </cell>
          <cell r="AD6">
            <v>290.97554199999996</v>
          </cell>
          <cell r="AE6">
            <v>10173.969999999999</v>
          </cell>
          <cell r="AG6">
            <v>11205.503656586669</v>
          </cell>
          <cell r="AH6">
            <v>9828.3472571921666</v>
          </cell>
          <cell r="AI6">
            <v>1377.1563993945015</v>
          </cell>
          <cell r="AJ6">
            <v>11185.719569999999</v>
          </cell>
          <cell r="AK6">
            <v>329.33042999999998</v>
          </cell>
          <cell r="AL6">
            <v>11515.05</v>
          </cell>
          <cell r="AN6">
            <v>11205.503656586669</v>
          </cell>
          <cell r="AO6">
            <v>9828.3472571921666</v>
          </cell>
          <cell r="AP6">
            <v>1377.1563993945015</v>
          </cell>
          <cell r="AQ6">
            <v>0</v>
          </cell>
          <cell r="AR6">
            <v>0</v>
          </cell>
          <cell r="AS6"/>
          <cell r="AU6">
            <v>11205.503656586669</v>
          </cell>
          <cell r="AV6">
            <v>9828.3472571921666</v>
          </cell>
          <cell r="AW6">
            <v>1377.1563993945015</v>
          </cell>
          <cell r="AX6">
            <v>0</v>
          </cell>
          <cell r="AY6">
            <v>0</v>
          </cell>
          <cell r="AZ6"/>
          <cell r="BB6">
            <v>11205.503656586669</v>
          </cell>
          <cell r="BC6">
            <v>9828.3472571921666</v>
          </cell>
          <cell r="BD6">
            <v>1377.1563993945015</v>
          </cell>
          <cell r="BE6">
            <v>0</v>
          </cell>
          <cell r="BF6">
            <v>0</v>
          </cell>
          <cell r="BG6"/>
          <cell r="BI6">
            <v>12076.230615780269</v>
          </cell>
          <cell r="BJ6">
            <v>10592.061873100874</v>
          </cell>
          <cell r="BK6">
            <v>1484.1687426793949</v>
          </cell>
          <cell r="BL6">
            <v>0</v>
          </cell>
          <cell r="BM6">
            <v>0</v>
          </cell>
          <cell r="BN6"/>
          <cell r="BP6">
            <v>12076.230615780269</v>
          </cell>
          <cell r="BQ6">
            <v>10592.061873100874</v>
          </cell>
          <cell r="BR6">
            <v>1484.1687426793949</v>
          </cell>
          <cell r="BS6">
            <v>0</v>
          </cell>
          <cell r="BT6">
            <v>0</v>
          </cell>
          <cell r="BU6"/>
          <cell r="BW6">
            <v>12076.230615780269</v>
          </cell>
          <cell r="BX6">
            <v>10592.061873100874</v>
          </cell>
          <cell r="BY6">
            <v>1484.1687426793949</v>
          </cell>
          <cell r="BZ6">
            <v>0</v>
          </cell>
          <cell r="CA6">
            <v>0</v>
          </cell>
          <cell r="CB6"/>
          <cell r="CD6">
            <v>12076.230615780269</v>
          </cell>
          <cell r="CE6">
            <v>10592.061873100874</v>
          </cell>
          <cell r="CF6">
            <v>1484.1687426793949</v>
          </cell>
          <cell r="CG6">
            <v>0</v>
          </cell>
          <cell r="CH6">
            <v>0</v>
          </cell>
          <cell r="CI6"/>
          <cell r="CK6">
            <v>12076.230615780269</v>
          </cell>
          <cell r="CL6">
            <v>10592.061873100874</v>
          </cell>
          <cell r="CM6">
            <v>1484.1687426793949</v>
          </cell>
          <cell r="CN6">
            <v>0</v>
          </cell>
          <cell r="CO6">
            <v>0</v>
          </cell>
          <cell r="CP6"/>
        </row>
        <row r="7">
          <cell r="L7">
            <v>8693.925250799999</v>
          </cell>
          <cell r="M7">
            <v>7625.4418374766792</v>
          </cell>
          <cell r="N7">
            <v>1068.4834133233198</v>
          </cell>
          <cell r="O7">
            <v>5920.4887200000003</v>
          </cell>
          <cell r="P7">
            <v>174.31128000000001</v>
          </cell>
          <cell r="Q7">
            <v>6094.8</v>
          </cell>
          <cell r="S7">
            <v>8693.925250799999</v>
          </cell>
          <cell r="T7">
            <v>7625.4418374766792</v>
          </cell>
          <cell r="U7">
            <v>1068.4834133233198</v>
          </cell>
          <cell r="V7">
            <v>5978.3841599999996</v>
          </cell>
          <cell r="W7">
            <v>176.01584</v>
          </cell>
          <cell r="X7">
            <v>6154.4</v>
          </cell>
          <cell r="Z7">
            <v>8693.925250799999</v>
          </cell>
          <cell r="AA7">
            <v>7625.4418374766792</v>
          </cell>
          <cell r="AB7">
            <v>1068.4834133233198</v>
          </cell>
          <cell r="AC7">
            <v>6668.4764340000002</v>
          </cell>
          <cell r="AD7">
            <v>196.33356600000002</v>
          </cell>
          <cell r="AE7">
            <v>6864.81</v>
          </cell>
          <cell r="AG7">
            <v>8693.925250799999</v>
          </cell>
          <cell r="AH7">
            <v>7625.4418374766792</v>
          </cell>
          <cell r="AI7">
            <v>1068.4834133233198</v>
          </cell>
          <cell r="AJ7">
            <v>7528.2528599999996</v>
          </cell>
          <cell r="AK7">
            <v>221.64713999999998</v>
          </cell>
          <cell r="AL7">
            <v>7749.9</v>
          </cell>
          <cell r="AN7">
            <v>8693.925250799999</v>
          </cell>
          <cell r="AO7">
            <v>7625.4418374766792</v>
          </cell>
          <cell r="AP7">
            <v>1068.4834133233198</v>
          </cell>
          <cell r="AQ7">
            <v>0</v>
          </cell>
          <cell r="AR7">
            <v>0</v>
          </cell>
          <cell r="AS7"/>
          <cell r="AU7">
            <v>8693.925250799999</v>
          </cell>
          <cell r="AV7">
            <v>7625.4418374766792</v>
          </cell>
          <cell r="AW7">
            <v>1068.4834133233198</v>
          </cell>
          <cell r="AX7">
            <v>0</v>
          </cell>
          <cell r="AY7">
            <v>0</v>
          </cell>
          <cell r="AZ7"/>
          <cell r="BB7">
            <v>8693.925250799999</v>
          </cell>
          <cell r="BC7">
            <v>7625.4418374766792</v>
          </cell>
          <cell r="BD7">
            <v>1068.4834133233198</v>
          </cell>
          <cell r="BE7">
            <v>0</v>
          </cell>
          <cell r="BF7">
            <v>0</v>
          </cell>
          <cell r="BG7"/>
          <cell r="BI7">
            <v>9369.4892708640018</v>
          </cell>
          <cell r="BJ7">
            <v>8217.9790394748161</v>
          </cell>
          <cell r="BK7">
            <v>1151.5102313891857</v>
          </cell>
          <cell r="BL7">
            <v>0</v>
          </cell>
          <cell r="BM7">
            <v>0</v>
          </cell>
          <cell r="BN7"/>
          <cell r="BP7">
            <v>9369.4892708640018</v>
          </cell>
          <cell r="BQ7">
            <v>8217.9790394748161</v>
          </cell>
          <cell r="BR7">
            <v>1151.5102313891857</v>
          </cell>
          <cell r="BS7">
            <v>0</v>
          </cell>
          <cell r="BT7">
            <v>0</v>
          </cell>
          <cell r="BU7"/>
          <cell r="BW7">
            <v>9369.4892708640018</v>
          </cell>
          <cell r="BX7">
            <v>8217.9790394748161</v>
          </cell>
          <cell r="BY7">
            <v>1151.5102313891857</v>
          </cell>
          <cell r="BZ7">
            <v>0</v>
          </cell>
          <cell r="CA7">
            <v>0</v>
          </cell>
          <cell r="CB7"/>
          <cell r="CD7">
            <v>9369.4892708640018</v>
          </cell>
          <cell r="CE7">
            <v>8217.9790394748161</v>
          </cell>
          <cell r="CF7">
            <v>1151.5102313891857</v>
          </cell>
          <cell r="CG7">
            <v>0</v>
          </cell>
          <cell r="CH7">
            <v>0</v>
          </cell>
          <cell r="CI7"/>
          <cell r="CK7">
            <v>9369.4892708640018</v>
          </cell>
          <cell r="CL7">
            <v>8217.9790394748161</v>
          </cell>
          <cell r="CM7">
            <v>1151.5102313891857</v>
          </cell>
          <cell r="CN7">
            <v>0</v>
          </cell>
          <cell r="CO7">
            <v>0</v>
          </cell>
          <cell r="CP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/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/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/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/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/>
          <cell r="BB8">
            <v>113681.43160605335</v>
          </cell>
          <cell r="BC8">
            <v>99709.983661669394</v>
          </cell>
          <cell r="BD8">
            <v>13971.447944383955</v>
          </cell>
          <cell r="BE8">
            <v>0</v>
          </cell>
          <cell r="BF8">
            <v>0</v>
          </cell>
          <cell r="BG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/>
        </row>
        <row r="9">
          <cell r="L9">
            <v>5450.2268238933348</v>
          </cell>
          <cell r="M9">
            <v>4780.3939472368438</v>
          </cell>
          <cell r="N9">
            <v>669.83287665649084</v>
          </cell>
          <cell r="O9">
            <v>8810.3940060000004</v>
          </cell>
          <cell r="P9">
            <v>259.39599400000003</v>
          </cell>
          <cell r="Q9">
            <v>9069.7900000000009</v>
          </cell>
          <cell r="S9">
            <v>5450.2268238933348</v>
          </cell>
          <cell r="T9">
            <v>4780.3939472368438</v>
          </cell>
          <cell r="U9">
            <v>669.83287665649084</v>
          </cell>
          <cell r="V9">
            <v>2652.0968519999997</v>
          </cell>
          <cell r="W9">
            <v>78.083147999999994</v>
          </cell>
          <cell r="X9">
            <v>2730.18</v>
          </cell>
          <cell r="Z9">
            <v>5450.2268238933348</v>
          </cell>
          <cell r="AA9">
            <v>4780.3939472368438</v>
          </cell>
          <cell r="AB9">
            <v>669.83287665649084</v>
          </cell>
          <cell r="AC9">
            <v>4899.2267580000007</v>
          </cell>
          <cell r="AD9">
            <v>144.24324200000001</v>
          </cell>
          <cell r="AE9">
            <v>5043.47</v>
          </cell>
          <cell r="AG9">
            <v>5450.2268238933348</v>
          </cell>
          <cell r="AH9">
            <v>4780.3939472368438</v>
          </cell>
          <cell r="AI9">
            <v>669.83287665649084</v>
          </cell>
          <cell r="AJ9">
            <v>453.10953000000001</v>
          </cell>
          <cell r="AK9">
            <v>13.34047</v>
          </cell>
          <cell r="AL9">
            <v>466.45</v>
          </cell>
          <cell r="AN9">
            <v>5450.2268238933348</v>
          </cell>
          <cell r="AO9">
            <v>4780.3939472368438</v>
          </cell>
          <cell r="AP9">
            <v>669.83287665649084</v>
          </cell>
          <cell r="AQ9">
            <v>0</v>
          </cell>
          <cell r="AR9">
            <v>0</v>
          </cell>
          <cell r="AS9"/>
          <cell r="AU9">
            <v>5450.2268238933348</v>
          </cell>
          <cell r="AV9">
            <v>4780.3939472368438</v>
          </cell>
          <cell r="AW9">
            <v>669.83287665649084</v>
          </cell>
          <cell r="AX9">
            <v>0</v>
          </cell>
          <cell r="AY9">
            <v>0</v>
          </cell>
          <cell r="AZ9"/>
          <cell r="BB9">
            <v>5450.2268238933348</v>
          </cell>
          <cell r="BC9">
            <v>4780.3939472368438</v>
          </cell>
          <cell r="BD9">
            <v>669.83287665649084</v>
          </cell>
          <cell r="BE9">
            <v>0</v>
          </cell>
          <cell r="BF9">
            <v>0</v>
          </cell>
          <cell r="BG9"/>
          <cell r="BI9">
            <v>5873.7383031381351</v>
          </cell>
          <cell r="BJ9">
            <v>5151.855865682458</v>
          </cell>
          <cell r="BK9">
            <v>721.88243745567672</v>
          </cell>
          <cell r="BL9">
            <v>0</v>
          </cell>
          <cell r="BM9">
            <v>0</v>
          </cell>
          <cell r="BN9"/>
          <cell r="BP9">
            <v>5873.7383031381351</v>
          </cell>
          <cell r="BQ9">
            <v>5151.855865682458</v>
          </cell>
          <cell r="BR9">
            <v>721.88243745567672</v>
          </cell>
          <cell r="BS9">
            <v>0</v>
          </cell>
          <cell r="BT9">
            <v>0</v>
          </cell>
          <cell r="BU9"/>
          <cell r="BW9">
            <v>5873.7383031381351</v>
          </cell>
          <cell r="BX9">
            <v>5151.855865682458</v>
          </cell>
          <cell r="BY9">
            <v>721.88243745567672</v>
          </cell>
          <cell r="BZ9">
            <v>0</v>
          </cell>
          <cell r="CA9">
            <v>0</v>
          </cell>
          <cell r="CB9"/>
          <cell r="CD9">
            <v>5873.7383031381351</v>
          </cell>
          <cell r="CE9">
            <v>5151.855865682458</v>
          </cell>
          <cell r="CF9">
            <v>721.88243745567672</v>
          </cell>
          <cell r="CG9">
            <v>0</v>
          </cell>
          <cell r="CH9">
            <v>0</v>
          </cell>
          <cell r="CI9"/>
          <cell r="CK9">
            <v>5873.7383031381351</v>
          </cell>
          <cell r="CL9">
            <v>5151.855865682458</v>
          </cell>
          <cell r="CM9">
            <v>721.88243745567672</v>
          </cell>
          <cell r="CN9">
            <v>0</v>
          </cell>
          <cell r="CO9">
            <v>0</v>
          </cell>
          <cell r="CP9"/>
        </row>
        <row r="10">
          <cell r="L10">
            <v>5000</v>
          </cell>
          <cell r="M10">
            <v>4385.5</v>
          </cell>
          <cell r="N10">
            <v>614.5</v>
          </cell>
          <cell r="O10">
            <v>0</v>
          </cell>
          <cell r="P10">
            <v>0</v>
          </cell>
          <cell r="Q10"/>
          <cell r="S10">
            <v>5000</v>
          </cell>
          <cell r="T10">
            <v>4385.5</v>
          </cell>
          <cell r="U10">
            <v>614.5</v>
          </cell>
          <cell r="V10">
            <v>0</v>
          </cell>
          <cell r="W10">
            <v>0</v>
          </cell>
          <cell r="X10"/>
          <cell r="Z10">
            <v>5000</v>
          </cell>
          <cell r="AA10">
            <v>4385.5</v>
          </cell>
          <cell r="AB10">
            <v>614.5</v>
          </cell>
          <cell r="AC10">
            <v>2264.0711219999998</v>
          </cell>
          <cell r="AD10">
            <v>66.658878000000001</v>
          </cell>
          <cell r="AE10">
            <v>2330.73</v>
          </cell>
          <cell r="AG10">
            <v>5000</v>
          </cell>
          <cell r="AH10">
            <v>4385.5</v>
          </cell>
          <cell r="AI10">
            <v>614.5</v>
          </cell>
          <cell r="AJ10">
            <v>6119.82</v>
          </cell>
          <cell r="AK10">
            <v>180.18</v>
          </cell>
          <cell r="AL10">
            <v>6300</v>
          </cell>
          <cell r="AN10">
            <v>5000</v>
          </cell>
          <cell r="AO10">
            <v>4385.5</v>
          </cell>
          <cell r="AP10">
            <v>614.5</v>
          </cell>
          <cell r="AQ10">
            <v>0</v>
          </cell>
          <cell r="AR10">
            <v>0</v>
          </cell>
          <cell r="AS10"/>
          <cell r="AU10">
            <v>5000</v>
          </cell>
          <cell r="AV10">
            <v>4385.5</v>
          </cell>
          <cell r="AW10">
            <v>614.5</v>
          </cell>
          <cell r="AX10">
            <v>0</v>
          </cell>
          <cell r="AY10">
            <v>0</v>
          </cell>
          <cell r="AZ10"/>
          <cell r="BB10">
            <v>5000</v>
          </cell>
          <cell r="BC10">
            <v>4385.5</v>
          </cell>
          <cell r="BD10">
            <v>614.5</v>
          </cell>
          <cell r="BE10">
            <v>0</v>
          </cell>
          <cell r="BF10">
            <v>0</v>
          </cell>
          <cell r="BG10"/>
          <cell r="BI10">
            <v>5000</v>
          </cell>
          <cell r="BJ10">
            <v>4385.5</v>
          </cell>
          <cell r="BK10">
            <v>614.5</v>
          </cell>
          <cell r="BL10">
            <v>0</v>
          </cell>
          <cell r="BM10">
            <v>0</v>
          </cell>
          <cell r="BN10"/>
          <cell r="BP10">
            <v>5000</v>
          </cell>
          <cell r="BQ10">
            <v>4385.5</v>
          </cell>
          <cell r="BR10">
            <v>614.5</v>
          </cell>
          <cell r="BS10">
            <v>0</v>
          </cell>
          <cell r="BT10">
            <v>0</v>
          </cell>
          <cell r="BU10"/>
          <cell r="BW10">
            <v>5000</v>
          </cell>
          <cell r="BX10">
            <v>4385.5</v>
          </cell>
          <cell r="BY10">
            <v>614.5</v>
          </cell>
          <cell r="BZ10">
            <v>0</v>
          </cell>
          <cell r="CA10">
            <v>0</v>
          </cell>
          <cell r="CB10"/>
          <cell r="CD10">
            <v>5000</v>
          </cell>
          <cell r="CE10">
            <v>4385.5</v>
          </cell>
          <cell r="CF10">
            <v>614.5</v>
          </cell>
          <cell r="CG10">
            <v>0</v>
          </cell>
          <cell r="CH10">
            <v>0</v>
          </cell>
          <cell r="CI10"/>
          <cell r="CK10">
            <v>5000</v>
          </cell>
          <cell r="CL10">
            <v>4385.5</v>
          </cell>
          <cell r="CM10">
            <v>614.5</v>
          </cell>
          <cell r="CN10">
            <v>0</v>
          </cell>
          <cell r="CO10">
            <v>0</v>
          </cell>
          <cell r="CP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/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/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/>
          <cell r="AG11">
            <v>0</v>
          </cell>
          <cell r="AH11">
            <v>0</v>
          </cell>
          <cell r="AI11">
            <v>0</v>
          </cell>
          <cell r="AJ11">
            <v>11624.024964</v>
          </cell>
          <cell r="AK11">
            <v>342.23503600000004</v>
          </cell>
          <cell r="AL11">
            <v>11966.26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/>
        </row>
        <row r="12">
          <cell r="L12">
            <v>3105</v>
          </cell>
          <cell r="M12">
            <v>2723.3955000000001</v>
          </cell>
          <cell r="N12">
            <v>381.60449999999997</v>
          </cell>
          <cell r="O12">
            <v>2812.1058600000001</v>
          </cell>
          <cell r="P12">
            <v>82.794139999999999</v>
          </cell>
          <cell r="Q12">
            <v>2894.9</v>
          </cell>
          <cell r="S12">
            <v>3105</v>
          </cell>
          <cell r="T12">
            <v>2723.3955000000001</v>
          </cell>
          <cell r="U12">
            <v>381.60449999999997</v>
          </cell>
          <cell r="V12">
            <v>0</v>
          </cell>
          <cell r="W12">
            <v>0</v>
          </cell>
          <cell r="X12"/>
          <cell r="Z12">
            <v>3105</v>
          </cell>
          <cell r="AA12">
            <v>2723.3955000000001</v>
          </cell>
          <cell r="AB12">
            <v>381.60449999999997</v>
          </cell>
          <cell r="AC12">
            <v>3014.0113499999998</v>
          </cell>
          <cell r="AD12">
            <v>88.738650000000007</v>
          </cell>
          <cell r="AE12">
            <v>3102.75</v>
          </cell>
          <cell r="AG12">
            <v>3105</v>
          </cell>
          <cell r="AH12">
            <v>2723.3955000000001</v>
          </cell>
          <cell r="AI12">
            <v>381.60449999999997</v>
          </cell>
          <cell r="AJ12">
            <v>3014.0113499999998</v>
          </cell>
          <cell r="AK12">
            <v>88.738650000000007</v>
          </cell>
          <cell r="AL12">
            <v>3102.75</v>
          </cell>
          <cell r="AN12">
            <v>3105</v>
          </cell>
          <cell r="AO12">
            <v>2723.3955000000001</v>
          </cell>
          <cell r="AP12">
            <v>381.60449999999997</v>
          </cell>
          <cell r="AQ12">
            <v>0</v>
          </cell>
          <cell r="AR12">
            <v>0</v>
          </cell>
          <cell r="AS12"/>
          <cell r="AU12">
            <v>3105</v>
          </cell>
          <cell r="AV12">
            <v>2723.3955000000001</v>
          </cell>
          <cell r="AW12">
            <v>381.60449999999997</v>
          </cell>
          <cell r="AX12">
            <v>0</v>
          </cell>
          <cell r="AY12">
            <v>0</v>
          </cell>
          <cell r="AZ12"/>
          <cell r="BB12">
            <v>3105</v>
          </cell>
          <cell r="BC12">
            <v>2723.3955000000001</v>
          </cell>
          <cell r="BD12">
            <v>381.60449999999997</v>
          </cell>
          <cell r="BE12">
            <v>0</v>
          </cell>
          <cell r="BF12">
            <v>0</v>
          </cell>
          <cell r="BG12"/>
          <cell r="BI12">
            <v>3105</v>
          </cell>
          <cell r="BJ12">
            <v>2723.3955000000001</v>
          </cell>
          <cell r="BK12">
            <v>381.60449999999997</v>
          </cell>
          <cell r="BL12">
            <v>0</v>
          </cell>
          <cell r="BM12">
            <v>0</v>
          </cell>
          <cell r="BN12"/>
          <cell r="BP12">
            <v>3105</v>
          </cell>
          <cell r="BQ12">
            <v>2723.3955000000001</v>
          </cell>
          <cell r="BR12">
            <v>381.60449999999997</v>
          </cell>
          <cell r="BS12">
            <v>0</v>
          </cell>
          <cell r="BT12">
            <v>0</v>
          </cell>
          <cell r="BU12"/>
          <cell r="BW12">
            <v>3105</v>
          </cell>
          <cell r="BX12">
            <v>2723.3955000000001</v>
          </cell>
          <cell r="BY12">
            <v>381.60449999999997</v>
          </cell>
          <cell r="BZ12">
            <v>0</v>
          </cell>
          <cell r="CA12">
            <v>0</v>
          </cell>
          <cell r="CB12"/>
          <cell r="CD12">
            <v>3105</v>
          </cell>
          <cell r="CE12">
            <v>2723.3955000000001</v>
          </cell>
          <cell r="CF12">
            <v>381.60449999999997</v>
          </cell>
          <cell r="CG12">
            <v>0</v>
          </cell>
          <cell r="CH12">
            <v>0</v>
          </cell>
          <cell r="CI12"/>
          <cell r="CK12">
            <v>3105</v>
          </cell>
          <cell r="CL12">
            <v>2723.3955000000001</v>
          </cell>
          <cell r="CM12">
            <v>381.60449999999997</v>
          </cell>
          <cell r="CN12">
            <v>0</v>
          </cell>
          <cell r="CO12">
            <v>0</v>
          </cell>
          <cell r="CP12"/>
        </row>
        <row r="13">
          <cell r="L13">
            <v>500</v>
          </cell>
          <cell r="M13">
            <v>438.55</v>
          </cell>
          <cell r="N13">
            <v>61.449999999999996</v>
          </cell>
          <cell r="O13">
            <v>0</v>
          </cell>
          <cell r="P13">
            <v>0</v>
          </cell>
          <cell r="Q13"/>
          <cell r="S13">
            <v>500</v>
          </cell>
          <cell r="T13">
            <v>438.55</v>
          </cell>
          <cell r="U13">
            <v>61.449999999999996</v>
          </cell>
          <cell r="V13">
            <v>0</v>
          </cell>
          <cell r="W13">
            <v>0</v>
          </cell>
          <cell r="X13"/>
          <cell r="Z13">
            <v>500</v>
          </cell>
          <cell r="AA13">
            <v>438.55</v>
          </cell>
          <cell r="AB13">
            <v>61.449999999999996</v>
          </cell>
          <cell r="AC13">
            <v>0</v>
          </cell>
          <cell r="AD13">
            <v>0</v>
          </cell>
          <cell r="AE13"/>
          <cell r="AG13">
            <v>500</v>
          </cell>
          <cell r="AH13">
            <v>438.55</v>
          </cell>
          <cell r="AI13">
            <v>61.449999999999996</v>
          </cell>
          <cell r="AJ13">
            <v>0</v>
          </cell>
          <cell r="AK13">
            <v>0</v>
          </cell>
          <cell r="AL13"/>
          <cell r="AN13">
            <v>500</v>
          </cell>
          <cell r="AO13">
            <v>438.55</v>
          </cell>
          <cell r="AP13">
            <v>61.449999999999996</v>
          </cell>
          <cell r="AQ13">
            <v>0</v>
          </cell>
          <cell r="AR13">
            <v>0</v>
          </cell>
          <cell r="AS13"/>
          <cell r="AU13">
            <v>500</v>
          </cell>
          <cell r="AV13">
            <v>438.55</v>
          </cell>
          <cell r="AW13">
            <v>61.449999999999996</v>
          </cell>
          <cell r="AX13">
            <v>0</v>
          </cell>
          <cell r="AY13">
            <v>0</v>
          </cell>
          <cell r="AZ13"/>
          <cell r="BB13">
            <v>500</v>
          </cell>
          <cell r="BC13">
            <v>438.55</v>
          </cell>
          <cell r="BD13">
            <v>61.449999999999996</v>
          </cell>
          <cell r="BE13">
            <v>0</v>
          </cell>
          <cell r="BF13">
            <v>0</v>
          </cell>
          <cell r="BG13"/>
          <cell r="BI13">
            <v>500</v>
          </cell>
          <cell r="BJ13">
            <v>438.55</v>
          </cell>
          <cell r="BK13">
            <v>61.449999999999996</v>
          </cell>
          <cell r="BL13">
            <v>0</v>
          </cell>
          <cell r="BM13">
            <v>0</v>
          </cell>
          <cell r="BN13"/>
          <cell r="BP13">
            <v>500</v>
          </cell>
          <cell r="BQ13">
            <v>438.55</v>
          </cell>
          <cell r="BR13">
            <v>61.449999999999996</v>
          </cell>
          <cell r="BS13">
            <v>0</v>
          </cell>
          <cell r="BT13">
            <v>0</v>
          </cell>
          <cell r="BU13"/>
          <cell r="BW13">
            <v>500</v>
          </cell>
          <cell r="BX13">
            <v>438.55</v>
          </cell>
          <cell r="BY13">
            <v>61.449999999999996</v>
          </cell>
          <cell r="BZ13">
            <v>0</v>
          </cell>
          <cell r="CA13">
            <v>0</v>
          </cell>
          <cell r="CB13"/>
          <cell r="CD13">
            <v>500</v>
          </cell>
          <cell r="CE13">
            <v>438.55</v>
          </cell>
          <cell r="CF13">
            <v>61.449999999999996</v>
          </cell>
          <cell r="CG13">
            <v>0</v>
          </cell>
          <cell r="CH13">
            <v>0</v>
          </cell>
          <cell r="CI13"/>
          <cell r="CK13">
            <v>500</v>
          </cell>
          <cell r="CL13">
            <v>438.55</v>
          </cell>
          <cell r="CM13">
            <v>61.449999999999996</v>
          </cell>
          <cell r="CN13">
            <v>0</v>
          </cell>
          <cell r="CO13">
            <v>0</v>
          </cell>
          <cell r="CP13"/>
        </row>
        <row r="14">
          <cell r="L14">
            <v>6661.82</v>
          </cell>
          <cell r="M14">
            <v>5843.0823220000002</v>
          </cell>
          <cell r="N14">
            <v>818.73767799999996</v>
          </cell>
          <cell r="O14">
            <v>3534.9148859999996</v>
          </cell>
          <cell r="P14">
            <v>104.075114</v>
          </cell>
          <cell r="Q14">
            <v>3638.99</v>
          </cell>
          <cell r="S14">
            <v>6661.82</v>
          </cell>
          <cell r="T14">
            <v>5843.0823220000002</v>
          </cell>
          <cell r="U14">
            <v>818.73767799999996</v>
          </cell>
          <cell r="V14">
            <v>11527.205526</v>
          </cell>
          <cell r="W14">
            <v>339.38447400000001</v>
          </cell>
          <cell r="X14">
            <v>11866.59</v>
          </cell>
          <cell r="Z14">
            <v>6661.82</v>
          </cell>
          <cell r="AA14">
            <v>5843.0823220000002</v>
          </cell>
          <cell r="AB14">
            <v>818.73767799999996</v>
          </cell>
          <cell r="AC14">
            <v>4336.7084460000005</v>
          </cell>
          <cell r="AD14">
            <v>127.68155400000001</v>
          </cell>
          <cell r="AE14">
            <v>4464.3900000000003</v>
          </cell>
          <cell r="AG14">
            <v>6661.82</v>
          </cell>
          <cell r="AH14">
            <v>5843.0823220000002</v>
          </cell>
          <cell r="AI14">
            <v>818.73767799999996</v>
          </cell>
          <cell r="AJ14">
            <v>3948.6924299999996</v>
          </cell>
          <cell r="AK14">
            <v>116.25757</v>
          </cell>
          <cell r="AL14">
            <v>4064.95</v>
          </cell>
          <cell r="AN14">
            <v>6661.82</v>
          </cell>
          <cell r="AO14">
            <v>5843.0823220000002</v>
          </cell>
          <cell r="AP14">
            <v>818.73767799999996</v>
          </cell>
          <cell r="AQ14">
            <v>0</v>
          </cell>
          <cell r="AR14">
            <v>0</v>
          </cell>
          <cell r="AS14"/>
          <cell r="AU14">
            <v>6661.82</v>
          </cell>
          <cell r="AV14">
            <v>5843.0823220000002</v>
          </cell>
          <cell r="AW14">
            <v>818.73767799999996</v>
          </cell>
          <cell r="AX14">
            <v>0</v>
          </cell>
          <cell r="AY14">
            <v>0</v>
          </cell>
          <cell r="AZ14"/>
          <cell r="BB14">
            <v>6661.82</v>
          </cell>
          <cell r="BC14">
            <v>5843.0823220000002</v>
          </cell>
          <cell r="BD14">
            <v>818.73767799999996</v>
          </cell>
          <cell r="BE14">
            <v>0</v>
          </cell>
          <cell r="BF14">
            <v>0</v>
          </cell>
          <cell r="BG14"/>
          <cell r="BI14">
            <v>6661.82</v>
          </cell>
          <cell r="BJ14">
            <v>5843.0823220000002</v>
          </cell>
          <cell r="BK14">
            <v>818.73767799999996</v>
          </cell>
          <cell r="BL14">
            <v>0</v>
          </cell>
          <cell r="BM14">
            <v>0</v>
          </cell>
          <cell r="BN14"/>
          <cell r="BP14">
            <v>6661.82</v>
          </cell>
          <cell r="BQ14">
            <v>5843.0823220000002</v>
          </cell>
          <cell r="BR14">
            <v>818.73767799999996</v>
          </cell>
          <cell r="BS14">
            <v>0</v>
          </cell>
          <cell r="BT14">
            <v>0</v>
          </cell>
          <cell r="BU14"/>
          <cell r="BW14">
            <v>6661.82</v>
          </cell>
          <cell r="BX14">
            <v>5843.0823220000002</v>
          </cell>
          <cell r="BY14">
            <v>818.73767799999996</v>
          </cell>
          <cell r="BZ14">
            <v>0</v>
          </cell>
          <cell r="CA14">
            <v>0</v>
          </cell>
          <cell r="CB14"/>
          <cell r="CD14">
            <v>6661.82</v>
          </cell>
          <cell r="CE14">
            <v>5843.0823220000002</v>
          </cell>
          <cell r="CF14">
            <v>818.73767799999996</v>
          </cell>
          <cell r="CG14">
            <v>0</v>
          </cell>
          <cell r="CH14">
            <v>0</v>
          </cell>
          <cell r="CI14"/>
          <cell r="CK14">
            <v>6661.82</v>
          </cell>
          <cell r="CL14">
            <v>5843.0823220000002</v>
          </cell>
          <cell r="CM14">
            <v>818.73767799999996</v>
          </cell>
          <cell r="CN14">
            <v>0</v>
          </cell>
          <cell r="CO14">
            <v>0</v>
          </cell>
          <cell r="CP14"/>
        </row>
        <row r="15">
          <cell r="L15">
            <v>10575</v>
          </cell>
          <cell r="M15">
            <v>9275.3325000000004</v>
          </cell>
          <cell r="N15">
            <v>1299.6675</v>
          </cell>
          <cell r="O15">
            <v>9203.8207200000015</v>
          </cell>
          <cell r="P15">
            <v>270.97928000000002</v>
          </cell>
          <cell r="Q15">
            <v>9474.8000000000011</v>
          </cell>
          <cell r="S15">
            <v>10575</v>
          </cell>
          <cell r="T15">
            <v>9275.3325000000004</v>
          </cell>
          <cell r="U15">
            <v>1299.6675</v>
          </cell>
          <cell r="V15">
            <v>9169.4234460000134</v>
          </cell>
          <cell r="W15">
            <v>269.96655400000043</v>
          </cell>
          <cell r="X15">
            <v>9439.390000000014</v>
          </cell>
          <cell r="Z15">
            <v>10575</v>
          </cell>
          <cell r="AA15">
            <v>9275.3325000000004</v>
          </cell>
          <cell r="AB15">
            <v>1299.6675</v>
          </cell>
          <cell r="AC15">
            <v>12721.386402</v>
          </cell>
          <cell r="AD15">
            <v>374.54359800000003</v>
          </cell>
          <cell r="AE15">
            <v>13095.93</v>
          </cell>
          <cell r="AG15">
            <v>10575</v>
          </cell>
          <cell r="AH15">
            <v>9275.3325000000004</v>
          </cell>
          <cell r="AI15">
            <v>1299.6675</v>
          </cell>
          <cell r="AJ15">
            <v>16214.501946</v>
          </cell>
          <cell r="AK15">
            <v>477.38805400000001</v>
          </cell>
          <cell r="AL15">
            <v>16691.89</v>
          </cell>
          <cell r="AN15">
            <v>10575</v>
          </cell>
          <cell r="AO15">
            <v>9275.3325000000004</v>
          </cell>
          <cell r="AP15">
            <v>1299.6675</v>
          </cell>
          <cell r="AQ15">
            <v>0</v>
          </cell>
          <cell r="AR15">
            <v>0</v>
          </cell>
          <cell r="AS15"/>
          <cell r="AU15">
            <v>10575</v>
          </cell>
          <cell r="AV15">
            <v>9275.3325000000004</v>
          </cell>
          <cell r="AW15">
            <v>1299.6675</v>
          </cell>
          <cell r="AX15">
            <v>0</v>
          </cell>
          <cell r="AY15">
            <v>0</v>
          </cell>
          <cell r="AZ15"/>
          <cell r="BB15">
            <v>11400</v>
          </cell>
          <cell r="BC15">
            <v>9998.94</v>
          </cell>
          <cell r="BD15">
            <v>1401.06</v>
          </cell>
          <cell r="BE15">
            <v>0</v>
          </cell>
          <cell r="BF15">
            <v>0</v>
          </cell>
          <cell r="BG15"/>
          <cell r="BI15">
            <v>10575</v>
          </cell>
          <cell r="BJ15">
            <v>9275.3325000000004</v>
          </cell>
          <cell r="BK15">
            <v>1299.6675</v>
          </cell>
          <cell r="BL15">
            <v>0</v>
          </cell>
          <cell r="BM15">
            <v>0</v>
          </cell>
          <cell r="BN15"/>
          <cell r="BP15">
            <v>10575</v>
          </cell>
          <cell r="BQ15">
            <v>9275.3325000000004</v>
          </cell>
          <cell r="BR15">
            <v>1299.6675</v>
          </cell>
          <cell r="BS15">
            <v>0</v>
          </cell>
          <cell r="BT15">
            <v>0</v>
          </cell>
          <cell r="BU15"/>
          <cell r="BW15">
            <v>10575</v>
          </cell>
          <cell r="BX15">
            <v>9275.3325000000004</v>
          </cell>
          <cell r="BY15">
            <v>1299.6675</v>
          </cell>
          <cell r="BZ15">
            <v>0</v>
          </cell>
          <cell r="CA15">
            <v>0</v>
          </cell>
          <cell r="CB15"/>
          <cell r="CD15">
            <v>10575</v>
          </cell>
          <cell r="CE15">
            <v>9275.3325000000004</v>
          </cell>
          <cell r="CF15">
            <v>1299.6675</v>
          </cell>
          <cell r="CG15">
            <v>0</v>
          </cell>
          <cell r="CH15">
            <v>0</v>
          </cell>
          <cell r="CI15"/>
          <cell r="CK15">
            <v>10575</v>
          </cell>
          <cell r="CL15">
            <v>9275.3325000000004</v>
          </cell>
          <cell r="CM15">
            <v>1299.6675</v>
          </cell>
          <cell r="CN15">
            <v>0</v>
          </cell>
          <cell r="CO15">
            <v>0</v>
          </cell>
          <cell r="CP15"/>
        </row>
        <row r="16">
          <cell r="L16">
            <v>2708.3333333333335</v>
          </cell>
          <cell r="M16">
            <v>2375.479166666667</v>
          </cell>
          <cell r="N16">
            <v>332.85416666666669</v>
          </cell>
          <cell r="O16">
            <v>3457.9314359999998</v>
          </cell>
          <cell r="P16">
            <v>101.80856399999999</v>
          </cell>
          <cell r="Q16">
            <v>3559.74</v>
          </cell>
          <cell r="S16">
            <v>2708.3333333333335</v>
          </cell>
          <cell r="T16">
            <v>2375.479166666667</v>
          </cell>
          <cell r="U16">
            <v>332.85416666666669</v>
          </cell>
          <cell r="V16">
            <v>2381.1928200000002</v>
          </cell>
          <cell r="W16">
            <v>70.10718</v>
          </cell>
          <cell r="X16">
            <v>2451.3000000000002</v>
          </cell>
          <cell r="Z16">
            <v>2708.3333333333335</v>
          </cell>
          <cell r="AA16">
            <v>2375.479166666667</v>
          </cell>
          <cell r="AB16">
            <v>332.85416666666669</v>
          </cell>
          <cell r="AC16">
            <v>6453.0101999999997</v>
          </cell>
          <cell r="AD16">
            <v>189.9898</v>
          </cell>
          <cell r="AE16">
            <v>6643</v>
          </cell>
          <cell r="AG16">
            <v>2708.3333333333335</v>
          </cell>
          <cell r="AH16">
            <v>2375.479166666667</v>
          </cell>
          <cell r="AI16">
            <v>332.85416666666669</v>
          </cell>
          <cell r="AJ16">
            <v>3213.4786260000001</v>
          </cell>
          <cell r="AK16">
            <v>94.611374000000012</v>
          </cell>
          <cell r="AL16">
            <v>3308.09</v>
          </cell>
          <cell r="AN16">
            <v>2708.3333333333335</v>
          </cell>
          <cell r="AO16">
            <v>2375.479166666667</v>
          </cell>
          <cell r="AP16">
            <v>332.85416666666669</v>
          </cell>
          <cell r="AQ16">
            <v>0</v>
          </cell>
          <cell r="AR16">
            <v>0</v>
          </cell>
          <cell r="AS16"/>
          <cell r="AU16">
            <v>2708.3333333333335</v>
          </cell>
          <cell r="AV16">
            <v>2375.479166666667</v>
          </cell>
          <cell r="AW16">
            <v>332.85416666666669</v>
          </cell>
          <cell r="AX16">
            <v>0</v>
          </cell>
          <cell r="AY16">
            <v>0</v>
          </cell>
          <cell r="AZ16"/>
          <cell r="BB16">
            <v>2708.3333333333335</v>
          </cell>
          <cell r="BC16">
            <v>2375.479166666667</v>
          </cell>
          <cell r="BD16">
            <v>332.85416666666669</v>
          </cell>
          <cell r="BE16">
            <v>0</v>
          </cell>
          <cell r="BF16">
            <v>0</v>
          </cell>
          <cell r="BG16"/>
          <cell r="BI16">
            <v>2708.3333333333335</v>
          </cell>
          <cell r="BJ16">
            <v>2375.479166666667</v>
          </cell>
          <cell r="BK16">
            <v>332.85416666666669</v>
          </cell>
          <cell r="BL16">
            <v>0</v>
          </cell>
          <cell r="BM16">
            <v>0</v>
          </cell>
          <cell r="BN16"/>
          <cell r="BP16">
            <v>2708.3333333333335</v>
          </cell>
          <cell r="BQ16">
            <v>2375.479166666667</v>
          </cell>
          <cell r="BR16">
            <v>332.85416666666669</v>
          </cell>
          <cell r="BS16">
            <v>0</v>
          </cell>
          <cell r="BT16">
            <v>0</v>
          </cell>
          <cell r="BU16"/>
          <cell r="BW16">
            <v>2708.3333333333335</v>
          </cell>
          <cell r="BX16">
            <v>2375.479166666667</v>
          </cell>
          <cell r="BY16">
            <v>332.85416666666669</v>
          </cell>
          <cell r="BZ16">
            <v>0</v>
          </cell>
          <cell r="CA16">
            <v>0</v>
          </cell>
          <cell r="CB16"/>
          <cell r="CD16">
            <v>2708.3333333333335</v>
          </cell>
          <cell r="CE16">
            <v>2375.479166666667</v>
          </cell>
          <cell r="CF16">
            <v>332.85416666666669</v>
          </cell>
          <cell r="CG16">
            <v>0</v>
          </cell>
          <cell r="CH16">
            <v>0</v>
          </cell>
          <cell r="CI16"/>
          <cell r="CK16">
            <v>2708.3333333333335</v>
          </cell>
          <cell r="CL16">
            <v>2375.479166666667</v>
          </cell>
          <cell r="CM16">
            <v>332.85416666666669</v>
          </cell>
          <cell r="CN16">
            <v>0</v>
          </cell>
          <cell r="CO16">
            <v>0</v>
          </cell>
          <cell r="CP16"/>
        </row>
        <row r="17">
          <cell r="L17">
            <v>57240</v>
          </cell>
          <cell r="M17">
            <v>50205.203999999998</v>
          </cell>
          <cell r="N17">
            <v>7034.7959999999994</v>
          </cell>
          <cell r="O17">
            <v>42183.919260000002</v>
          </cell>
          <cell r="P17">
            <v>1241.98074</v>
          </cell>
          <cell r="Q17">
            <v>43425.9</v>
          </cell>
          <cell r="S17">
            <v>57240</v>
          </cell>
          <cell r="T17">
            <v>50205.203999999998</v>
          </cell>
          <cell r="U17">
            <v>7034.7959999999994</v>
          </cell>
          <cell r="V17">
            <v>43802.475654000002</v>
          </cell>
          <cell r="W17">
            <v>1289.6343460000001</v>
          </cell>
          <cell r="X17">
            <v>45092.11</v>
          </cell>
          <cell r="Z17">
            <v>57240</v>
          </cell>
          <cell r="AA17">
            <v>50205.203999999998</v>
          </cell>
          <cell r="AB17">
            <v>7034.7959999999994</v>
          </cell>
          <cell r="AC17">
            <v>61132.611072</v>
          </cell>
          <cell r="AD17">
            <v>1799.8689280000001</v>
          </cell>
          <cell r="AE17">
            <v>62932.480000000003</v>
          </cell>
          <cell r="AG17">
            <v>57240</v>
          </cell>
          <cell r="AH17">
            <v>50205.203999999998</v>
          </cell>
          <cell r="AI17">
            <v>7034.7959999999994</v>
          </cell>
          <cell r="AJ17">
            <v>54376.300649999997</v>
          </cell>
          <cell r="AK17">
            <v>1600.9493500000001</v>
          </cell>
          <cell r="AL17">
            <v>55977.25</v>
          </cell>
          <cell r="AN17">
            <v>57240</v>
          </cell>
          <cell r="AO17">
            <v>50205.203999999998</v>
          </cell>
          <cell r="AP17">
            <v>7034.7959999999994</v>
          </cell>
          <cell r="AQ17">
            <v>0</v>
          </cell>
          <cell r="AR17">
            <v>0</v>
          </cell>
          <cell r="AS17"/>
          <cell r="AU17">
            <v>57240</v>
          </cell>
          <cell r="AV17">
            <v>50205.203999999998</v>
          </cell>
          <cell r="AW17">
            <v>7034.7959999999994</v>
          </cell>
          <cell r="AX17">
            <v>0</v>
          </cell>
          <cell r="AY17">
            <v>0</v>
          </cell>
          <cell r="AZ17"/>
          <cell r="BB17">
            <v>57240</v>
          </cell>
          <cell r="BC17">
            <v>50205.203999999998</v>
          </cell>
          <cell r="BD17">
            <v>7034.7959999999994</v>
          </cell>
          <cell r="BE17">
            <v>0</v>
          </cell>
          <cell r="BF17">
            <v>0</v>
          </cell>
          <cell r="BG17"/>
          <cell r="BI17">
            <v>57240</v>
          </cell>
          <cell r="BJ17">
            <v>50205.203999999998</v>
          </cell>
          <cell r="BK17">
            <v>7034.7959999999994</v>
          </cell>
          <cell r="BL17">
            <v>0</v>
          </cell>
          <cell r="BM17">
            <v>0</v>
          </cell>
          <cell r="BN17"/>
          <cell r="BP17">
            <v>57240</v>
          </cell>
          <cell r="BQ17">
            <v>50205.203999999998</v>
          </cell>
          <cell r="BR17">
            <v>7034.7959999999994</v>
          </cell>
          <cell r="BS17">
            <v>0</v>
          </cell>
          <cell r="BT17">
            <v>0</v>
          </cell>
          <cell r="BU17"/>
          <cell r="BW17">
            <v>57240</v>
          </cell>
          <cell r="BX17">
            <v>50205.203999999998</v>
          </cell>
          <cell r="BY17">
            <v>7034.7959999999994</v>
          </cell>
          <cell r="BZ17">
            <v>0</v>
          </cell>
          <cell r="CA17">
            <v>0</v>
          </cell>
          <cell r="CB17"/>
          <cell r="CD17">
            <v>57240</v>
          </cell>
          <cell r="CE17">
            <v>50205.203999999998</v>
          </cell>
          <cell r="CF17">
            <v>7034.7959999999994</v>
          </cell>
          <cell r="CG17">
            <v>0</v>
          </cell>
          <cell r="CH17">
            <v>0</v>
          </cell>
          <cell r="CI17"/>
          <cell r="CK17">
            <v>57240</v>
          </cell>
          <cell r="CL17">
            <v>50205.203999999998</v>
          </cell>
          <cell r="CM17">
            <v>7034.7959999999994</v>
          </cell>
          <cell r="CN17">
            <v>0</v>
          </cell>
          <cell r="CO17">
            <v>0</v>
          </cell>
          <cell r="CP17"/>
        </row>
        <row r="18">
          <cell r="L18">
            <v>9974.25</v>
          </cell>
          <cell r="M18">
            <v>8748.414675</v>
          </cell>
          <cell r="N18">
            <v>1225.835325</v>
          </cell>
          <cell r="O18">
            <v>13005.210054000001</v>
          </cell>
          <cell r="P18">
            <v>382.899946</v>
          </cell>
          <cell r="Q18">
            <v>13388.11</v>
          </cell>
          <cell r="S18">
            <v>9974.25</v>
          </cell>
          <cell r="T18">
            <v>8748.414675</v>
          </cell>
          <cell r="U18">
            <v>1225.835325</v>
          </cell>
          <cell r="V18">
            <v>0</v>
          </cell>
          <cell r="W18">
            <v>0</v>
          </cell>
          <cell r="X18"/>
          <cell r="Z18">
            <v>9974.25</v>
          </cell>
          <cell r="AA18">
            <v>8748.414675</v>
          </cell>
          <cell r="AB18">
            <v>1225.835325</v>
          </cell>
          <cell r="AC18">
            <v>21721.261692</v>
          </cell>
          <cell r="AD18">
            <v>639.51830799999993</v>
          </cell>
          <cell r="AE18">
            <v>22360.78</v>
          </cell>
          <cell r="AG18">
            <v>9974.25</v>
          </cell>
          <cell r="AH18">
            <v>8748.414675</v>
          </cell>
          <cell r="AI18">
            <v>1225.835325</v>
          </cell>
          <cell r="AJ18">
            <v>0</v>
          </cell>
          <cell r="AK18">
            <v>0</v>
          </cell>
          <cell r="AL18"/>
          <cell r="AN18">
            <v>9974.25</v>
          </cell>
          <cell r="AO18">
            <v>8748.414675</v>
          </cell>
          <cell r="AP18">
            <v>1225.835325</v>
          </cell>
          <cell r="AQ18">
            <v>0</v>
          </cell>
          <cell r="AR18">
            <v>0</v>
          </cell>
          <cell r="AS18"/>
          <cell r="AU18">
            <v>9974.25</v>
          </cell>
          <cell r="AV18">
            <v>8748.414675</v>
          </cell>
          <cell r="AW18">
            <v>1225.835325</v>
          </cell>
          <cell r="AX18">
            <v>0</v>
          </cell>
          <cell r="AY18">
            <v>0</v>
          </cell>
          <cell r="AZ18"/>
          <cell r="BB18">
            <v>9974.25</v>
          </cell>
          <cell r="BC18">
            <v>8748.414675</v>
          </cell>
          <cell r="BD18">
            <v>1225.835325</v>
          </cell>
          <cell r="BE18">
            <v>0</v>
          </cell>
          <cell r="BF18">
            <v>0</v>
          </cell>
          <cell r="BG18"/>
          <cell r="BI18">
            <v>9974.25</v>
          </cell>
          <cell r="BJ18">
            <v>8748.414675</v>
          </cell>
          <cell r="BK18">
            <v>1225.835325</v>
          </cell>
          <cell r="BL18">
            <v>0</v>
          </cell>
          <cell r="BM18">
            <v>0</v>
          </cell>
          <cell r="BN18"/>
          <cell r="BP18">
            <v>9974.25</v>
          </cell>
          <cell r="BQ18">
            <v>8748.414675</v>
          </cell>
          <cell r="BR18">
            <v>1225.835325</v>
          </cell>
          <cell r="BS18">
            <v>0</v>
          </cell>
          <cell r="BT18">
            <v>0</v>
          </cell>
          <cell r="BU18"/>
          <cell r="BW18">
            <v>9974.25</v>
          </cell>
          <cell r="BX18">
            <v>8748.414675</v>
          </cell>
          <cell r="BY18">
            <v>1225.835325</v>
          </cell>
          <cell r="BZ18">
            <v>0</v>
          </cell>
          <cell r="CA18">
            <v>0</v>
          </cell>
          <cell r="CB18"/>
          <cell r="CD18">
            <v>9974.25</v>
          </cell>
          <cell r="CE18">
            <v>8748.414675</v>
          </cell>
          <cell r="CF18">
            <v>1225.835325</v>
          </cell>
          <cell r="CG18">
            <v>0</v>
          </cell>
          <cell r="CH18">
            <v>0</v>
          </cell>
          <cell r="CI18"/>
          <cell r="CK18">
            <v>9974.25</v>
          </cell>
          <cell r="CL18">
            <v>8748.414675</v>
          </cell>
          <cell r="CM18">
            <v>1225.835325</v>
          </cell>
          <cell r="CN18">
            <v>0</v>
          </cell>
          <cell r="CO18">
            <v>0</v>
          </cell>
          <cell r="CP18"/>
        </row>
        <row r="19">
          <cell r="L19">
            <v>2500</v>
          </cell>
          <cell r="M19">
            <v>2192.75</v>
          </cell>
          <cell r="N19">
            <v>307.25</v>
          </cell>
          <cell r="O19">
            <v>2476.3317359999996</v>
          </cell>
          <cell r="P19">
            <v>72.908263999999988</v>
          </cell>
          <cell r="Q19">
            <v>2549.2399999999998</v>
          </cell>
          <cell r="S19">
            <v>2500</v>
          </cell>
          <cell r="T19">
            <v>2192.75</v>
          </cell>
          <cell r="U19">
            <v>307.25</v>
          </cell>
          <cell r="V19">
            <v>2490.4850339999998</v>
          </cell>
          <cell r="W19">
            <v>73.324966000000003</v>
          </cell>
          <cell r="X19">
            <v>2563.81</v>
          </cell>
          <cell r="Z19">
            <v>2500</v>
          </cell>
          <cell r="AA19">
            <v>2192.75</v>
          </cell>
          <cell r="AB19">
            <v>307.25</v>
          </cell>
          <cell r="AC19">
            <v>3518.1970920000003</v>
          </cell>
          <cell r="AD19">
            <v>103.582908</v>
          </cell>
          <cell r="AE19">
            <v>3621.78</v>
          </cell>
          <cell r="AG19">
            <v>2500</v>
          </cell>
          <cell r="AH19">
            <v>2192.75</v>
          </cell>
          <cell r="AI19">
            <v>307.25</v>
          </cell>
          <cell r="AJ19">
            <v>3217.1990880000003</v>
          </cell>
          <cell r="AK19">
            <v>94.720911999999998</v>
          </cell>
          <cell r="AL19">
            <v>3311.92</v>
          </cell>
          <cell r="AN19">
            <v>2500</v>
          </cell>
          <cell r="AO19">
            <v>2192.75</v>
          </cell>
          <cell r="AP19">
            <v>307.25</v>
          </cell>
          <cell r="AQ19">
            <v>0</v>
          </cell>
          <cell r="AR19">
            <v>0</v>
          </cell>
          <cell r="AS19"/>
          <cell r="AU19">
            <v>2500</v>
          </cell>
          <cell r="AV19">
            <v>2192.75</v>
          </cell>
          <cell r="AW19">
            <v>307.25</v>
          </cell>
          <cell r="AX19">
            <v>0</v>
          </cell>
          <cell r="AY19">
            <v>0</v>
          </cell>
          <cell r="AZ19"/>
          <cell r="BB19">
            <v>2500</v>
          </cell>
          <cell r="BC19">
            <v>2192.75</v>
          </cell>
          <cell r="BD19">
            <v>307.25</v>
          </cell>
          <cell r="BE19">
            <v>0</v>
          </cell>
          <cell r="BF19">
            <v>0</v>
          </cell>
          <cell r="BG19"/>
          <cell r="BI19">
            <v>2500</v>
          </cell>
          <cell r="BJ19">
            <v>2192.75</v>
          </cell>
          <cell r="BK19">
            <v>307.25</v>
          </cell>
          <cell r="BL19">
            <v>0</v>
          </cell>
          <cell r="BM19">
            <v>0</v>
          </cell>
          <cell r="BN19"/>
          <cell r="BP19">
            <v>2500</v>
          </cell>
          <cell r="BQ19">
            <v>2192.75</v>
          </cell>
          <cell r="BR19">
            <v>307.25</v>
          </cell>
          <cell r="BS19">
            <v>0</v>
          </cell>
          <cell r="BT19">
            <v>0</v>
          </cell>
          <cell r="BU19"/>
          <cell r="BW19">
            <v>2500</v>
          </cell>
          <cell r="BX19">
            <v>2192.75</v>
          </cell>
          <cell r="BY19">
            <v>307.25</v>
          </cell>
          <cell r="BZ19">
            <v>0</v>
          </cell>
          <cell r="CA19">
            <v>0</v>
          </cell>
          <cell r="CB19"/>
          <cell r="CD19">
            <v>2500</v>
          </cell>
          <cell r="CE19">
            <v>2192.75</v>
          </cell>
          <cell r="CF19">
            <v>307.25</v>
          </cell>
          <cell r="CG19">
            <v>0</v>
          </cell>
          <cell r="CH19">
            <v>0</v>
          </cell>
          <cell r="CI19"/>
          <cell r="CK19">
            <v>2500</v>
          </cell>
          <cell r="CL19">
            <v>2192.75</v>
          </cell>
          <cell r="CM19">
            <v>307.25</v>
          </cell>
          <cell r="CN19">
            <v>0</v>
          </cell>
          <cell r="CO19">
            <v>0</v>
          </cell>
          <cell r="CP19"/>
        </row>
        <row r="20"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/>
          <cell r="S20">
            <v>0</v>
          </cell>
          <cell r="T20">
            <v>0</v>
          </cell>
          <cell r="U20">
            <v>0</v>
          </cell>
          <cell r="V20">
            <v>4507.0822920000001</v>
          </cell>
          <cell r="W20">
            <v>132.69770800000001</v>
          </cell>
          <cell r="X20">
            <v>4639.78</v>
          </cell>
          <cell r="Z20">
            <v>415717.67551999999</v>
          </cell>
          <cell r="AA20">
            <v>364625.97319859196</v>
          </cell>
          <cell r="AB20">
            <v>51091.702321407996</v>
          </cell>
          <cell r="AC20">
            <v>267019.35483000003</v>
          </cell>
          <cell r="AD20">
            <v>7861.5951700000005</v>
          </cell>
          <cell r="AE20">
            <v>274880.95</v>
          </cell>
          <cell r="AG20">
            <v>0</v>
          </cell>
          <cell r="AH20">
            <v>0</v>
          </cell>
          <cell r="AI20">
            <v>0</v>
          </cell>
          <cell r="AJ20">
            <v>61626.577685999997</v>
          </cell>
          <cell r="AK20">
            <v>1814.4123139999999</v>
          </cell>
          <cell r="AL20">
            <v>63440.99</v>
          </cell>
          <cell r="AN20">
            <v>10408.13272</v>
          </cell>
          <cell r="AO20">
            <v>9128.9732087119992</v>
          </cell>
          <cell r="AP20">
            <v>1279.159511288</v>
          </cell>
          <cell r="AQ20">
            <v>0</v>
          </cell>
          <cell r="AR20">
            <v>0</v>
          </cell>
          <cell r="AS20"/>
          <cell r="AU20">
            <v>10408.13272</v>
          </cell>
          <cell r="AV20">
            <v>9128.9732087119992</v>
          </cell>
          <cell r="AW20">
            <v>1279.159511288</v>
          </cell>
          <cell r="AX20">
            <v>0</v>
          </cell>
          <cell r="AY20">
            <v>0</v>
          </cell>
          <cell r="AZ20"/>
          <cell r="BB20">
            <v>193074.13271999999</v>
          </cell>
          <cell r="BC20">
            <v>169345.321808712</v>
          </cell>
          <cell r="BD20">
            <v>23728.810911287997</v>
          </cell>
          <cell r="BE20">
            <v>0</v>
          </cell>
          <cell r="BF20">
            <v>0</v>
          </cell>
          <cell r="BG20"/>
          <cell r="BI20">
            <v>29025.808239999998</v>
          </cell>
          <cell r="BJ20">
            <v>25458.536407304</v>
          </cell>
          <cell r="BK20">
            <v>3567.2718326959998</v>
          </cell>
          <cell r="BL20">
            <v>0</v>
          </cell>
          <cell r="BM20">
            <v>0</v>
          </cell>
          <cell r="BN20"/>
          <cell r="BP20">
            <v>193074.13271999999</v>
          </cell>
          <cell r="BQ20">
            <v>169345.321808712</v>
          </cell>
          <cell r="BR20">
            <v>23728.810911287997</v>
          </cell>
          <cell r="BS20">
            <v>0</v>
          </cell>
          <cell r="BT20">
            <v>0</v>
          </cell>
          <cell r="BU20"/>
          <cell r="BW20">
            <v>10408.13272</v>
          </cell>
          <cell r="BX20">
            <v>9128.9732087119992</v>
          </cell>
          <cell r="BY20">
            <v>1279.159511288</v>
          </cell>
          <cell r="BZ20">
            <v>0</v>
          </cell>
          <cell r="CA20">
            <v>0</v>
          </cell>
          <cell r="CB20"/>
          <cell r="CD20">
            <v>10408.13272</v>
          </cell>
          <cell r="CE20">
            <v>9128.9732087119992</v>
          </cell>
          <cell r="CF20">
            <v>1279.159511288</v>
          </cell>
          <cell r="CG20">
            <v>0</v>
          </cell>
          <cell r="CH20">
            <v>0</v>
          </cell>
          <cell r="CI20"/>
          <cell r="CK20">
            <v>10408.13272</v>
          </cell>
          <cell r="CL20">
            <v>9128.9732087119992</v>
          </cell>
          <cell r="CM20">
            <v>1279.159511288</v>
          </cell>
          <cell r="CN20">
            <v>0</v>
          </cell>
          <cell r="CO20">
            <v>0</v>
          </cell>
          <cell r="CP20"/>
        </row>
        <row r="21">
          <cell r="L21">
            <v>107523.719999999</v>
          </cell>
          <cell r="M21">
            <v>94309.054811999114</v>
          </cell>
          <cell r="N21">
            <v>13214.665187999875</v>
          </cell>
          <cell r="O21">
            <v>55003.582199999997</v>
          </cell>
          <cell r="P21">
            <v>1619.4177999999999</v>
          </cell>
          <cell r="Q21">
            <v>56623</v>
          </cell>
          <cell r="S21">
            <v>0</v>
          </cell>
          <cell r="T21">
            <v>0</v>
          </cell>
          <cell r="U21">
            <v>0</v>
          </cell>
          <cell r="V21">
            <v>5854.6278000000002</v>
          </cell>
          <cell r="W21">
            <v>172.37219999999999</v>
          </cell>
          <cell r="X21">
            <v>6027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/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/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/>
        </row>
        <row r="22">
          <cell r="L22">
            <v>21965.462666666666</v>
          </cell>
          <cell r="M22">
            <v>19265.907304933335</v>
          </cell>
          <cell r="N22">
            <v>2699.555361733333</v>
          </cell>
          <cell r="O22">
            <v>19716.9915</v>
          </cell>
          <cell r="P22">
            <v>580.50850000000003</v>
          </cell>
          <cell r="Q22">
            <v>20297.5</v>
          </cell>
          <cell r="S22">
            <v>21965.462666666666</v>
          </cell>
          <cell r="T22">
            <v>19265.907304933335</v>
          </cell>
          <cell r="U22">
            <v>2699.555361733333</v>
          </cell>
          <cell r="V22">
            <v>24362.32344</v>
          </cell>
          <cell r="W22">
            <v>717.27656000000002</v>
          </cell>
          <cell r="X22">
            <v>25079.599999999999</v>
          </cell>
          <cell r="Z22">
            <v>21965.462666666666</v>
          </cell>
          <cell r="AA22">
            <v>19265.907304933335</v>
          </cell>
          <cell r="AB22">
            <v>2699.555361733333</v>
          </cell>
          <cell r="AC22">
            <v>9492.2293800000007</v>
          </cell>
          <cell r="AD22">
            <v>279.47062</v>
          </cell>
          <cell r="AE22">
            <v>9771.7000000000007</v>
          </cell>
          <cell r="AG22">
            <v>21965.462666666666</v>
          </cell>
          <cell r="AH22">
            <v>19265.907304933335</v>
          </cell>
          <cell r="AI22">
            <v>2699.555361733333</v>
          </cell>
          <cell r="AJ22">
            <v>6505.7280780000001</v>
          </cell>
          <cell r="AK22">
            <v>191.54192200000003</v>
          </cell>
          <cell r="AL22">
            <v>6697.27</v>
          </cell>
          <cell r="AN22">
            <v>21965.462666666666</v>
          </cell>
          <cell r="AO22">
            <v>19265.907304933335</v>
          </cell>
          <cell r="AP22">
            <v>2699.555361733333</v>
          </cell>
          <cell r="AQ22">
            <v>0</v>
          </cell>
          <cell r="AR22">
            <v>0</v>
          </cell>
          <cell r="AS22"/>
          <cell r="AU22">
            <v>21965.462666666666</v>
          </cell>
          <cell r="AV22">
            <v>19265.907304933335</v>
          </cell>
          <cell r="AW22">
            <v>2699.555361733333</v>
          </cell>
          <cell r="AX22">
            <v>0</v>
          </cell>
          <cell r="AY22">
            <v>0</v>
          </cell>
          <cell r="AZ22"/>
          <cell r="BB22">
            <v>21965.462666666666</v>
          </cell>
          <cell r="BC22">
            <v>19265.907304933335</v>
          </cell>
          <cell r="BD22">
            <v>2699.555361733333</v>
          </cell>
          <cell r="BE22">
            <v>0</v>
          </cell>
          <cell r="BF22">
            <v>0</v>
          </cell>
          <cell r="BG22"/>
          <cell r="BI22">
            <v>21965.462666666666</v>
          </cell>
          <cell r="BJ22">
            <v>19265.907304933335</v>
          </cell>
          <cell r="BK22">
            <v>2699.555361733333</v>
          </cell>
          <cell r="BL22">
            <v>0</v>
          </cell>
          <cell r="BM22">
            <v>0</v>
          </cell>
          <cell r="BN22"/>
          <cell r="BP22">
            <v>21965.462666666666</v>
          </cell>
          <cell r="BQ22">
            <v>19265.907304933335</v>
          </cell>
          <cell r="BR22">
            <v>2699.555361733333</v>
          </cell>
          <cell r="BS22">
            <v>0</v>
          </cell>
          <cell r="BT22">
            <v>0</v>
          </cell>
          <cell r="BU22"/>
          <cell r="BW22">
            <v>21965.462666666666</v>
          </cell>
          <cell r="BX22">
            <v>19265.907304933335</v>
          </cell>
          <cell r="BY22">
            <v>2699.555361733333</v>
          </cell>
          <cell r="BZ22">
            <v>0</v>
          </cell>
          <cell r="CA22">
            <v>0</v>
          </cell>
          <cell r="CB22"/>
          <cell r="CD22">
            <v>21965.462666666666</v>
          </cell>
          <cell r="CE22">
            <v>19265.907304933335</v>
          </cell>
          <cell r="CF22">
            <v>2699.555361733333</v>
          </cell>
          <cell r="CG22">
            <v>0</v>
          </cell>
          <cell r="CH22">
            <v>0</v>
          </cell>
          <cell r="CI22"/>
          <cell r="CK22">
            <v>21965.462666666666</v>
          </cell>
          <cell r="CL22">
            <v>19265.907304933335</v>
          </cell>
          <cell r="CM22">
            <v>2699.555361733333</v>
          </cell>
          <cell r="CN22">
            <v>0</v>
          </cell>
          <cell r="CO22">
            <v>0</v>
          </cell>
          <cell r="CP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/>
        </row>
        <row r="24">
          <cell r="L24">
            <v>21080.163965579301</v>
          </cell>
          <cell r="M24">
            <v>18489.411814209605</v>
          </cell>
          <cell r="N24">
            <v>2590.7521513696961</v>
          </cell>
          <cell r="O24">
            <v>38520.235589999997</v>
          </cell>
          <cell r="P24">
            <v>1134.1144099999999</v>
          </cell>
          <cell r="Q24">
            <v>39654.35</v>
          </cell>
          <cell r="S24">
            <v>21080.163965579301</v>
          </cell>
          <cell r="T24">
            <v>18489.411814209605</v>
          </cell>
          <cell r="U24">
            <v>2590.7521513696961</v>
          </cell>
          <cell r="V24">
            <v>30941.945915999997</v>
          </cell>
          <cell r="W24">
            <v>910.99408399999993</v>
          </cell>
          <cell r="X24">
            <v>31852.94</v>
          </cell>
          <cell r="Z24">
            <v>21080.163965579301</v>
          </cell>
          <cell r="AA24">
            <v>18489.411814209605</v>
          </cell>
          <cell r="AB24">
            <v>2590.7521513696961</v>
          </cell>
          <cell r="AC24">
            <v>30793.661706000003</v>
          </cell>
          <cell r="AD24">
            <v>906.62829399999998</v>
          </cell>
          <cell r="AE24">
            <v>31700.29</v>
          </cell>
          <cell r="AG24">
            <v>21080.163965579301</v>
          </cell>
          <cell r="AH24">
            <v>18489.411814209605</v>
          </cell>
          <cell r="AI24">
            <v>2590.7521513696961</v>
          </cell>
          <cell r="AJ24">
            <v>12176.460143999999</v>
          </cell>
          <cell r="AK24">
            <v>358.49985599999997</v>
          </cell>
          <cell r="AL24">
            <v>12534.96</v>
          </cell>
          <cell r="AN24">
            <v>21080.163965579301</v>
          </cell>
          <cell r="AO24">
            <v>18489.411814209605</v>
          </cell>
          <cell r="AP24">
            <v>2590.7521513696961</v>
          </cell>
          <cell r="AQ24">
            <v>0</v>
          </cell>
          <cell r="AR24">
            <v>0</v>
          </cell>
          <cell r="AS24"/>
          <cell r="AU24">
            <v>21080.163965579301</v>
          </cell>
          <cell r="AV24">
            <v>18489.411814209605</v>
          </cell>
          <cell r="AW24">
            <v>2590.7521513696961</v>
          </cell>
          <cell r="AX24">
            <v>0</v>
          </cell>
          <cell r="AY24">
            <v>0</v>
          </cell>
          <cell r="AZ24"/>
          <cell r="BB24">
            <v>17417.594514059299</v>
          </cell>
          <cell r="BC24">
            <v>15276.972148281411</v>
          </cell>
          <cell r="BD24">
            <v>2140.6223657778878</v>
          </cell>
          <cell r="BE24">
            <v>0</v>
          </cell>
          <cell r="BF24">
            <v>0</v>
          </cell>
          <cell r="BG24"/>
          <cell r="BI24">
            <v>21080.163965579301</v>
          </cell>
          <cell r="BJ24">
            <v>18489.411814209605</v>
          </cell>
          <cell r="BK24">
            <v>2590.7521513696961</v>
          </cell>
          <cell r="BL24">
            <v>0</v>
          </cell>
          <cell r="BM24">
            <v>0</v>
          </cell>
          <cell r="BN24"/>
          <cell r="BP24">
            <v>21080.163965579301</v>
          </cell>
          <cell r="BQ24">
            <v>18489.411814209605</v>
          </cell>
          <cell r="BR24">
            <v>2590.7521513696961</v>
          </cell>
          <cell r="BS24">
            <v>0</v>
          </cell>
          <cell r="BT24">
            <v>0</v>
          </cell>
          <cell r="BU24"/>
          <cell r="BW24">
            <v>21080.163965579301</v>
          </cell>
          <cell r="BX24">
            <v>18489.411814209605</v>
          </cell>
          <cell r="BY24">
            <v>2590.7521513696961</v>
          </cell>
          <cell r="BZ24">
            <v>0</v>
          </cell>
          <cell r="CA24">
            <v>0</v>
          </cell>
          <cell r="CB24"/>
          <cell r="CD24">
            <v>21080.163965579301</v>
          </cell>
          <cell r="CE24">
            <v>18489.411814209605</v>
          </cell>
          <cell r="CF24">
            <v>2590.7521513696961</v>
          </cell>
          <cell r="CG24">
            <v>0</v>
          </cell>
          <cell r="CH24">
            <v>0</v>
          </cell>
          <cell r="CI24"/>
          <cell r="CK24">
            <v>21080.163965579301</v>
          </cell>
          <cell r="CL24">
            <v>18489.411814209605</v>
          </cell>
          <cell r="CM24">
            <v>2590.7521513696961</v>
          </cell>
          <cell r="CN24">
            <v>0</v>
          </cell>
          <cell r="CO24">
            <v>0</v>
          </cell>
          <cell r="CP24"/>
        </row>
        <row r="25">
          <cell r="L25">
            <v>0</v>
          </cell>
          <cell r="M25">
            <v>0</v>
          </cell>
          <cell r="N25">
            <v>0</v>
          </cell>
          <cell r="O25">
            <v>891.60920399999998</v>
          </cell>
          <cell r="P25">
            <v>26.250796000000001</v>
          </cell>
          <cell r="Q25">
            <v>917.86</v>
          </cell>
          <cell r="S25">
            <v>0</v>
          </cell>
          <cell r="T25">
            <v>0</v>
          </cell>
          <cell r="U25">
            <v>0</v>
          </cell>
          <cell r="V25">
            <v>27724.853682000001</v>
          </cell>
          <cell r="W25">
            <v>816.27631800000006</v>
          </cell>
          <cell r="X25">
            <v>28541.13</v>
          </cell>
          <cell r="Z25">
            <v>64725.626069999897</v>
          </cell>
          <cell r="AA25">
            <v>56770.846625996914</v>
          </cell>
          <cell r="AB25">
            <v>7954.7794440029866</v>
          </cell>
          <cell r="AC25">
            <v>71893.896840000001</v>
          </cell>
          <cell r="AD25">
            <v>2116.70316</v>
          </cell>
          <cell r="AE25">
            <v>74010.600000000006</v>
          </cell>
          <cell r="AG25">
            <v>82826.726381999993</v>
          </cell>
          <cell r="AH25">
            <v>72647.321709652198</v>
          </cell>
          <cell r="AI25">
            <v>10179.404672347799</v>
          </cell>
          <cell r="AJ25">
            <v>66218.958612000002</v>
          </cell>
          <cell r="AK25">
            <v>1949.621388</v>
          </cell>
          <cell r="AL25">
            <v>68168.58</v>
          </cell>
          <cell r="AN25">
            <v>82826.726381999993</v>
          </cell>
          <cell r="AO25">
            <v>72647.321709652198</v>
          </cell>
          <cell r="AP25">
            <v>10179.404672347799</v>
          </cell>
          <cell r="AQ25">
            <v>0</v>
          </cell>
          <cell r="AR25">
            <v>0</v>
          </cell>
          <cell r="AS25"/>
          <cell r="AU25">
            <v>86657.276945999998</v>
          </cell>
          <cell r="AV25">
            <v>76007.097609336604</v>
          </cell>
          <cell r="AW25">
            <v>10650.179336663399</v>
          </cell>
          <cell r="AX25">
            <v>0</v>
          </cell>
          <cell r="AY25">
            <v>0</v>
          </cell>
          <cell r="AZ25"/>
          <cell r="BB25">
            <v>23457.865145999898</v>
          </cell>
          <cell r="BC25">
            <v>20574.89351955651</v>
          </cell>
          <cell r="BD25">
            <v>2882.9716264433873</v>
          </cell>
          <cell r="BE25">
            <v>0</v>
          </cell>
          <cell r="BF25">
            <v>0</v>
          </cell>
          <cell r="BG25"/>
          <cell r="BI25">
            <v>23457.865145999898</v>
          </cell>
          <cell r="BJ25">
            <v>20574.89351955651</v>
          </cell>
          <cell r="BK25">
            <v>2882.9716264433873</v>
          </cell>
          <cell r="BL25">
            <v>0</v>
          </cell>
          <cell r="BM25">
            <v>0</v>
          </cell>
          <cell r="BN25"/>
          <cell r="BP25">
            <v>23457.865145999898</v>
          </cell>
          <cell r="BQ25">
            <v>20574.89351955651</v>
          </cell>
          <cell r="BR25">
            <v>2882.9716264433873</v>
          </cell>
          <cell r="BS25">
            <v>0</v>
          </cell>
          <cell r="BT25">
            <v>0</v>
          </cell>
          <cell r="BU25"/>
          <cell r="BW25">
            <v>16275.5204219999</v>
          </cell>
          <cell r="BX25">
            <v>14275.258962136111</v>
          </cell>
          <cell r="BY25">
            <v>2000.2614598637876</v>
          </cell>
          <cell r="BZ25">
            <v>0</v>
          </cell>
          <cell r="CA25">
            <v>0</v>
          </cell>
          <cell r="CB25"/>
          <cell r="CD25">
            <v>11960.323097999901</v>
          </cell>
          <cell r="CE25">
            <v>10490.399389255714</v>
          </cell>
          <cell r="CF25">
            <v>1469.9237087441877</v>
          </cell>
          <cell r="CG25">
            <v>0</v>
          </cell>
          <cell r="CH25">
            <v>0</v>
          </cell>
          <cell r="CI25"/>
          <cell r="CK25">
            <v>11960.323097999901</v>
          </cell>
          <cell r="CL25">
            <v>10490.399389255714</v>
          </cell>
          <cell r="CM25">
            <v>1469.9237087441877</v>
          </cell>
          <cell r="CN25">
            <v>0</v>
          </cell>
          <cell r="CO25">
            <v>0</v>
          </cell>
          <cell r="CP25"/>
        </row>
        <row r="26">
          <cell r="L26">
            <v>81034.486392694394</v>
          </cell>
          <cell r="M26">
            <v>71075.348015032258</v>
          </cell>
          <cell r="N26">
            <v>9959.1383776621406</v>
          </cell>
          <cell r="O26">
            <v>89698.590299999996</v>
          </cell>
          <cell r="P26">
            <v>2640.9097000000002</v>
          </cell>
          <cell r="Q26">
            <v>92339.5</v>
          </cell>
          <cell r="S26">
            <v>165326.09269669437</v>
          </cell>
          <cell r="T26">
            <v>145007.51590427064</v>
          </cell>
          <cell r="U26">
            <v>20318.576792423737</v>
          </cell>
          <cell r="V26">
            <v>130027.88353799998</v>
          </cell>
          <cell r="W26">
            <v>3828.2864619999996</v>
          </cell>
          <cell r="X26">
            <v>133856.16999999998</v>
          </cell>
          <cell r="Z26">
            <v>255023.65861736552</v>
          </cell>
          <cell r="AA26">
            <v>223681.25097329129</v>
          </cell>
          <cell r="AB26">
            <v>31342.407644074221</v>
          </cell>
          <cell r="AC26">
            <v>157698.69823799998</v>
          </cell>
          <cell r="AD26">
            <v>4642.9717619999992</v>
          </cell>
          <cell r="AE26">
            <v>162341.66999999998</v>
          </cell>
          <cell r="AG26">
            <v>255023.65861736552</v>
          </cell>
          <cell r="AH26">
            <v>223681.25097329129</v>
          </cell>
          <cell r="AI26">
            <v>31342.407644074221</v>
          </cell>
          <cell r="AJ26">
            <v>132497.41547400001</v>
          </cell>
          <cell r="AK26">
            <v>3900.994526</v>
          </cell>
          <cell r="AL26">
            <v>136398.41</v>
          </cell>
          <cell r="AN26">
            <v>285897.84913669439</v>
          </cell>
          <cell r="AO26">
            <v>250761.00347779464</v>
          </cell>
          <cell r="AP26">
            <v>35136.845658899736</v>
          </cell>
          <cell r="AQ26">
            <v>0</v>
          </cell>
          <cell r="AR26">
            <v>0</v>
          </cell>
          <cell r="AS26"/>
          <cell r="AU26">
            <v>221024.59576536631</v>
          </cell>
          <cell r="AV26">
            <v>193860.6729458028</v>
          </cell>
          <cell r="AW26">
            <v>27163.922819563519</v>
          </cell>
          <cell r="AX26">
            <v>0</v>
          </cell>
          <cell r="AY26">
            <v>0</v>
          </cell>
          <cell r="AZ26"/>
          <cell r="BB26">
            <v>190150.40524603747</v>
          </cell>
          <cell r="BC26">
            <v>166780.92044129947</v>
          </cell>
          <cell r="BD26">
            <v>23369.484804738004</v>
          </cell>
          <cell r="BE26">
            <v>0</v>
          </cell>
          <cell r="BF26">
            <v>0</v>
          </cell>
          <cell r="BG26"/>
          <cell r="BI26">
            <v>255023.65861736552</v>
          </cell>
          <cell r="BJ26">
            <v>223681.25097329129</v>
          </cell>
          <cell r="BK26">
            <v>31342.407644074221</v>
          </cell>
          <cell r="BL26">
            <v>0</v>
          </cell>
          <cell r="BM26">
            <v>0</v>
          </cell>
          <cell r="BN26"/>
          <cell r="BP26">
            <v>319984.288493992</v>
          </cell>
          <cell r="BQ26">
            <v>280658.21943808038</v>
          </cell>
          <cell r="BR26">
            <v>39326.069055911619</v>
          </cell>
          <cell r="BS26">
            <v>0</v>
          </cell>
          <cell r="BT26">
            <v>0</v>
          </cell>
          <cell r="BU26"/>
          <cell r="BW26">
            <v>308098.3824773191</v>
          </cell>
          <cell r="BX26">
            <v>270233.09127085656</v>
          </cell>
          <cell r="BY26">
            <v>37865.291206462512</v>
          </cell>
          <cell r="BZ26">
            <v>0</v>
          </cell>
          <cell r="CA26">
            <v>0</v>
          </cell>
          <cell r="CB26"/>
          <cell r="CD26">
            <v>223820.85912999112</v>
          </cell>
          <cell r="CE26">
            <v>196313.27554291522</v>
          </cell>
          <cell r="CF26">
            <v>27507.583587075907</v>
          </cell>
          <cell r="CG26">
            <v>0</v>
          </cell>
          <cell r="CH26">
            <v>0</v>
          </cell>
          <cell r="CI26"/>
          <cell r="CK26">
            <v>218414.89951331913</v>
          </cell>
          <cell r="CL26">
            <v>191571.7083631322</v>
          </cell>
          <cell r="CM26">
            <v>26843.191150186922</v>
          </cell>
          <cell r="CN26">
            <v>0</v>
          </cell>
          <cell r="CO26">
            <v>0</v>
          </cell>
          <cell r="CP26"/>
        </row>
        <row r="27">
          <cell r="L27">
            <v>4221.6986017600002</v>
          </cell>
          <cell r="M27">
            <v>3702.8518436036961</v>
          </cell>
          <cell r="N27">
            <v>518.84675815630396</v>
          </cell>
          <cell r="O27">
            <v>6182.3198760000005</v>
          </cell>
          <cell r="P27">
            <v>182.02012400000001</v>
          </cell>
          <cell r="Q27">
            <v>6364.34</v>
          </cell>
          <cell r="S27">
            <v>15240.6213060799</v>
          </cell>
          <cell r="T27">
            <v>13367.54894756268</v>
          </cell>
          <cell r="U27">
            <v>1873.0723585172198</v>
          </cell>
          <cell r="V27">
            <v>8905.319214000001</v>
          </cell>
          <cell r="W27">
            <v>262.190786</v>
          </cell>
          <cell r="X27">
            <v>9167.51</v>
          </cell>
          <cell r="Z27">
            <v>15240.6213060799</v>
          </cell>
          <cell r="AA27">
            <v>13367.54894756268</v>
          </cell>
          <cell r="AB27">
            <v>1873.0723585172198</v>
          </cell>
          <cell r="AC27">
            <v>29380.352417999999</v>
          </cell>
          <cell r="AD27">
            <v>865.01758199999995</v>
          </cell>
          <cell r="AE27">
            <v>30245.37</v>
          </cell>
          <cell r="AG27">
            <v>14057.962809999901</v>
          </cell>
          <cell r="AH27">
            <v>12330.239180650913</v>
          </cell>
          <cell r="AI27">
            <v>1727.7236293489877</v>
          </cell>
          <cell r="AJ27">
            <v>17984.266464</v>
          </cell>
          <cell r="AK27">
            <v>529.49353599999995</v>
          </cell>
          <cell r="AL27">
            <v>18513.759999999998</v>
          </cell>
          <cell r="AN27">
            <v>5506.77441</v>
          </cell>
          <cell r="AO27">
            <v>4829.9918350110001</v>
          </cell>
          <cell r="AP27">
            <v>676.78257498899995</v>
          </cell>
          <cell r="AQ27">
            <v>0</v>
          </cell>
          <cell r="AR27">
            <v>0</v>
          </cell>
          <cell r="AS27"/>
          <cell r="AU27">
            <v>18279.66141176</v>
          </cell>
          <cell r="AV27">
            <v>16033.091024254696</v>
          </cell>
          <cell r="AW27">
            <v>2246.5703875053041</v>
          </cell>
          <cell r="AX27">
            <v>0</v>
          </cell>
          <cell r="AY27">
            <v>0</v>
          </cell>
          <cell r="AZ27"/>
          <cell r="BB27">
            <v>9728.4730117599993</v>
          </cell>
          <cell r="BC27">
            <v>8532.8436786146958</v>
          </cell>
          <cell r="BD27">
            <v>1195.6293331453039</v>
          </cell>
          <cell r="BE27">
            <v>0</v>
          </cell>
          <cell r="BF27">
            <v>0</v>
          </cell>
          <cell r="BG27"/>
          <cell r="BI27">
            <v>18279.66141176</v>
          </cell>
          <cell r="BJ27">
            <v>16033.091024254696</v>
          </cell>
          <cell r="BK27">
            <v>2246.5703875053041</v>
          </cell>
          <cell r="BL27">
            <v>0</v>
          </cell>
          <cell r="BM27">
            <v>0</v>
          </cell>
          <cell r="BN27"/>
          <cell r="BP27">
            <v>18279.66141176</v>
          </cell>
          <cell r="BQ27">
            <v>16033.091024254696</v>
          </cell>
          <cell r="BR27">
            <v>2246.5703875053041</v>
          </cell>
          <cell r="BS27">
            <v>0</v>
          </cell>
          <cell r="BT27">
            <v>0</v>
          </cell>
          <cell r="BU27"/>
          <cell r="BW27">
            <v>15436.842611759999</v>
          </cell>
          <cell r="BX27">
            <v>13539.654654774695</v>
          </cell>
          <cell r="BY27">
            <v>1897.1879569853038</v>
          </cell>
          <cell r="BZ27">
            <v>0</v>
          </cell>
          <cell r="CA27">
            <v>0</v>
          </cell>
          <cell r="CB27"/>
          <cell r="CD27">
            <v>11215.1440099999</v>
          </cell>
          <cell r="CE27">
            <v>9836.8028111709118</v>
          </cell>
          <cell r="CF27">
            <v>1378.3411988289877</v>
          </cell>
          <cell r="CG27">
            <v>0</v>
          </cell>
          <cell r="CH27">
            <v>0</v>
          </cell>
          <cell r="CI27"/>
          <cell r="CK27">
            <v>11215.1440099999</v>
          </cell>
          <cell r="CL27">
            <v>9836.8028111709118</v>
          </cell>
          <cell r="CM27">
            <v>1378.3411988289877</v>
          </cell>
          <cell r="CN27">
            <v>0</v>
          </cell>
          <cell r="CO27">
            <v>0</v>
          </cell>
          <cell r="CP27"/>
        </row>
        <row r="28">
          <cell r="L28">
            <v>11601.380219999999</v>
          </cell>
          <cell r="M28">
            <v>10175.570590961999</v>
          </cell>
          <cell r="N28">
            <v>1425.8096290379999</v>
          </cell>
          <cell r="O28">
            <v>13140.652356000001</v>
          </cell>
          <cell r="P28">
            <v>386.88764400000002</v>
          </cell>
          <cell r="Q28">
            <v>13527.54</v>
          </cell>
          <cell r="S28">
            <v>11601.380219999999</v>
          </cell>
          <cell r="T28">
            <v>10175.570590961999</v>
          </cell>
          <cell r="U28">
            <v>1425.8096290379999</v>
          </cell>
          <cell r="V28">
            <v>11428.705566000001</v>
          </cell>
          <cell r="W28">
            <v>336.48443400000002</v>
          </cell>
          <cell r="X28">
            <v>11765.19</v>
          </cell>
          <cell r="Z28">
            <v>15468.506959999901</v>
          </cell>
          <cell r="AA28">
            <v>13567.427454615912</v>
          </cell>
          <cell r="AB28">
            <v>1901.0795053839877</v>
          </cell>
          <cell r="AC28">
            <v>5473.2853020000002</v>
          </cell>
          <cell r="AD28">
            <v>161.14469800000001</v>
          </cell>
          <cell r="AE28">
            <v>5634.43</v>
          </cell>
          <cell r="AG28">
            <v>15820.954589999899</v>
          </cell>
          <cell r="AH28">
            <v>13876.559270888913</v>
          </cell>
          <cell r="AI28">
            <v>1944.3953191109877</v>
          </cell>
          <cell r="AJ28">
            <v>3013.0302359999996</v>
          </cell>
          <cell r="AK28">
            <v>88.709763999999993</v>
          </cell>
          <cell r="AL28">
            <v>3101.74</v>
          </cell>
          <cell r="AN28">
            <v>13534.943589999901</v>
          </cell>
          <cell r="AO28">
            <v>11871.499022788914</v>
          </cell>
          <cell r="AP28">
            <v>1663.4445672109878</v>
          </cell>
          <cell r="AQ28">
            <v>0</v>
          </cell>
          <cell r="AR28">
            <v>0</v>
          </cell>
          <cell r="AS28"/>
          <cell r="AU28">
            <v>11953.8278499999</v>
          </cell>
          <cell r="AV28">
            <v>10484.702407234912</v>
          </cell>
          <cell r="AW28">
            <v>1469.1254427649876</v>
          </cell>
          <cell r="AX28">
            <v>0</v>
          </cell>
          <cell r="AY28">
            <v>0</v>
          </cell>
          <cell r="AZ28"/>
          <cell r="BB28">
            <v>9667.8168499999992</v>
          </cell>
          <cell r="BC28">
            <v>8479.642159134999</v>
          </cell>
          <cell r="BD28">
            <v>1188.1746908649998</v>
          </cell>
          <cell r="BE28">
            <v>0</v>
          </cell>
          <cell r="BF28">
            <v>0</v>
          </cell>
          <cell r="BG28"/>
          <cell r="BI28">
            <v>15820.954589999899</v>
          </cell>
          <cell r="BJ28">
            <v>13876.559270888913</v>
          </cell>
          <cell r="BK28">
            <v>1944.3953191109877</v>
          </cell>
          <cell r="BL28">
            <v>0</v>
          </cell>
          <cell r="BM28">
            <v>0</v>
          </cell>
          <cell r="BN28"/>
          <cell r="BP28">
            <v>15820.954589999899</v>
          </cell>
          <cell r="BQ28">
            <v>13876.559270888913</v>
          </cell>
          <cell r="BR28">
            <v>1944.3953191109877</v>
          </cell>
          <cell r="BS28">
            <v>0</v>
          </cell>
          <cell r="BT28">
            <v>0</v>
          </cell>
          <cell r="BU28"/>
          <cell r="BW28">
            <v>14967.6669899999</v>
          </cell>
          <cell r="BX28">
            <v>13128.140716928912</v>
          </cell>
          <cell r="BY28">
            <v>1839.5262730709876</v>
          </cell>
          <cell r="BZ28">
            <v>0</v>
          </cell>
          <cell r="CA28">
            <v>0</v>
          </cell>
          <cell r="CB28"/>
          <cell r="CD28">
            <v>11100.5402499999</v>
          </cell>
          <cell r="CE28">
            <v>9736.283853274912</v>
          </cell>
          <cell r="CF28">
            <v>1364.2563967249876</v>
          </cell>
          <cell r="CG28">
            <v>0</v>
          </cell>
          <cell r="CH28">
            <v>0</v>
          </cell>
          <cell r="CI28"/>
          <cell r="CK28">
            <v>11100.5402499999</v>
          </cell>
          <cell r="CL28">
            <v>9736.283853274912</v>
          </cell>
          <cell r="CM28">
            <v>1364.2563967249876</v>
          </cell>
          <cell r="CN28">
            <v>0</v>
          </cell>
          <cell r="CO28">
            <v>0</v>
          </cell>
          <cell r="CP28"/>
        </row>
        <row r="29">
          <cell r="L29">
            <v>20636.314999999999</v>
          </cell>
          <cell r="M29">
            <v>18100.111886499999</v>
          </cell>
          <cell r="N29">
            <v>2536.2031134999997</v>
          </cell>
          <cell r="O29">
            <v>0</v>
          </cell>
          <cell r="P29">
            <v>0</v>
          </cell>
          <cell r="Q29"/>
          <cell r="S29">
            <v>31597.133000000002</v>
          </cell>
          <cell r="T29">
            <v>27713.8453543</v>
          </cell>
          <cell r="U29">
            <v>3883.2876457000002</v>
          </cell>
          <cell r="V29">
            <v>0</v>
          </cell>
          <cell r="W29">
            <v>0</v>
          </cell>
          <cell r="X29"/>
          <cell r="Z29">
            <v>20636.314999999999</v>
          </cell>
          <cell r="AA29">
            <v>18100.111886499999</v>
          </cell>
          <cell r="AB29">
            <v>2536.2031134999997</v>
          </cell>
          <cell r="AC29">
            <v>0</v>
          </cell>
          <cell r="AD29">
            <v>0</v>
          </cell>
          <cell r="AE29"/>
          <cell r="AG29">
            <v>31597.133000000002</v>
          </cell>
          <cell r="AH29">
            <v>27713.8453543</v>
          </cell>
          <cell r="AI29">
            <v>3883.2876457000002</v>
          </cell>
          <cell r="AJ29">
            <v>0</v>
          </cell>
          <cell r="AK29">
            <v>0</v>
          </cell>
          <cell r="AL29"/>
          <cell r="AN29">
            <v>20636.314999999999</v>
          </cell>
          <cell r="AO29">
            <v>18100.111886499999</v>
          </cell>
          <cell r="AP29">
            <v>2536.2031134999997</v>
          </cell>
          <cell r="AQ29">
            <v>0</v>
          </cell>
          <cell r="AR29">
            <v>0</v>
          </cell>
          <cell r="AS29"/>
          <cell r="AU29">
            <v>31597.133000000002</v>
          </cell>
          <cell r="AV29">
            <v>27713.8453543</v>
          </cell>
          <cell r="AW29">
            <v>3883.2876457000002</v>
          </cell>
          <cell r="AX29">
            <v>0</v>
          </cell>
          <cell r="AY29">
            <v>0</v>
          </cell>
          <cell r="AZ29"/>
          <cell r="BB29">
            <v>20636.314999999999</v>
          </cell>
          <cell r="BC29">
            <v>18100.111886499999</v>
          </cell>
          <cell r="BD29">
            <v>2536.2031134999997</v>
          </cell>
          <cell r="BE29">
            <v>0</v>
          </cell>
          <cell r="BF29">
            <v>0</v>
          </cell>
          <cell r="BG29"/>
          <cell r="BI29">
            <v>31597.133000000002</v>
          </cell>
          <cell r="BJ29">
            <v>27713.8453543</v>
          </cell>
          <cell r="BK29">
            <v>3883.2876457000002</v>
          </cell>
          <cell r="BL29">
            <v>0</v>
          </cell>
          <cell r="BM29">
            <v>0</v>
          </cell>
          <cell r="BN29"/>
          <cell r="BP29">
            <v>20636.314999999999</v>
          </cell>
          <cell r="BQ29">
            <v>18100.111886499999</v>
          </cell>
          <cell r="BR29">
            <v>2536.2031134999997</v>
          </cell>
          <cell r="BS29">
            <v>0</v>
          </cell>
          <cell r="BT29">
            <v>0</v>
          </cell>
          <cell r="BU29"/>
          <cell r="BW29">
            <v>31597.133000000002</v>
          </cell>
          <cell r="BX29">
            <v>27713.8453543</v>
          </cell>
          <cell r="BY29">
            <v>3883.2876457000002</v>
          </cell>
          <cell r="BZ29">
            <v>0</v>
          </cell>
          <cell r="CA29">
            <v>0</v>
          </cell>
          <cell r="CB29"/>
          <cell r="CD29">
            <v>20636.314999999999</v>
          </cell>
          <cell r="CE29">
            <v>18100.111886499999</v>
          </cell>
          <cell r="CF29">
            <v>2536.2031134999997</v>
          </cell>
          <cell r="CG29">
            <v>0</v>
          </cell>
          <cell r="CH29">
            <v>0</v>
          </cell>
          <cell r="CI29"/>
          <cell r="CK29">
            <v>31597.133000000002</v>
          </cell>
          <cell r="CL29">
            <v>27713.8453543</v>
          </cell>
          <cell r="CM29">
            <v>3883.2876457000002</v>
          </cell>
          <cell r="CN29">
            <v>0</v>
          </cell>
          <cell r="CO29">
            <v>0</v>
          </cell>
          <cell r="CP29"/>
        </row>
        <row r="30">
          <cell r="L30">
            <v>6666.666666666667</v>
          </cell>
          <cell r="M30">
            <v>5847.3333333333339</v>
          </cell>
          <cell r="N30">
            <v>819.33333333333337</v>
          </cell>
          <cell r="O30">
            <v>0</v>
          </cell>
          <cell r="P30">
            <v>0</v>
          </cell>
          <cell r="Q30"/>
          <cell r="S30">
            <v>6666.666666666667</v>
          </cell>
          <cell r="T30">
            <v>5847.3333333333339</v>
          </cell>
          <cell r="U30">
            <v>819.33333333333337</v>
          </cell>
          <cell r="V30">
            <v>0</v>
          </cell>
          <cell r="W30">
            <v>0</v>
          </cell>
          <cell r="X30"/>
          <cell r="Z30">
            <v>6666.666666666667</v>
          </cell>
          <cell r="AA30">
            <v>5847.3333333333339</v>
          </cell>
          <cell r="AB30">
            <v>819.33333333333337</v>
          </cell>
          <cell r="AC30">
            <v>0</v>
          </cell>
          <cell r="AD30">
            <v>0</v>
          </cell>
          <cell r="AE30"/>
          <cell r="AG30">
            <v>6666.666666666667</v>
          </cell>
          <cell r="AH30">
            <v>5847.3333333333339</v>
          </cell>
          <cell r="AI30">
            <v>819.33333333333337</v>
          </cell>
          <cell r="AJ30">
            <v>0</v>
          </cell>
          <cell r="AK30">
            <v>0</v>
          </cell>
          <cell r="AL30"/>
          <cell r="AN30">
            <v>6666.666666666667</v>
          </cell>
          <cell r="AO30">
            <v>5847.3333333333339</v>
          </cell>
          <cell r="AP30">
            <v>819.33333333333337</v>
          </cell>
          <cell r="AQ30">
            <v>0</v>
          </cell>
          <cell r="AR30">
            <v>0</v>
          </cell>
          <cell r="AS30"/>
          <cell r="AU30">
            <v>6666.666666666667</v>
          </cell>
          <cell r="AV30">
            <v>5847.3333333333339</v>
          </cell>
          <cell r="AW30">
            <v>819.33333333333337</v>
          </cell>
          <cell r="AX30">
            <v>0</v>
          </cell>
          <cell r="AY30">
            <v>0</v>
          </cell>
          <cell r="AZ30"/>
          <cell r="BB30">
            <v>6666.666666666667</v>
          </cell>
          <cell r="BC30">
            <v>5847.3333333333339</v>
          </cell>
          <cell r="BD30">
            <v>819.33333333333337</v>
          </cell>
          <cell r="BE30">
            <v>0</v>
          </cell>
          <cell r="BF30">
            <v>0</v>
          </cell>
          <cell r="BG30"/>
          <cell r="BI30">
            <v>6666.666666666667</v>
          </cell>
          <cell r="BJ30">
            <v>5847.3333333333339</v>
          </cell>
          <cell r="BK30">
            <v>819.33333333333337</v>
          </cell>
          <cell r="BL30">
            <v>0</v>
          </cell>
          <cell r="BM30">
            <v>0</v>
          </cell>
          <cell r="BN30"/>
          <cell r="BP30">
            <v>6666.666666666667</v>
          </cell>
          <cell r="BQ30">
            <v>5847.3333333333339</v>
          </cell>
          <cell r="BR30">
            <v>819.33333333333337</v>
          </cell>
          <cell r="BS30">
            <v>0</v>
          </cell>
          <cell r="BT30">
            <v>0</v>
          </cell>
          <cell r="BU30"/>
          <cell r="BW30">
            <v>6666.666666666667</v>
          </cell>
          <cell r="BX30">
            <v>5847.3333333333339</v>
          </cell>
          <cell r="BY30">
            <v>819.33333333333337</v>
          </cell>
          <cell r="BZ30">
            <v>0</v>
          </cell>
          <cell r="CA30">
            <v>0</v>
          </cell>
          <cell r="CB30"/>
          <cell r="CD30">
            <v>6666.666666666667</v>
          </cell>
          <cell r="CE30">
            <v>5847.3333333333339</v>
          </cell>
          <cell r="CF30">
            <v>819.33333333333337</v>
          </cell>
          <cell r="CG30">
            <v>0</v>
          </cell>
          <cell r="CH30">
            <v>0</v>
          </cell>
          <cell r="CI30"/>
          <cell r="CK30">
            <v>6666.666666666667</v>
          </cell>
          <cell r="CL30">
            <v>5847.3333333333339</v>
          </cell>
          <cell r="CM30">
            <v>819.33333333333337</v>
          </cell>
          <cell r="CN30">
            <v>0</v>
          </cell>
          <cell r="CO30">
            <v>0</v>
          </cell>
          <cell r="CP30"/>
        </row>
        <row r="31">
          <cell r="L31">
            <v>416.66666666666669</v>
          </cell>
          <cell r="M31">
            <v>365.45833333333337</v>
          </cell>
          <cell r="N31">
            <v>51.208333333333336</v>
          </cell>
          <cell r="O31">
            <v>0</v>
          </cell>
          <cell r="P31">
            <v>0</v>
          </cell>
          <cell r="Q31"/>
          <cell r="S31">
            <v>416.66666666666669</v>
          </cell>
          <cell r="T31">
            <v>365.45833333333337</v>
          </cell>
          <cell r="U31">
            <v>51.208333333333336</v>
          </cell>
          <cell r="V31">
            <v>0</v>
          </cell>
          <cell r="W31">
            <v>0</v>
          </cell>
          <cell r="X31"/>
          <cell r="Z31">
            <v>416.66666666666669</v>
          </cell>
          <cell r="AA31">
            <v>365.45833333333337</v>
          </cell>
          <cell r="AB31">
            <v>51.208333333333336</v>
          </cell>
          <cell r="AC31">
            <v>0</v>
          </cell>
          <cell r="AD31">
            <v>0</v>
          </cell>
          <cell r="AE31"/>
          <cell r="AG31">
            <v>416.66666666666669</v>
          </cell>
          <cell r="AH31">
            <v>365.45833333333337</v>
          </cell>
          <cell r="AI31">
            <v>51.208333333333336</v>
          </cell>
          <cell r="AJ31">
            <v>0</v>
          </cell>
          <cell r="AK31">
            <v>0</v>
          </cell>
          <cell r="AL31"/>
          <cell r="AN31">
            <v>416.66666666666669</v>
          </cell>
          <cell r="AO31">
            <v>365.45833333333337</v>
          </cell>
          <cell r="AP31">
            <v>51.208333333333336</v>
          </cell>
          <cell r="AQ31">
            <v>0</v>
          </cell>
          <cell r="AR31">
            <v>0</v>
          </cell>
          <cell r="AS31"/>
          <cell r="AU31">
            <v>416.66666666666669</v>
          </cell>
          <cell r="AV31">
            <v>365.45833333333337</v>
          </cell>
          <cell r="AW31">
            <v>51.208333333333336</v>
          </cell>
          <cell r="AX31">
            <v>0</v>
          </cell>
          <cell r="AY31">
            <v>0</v>
          </cell>
          <cell r="AZ31"/>
          <cell r="BB31">
            <v>416.66666666666669</v>
          </cell>
          <cell r="BC31">
            <v>365.45833333333337</v>
          </cell>
          <cell r="BD31">
            <v>51.208333333333336</v>
          </cell>
          <cell r="BE31">
            <v>0</v>
          </cell>
          <cell r="BF31">
            <v>0</v>
          </cell>
          <cell r="BG31"/>
          <cell r="BI31">
            <v>416.66666666666669</v>
          </cell>
          <cell r="BJ31">
            <v>365.45833333333337</v>
          </cell>
          <cell r="BK31">
            <v>51.208333333333336</v>
          </cell>
          <cell r="BL31">
            <v>0</v>
          </cell>
          <cell r="BM31">
            <v>0</v>
          </cell>
          <cell r="BN31"/>
          <cell r="BP31">
            <v>416.66666666666669</v>
          </cell>
          <cell r="BQ31">
            <v>365.45833333333337</v>
          </cell>
          <cell r="BR31">
            <v>51.208333333333336</v>
          </cell>
          <cell r="BS31">
            <v>0</v>
          </cell>
          <cell r="BT31">
            <v>0</v>
          </cell>
          <cell r="BU31"/>
          <cell r="BW31">
            <v>416.66666666666669</v>
          </cell>
          <cell r="BX31">
            <v>365.45833333333337</v>
          </cell>
          <cell r="BY31">
            <v>51.208333333333336</v>
          </cell>
          <cell r="BZ31">
            <v>0</v>
          </cell>
          <cell r="CA31">
            <v>0</v>
          </cell>
          <cell r="CB31"/>
          <cell r="CD31">
            <v>416.66666666666669</v>
          </cell>
          <cell r="CE31">
            <v>365.45833333333337</v>
          </cell>
          <cell r="CF31">
            <v>51.208333333333336</v>
          </cell>
          <cell r="CG31">
            <v>0</v>
          </cell>
          <cell r="CH31">
            <v>0</v>
          </cell>
          <cell r="CI31"/>
          <cell r="CK31">
            <v>416.66666666666669</v>
          </cell>
          <cell r="CL31">
            <v>365.45833333333337</v>
          </cell>
          <cell r="CM31">
            <v>51.208333333333336</v>
          </cell>
          <cell r="CN31">
            <v>0</v>
          </cell>
          <cell r="CO31">
            <v>0</v>
          </cell>
          <cell r="CP31"/>
        </row>
        <row r="32">
          <cell r="L32">
            <v>421069.88000000006</v>
          </cell>
          <cell r="M32">
            <v>369320.39174800005</v>
          </cell>
          <cell r="N32">
            <v>51749.488252000003</v>
          </cell>
          <cell r="O32">
            <v>458921.83390200004</v>
          </cell>
          <cell r="P32">
            <v>13511.596098000002</v>
          </cell>
          <cell r="Q32">
            <v>472433.43000000005</v>
          </cell>
          <cell r="S32">
            <v>421069.88000000006</v>
          </cell>
          <cell r="T32">
            <v>369320.39174800005</v>
          </cell>
          <cell r="U32">
            <v>51749.488252000003</v>
          </cell>
          <cell r="V32">
            <v>268781.07615599997</v>
          </cell>
          <cell r="W32">
            <v>7913.4638439999999</v>
          </cell>
          <cell r="X32">
            <v>276694.53999999998</v>
          </cell>
          <cell r="Z32">
            <v>415207.05600000004</v>
          </cell>
          <cell r="AA32">
            <v>364178.10881760006</v>
          </cell>
          <cell r="AB32">
            <v>51028.947182400007</v>
          </cell>
          <cell r="AC32">
            <v>320756.11486199999</v>
          </cell>
          <cell r="AD32">
            <v>9443.7151380000014</v>
          </cell>
          <cell r="AE32">
            <v>330199.83</v>
          </cell>
          <cell r="AG32">
            <v>469184.23200000013</v>
          </cell>
          <cell r="AH32">
            <v>411521.48988720012</v>
          </cell>
          <cell r="AI32">
            <v>57662.742112800013</v>
          </cell>
          <cell r="AJ32">
            <v>263655.18292200007</v>
          </cell>
          <cell r="AK32">
            <v>7762.5470780000014</v>
          </cell>
          <cell r="AL32">
            <v>271417.73000000004</v>
          </cell>
          <cell r="AN32">
            <v>545161.40800000005</v>
          </cell>
          <cell r="AO32">
            <v>478161.07095680002</v>
          </cell>
          <cell r="AP32">
            <v>67000.337043200008</v>
          </cell>
          <cell r="AQ32">
            <v>0</v>
          </cell>
          <cell r="AR32">
            <v>0</v>
          </cell>
          <cell r="AS32"/>
          <cell r="AU32">
            <v>523161.40800000011</v>
          </cell>
          <cell r="AV32">
            <v>458864.87095680012</v>
          </cell>
          <cell r="AW32">
            <v>64296.537043200013</v>
          </cell>
          <cell r="AX32">
            <v>0</v>
          </cell>
          <cell r="AY32">
            <v>0</v>
          </cell>
          <cell r="AZ32"/>
          <cell r="BB32">
            <v>565984.23200000008</v>
          </cell>
          <cell r="BC32">
            <v>496424.76988720009</v>
          </cell>
          <cell r="BD32">
            <v>69559.4621128</v>
          </cell>
          <cell r="BE32">
            <v>0</v>
          </cell>
          <cell r="BF32">
            <v>0</v>
          </cell>
          <cell r="BG32"/>
          <cell r="BI32">
            <v>331760</v>
          </cell>
          <cell r="BJ32">
            <v>290986.696</v>
          </cell>
          <cell r="BK32">
            <v>40773.303999999996</v>
          </cell>
          <cell r="BL32">
            <v>0</v>
          </cell>
          <cell r="BM32">
            <v>0</v>
          </cell>
          <cell r="BN32"/>
          <cell r="BP32">
            <v>27280</v>
          </cell>
          <cell r="BQ32">
            <v>23927.288</v>
          </cell>
          <cell r="BR32">
            <v>3352.712</v>
          </cell>
          <cell r="BS32">
            <v>0</v>
          </cell>
          <cell r="BT32">
            <v>0</v>
          </cell>
          <cell r="BU32"/>
          <cell r="BW32">
            <v>5280</v>
          </cell>
          <cell r="BX32">
            <v>4631.0879999999997</v>
          </cell>
          <cell r="BY32">
            <v>648.91199999999992</v>
          </cell>
          <cell r="BZ32">
            <v>0</v>
          </cell>
          <cell r="CA32">
            <v>0</v>
          </cell>
          <cell r="CB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/>
        </row>
        <row r="33">
          <cell r="L33">
            <v>173469.38775510204</v>
          </cell>
          <cell r="M33">
            <v>152150</v>
          </cell>
          <cell r="N33">
            <v>21319.387755102041</v>
          </cell>
          <cell r="O33">
            <v>162191.607804</v>
          </cell>
          <cell r="P33">
            <v>4775.2521959999995</v>
          </cell>
          <cell r="Q33">
            <v>166966.85999999999</v>
          </cell>
          <cell r="S33">
            <v>173469.38775510204</v>
          </cell>
          <cell r="T33">
            <v>152150</v>
          </cell>
          <cell r="U33">
            <v>21319.387755102041</v>
          </cell>
          <cell r="V33">
            <v>108801.93870599999</v>
          </cell>
          <cell r="W33">
            <v>3203.3512940000001</v>
          </cell>
          <cell r="X33">
            <v>112005.29</v>
          </cell>
          <cell r="Z33">
            <v>208163.26530612243</v>
          </cell>
          <cell r="AA33">
            <v>182579.99999999997</v>
          </cell>
          <cell r="AB33">
            <v>25583.265306122445</v>
          </cell>
          <cell r="AC33">
            <v>79779.080916000006</v>
          </cell>
          <cell r="AD33">
            <v>2348.8590840000002</v>
          </cell>
          <cell r="AE33">
            <v>82127.94</v>
          </cell>
          <cell r="AG33">
            <v>242857.14285714284</v>
          </cell>
          <cell r="AH33">
            <v>213010</v>
          </cell>
          <cell r="AI33">
            <v>29847.142857142855</v>
          </cell>
          <cell r="AJ33">
            <v>65422.672890000009</v>
          </cell>
          <cell r="AK33">
            <v>1926.1771100000001</v>
          </cell>
          <cell r="AL33">
            <v>67348.850000000006</v>
          </cell>
          <cell r="AN33">
            <v>277551.02040816325</v>
          </cell>
          <cell r="AO33">
            <v>243440</v>
          </cell>
          <cell r="AP33">
            <v>34111.020408163262</v>
          </cell>
          <cell r="AQ33">
            <v>0</v>
          </cell>
          <cell r="AR33">
            <v>0</v>
          </cell>
          <cell r="AS33"/>
          <cell r="AU33">
            <v>277551.02040816325</v>
          </cell>
          <cell r="AV33">
            <v>243440</v>
          </cell>
          <cell r="AW33">
            <v>34111.020408163262</v>
          </cell>
          <cell r="AX33">
            <v>0</v>
          </cell>
          <cell r="AY33">
            <v>0</v>
          </cell>
          <cell r="AZ33"/>
          <cell r="BB33">
            <v>242857.14285714284</v>
          </cell>
          <cell r="BC33">
            <v>213010</v>
          </cell>
          <cell r="BD33">
            <v>29847.142857142855</v>
          </cell>
          <cell r="BE33">
            <v>0</v>
          </cell>
          <cell r="BF33">
            <v>0</v>
          </cell>
          <cell r="BG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/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/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/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/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/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/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/>
        </row>
        <row r="36">
          <cell r="L36">
            <v>16666.666666666668</v>
          </cell>
          <cell r="M36">
            <v>14618.333333333334</v>
          </cell>
          <cell r="N36">
            <v>2048.3333333333335</v>
          </cell>
          <cell r="O36">
            <v>33402.327264</v>
          </cell>
          <cell r="P36">
            <v>983.43273600000009</v>
          </cell>
          <cell r="Q36">
            <v>34385.760000000002</v>
          </cell>
          <cell r="S36">
            <v>16666.666666666668</v>
          </cell>
          <cell r="T36">
            <v>14618.333333333334</v>
          </cell>
          <cell r="U36">
            <v>2048.3333333333335</v>
          </cell>
          <cell r="V36">
            <v>19888.123037999998</v>
          </cell>
          <cell r="W36">
            <v>585.54696200000001</v>
          </cell>
          <cell r="X36">
            <v>20473.669999999998</v>
          </cell>
          <cell r="Z36">
            <v>16666.666666666668</v>
          </cell>
          <cell r="AA36">
            <v>14618.333333333334</v>
          </cell>
          <cell r="AB36">
            <v>2048.3333333333335</v>
          </cell>
          <cell r="AC36">
            <v>24450.079716000007</v>
          </cell>
          <cell r="AD36">
            <v>719.86028400000032</v>
          </cell>
          <cell r="AE36">
            <v>25169.94000000001</v>
          </cell>
          <cell r="AG36">
            <v>16666.666666666668</v>
          </cell>
          <cell r="AH36">
            <v>14618.333333333334</v>
          </cell>
          <cell r="AI36">
            <v>2048.3333333333335</v>
          </cell>
          <cell r="AJ36">
            <v>26451.999120000008</v>
          </cell>
          <cell r="AK36">
            <v>778.80088000000023</v>
          </cell>
          <cell r="AL36">
            <v>27230.800000000007</v>
          </cell>
          <cell r="AN36">
            <v>16666.666666666668</v>
          </cell>
          <cell r="AO36">
            <v>14618.333333333334</v>
          </cell>
          <cell r="AP36">
            <v>2048.3333333333335</v>
          </cell>
          <cell r="AQ36">
            <v>0</v>
          </cell>
          <cell r="AR36">
            <v>0</v>
          </cell>
          <cell r="AS36"/>
          <cell r="AU36">
            <v>16666.666666666668</v>
          </cell>
          <cell r="AV36">
            <v>14618.333333333334</v>
          </cell>
          <cell r="AW36">
            <v>2048.3333333333335</v>
          </cell>
          <cell r="AX36">
            <v>0</v>
          </cell>
          <cell r="AY36">
            <v>0</v>
          </cell>
          <cell r="AZ36"/>
          <cell r="BB36">
            <v>16666.666666666668</v>
          </cell>
          <cell r="BC36">
            <v>14618.333333333334</v>
          </cell>
          <cell r="BD36">
            <v>2048.3333333333335</v>
          </cell>
          <cell r="BE36">
            <v>0</v>
          </cell>
          <cell r="BF36">
            <v>0</v>
          </cell>
          <cell r="BG36"/>
          <cell r="BI36">
            <v>16666.666666666668</v>
          </cell>
          <cell r="BJ36">
            <v>14618.333333333334</v>
          </cell>
          <cell r="BK36">
            <v>2048.3333333333335</v>
          </cell>
          <cell r="BL36">
            <v>0</v>
          </cell>
          <cell r="BM36">
            <v>0</v>
          </cell>
          <cell r="BN36"/>
          <cell r="BP36">
            <v>16666.666666666668</v>
          </cell>
          <cell r="BQ36">
            <v>14618.333333333334</v>
          </cell>
          <cell r="BR36">
            <v>2048.3333333333335</v>
          </cell>
          <cell r="BS36">
            <v>0</v>
          </cell>
          <cell r="BT36">
            <v>0</v>
          </cell>
          <cell r="BU36"/>
          <cell r="BW36">
            <v>16666.666666666668</v>
          </cell>
          <cell r="BX36">
            <v>14618.333333333334</v>
          </cell>
          <cell r="BY36">
            <v>2048.3333333333335</v>
          </cell>
          <cell r="BZ36">
            <v>0</v>
          </cell>
          <cell r="CA36">
            <v>0</v>
          </cell>
          <cell r="CB36"/>
          <cell r="CD36">
            <v>16666.666666666668</v>
          </cell>
          <cell r="CE36">
            <v>14618.333333333334</v>
          </cell>
          <cell r="CF36">
            <v>2048.3333333333335</v>
          </cell>
          <cell r="CG36">
            <v>0</v>
          </cell>
          <cell r="CH36">
            <v>0</v>
          </cell>
          <cell r="CI36"/>
          <cell r="CK36">
            <v>16666.666666666668</v>
          </cell>
          <cell r="CL36">
            <v>14618.333333333334</v>
          </cell>
          <cell r="CM36">
            <v>2048.3333333333335</v>
          </cell>
          <cell r="CN36">
            <v>0</v>
          </cell>
          <cell r="CO36">
            <v>0</v>
          </cell>
          <cell r="CP36"/>
        </row>
        <row r="37">
          <cell r="L37">
            <v>16666.666666666668</v>
          </cell>
          <cell r="M37">
            <v>14618.333333333334</v>
          </cell>
          <cell r="N37">
            <v>2048.3333333333335</v>
          </cell>
          <cell r="O37">
            <v>11097.361026000004</v>
          </cell>
          <cell r="P37">
            <v>326.72897400000011</v>
          </cell>
          <cell r="Q37">
            <v>11424.090000000004</v>
          </cell>
          <cell r="S37">
            <v>16666.666666666668</v>
          </cell>
          <cell r="T37">
            <v>14618.333333333334</v>
          </cell>
          <cell r="U37">
            <v>2048.3333333333335</v>
          </cell>
          <cell r="V37">
            <v>7606.5477000000001</v>
          </cell>
          <cell r="W37">
            <v>223.95230000000001</v>
          </cell>
          <cell r="X37">
            <v>7830.5</v>
          </cell>
          <cell r="Z37">
            <v>16666.666666666668</v>
          </cell>
          <cell r="AA37">
            <v>14618.333333333334</v>
          </cell>
          <cell r="AB37">
            <v>2048.3333333333335</v>
          </cell>
          <cell r="AC37">
            <v>11010.576149999994</v>
          </cell>
          <cell r="AD37">
            <v>324.17384999999979</v>
          </cell>
          <cell r="AE37">
            <v>11334.749999999993</v>
          </cell>
          <cell r="AG37">
            <v>16666.666666666668</v>
          </cell>
          <cell r="AH37">
            <v>14618.333333333334</v>
          </cell>
          <cell r="AI37">
            <v>2048.3333333333335</v>
          </cell>
          <cell r="AJ37">
            <v>11012.499521999993</v>
          </cell>
          <cell r="AK37">
            <v>324.23047799999978</v>
          </cell>
          <cell r="AL37">
            <v>11336.729999999992</v>
          </cell>
          <cell r="AN37">
            <v>16666.666666666668</v>
          </cell>
          <cell r="AO37">
            <v>14618.333333333334</v>
          </cell>
          <cell r="AP37">
            <v>2048.3333333333335</v>
          </cell>
          <cell r="AQ37">
            <v>0</v>
          </cell>
          <cell r="AR37">
            <v>0</v>
          </cell>
          <cell r="AS37"/>
          <cell r="AU37">
            <v>16666.666666666668</v>
          </cell>
          <cell r="AV37">
            <v>14618.333333333334</v>
          </cell>
          <cell r="AW37">
            <v>2048.3333333333335</v>
          </cell>
          <cell r="AX37">
            <v>0</v>
          </cell>
          <cell r="AY37">
            <v>0</v>
          </cell>
          <cell r="AZ37"/>
          <cell r="BB37">
            <v>16666.666666666668</v>
          </cell>
          <cell r="BC37">
            <v>14618.333333333334</v>
          </cell>
          <cell r="BD37">
            <v>2048.3333333333335</v>
          </cell>
          <cell r="BE37">
            <v>0</v>
          </cell>
          <cell r="BF37">
            <v>0</v>
          </cell>
          <cell r="BG37"/>
          <cell r="BI37">
            <v>16666.666666666668</v>
          </cell>
          <cell r="BJ37">
            <v>14618.333333333334</v>
          </cell>
          <cell r="BK37">
            <v>2048.3333333333335</v>
          </cell>
          <cell r="BL37">
            <v>0</v>
          </cell>
          <cell r="BM37">
            <v>0</v>
          </cell>
          <cell r="BN37"/>
          <cell r="BP37">
            <v>16666.666666666668</v>
          </cell>
          <cell r="BQ37">
            <v>14618.333333333334</v>
          </cell>
          <cell r="BR37">
            <v>2048.3333333333335</v>
          </cell>
          <cell r="BS37">
            <v>0</v>
          </cell>
          <cell r="BT37">
            <v>0</v>
          </cell>
          <cell r="BU37"/>
          <cell r="BW37">
            <v>16666.666666666668</v>
          </cell>
          <cell r="BX37">
            <v>14618.333333333334</v>
          </cell>
          <cell r="BY37">
            <v>2048.3333333333335</v>
          </cell>
          <cell r="BZ37">
            <v>0</v>
          </cell>
          <cell r="CA37">
            <v>0</v>
          </cell>
          <cell r="CB37"/>
          <cell r="CD37">
            <v>16666.666666666668</v>
          </cell>
          <cell r="CE37">
            <v>14618.333333333334</v>
          </cell>
          <cell r="CF37">
            <v>2048.3333333333335</v>
          </cell>
          <cell r="CG37">
            <v>0</v>
          </cell>
          <cell r="CH37">
            <v>0</v>
          </cell>
          <cell r="CI37"/>
          <cell r="CK37">
            <v>16666.666666666668</v>
          </cell>
          <cell r="CL37">
            <v>14618.333333333334</v>
          </cell>
          <cell r="CM37">
            <v>2048.3333333333335</v>
          </cell>
          <cell r="CN37">
            <v>0</v>
          </cell>
          <cell r="CO37">
            <v>0</v>
          </cell>
          <cell r="CP37"/>
        </row>
        <row r="38">
          <cell r="L38">
            <v>5833.333333333333</v>
          </cell>
          <cell r="M38">
            <v>5116.4166666666661</v>
          </cell>
          <cell r="N38">
            <v>716.91666666666663</v>
          </cell>
          <cell r="O38">
            <v>2494.9146179999998</v>
          </cell>
          <cell r="P38">
            <v>73.455382</v>
          </cell>
          <cell r="Q38">
            <v>2568.37</v>
          </cell>
          <cell r="S38">
            <v>5833.333333333333</v>
          </cell>
          <cell r="T38">
            <v>5116.4166666666661</v>
          </cell>
          <cell r="U38">
            <v>716.91666666666663</v>
          </cell>
          <cell r="V38">
            <v>4025.0250419999998</v>
          </cell>
          <cell r="W38">
            <v>118.50495799999999</v>
          </cell>
          <cell r="X38">
            <v>4143.53</v>
          </cell>
          <cell r="Z38">
            <v>5833.333333333333</v>
          </cell>
          <cell r="AA38">
            <v>5116.4166666666661</v>
          </cell>
          <cell r="AB38">
            <v>716.91666666666663</v>
          </cell>
          <cell r="AC38">
            <v>10697.34822</v>
          </cell>
          <cell r="AD38">
            <v>314.95177999999999</v>
          </cell>
          <cell r="AE38">
            <v>11012.3</v>
          </cell>
          <cell r="AG38">
            <v>5833.333333333333</v>
          </cell>
          <cell r="AH38">
            <v>5116.4166666666661</v>
          </cell>
          <cell r="AI38">
            <v>716.91666666666663</v>
          </cell>
          <cell r="AJ38">
            <v>15985.096121999999</v>
          </cell>
          <cell r="AK38">
            <v>470.63387799999998</v>
          </cell>
          <cell r="AL38">
            <v>16455.73</v>
          </cell>
          <cell r="AN38">
            <v>5833.333333333333</v>
          </cell>
          <cell r="AO38">
            <v>5116.4166666666661</v>
          </cell>
          <cell r="AP38">
            <v>716.91666666666663</v>
          </cell>
          <cell r="AQ38">
            <v>0</v>
          </cell>
          <cell r="AR38">
            <v>0</v>
          </cell>
          <cell r="AS38"/>
          <cell r="AU38">
            <v>5833.333333333333</v>
          </cell>
          <cell r="AV38">
            <v>5116.4166666666661</v>
          </cell>
          <cell r="AW38">
            <v>716.91666666666663</v>
          </cell>
          <cell r="AX38">
            <v>0</v>
          </cell>
          <cell r="AY38">
            <v>0</v>
          </cell>
          <cell r="AZ38"/>
          <cell r="BB38">
            <v>5833.333333333333</v>
          </cell>
          <cell r="BC38">
            <v>5116.4166666666661</v>
          </cell>
          <cell r="BD38">
            <v>716.91666666666663</v>
          </cell>
          <cell r="BE38">
            <v>0</v>
          </cell>
          <cell r="BF38">
            <v>0</v>
          </cell>
          <cell r="BG38"/>
          <cell r="BI38">
            <v>5833.333333333333</v>
          </cell>
          <cell r="BJ38">
            <v>5116.4166666666661</v>
          </cell>
          <cell r="BK38">
            <v>716.91666666666663</v>
          </cell>
          <cell r="BL38">
            <v>0</v>
          </cell>
          <cell r="BM38">
            <v>0</v>
          </cell>
          <cell r="BN38"/>
          <cell r="BP38">
            <v>5833.333333333333</v>
          </cell>
          <cell r="BQ38">
            <v>5116.4166666666661</v>
          </cell>
          <cell r="BR38">
            <v>716.91666666666663</v>
          </cell>
          <cell r="BS38">
            <v>0</v>
          </cell>
          <cell r="BT38">
            <v>0</v>
          </cell>
          <cell r="BU38"/>
          <cell r="BW38">
            <v>5833.333333333333</v>
          </cell>
          <cell r="BX38">
            <v>5116.4166666666661</v>
          </cell>
          <cell r="BY38">
            <v>716.91666666666663</v>
          </cell>
          <cell r="BZ38">
            <v>0</v>
          </cell>
          <cell r="CA38">
            <v>0</v>
          </cell>
          <cell r="CB38"/>
          <cell r="CD38">
            <v>5833.333333333333</v>
          </cell>
          <cell r="CE38">
            <v>5116.4166666666661</v>
          </cell>
          <cell r="CF38">
            <v>716.91666666666663</v>
          </cell>
          <cell r="CG38">
            <v>0</v>
          </cell>
          <cell r="CH38">
            <v>0</v>
          </cell>
          <cell r="CI38"/>
          <cell r="CK38">
            <v>5833.333333333333</v>
          </cell>
          <cell r="CL38">
            <v>5116.4166666666661</v>
          </cell>
          <cell r="CM38">
            <v>716.91666666666663</v>
          </cell>
          <cell r="CN38">
            <v>0</v>
          </cell>
          <cell r="CO38">
            <v>0</v>
          </cell>
          <cell r="CP38"/>
        </row>
        <row r="39">
          <cell r="L39">
            <v>833.33333333333337</v>
          </cell>
          <cell r="M39">
            <v>730.91666666666674</v>
          </cell>
          <cell r="N39">
            <v>102.41666666666667</v>
          </cell>
          <cell r="O39">
            <v>3435.7640879999999</v>
          </cell>
          <cell r="P39">
            <v>101.155912</v>
          </cell>
          <cell r="Q39">
            <v>3536.92</v>
          </cell>
          <cell r="S39">
            <v>833.33333333333337</v>
          </cell>
          <cell r="T39">
            <v>730.91666666666674</v>
          </cell>
          <cell r="U39">
            <v>102.41666666666667</v>
          </cell>
          <cell r="V39">
            <v>0</v>
          </cell>
          <cell r="W39">
            <v>0</v>
          </cell>
          <cell r="X39"/>
          <cell r="Z39">
            <v>833.33333333333337</v>
          </cell>
          <cell r="AA39">
            <v>730.91666666666674</v>
          </cell>
          <cell r="AB39">
            <v>102.41666666666667</v>
          </cell>
          <cell r="AC39">
            <v>0</v>
          </cell>
          <cell r="AD39">
            <v>0</v>
          </cell>
          <cell r="AE39"/>
          <cell r="AG39">
            <v>833.33333333333337</v>
          </cell>
          <cell r="AH39">
            <v>730.91666666666674</v>
          </cell>
          <cell r="AI39">
            <v>102.41666666666667</v>
          </cell>
          <cell r="AJ39">
            <v>335.11357200000003</v>
          </cell>
          <cell r="AK39">
            <v>9.8664280000000009</v>
          </cell>
          <cell r="AL39">
            <v>344.98</v>
          </cell>
          <cell r="AN39">
            <v>833.33333333333337</v>
          </cell>
          <cell r="AO39">
            <v>730.91666666666674</v>
          </cell>
          <cell r="AP39">
            <v>102.41666666666667</v>
          </cell>
          <cell r="AQ39">
            <v>0</v>
          </cell>
          <cell r="AR39">
            <v>0</v>
          </cell>
          <cell r="AS39"/>
          <cell r="AU39">
            <v>833.33333333333337</v>
          </cell>
          <cell r="AV39">
            <v>730.91666666666674</v>
          </cell>
          <cell r="AW39">
            <v>102.41666666666667</v>
          </cell>
          <cell r="AX39">
            <v>0</v>
          </cell>
          <cell r="AY39">
            <v>0</v>
          </cell>
          <cell r="AZ39"/>
          <cell r="BB39">
            <v>833.33333333333337</v>
          </cell>
          <cell r="BC39">
            <v>730.91666666666674</v>
          </cell>
          <cell r="BD39">
            <v>102.41666666666667</v>
          </cell>
          <cell r="BE39">
            <v>0</v>
          </cell>
          <cell r="BF39">
            <v>0</v>
          </cell>
          <cell r="BG39"/>
          <cell r="BI39">
            <v>833.33333333333337</v>
          </cell>
          <cell r="BJ39">
            <v>730.91666666666674</v>
          </cell>
          <cell r="BK39">
            <v>102.41666666666667</v>
          </cell>
          <cell r="BL39">
            <v>0</v>
          </cell>
          <cell r="BM39">
            <v>0</v>
          </cell>
          <cell r="BN39"/>
          <cell r="BP39">
            <v>833.33333333333337</v>
          </cell>
          <cell r="BQ39">
            <v>730.91666666666674</v>
          </cell>
          <cell r="BR39">
            <v>102.41666666666667</v>
          </cell>
          <cell r="BS39">
            <v>0</v>
          </cell>
          <cell r="BT39">
            <v>0</v>
          </cell>
          <cell r="BU39"/>
          <cell r="BW39">
            <v>833.33333333333337</v>
          </cell>
          <cell r="BX39">
            <v>730.91666666666674</v>
          </cell>
          <cell r="BY39">
            <v>102.41666666666667</v>
          </cell>
          <cell r="BZ39">
            <v>0</v>
          </cell>
          <cell r="CA39">
            <v>0</v>
          </cell>
          <cell r="CB39"/>
          <cell r="CD39">
            <v>833.33333333333337</v>
          </cell>
          <cell r="CE39">
            <v>730.91666666666674</v>
          </cell>
          <cell r="CF39">
            <v>102.41666666666667</v>
          </cell>
          <cell r="CG39">
            <v>0</v>
          </cell>
          <cell r="CH39">
            <v>0</v>
          </cell>
          <cell r="CI39"/>
          <cell r="CK39">
            <v>833.33333333333337</v>
          </cell>
          <cell r="CL39">
            <v>730.91666666666674</v>
          </cell>
          <cell r="CM39">
            <v>102.41666666666667</v>
          </cell>
          <cell r="CN39">
            <v>0</v>
          </cell>
          <cell r="CO39">
            <v>0</v>
          </cell>
          <cell r="CP39"/>
        </row>
        <row r="40">
          <cell r="L40">
            <v>4166.666666666667</v>
          </cell>
          <cell r="M40">
            <v>3654.5833333333335</v>
          </cell>
          <cell r="N40">
            <v>512.08333333333337</v>
          </cell>
          <cell r="O40">
            <v>4946.9516400000002</v>
          </cell>
          <cell r="P40">
            <v>145.64836000000003</v>
          </cell>
          <cell r="Q40">
            <v>5092.6000000000004</v>
          </cell>
          <cell r="S40">
            <v>4166.666666666667</v>
          </cell>
          <cell r="T40">
            <v>3654.5833333333335</v>
          </cell>
          <cell r="U40">
            <v>512.08333333333337</v>
          </cell>
          <cell r="V40">
            <v>6102.9176400000006</v>
          </cell>
          <cell r="W40">
            <v>179.68236000000002</v>
          </cell>
          <cell r="X40">
            <v>6282.6</v>
          </cell>
          <cell r="Z40">
            <v>4166.666666666667</v>
          </cell>
          <cell r="AA40">
            <v>3654.5833333333335</v>
          </cell>
          <cell r="AB40">
            <v>512.08333333333337</v>
          </cell>
          <cell r="AC40">
            <v>8881.1216400000012</v>
          </cell>
          <cell r="AD40">
            <v>261.47836000000001</v>
          </cell>
          <cell r="AE40">
            <v>9142.6</v>
          </cell>
          <cell r="AG40">
            <v>4166.666666666667</v>
          </cell>
          <cell r="AH40">
            <v>3654.5833333333335</v>
          </cell>
          <cell r="AI40">
            <v>512.08333333333337</v>
          </cell>
          <cell r="AJ40">
            <v>7197.1317419999996</v>
          </cell>
          <cell r="AK40">
            <v>211.898258</v>
          </cell>
          <cell r="AL40">
            <v>7409.03</v>
          </cell>
          <cell r="AN40">
            <v>4166.666666666667</v>
          </cell>
          <cell r="AO40">
            <v>3654.5833333333335</v>
          </cell>
          <cell r="AP40">
            <v>512.08333333333337</v>
          </cell>
          <cell r="AQ40">
            <v>0</v>
          </cell>
          <cell r="AR40">
            <v>0</v>
          </cell>
          <cell r="AS40"/>
          <cell r="AU40">
            <v>4166.666666666667</v>
          </cell>
          <cell r="AV40">
            <v>3654.5833333333335</v>
          </cell>
          <cell r="AW40">
            <v>512.08333333333337</v>
          </cell>
          <cell r="AX40">
            <v>0</v>
          </cell>
          <cell r="AY40">
            <v>0</v>
          </cell>
          <cell r="AZ40"/>
          <cell r="BB40">
            <v>4166.666666666667</v>
          </cell>
          <cell r="BC40">
            <v>3654.5833333333335</v>
          </cell>
          <cell r="BD40">
            <v>512.08333333333337</v>
          </cell>
          <cell r="BE40">
            <v>0</v>
          </cell>
          <cell r="BF40">
            <v>0</v>
          </cell>
          <cell r="BG40"/>
          <cell r="BI40">
            <v>4166.666666666667</v>
          </cell>
          <cell r="BJ40">
            <v>3654.5833333333335</v>
          </cell>
          <cell r="BK40">
            <v>512.08333333333337</v>
          </cell>
          <cell r="BL40">
            <v>0</v>
          </cell>
          <cell r="BM40">
            <v>0</v>
          </cell>
          <cell r="BN40"/>
          <cell r="BP40">
            <v>4166.666666666667</v>
          </cell>
          <cell r="BQ40">
            <v>3654.5833333333335</v>
          </cell>
          <cell r="BR40">
            <v>512.08333333333337</v>
          </cell>
          <cell r="BS40">
            <v>0</v>
          </cell>
          <cell r="BT40">
            <v>0</v>
          </cell>
          <cell r="BU40"/>
          <cell r="BW40">
            <v>4166.666666666667</v>
          </cell>
          <cell r="BX40">
            <v>3654.5833333333335</v>
          </cell>
          <cell r="BY40">
            <v>512.08333333333337</v>
          </cell>
          <cell r="BZ40">
            <v>0</v>
          </cell>
          <cell r="CA40">
            <v>0</v>
          </cell>
          <cell r="CB40"/>
          <cell r="CD40">
            <v>4166.666666666667</v>
          </cell>
          <cell r="CE40">
            <v>3654.5833333333335</v>
          </cell>
          <cell r="CF40">
            <v>512.08333333333337</v>
          </cell>
          <cell r="CG40">
            <v>0</v>
          </cell>
          <cell r="CH40">
            <v>0</v>
          </cell>
          <cell r="CI40"/>
          <cell r="CK40">
            <v>4166.666666666667</v>
          </cell>
          <cell r="CL40">
            <v>3654.5833333333335</v>
          </cell>
          <cell r="CM40">
            <v>512.08333333333337</v>
          </cell>
          <cell r="CN40">
            <v>0</v>
          </cell>
          <cell r="CO40">
            <v>0</v>
          </cell>
          <cell r="CP40"/>
        </row>
        <row r="41">
          <cell r="L41">
            <v>21000</v>
          </cell>
          <cell r="M41">
            <v>18419.099999999999</v>
          </cell>
          <cell r="N41">
            <v>2580.9</v>
          </cell>
          <cell r="O41">
            <v>20399.400000000001</v>
          </cell>
          <cell r="P41">
            <v>600.6</v>
          </cell>
          <cell r="Q41">
            <v>21000</v>
          </cell>
          <cell r="S41">
            <v>21000</v>
          </cell>
          <cell r="T41">
            <v>18419.099999999999</v>
          </cell>
          <cell r="U41">
            <v>2580.9</v>
          </cell>
          <cell r="V41">
            <v>20399.400000000001</v>
          </cell>
          <cell r="W41">
            <v>600.6</v>
          </cell>
          <cell r="X41">
            <v>21000</v>
          </cell>
          <cell r="Z41">
            <v>21000</v>
          </cell>
          <cell r="AA41">
            <v>18419.099999999999</v>
          </cell>
          <cell r="AB41">
            <v>2580.9</v>
          </cell>
          <cell r="AC41">
            <v>20399.400000000001</v>
          </cell>
          <cell r="AD41">
            <v>600.6</v>
          </cell>
          <cell r="AE41">
            <v>21000</v>
          </cell>
          <cell r="AG41">
            <v>21000</v>
          </cell>
          <cell r="AH41">
            <v>18419.099999999999</v>
          </cell>
          <cell r="AI41">
            <v>2580.9</v>
          </cell>
          <cell r="AJ41">
            <v>20399.400000000001</v>
          </cell>
          <cell r="AK41">
            <v>600.6</v>
          </cell>
          <cell r="AL41">
            <v>21000</v>
          </cell>
          <cell r="AN41">
            <v>21000</v>
          </cell>
          <cell r="AO41">
            <v>18419.099999999999</v>
          </cell>
          <cell r="AP41">
            <v>2580.9</v>
          </cell>
          <cell r="AQ41">
            <v>0</v>
          </cell>
          <cell r="AR41">
            <v>0</v>
          </cell>
          <cell r="AS41"/>
          <cell r="AU41">
            <v>21000</v>
          </cell>
          <cell r="AV41">
            <v>18419.099999999999</v>
          </cell>
          <cell r="AW41">
            <v>2580.9</v>
          </cell>
          <cell r="AX41">
            <v>0</v>
          </cell>
          <cell r="AY41">
            <v>0</v>
          </cell>
          <cell r="AZ41"/>
          <cell r="BB41">
            <v>21000</v>
          </cell>
          <cell r="BC41">
            <v>18419.099999999999</v>
          </cell>
          <cell r="BD41">
            <v>2580.9</v>
          </cell>
          <cell r="BE41">
            <v>0</v>
          </cell>
          <cell r="BF41">
            <v>0</v>
          </cell>
          <cell r="BG41"/>
          <cell r="BI41">
            <v>21000</v>
          </cell>
          <cell r="BJ41">
            <v>18419.099999999999</v>
          </cell>
          <cell r="BK41">
            <v>2580.9</v>
          </cell>
          <cell r="BL41">
            <v>0</v>
          </cell>
          <cell r="BM41">
            <v>0</v>
          </cell>
          <cell r="BN41"/>
          <cell r="BP41">
            <v>21000</v>
          </cell>
          <cell r="BQ41">
            <v>18419.099999999999</v>
          </cell>
          <cell r="BR41">
            <v>2580.9</v>
          </cell>
          <cell r="BS41">
            <v>0</v>
          </cell>
          <cell r="BT41">
            <v>0</v>
          </cell>
          <cell r="BU41"/>
          <cell r="BW41">
            <v>21000</v>
          </cell>
          <cell r="BX41">
            <v>18419.099999999999</v>
          </cell>
          <cell r="BY41">
            <v>2580.9</v>
          </cell>
          <cell r="BZ41">
            <v>0</v>
          </cell>
          <cell r="CA41">
            <v>0</v>
          </cell>
          <cell r="CB41"/>
          <cell r="CD41">
            <v>21000</v>
          </cell>
          <cell r="CE41">
            <v>18419.099999999999</v>
          </cell>
          <cell r="CF41">
            <v>2580.9</v>
          </cell>
          <cell r="CG41">
            <v>0</v>
          </cell>
          <cell r="CH41">
            <v>0</v>
          </cell>
          <cell r="CI41"/>
          <cell r="CK41">
            <v>21000</v>
          </cell>
          <cell r="CL41">
            <v>18419.099999999999</v>
          </cell>
          <cell r="CM41">
            <v>2580.9</v>
          </cell>
          <cell r="CN41">
            <v>0</v>
          </cell>
          <cell r="CO41">
            <v>0</v>
          </cell>
          <cell r="CP41"/>
        </row>
        <row r="42">
          <cell r="L42">
            <v>152962.86448199998</v>
          </cell>
          <cell r="M42">
            <v>134163.72843716218</v>
          </cell>
          <cell r="N42">
            <v>18799.136044837796</v>
          </cell>
          <cell r="O42">
            <v>139673.95353599999</v>
          </cell>
          <cell r="P42">
            <v>4112.2864639999998</v>
          </cell>
          <cell r="Q42">
            <v>143786.23999999999</v>
          </cell>
          <cell r="S42">
            <v>152962.86448199998</v>
          </cell>
          <cell r="T42">
            <v>134163.72843716218</v>
          </cell>
          <cell r="U42">
            <v>18799.136044837796</v>
          </cell>
          <cell r="V42">
            <v>131405.40645000001</v>
          </cell>
          <cell r="W42">
            <v>3868.8435500000001</v>
          </cell>
          <cell r="X42">
            <v>135274.25</v>
          </cell>
          <cell r="Z42">
            <v>152962.86448199998</v>
          </cell>
          <cell r="AA42">
            <v>134163.72843716218</v>
          </cell>
          <cell r="AB42">
            <v>18799.136044837796</v>
          </cell>
          <cell r="AC42">
            <v>136562.986752</v>
          </cell>
          <cell r="AD42">
            <v>4020.693248</v>
          </cell>
          <cell r="AE42">
            <v>140583.67999999999</v>
          </cell>
          <cell r="AG42">
            <v>152962.86448199998</v>
          </cell>
          <cell r="AH42">
            <v>134163.72843716218</v>
          </cell>
          <cell r="AI42">
            <v>18799.136044837796</v>
          </cell>
          <cell r="AJ42">
            <v>136448.62383</v>
          </cell>
          <cell r="AK42">
            <v>4017.3261700000003</v>
          </cell>
          <cell r="AL42">
            <v>140465.95000000001</v>
          </cell>
          <cell r="AN42">
            <v>152962.86448199998</v>
          </cell>
          <cell r="AO42">
            <v>134163.72843716218</v>
          </cell>
          <cell r="AP42">
            <v>18799.136044837796</v>
          </cell>
          <cell r="AQ42">
            <v>0</v>
          </cell>
          <cell r="AR42">
            <v>0</v>
          </cell>
          <cell r="AS42"/>
          <cell r="AU42">
            <v>152962.86448199998</v>
          </cell>
          <cell r="AV42">
            <v>134163.72843716218</v>
          </cell>
          <cell r="AW42">
            <v>18799.136044837796</v>
          </cell>
          <cell r="AX42">
            <v>0</v>
          </cell>
          <cell r="AY42">
            <v>0</v>
          </cell>
          <cell r="AZ42"/>
          <cell r="BB42">
            <v>152962.86448199998</v>
          </cell>
          <cell r="BC42">
            <v>134163.72843716218</v>
          </cell>
          <cell r="BD42">
            <v>18799.136044837796</v>
          </cell>
          <cell r="BE42">
            <v>0</v>
          </cell>
          <cell r="BF42">
            <v>0</v>
          </cell>
          <cell r="BG42"/>
          <cell r="BI42">
            <v>152962.86448199998</v>
          </cell>
          <cell r="BJ42">
            <v>134163.72843716218</v>
          </cell>
          <cell r="BK42">
            <v>18799.136044837796</v>
          </cell>
          <cell r="BL42">
            <v>0</v>
          </cell>
          <cell r="BM42">
            <v>0</v>
          </cell>
          <cell r="BN42"/>
          <cell r="BP42">
            <v>152962.86448199998</v>
          </cell>
          <cell r="BQ42">
            <v>134163.72843716218</v>
          </cell>
          <cell r="BR42">
            <v>18799.136044837796</v>
          </cell>
          <cell r="BS42">
            <v>0</v>
          </cell>
          <cell r="BT42">
            <v>0</v>
          </cell>
          <cell r="BU42"/>
          <cell r="BW42">
            <v>152962.86448199998</v>
          </cell>
          <cell r="BX42">
            <v>134163.72843716218</v>
          </cell>
          <cell r="BY42">
            <v>18799.136044837796</v>
          </cell>
          <cell r="BZ42">
            <v>0</v>
          </cell>
          <cell r="CA42">
            <v>0</v>
          </cell>
          <cell r="CB42"/>
          <cell r="CD42">
            <v>152962.86448199998</v>
          </cell>
          <cell r="CE42">
            <v>134163.72843716218</v>
          </cell>
          <cell r="CF42">
            <v>18799.136044837796</v>
          </cell>
          <cell r="CG42">
            <v>0</v>
          </cell>
          <cell r="CH42">
            <v>0</v>
          </cell>
          <cell r="CI42"/>
          <cell r="CK42">
            <v>152962.86448199998</v>
          </cell>
          <cell r="CL42">
            <v>134163.72843716218</v>
          </cell>
          <cell r="CM42">
            <v>18799.136044837796</v>
          </cell>
          <cell r="CN42">
            <v>0</v>
          </cell>
          <cell r="CO42">
            <v>0</v>
          </cell>
          <cell r="CP42"/>
        </row>
        <row r="43">
          <cell r="L43">
            <v>6618.4999999999991</v>
          </cell>
          <cell r="M43">
            <v>5805.0863499999996</v>
          </cell>
          <cell r="N43">
            <v>813.41364999999985</v>
          </cell>
          <cell r="O43">
            <v>7742.4659879999999</v>
          </cell>
          <cell r="P43">
            <v>227.95401200000001</v>
          </cell>
          <cell r="Q43">
            <v>7970.42</v>
          </cell>
          <cell r="S43">
            <v>6618.4999999999991</v>
          </cell>
          <cell r="T43">
            <v>5805.0863499999996</v>
          </cell>
          <cell r="U43">
            <v>813.41364999999985</v>
          </cell>
          <cell r="V43">
            <v>9942.8326980000002</v>
          </cell>
          <cell r="W43">
            <v>292.737302</v>
          </cell>
          <cell r="X43">
            <v>10235.57</v>
          </cell>
          <cell r="Z43">
            <v>6618.4999999999991</v>
          </cell>
          <cell r="AA43">
            <v>5805.0863499999996</v>
          </cell>
          <cell r="AB43">
            <v>813.41364999999985</v>
          </cell>
          <cell r="AC43">
            <v>6923.1969419999996</v>
          </cell>
          <cell r="AD43">
            <v>203.83305799999999</v>
          </cell>
          <cell r="AE43">
            <v>7127.03</v>
          </cell>
          <cell r="AG43">
            <v>6618.4999999999991</v>
          </cell>
          <cell r="AH43">
            <v>5805.0863499999996</v>
          </cell>
          <cell r="AI43">
            <v>813.41364999999985</v>
          </cell>
          <cell r="AJ43">
            <v>7512.4870380000002</v>
          </cell>
          <cell r="AK43">
            <v>221.182962</v>
          </cell>
          <cell r="AL43">
            <v>7733.67</v>
          </cell>
          <cell r="AN43">
            <v>6618.4999999999991</v>
          </cell>
          <cell r="AO43">
            <v>5805.0863499999996</v>
          </cell>
          <cell r="AP43">
            <v>813.41364999999985</v>
          </cell>
          <cell r="AQ43">
            <v>0</v>
          </cell>
          <cell r="AR43">
            <v>0</v>
          </cell>
          <cell r="AS43"/>
          <cell r="AU43">
            <v>6618.4999999999991</v>
          </cell>
          <cell r="AV43">
            <v>5805.0863499999996</v>
          </cell>
          <cell r="AW43">
            <v>813.41364999999985</v>
          </cell>
          <cell r="AX43">
            <v>0</v>
          </cell>
          <cell r="AY43">
            <v>0</v>
          </cell>
          <cell r="AZ43"/>
          <cell r="BB43">
            <v>6618.4999999999991</v>
          </cell>
          <cell r="BC43">
            <v>5805.0863499999996</v>
          </cell>
          <cell r="BD43">
            <v>813.41364999999985</v>
          </cell>
          <cell r="BE43">
            <v>0</v>
          </cell>
          <cell r="BF43">
            <v>0</v>
          </cell>
          <cell r="BG43"/>
          <cell r="BI43">
            <v>6618.4999999999991</v>
          </cell>
          <cell r="BJ43">
            <v>5805.0863499999996</v>
          </cell>
          <cell r="BK43">
            <v>813.41364999999985</v>
          </cell>
          <cell r="BL43">
            <v>0</v>
          </cell>
          <cell r="BM43">
            <v>0</v>
          </cell>
          <cell r="BN43"/>
          <cell r="BP43">
            <v>6618.4999999999991</v>
          </cell>
          <cell r="BQ43">
            <v>5805.0863499999996</v>
          </cell>
          <cell r="BR43">
            <v>813.41364999999985</v>
          </cell>
          <cell r="BS43">
            <v>0</v>
          </cell>
          <cell r="BT43">
            <v>0</v>
          </cell>
          <cell r="BU43"/>
          <cell r="BW43">
            <v>6618.4999999999991</v>
          </cell>
          <cell r="BX43">
            <v>5805.0863499999996</v>
          </cell>
          <cell r="BY43">
            <v>813.41364999999985</v>
          </cell>
          <cell r="BZ43">
            <v>0</v>
          </cell>
          <cell r="CA43">
            <v>0</v>
          </cell>
          <cell r="CB43"/>
          <cell r="CD43">
            <v>6618.4999999999991</v>
          </cell>
          <cell r="CE43">
            <v>5805.0863499999996</v>
          </cell>
          <cell r="CF43">
            <v>813.41364999999985</v>
          </cell>
          <cell r="CG43">
            <v>0</v>
          </cell>
          <cell r="CH43">
            <v>0</v>
          </cell>
          <cell r="CI43"/>
          <cell r="CK43">
            <v>6618.4999999999991</v>
          </cell>
          <cell r="CL43">
            <v>5805.0863499999996</v>
          </cell>
          <cell r="CM43">
            <v>813.41364999999985</v>
          </cell>
          <cell r="CN43">
            <v>0</v>
          </cell>
          <cell r="CO43">
            <v>0</v>
          </cell>
          <cell r="CP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/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/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/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/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/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/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/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/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/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/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/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/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/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/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/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/>
        </row>
        <row r="48">
          <cell r="L48">
            <v>4166.666666666667</v>
          </cell>
          <cell r="M48">
            <v>3654.5833333333335</v>
          </cell>
          <cell r="N48">
            <v>512.08333333333337</v>
          </cell>
          <cell r="O48">
            <v>620.82173999999998</v>
          </cell>
          <cell r="P48">
            <v>18.27826</v>
          </cell>
          <cell r="Q48">
            <v>639.1</v>
          </cell>
          <cell r="S48">
            <v>4166.666666666667</v>
          </cell>
          <cell r="T48">
            <v>3654.5833333333335</v>
          </cell>
          <cell r="U48">
            <v>512.08333333333337</v>
          </cell>
          <cell r="V48">
            <v>590.36834999999996</v>
          </cell>
          <cell r="W48">
            <v>17.38165</v>
          </cell>
          <cell r="X48">
            <v>607.75</v>
          </cell>
          <cell r="Z48">
            <v>4166.666666666667</v>
          </cell>
          <cell r="AA48">
            <v>3654.5833333333335</v>
          </cell>
          <cell r="AB48">
            <v>512.08333333333337</v>
          </cell>
          <cell r="AC48">
            <v>2905.2631200000001</v>
          </cell>
          <cell r="AD48">
            <v>85.536880000000011</v>
          </cell>
          <cell r="AE48">
            <v>2990.8</v>
          </cell>
          <cell r="AG48">
            <v>4166.666666666667</v>
          </cell>
          <cell r="AH48">
            <v>3654.5833333333335</v>
          </cell>
          <cell r="AI48">
            <v>512.08333333333337</v>
          </cell>
          <cell r="AJ48">
            <v>483.36864000000003</v>
          </cell>
          <cell r="AK48">
            <v>14.23136</v>
          </cell>
          <cell r="AL48">
            <v>497.6</v>
          </cell>
          <cell r="AN48">
            <v>4166.666666666667</v>
          </cell>
          <cell r="AO48">
            <v>3654.5833333333335</v>
          </cell>
          <cell r="AP48">
            <v>512.08333333333337</v>
          </cell>
          <cell r="AQ48">
            <v>0</v>
          </cell>
          <cell r="AR48">
            <v>0</v>
          </cell>
          <cell r="AS48"/>
          <cell r="AU48">
            <v>4166.666666666667</v>
          </cell>
          <cell r="AV48">
            <v>3654.5833333333335</v>
          </cell>
          <cell r="AW48">
            <v>512.08333333333337</v>
          </cell>
          <cell r="AX48">
            <v>0</v>
          </cell>
          <cell r="AY48">
            <v>0</v>
          </cell>
          <cell r="AZ48"/>
          <cell r="BB48">
            <v>4166.666666666667</v>
          </cell>
          <cell r="BC48">
            <v>3654.5833333333335</v>
          </cell>
          <cell r="BD48">
            <v>512.08333333333337</v>
          </cell>
          <cell r="BE48">
            <v>0</v>
          </cell>
          <cell r="BF48">
            <v>0</v>
          </cell>
          <cell r="BG48"/>
          <cell r="BI48">
            <v>4166.666666666667</v>
          </cell>
          <cell r="BJ48">
            <v>3654.5833333333335</v>
          </cell>
          <cell r="BK48">
            <v>512.08333333333337</v>
          </cell>
          <cell r="BL48">
            <v>0</v>
          </cell>
          <cell r="BM48">
            <v>0</v>
          </cell>
          <cell r="BN48"/>
          <cell r="BP48">
            <v>4166.666666666667</v>
          </cell>
          <cell r="BQ48">
            <v>3654.5833333333335</v>
          </cell>
          <cell r="BR48">
            <v>512.08333333333337</v>
          </cell>
          <cell r="BS48">
            <v>0</v>
          </cell>
          <cell r="BT48">
            <v>0</v>
          </cell>
          <cell r="BU48"/>
          <cell r="BW48">
            <v>4166.666666666667</v>
          </cell>
          <cell r="BX48">
            <v>3654.5833333333335</v>
          </cell>
          <cell r="BY48">
            <v>512.08333333333337</v>
          </cell>
          <cell r="BZ48">
            <v>0</v>
          </cell>
          <cell r="CA48">
            <v>0</v>
          </cell>
          <cell r="CB48"/>
          <cell r="CD48">
            <v>4166.666666666667</v>
          </cell>
          <cell r="CE48">
            <v>3654.5833333333335</v>
          </cell>
          <cell r="CF48">
            <v>512.08333333333337</v>
          </cell>
          <cell r="CG48">
            <v>0</v>
          </cell>
          <cell r="CH48">
            <v>0</v>
          </cell>
          <cell r="CI48"/>
          <cell r="CK48">
            <v>4166.666666666667</v>
          </cell>
          <cell r="CL48">
            <v>3654.5833333333335</v>
          </cell>
          <cell r="CM48">
            <v>512.08333333333337</v>
          </cell>
          <cell r="CN48">
            <v>0</v>
          </cell>
          <cell r="CO48">
            <v>0</v>
          </cell>
          <cell r="CP48"/>
        </row>
        <row r="49">
          <cell r="L49">
            <v>11625</v>
          </cell>
          <cell r="M49">
            <v>10196.2875</v>
          </cell>
          <cell r="N49">
            <v>1428.7124999999999</v>
          </cell>
          <cell r="O49">
            <v>11376.580242</v>
          </cell>
          <cell r="P49">
            <v>334.94975800000003</v>
          </cell>
          <cell r="Q49">
            <v>11711.53</v>
          </cell>
          <cell r="S49">
            <v>11625</v>
          </cell>
          <cell r="T49">
            <v>10196.2875</v>
          </cell>
          <cell r="U49">
            <v>1428.7124999999999</v>
          </cell>
          <cell r="V49">
            <v>6835.7515140000005</v>
          </cell>
          <cell r="W49">
            <v>201.258486</v>
          </cell>
          <cell r="X49">
            <v>7037.01</v>
          </cell>
          <cell r="Z49">
            <v>11625</v>
          </cell>
          <cell r="AA49">
            <v>10196.2875</v>
          </cell>
          <cell r="AB49">
            <v>1428.7124999999999</v>
          </cell>
          <cell r="AC49">
            <v>9521.215956</v>
          </cell>
          <cell r="AD49">
            <v>280.32404400000001</v>
          </cell>
          <cell r="AE49">
            <v>9801.5400000000009</v>
          </cell>
          <cell r="AG49">
            <v>11625</v>
          </cell>
          <cell r="AH49">
            <v>10196.2875</v>
          </cell>
          <cell r="AI49">
            <v>1428.7124999999999</v>
          </cell>
          <cell r="AJ49">
            <v>9458.9977859999999</v>
          </cell>
          <cell r="AK49">
            <v>278.49221399999999</v>
          </cell>
          <cell r="AL49">
            <v>9737.49</v>
          </cell>
          <cell r="AN49">
            <v>11625</v>
          </cell>
          <cell r="AO49">
            <v>10196.2875</v>
          </cell>
          <cell r="AP49">
            <v>1428.7124999999999</v>
          </cell>
          <cell r="AQ49">
            <v>0</v>
          </cell>
          <cell r="AR49">
            <v>0</v>
          </cell>
          <cell r="AS49"/>
          <cell r="AU49">
            <v>11625</v>
          </cell>
          <cell r="AV49">
            <v>10196.2875</v>
          </cell>
          <cell r="AW49">
            <v>1428.7124999999999</v>
          </cell>
          <cell r="AX49">
            <v>0</v>
          </cell>
          <cell r="AY49">
            <v>0</v>
          </cell>
          <cell r="AZ49"/>
          <cell r="BB49">
            <v>11625</v>
          </cell>
          <cell r="BC49">
            <v>10196.2875</v>
          </cell>
          <cell r="BD49">
            <v>1428.7124999999999</v>
          </cell>
          <cell r="BE49">
            <v>0</v>
          </cell>
          <cell r="BF49">
            <v>0</v>
          </cell>
          <cell r="BG49"/>
          <cell r="BI49">
            <v>11625</v>
          </cell>
          <cell r="BJ49">
            <v>10196.2875</v>
          </cell>
          <cell r="BK49">
            <v>1428.7124999999999</v>
          </cell>
          <cell r="BL49">
            <v>0</v>
          </cell>
          <cell r="BM49">
            <v>0</v>
          </cell>
          <cell r="BN49"/>
          <cell r="BP49">
            <v>11625</v>
          </cell>
          <cell r="BQ49">
            <v>10196.2875</v>
          </cell>
          <cell r="BR49">
            <v>1428.7124999999999</v>
          </cell>
          <cell r="BS49">
            <v>0</v>
          </cell>
          <cell r="BT49">
            <v>0</v>
          </cell>
          <cell r="BU49"/>
          <cell r="BW49">
            <v>11625</v>
          </cell>
          <cell r="BX49">
            <v>10196.2875</v>
          </cell>
          <cell r="BY49">
            <v>1428.7124999999999</v>
          </cell>
          <cell r="BZ49">
            <v>0</v>
          </cell>
          <cell r="CA49">
            <v>0</v>
          </cell>
          <cell r="CB49"/>
          <cell r="CD49">
            <v>11625</v>
          </cell>
          <cell r="CE49">
            <v>10196.2875</v>
          </cell>
          <cell r="CF49">
            <v>1428.7124999999999</v>
          </cell>
          <cell r="CG49">
            <v>0</v>
          </cell>
          <cell r="CH49">
            <v>0</v>
          </cell>
          <cell r="CI49"/>
          <cell r="CK49">
            <v>11625</v>
          </cell>
          <cell r="CL49">
            <v>10196.2875</v>
          </cell>
          <cell r="CM49">
            <v>1428.7124999999999</v>
          </cell>
          <cell r="CN49">
            <v>0</v>
          </cell>
          <cell r="CO49">
            <v>0</v>
          </cell>
          <cell r="CP49"/>
        </row>
        <row r="50">
          <cell r="L50">
            <v>787.93333333333339</v>
          </cell>
          <cell r="M50">
            <v>691.09632666666676</v>
          </cell>
          <cell r="N50">
            <v>96.837006666666667</v>
          </cell>
          <cell r="O50">
            <v>715.58181000000002</v>
          </cell>
          <cell r="P50">
            <v>21.068190000000001</v>
          </cell>
          <cell r="Q50">
            <v>736.65</v>
          </cell>
          <cell r="S50">
            <v>787.93333333333339</v>
          </cell>
          <cell r="T50">
            <v>691.09632666666676</v>
          </cell>
          <cell r="U50">
            <v>96.837006666666667</v>
          </cell>
          <cell r="V50">
            <v>828.71105399999999</v>
          </cell>
          <cell r="W50">
            <v>24.398946000000002</v>
          </cell>
          <cell r="X50">
            <v>853.11</v>
          </cell>
          <cell r="Z50">
            <v>787.93333333333339</v>
          </cell>
          <cell r="AA50">
            <v>691.09632666666676</v>
          </cell>
          <cell r="AB50">
            <v>96.837006666666667</v>
          </cell>
          <cell r="AC50">
            <v>2476.0500299999999</v>
          </cell>
          <cell r="AD50">
            <v>72.899969999999996</v>
          </cell>
          <cell r="AE50">
            <v>2548.9499999999998</v>
          </cell>
          <cell r="AG50">
            <v>787.93333333333339</v>
          </cell>
          <cell r="AH50">
            <v>691.09632666666676</v>
          </cell>
          <cell r="AI50">
            <v>96.837006666666667</v>
          </cell>
          <cell r="AJ50">
            <v>676.754952</v>
          </cell>
          <cell r="AK50">
            <v>19.925048</v>
          </cell>
          <cell r="AL50">
            <v>696.68</v>
          </cell>
          <cell r="AN50">
            <v>787.93333333333339</v>
          </cell>
          <cell r="AO50">
            <v>691.09632666666676</v>
          </cell>
          <cell r="AP50">
            <v>96.837006666666667</v>
          </cell>
          <cell r="AQ50">
            <v>0</v>
          </cell>
          <cell r="AR50">
            <v>0</v>
          </cell>
          <cell r="AS50"/>
          <cell r="AU50">
            <v>787.93333333333339</v>
          </cell>
          <cell r="AV50">
            <v>691.09632666666676</v>
          </cell>
          <cell r="AW50">
            <v>96.837006666666667</v>
          </cell>
          <cell r="AX50">
            <v>0</v>
          </cell>
          <cell r="AY50">
            <v>0</v>
          </cell>
          <cell r="AZ50"/>
          <cell r="BB50">
            <v>787.93333333333339</v>
          </cell>
          <cell r="BC50">
            <v>691.09632666666676</v>
          </cell>
          <cell r="BD50">
            <v>96.837006666666667</v>
          </cell>
          <cell r="BE50">
            <v>0</v>
          </cell>
          <cell r="BF50">
            <v>0</v>
          </cell>
          <cell r="BG50"/>
          <cell r="BI50">
            <v>787.93333333333339</v>
          </cell>
          <cell r="BJ50">
            <v>691.09632666666676</v>
          </cell>
          <cell r="BK50">
            <v>96.837006666666667</v>
          </cell>
          <cell r="BL50">
            <v>0</v>
          </cell>
          <cell r="BM50">
            <v>0</v>
          </cell>
          <cell r="BN50"/>
          <cell r="BP50">
            <v>787.93333333333339</v>
          </cell>
          <cell r="BQ50">
            <v>691.09632666666676</v>
          </cell>
          <cell r="BR50">
            <v>96.837006666666667</v>
          </cell>
          <cell r="BS50">
            <v>0</v>
          </cell>
          <cell r="BT50">
            <v>0</v>
          </cell>
          <cell r="BU50"/>
          <cell r="BW50">
            <v>787.93333333333339</v>
          </cell>
          <cell r="BX50">
            <v>691.09632666666676</v>
          </cell>
          <cell r="BY50">
            <v>96.837006666666667</v>
          </cell>
          <cell r="BZ50">
            <v>0</v>
          </cell>
          <cell r="CA50">
            <v>0</v>
          </cell>
          <cell r="CB50"/>
          <cell r="CD50">
            <v>787.93333333333339</v>
          </cell>
          <cell r="CE50">
            <v>691.09632666666676</v>
          </cell>
          <cell r="CF50">
            <v>96.837006666666667</v>
          </cell>
          <cell r="CG50">
            <v>0</v>
          </cell>
          <cell r="CH50">
            <v>0</v>
          </cell>
          <cell r="CI50"/>
          <cell r="CK50">
            <v>787.93333333333339</v>
          </cell>
          <cell r="CL50">
            <v>691.09632666666676</v>
          </cell>
          <cell r="CM50">
            <v>96.837006666666667</v>
          </cell>
          <cell r="CN50">
            <v>0</v>
          </cell>
          <cell r="CO50">
            <v>0</v>
          </cell>
          <cell r="CP50"/>
        </row>
        <row r="51">
          <cell r="L51">
            <v>592.22109999999998</v>
          </cell>
          <cell r="M51">
            <v>519.43712681</v>
          </cell>
          <cell r="N51">
            <v>72.783973189999998</v>
          </cell>
          <cell r="O51">
            <v>569.78438399999993</v>
          </cell>
          <cell r="P51">
            <v>16.775615999999999</v>
          </cell>
          <cell r="Q51">
            <v>586.55999999999995</v>
          </cell>
          <cell r="S51">
            <v>592.22109999999998</v>
          </cell>
          <cell r="T51">
            <v>519.43712681</v>
          </cell>
          <cell r="U51">
            <v>72.783973189999998</v>
          </cell>
          <cell r="V51">
            <v>554.94139199999995</v>
          </cell>
          <cell r="W51">
            <v>16.338608000000001</v>
          </cell>
          <cell r="X51">
            <v>571.28</v>
          </cell>
          <cell r="Z51">
            <v>592.22109999999998</v>
          </cell>
          <cell r="AA51">
            <v>519.43712681</v>
          </cell>
          <cell r="AB51">
            <v>72.783973189999998</v>
          </cell>
          <cell r="AC51">
            <v>516.15339000000006</v>
          </cell>
          <cell r="AD51">
            <v>15.196610000000002</v>
          </cell>
          <cell r="AE51">
            <v>531.35</v>
          </cell>
          <cell r="AG51">
            <v>592.22109999999998</v>
          </cell>
          <cell r="AH51">
            <v>519.43712681</v>
          </cell>
          <cell r="AI51">
            <v>72.783973189999998</v>
          </cell>
          <cell r="AJ51">
            <v>688.34375399999999</v>
          </cell>
          <cell r="AK51">
            <v>20.266246000000002</v>
          </cell>
          <cell r="AL51">
            <v>708.61</v>
          </cell>
          <cell r="AN51">
            <v>592.22109999999998</v>
          </cell>
          <cell r="AO51">
            <v>519.43712681</v>
          </cell>
          <cell r="AP51">
            <v>72.783973189999998</v>
          </cell>
          <cell r="AQ51">
            <v>0</v>
          </cell>
          <cell r="AR51">
            <v>0</v>
          </cell>
          <cell r="AS51"/>
          <cell r="AU51">
            <v>592.22109999999998</v>
          </cell>
          <cell r="AV51">
            <v>519.43712681</v>
          </cell>
          <cell r="AW51">
            <v>72.783973189999998</v>
          </cell>
          <cell r="AX51">
            <v>0</v>
          </cell>
          <cell r="AY51">
            <v>0</v>
          </cell>
          <cell r="AZ51"/>
          <cell r="BB51">
            <v>592.22109999999998</v>
          </cell>
          <cell r="BC51">
            <v>519.43712681</v>
          </cell>
          <cell r="BD51">
            <v>72.783973189999998</v>
          </cell>
          <cell r="BE51">
            <v>0</v>
          </cell>
          <cell r="BF51">
            <v>0</v>
          </cell>
          <cell r="BG51"/>
          <cell r="BI51">
            <v>592.22109999999998</v>
          </cell>
          <cell r="BJ51">
            <v>519.43712681</v>
          </cell>
          <cell r="BK51">
            <v>72.783973189999998</v>
          </cell>
          <cell r="BL51">
            <v>0</v>
          </cell>
          <cell r="BM51">
            <v>0</v>
          </cell>
          <cell r="BN51"/>
          <cell r="BP51">
            <v>592.22109999999998</v>
          </cell>
          <cell r="BQ51">
            <v>519.43712681</v>
          </cell>
          <cell r="BR51">
            <v>72.783973189999998</v>
          </cell>
          <cell r="BS51">
            <v>0</v>
          </cell>
          <cell r="BT51">
            <v>0</v>
          </cell>
          <cell r="BU51"/>
          <cell r="BW51">
            <v>592.22109999999998</v>
          </cell>
          <cell r="BX51">
            <v>519.43712681</v>
          </cell>
          <cell r="BY51">
            <v>72.783973189999998</v>
          </cell>
          <cell r="BZ51">
            <v>0</v>
          </cell>
          <cell r="CA51">
            <v>0</v>
          </cell>
          <cell r="CB51"/>
          <cell r="CD51">
            <v>592.22109999999998</v>
          </cell>
          <cell r="CE51">
            <v>519.43712681</v>
          </cell>
          <cell r="CF51">
            <v>72.783973189999998</v>
          </cell>
          <cell r="CG51">
            <v>0</v>
          </cell>
          <cell r="CH51">
            <v>0</v>
          </cell>
          <cell r="CI51"/>
          <cell r="CK51">
            <v>592.22109999999998</v>
          </cell>
          <cell r="CL51">
            <v>519.43712681</v>
          </cell>
          <cell r="CM51">
            <v>72.783973189999998</v>
          </cell>
          <cell r="CN51">
            <v>0</v>
          </cell>
          <cell r="CO51">
            <v>0</v>
          </cell>
          <cell r="CP51"/>
        </row>
        <row r="52">
          <cell r="L52">
            <v>2500</v>
          </cell>
          <cell r="M52">
            <v>2192.75</v>
          </cell>
          <cell r="N52">
            <v>307.25</v>
          </cell>
          <cell r="O52">
            <v>2602.0017539999999</v>
          </cell>
          <cell r="P52">
            <v>76.608246000000008</v>
          </cell>
          <cell r="Q52">
            <v>2678.61</v>
          </cell>
          <cell r="S52">
            <v>2500</v>
          </cell>
          <cell r="T52">
            <v>2192.75</v>
          </cell>
          <cell r="U52">
            <v>307.25</v>
          </cell>
          <cell r="V52">
            <v>951.97199999999998</v>
          </cell>
          <cell r="W52">
            <v>28.027999999999999</v>
          </cell>
          <cell r="X52">
            <v>980</v>
          </cell>
          <cell r="Z52">
            <v>2500</v>
          </cell>
          <cell r="AA52">
            <v>2192.75</v>
          </cell>
          <cell r="AB52">
            <v>307.25</v>
          </cell>
          <cell r="AC52">
            <v>0</v>
          </cell>
          <cell r="AD52">
            <v>0</v>
          </cell>
          <cell r="AE52"/>
          <cell r="AG52">
            <v>2500</v>
          </cell>
          <cell r="AH52">
            <v>2192.75</v>
          </cell>
          <cell r="AI52">
            <v>307.25</v>
          </cell>
          <cell r="AJ52">
            <v>0</v>
          </cell>
          <cell r="AK52">
            <v>0</v>
          </cell>
          <cell r="AL52"/>
          <cell r="AN52">
            <v>2500</v>
          </cell>
          <cell r="AO52">
            <v>2192.75</v>
          </cell>
          <cell r="AP52">
            <v>307.25</v>
          </cell>
          <cell r="AQ52">
            <v>0</v>
          </cell>
          <cell r="AR52">
            <v>0</v>
          </cell>
          <cell r="AS52"/>
          <cell r="AU52">
            <v>2500</v>
          </cell>
          <cell r="AV52">
            <v>2192.75</v>
          </cell>
          <cell r="AW52">
            <v>307.25</v>
          </cell>
          <cell r="AX52">
            <v>0</v>
          </cell>
          <cell r="AY52">
            <v>0</v>
          </cell>
          <cell r="AZ52"/>
          <cell r="BB52">
            <v>2500</v>
          </cell>
          <cell r="BC52">
            <v>2192.75</v>
          </cell>
          <cell r="BD52">
            <v>307.25</v>
          </cell>
          <cell r="BE52">
            <v>0</v>
          </cell>
          <cell r="BF52">
            <v>0</v>
          </cell>
          <cell r="BG52"/>
          <cell r="BI52">
            <v>2500</v>
          </cell>
          <cell r="BJ52">
            <v>2192.75</v>
          </cell>
          <cell r="BK52">
            <v>307.25</v>
          </cell>
          <cell r="BL52">
            <v>0</v>
          </cell>
          <cell r="BM52">
            <v>0</v>
          </cell>
          <cell r="BN52"/>
          <cell r="BP52">
            <v>2500</v>
          </cell>
          <cell r="BQ52">
            <v>2192.75</v>
          </cell>
          <cell r="BR52">
            <v>307.25</v>
          </cell>
          <cell r="BS52">
            <v>0</v>
          </cell>
          <cell r="BT52">
            <v>0</v>
          </cell>
          <cell r="BU52"/>
          <cell r="BW52">
            <v>2500</v>
          </cell>
          <cell r="BX52">
            <v>2192.75</v>
          </cell>
          <cell r="BY52">
            <v>307.25</v>
          </cell>
          <cell r="BZ52">
            <v>0</v>
          </cell>
          <cell r="CA52">
            <v>0</v>
          </cell>
          <cell r="CB52"/>
          <cell r="CD52">
            <v>2500</v>
          </cell>
          <cell r="CE52">
            <v>2192.75</v>
          </cell>
          <cell r="CF52">
            <v>307.25</v>
          </cell>
          <cell r="CG52">
            <v>0</v>
          </cell>
          <cell r="CH52">
            <v>0</v>
          </cell>
          <cell r="CI52"/>
          <cell r="CK52">
            <v>2500</v>
          </cell>
          <cell r="CL52">
            <v>2192.75</v>
          </cell>
          <cell r="CM52">
            <v>307.25</v>
          </cell>
          <cell r="CN52">
            <v>0</v>
          </cell>
          <cell r="CO52">
            <v>0</v>
          </cell>
          <cell r="CP52"/>
        </row>
        <row r="53">
          <cell r="L53">
            <v>416.66666666666669</v>
          </cell>
          <cell r="M53">
            <v>365.45833333333337</v>
          </cell>
          <cell r="N53">
            <v>51.208333333333336</v>
          </cell>
          <cell r="O53">
            <v>0</v>
          </cell>
          <cell r="P53">
            <v>0</v>
          </cell>
          <cell r="Q53"/>
          <cell r="S53">
            <v>416.66666666666669</v>
          </cell>
          <cell r="T53">
            <v>365.45833333333337</v>
          </cell>
          <cell r="U53">
            <v>51.208333333333336</v>
          </cell>
          <cell r="V53">
            <v>0</v>
          </cell>
          <cell r="W53">
            <v>0</v>
          </cell>
          <cell r="X53"/>
          <cell r="Z53">
            <v>416.66666666666669</v>
          </cell>
          <cell r="AA53">
            <v>365.45833333333337</v>
          </cell>
          <cell r="AB53">
            <v>51.208333333333336</v>
          </cell>
          <cell r="AC53">
            <v>301.22142599999995</v>
          </cell>
          <cell r="AD53">
            <v>8.8685739999999988</v>
          </cell>
          <cell r="AE53">
            <v>310.08999999999997</v>
          </cell>
          <cell r="AG53">
            <v>416.66666666666669</v>
          </cell>
          <cell r="AH53">
            <v>365.45833333333337</v>
          </cell>
          <cell r="AI53">
            <v>51.208333333333336</v>
          </cell>
          <cell r="AJ53">
            <v>0</v>
          </cell>
          <cell r="AK53">
            <v>0</v>
          </cell>
          <cell r="AL53"/>
          <cell r="AN53">
            <v>416.66666666666669</v>
          </cell>
          <cell r="AO53">
            <v>365.45833333333337</v>
          </cell>
          <cell r="AP53">
            <v>51.208333333333336</v>
          </cell>
          <cell r="AQ53">
            <v>0</v>
          </cell>
          <cell r="AR53">
            <v>0</v>
          </cell>
          <cell r="AS53"/>
          <cell r="AU53">
            <v>416.66666666666669</v>
          </cell>
          <cell r="AV53">
            <v>365.45833333333337</v>
          </cell>
          <cell r="AW53">
            <v>51.208333333333336</v>
          </cell>
          <cell r="AX53">
            <v>0</v>
          </cell>
          <cell r="AY53">
            <v>0</v>
          </cell>
          <cell r="AZ53"/>
          <cell r="BB53">
            <v>416.66666666666669</v>
          </cell>
          <cell r="BC53">
            <v>365.45833333333337</v>
          </cell>
          <cell r="BD53">
            <v>51.208333333333336</v>
          </cell>
          <cell r="BE53">
            <v>0</v>
          </cell>
          <cell r="BF53">
            <v>0</v>
          </cell>
          <cell r="BG53"/>
          <cell r="BI53">
            <v>416.66666666666669</v>
          </cell>
          <cell r="BJ53">
            <v>365.45833333333337</v>
          </cell>
          <cell r="BK53">
            <v>51.208333333333336</v>
          </cell>
          <cell r="BL53">
            <v>0</v>
          </cell>
          <cell r="BM53">
            <v>0</v>
          </cell>
          <cell r="BN53"/>
          <cell r="BP53">
            <v>416.66666666666669</v>
          </cell>
          <cell r="BQ53">
            <v>365.45833333333337</v>
          </cell>
          <cell r="BR53">
            <v>51.208333333333336</v>
          </cell>
          <cell r="BS53">
            <v>0</v>
          </cell>
          <cell r="BT53">
            <v>0</v>
          </cell>
          <cell r="BU53"/>
          <cell r="BW53">
            <v>416.66666666666669</v>
          </cell>
          <cell r="BX53">
            <v>365.45833333333337</v>
          </cell>
          <cell r="BY53">
            <v>51.208333333333336</v>
          </cell>
          <cell r="BZ53">
            <v>0</v>
          </cell>
          <cell r="CA53">
            <v>0</v>
          </cell>
          <cell r="CB53"/>
          <cell r="CD53">
            <v>416.66666666666669</v>
          </cell>
          <cell r="CE53">
            <v>365.45833333333337</v>
          </cell>
          <cell r="CF53">
            <v>51.208333333333336</v>
          </cell>
          <cell r="CG53">
            <v>0</v>
          </cell>
          <cell r="CH53">
            <v>0</v>
          </cell>
          <cell r="CI53"/>
          <cell r="CK53">
            <v>416.66666666666669</v>
          </cell>
          <cell r="CL53">
            <v>365.45833333333337</v>
          </cell>
          <cell r="CM53">
            <v>51.208333333333336</v>
          </cell>
          <cell r="CN53">
            <v>0</v>
          </cell>
          <cell r="CO53">
            <v>0</v>
          </cell>
          <cell r="CP53"/>
        </row>
        <row r="54">
          <cell r="L54">
            <v>36307.142857142855</v>
          </cell>
          <cell r="M54">
            <v>31844.994999999999</v>
          </cell>
          <cell r="N54">
            <v>4462.147857142857</v>
          </cell>
          <cell r="O54">
            <v>0</v>
          </cell>
          <cell r="P54">
            <v>0</v>
          </cell>
          <cell r="Q54"/>
          <cell r="S54">
            <v>36307.142857142855</v>
          </cell>
          <cell r="T54">
            <v>31844.994999999999</v>
          </cell>
          <cell r="U54">
            <v>4462.147857142857</v>
          </cell>
          <cell r="V54">
            <v>48340.594175999999</v>
          </cell>
          <cell r="W54">
            <v>1423.2458239999999</v>
          </cell>
          <cell r="X54">
            <v>49763.839999999997</v>
          </cell>
          <cell r="Z54">
            <v>36307.142857142855</v>
          </cell>
          <cell r="AA54">
            <v>31844.994999999999</v>
          </cell>
          <cell r="AB54">
            <v>4462.147857142857</v>
          </cell>
          <cell r="AC54">
            <v>13983.001866000172</v>
          </cell>
          <cell r="AD54">
            <v>411.68813400000505</v>
          </cell>
          <cell r="AE54">
            <v>14394.690000000177</v>
          </cell>
          <cell r="AG54">
            <v>36307.142857142855</v>
          </cell>
          <cell r="AH54">
            <v>31844.994999999999</v>
          </cell>
          <cell r="AI54">
            <v>4462.147857142857</v>
          </cell>
          <cell r="AJ54">
            <v>4671.1031820000044</v>
          </cell>
          <cell r="AK54">
            <v>137.52681800000013</v>
          </cell>
          <cell r="AL54">
            <v>4808.6300000000047</v>
          </cell>
          <cell r="AN54">
            <v>36307.142857142855</v>
          </cell>
          <cell r="AO54">
            <v>31844.994999999999</v>
          </cell>
          <cell r="AP54">
            <v>4462.147857142857</v>
          </cell>
          <cell r="AQ54">
            <v>0</v>
          </cell>
          <cell r="AR54">
            <v>0</v>
          </cell>
          <cell r="AS54"/>
          <cell r="AU54">
            <v>36307.142857142855</v>
          </cell>
          <cell r="AV54">
            <v>31844.994999999999</v>
          </cell>
          <cell r="AW54">
            <v>4462.147857142857</v>
          </cell>
          <cell r="AX54">
            <v>0</v>
          </cell>
          <cell r="AY54">
            <v>0</v>
          </cell>
          <cell r="AZ54"/>
          <cell r="BB54">
            <v>36307.142857142855</v>
          </cell>
          <cell r="BC54">
            <v>31844.994999999999</v>
          </cell>
          <cell r="BD54">
            <v>4462.147857142857</v>
          </cell>
          <cell r="BE54">
            <v>0</v>
          </cell>
          <cell r="BF54">
            <v>0</v>
          </cell>
          <cell r="BG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/>
        </row>
        <row r="56">
          <cell r="L56">
            <v>-19896.193771626298</v>
          </cell>
          <cell r="M56">
            <v>-17450.951557093427</v>
          </cell>
          <cell r="N56">
            <v>-2445.2422145328719</v>
          </cell>
          <cell r="O56">
            <v>0</v>
          </cell>
          <cell r="P56">
            <v>0</v>
          </cell>
          <cell r="Q56"/>
          <cell r="S56">
            <v>-19896.193771626298</v>
          </cell>
          <cell r="T56">
            <v>-17450.951557093427</v>
          </cell>
          <cell r="U56">
            <v>-2445.2422145328719</v>
          </cell>
          <cell r="V56">
            <v>-12310.348206000001</v>
          </cell>
          <cell r="W56">
            <v>-362.44179400000002</v>
          </cell>
          <cell r="X56">
            <v>-12672.79</v>
          </cell>
          <cell r="Z56">
            <v>-19896.193771626298</v>
          </cell>
          <cell r="AA56">
            <v>-17450.951557093427</v>
          </cell>
          <cell r="AB56">
            <v>-2445.2422145328719</v>
          </cell>
          <cell r="AC56">
            <v>2379.0848820000001</v>
          </cell>
          <cell r="AD56">
            <v>70.045118000000002</v>
          </cell>
          <cell r="AE56">
            <v>2449.13</v>
          </cell>
          <cell r="AG56">
            <v>-19896.193771626298</v>
          </cell>
          <cell r="AH56">
            <v>-17450.951557093427</v>
          </cell>
          <cell r="AI56">
            <v>-2445.2422145328719</v>
          </cell>
          <cell r="AJ56">
            <v>-26031.18864</v>
          </cell>
          <cell r="AK56">
            <v>-766.41135999999995</v>
          </cell>
          <cell r="AL56">
            <v>-26797.599999999999</v>
          </cell>
          <cell r="AN56">
            <v>-19896.193771626298</v>
          </cell>
          <cell r="AO56">
            <v>-17450.951557093427</v>
          </cell>
          <cell r="AP56">
            <v>-2445.2422145328719</v>
          </cell>
          <cell r="AQ56">
            <v>0</v>
          </cell>
          <cell r="AR56">
            <v>0</v>
          </cell>
          <cell r="AS56"/>
          <cell r="AU56">
            <v>-19896.193771626298</v>
          </cell>
          <cell r="AV56">
            <v>-17450.951557093427</v>
          </cell>
          <cell r="AW56">
            <v>-2445.2422145328719</v>
          </cell>
          <cell r="AX56">
            <v>0</v>
          </cell>
          <cell r="AY56">
            <v>0</v>
          </cell>
          <cell r="AZ56"/>
          <cell r="BB56">
            <v>-19896.193771626298</v>
          </cell>
          <cell r="BC56">
            <v>-17450.951557093427</v>
          </cell>
          <cell r="BD56">
            <v>-2445.2422145328719</v>
          </cell>
          <cell r="BE56">
            <v>0</v>
          </cell>
          <cell r="BF56">
            <v>0</v>
          </cell>
          <cell r="BG56"/>
          <cell r="BI56">
            <v>-19896.193771626298</v>
          </cell>
          <cell r="BJ56">
            <v>-17450.951557093427</v>
          </cell>
          <cell r="BK56">
            <v>-2445.2422145328719</v>
          </cell>
          <cell r="BL56">
            <v>0</v>
          </cell>
          <cell r="BM56">
            <v>0</v>
          </cell>
          <cell r="BN56"/>
          <cell r="BP56">
            <v>-19896.193771626298</v>
          </cell>
          <cell r="BQ56">
            <v>-17450.951557093427</v>
          </cell>
          <cell r="BR56">
            <v>-2445.2422145328719</v>
          </cell>
          <cell r="BS56">
            <v>0</v>
          </cell>
          <cell r="BT56">
            <v>0</v>
          </cell>
          <cell r="BU56"/>
          <cell r="BW56">
            <v>-19896.193771626298</v>
          </cell>
          <cell r="BX56">
            <v>-17450.951557093427</v>
          </cell>
          <cell r="BY56">
            <v>-2445.2422145328719</v>
          </cell>
          <cell r="BZ56">
            <v>0</v>
          </cell>
          <cell r="CA56">
            <v>0</v>
          </cell>
          <cell r="CB56"/>
          <cell r="CD56">
            <v>-19896.193771626298</v>
          </cell>
          <cell r="CE56">
            <v>-17450.951557093427</v>
          </cell>
          <cell r="CF56">
            <v>-2445.2422145328719</v>
          </cell>
          <cell r="CG56">
            <v>0</v>
          </cell>
          <cell r="CH56">
            <v>0</v>
          </cell>
          <cell r="CI56"/>
          <cell r="CK56">
            <v>-19896.193771626298</v>
          </cell>
          <cell r="CL56">
            <v>-17450.951557093427</v>
          </cell>
          <cell r="CM56">
            <v>-2445.2422145328719</v>
          </cell>
          <cell r="CN56">
            <v>0</v>
          </cell>
          <cell r="CO56">
            <v>0</v>
          </cell>
          <cell r="CP56"/>
        </row>
        <row r="57">
          <cell r="L57">
            <v>-6632.0645905420997</v>
          </cell>
          <cell r="M57">
            <v>-5816.9838523644758</v>
          </cell>
          <cell r="N57">
            <v>-815.08073817762397</v>
          </cell>
          <cell r="O57">
            <v>-25401.702012000002</v>
          </cell>
          <cell r="P57">
            <v>-747.87798800000007</v>
          </cell>
          <cell r="Q57">
            <v>-26149.58</v>
          </cell>
          <cell r="S57">
            <v>-6632.0645905420997</v>
          </cell>
          <cell r="T57">
            <v>-5816.9838523644758</v>
          </cell>
          <cell r="U57">
            <v>-815.08073817762397</v>
          </cell>
          <cell r="V57">
            <v>-3753.1301819999999</v>
          </cell>
          <cell r="W57">
            <v>-110.499818</v>
          </cell>
          <cell r="X57">
            <v>-3863.63</v>
          </cell>
          <cell r="Z57">
            <v>-6632.0645905420997</v>
          </cell>
          <cell r="AA57">
            <v>-5816.9838523644758</v>
          </cell>
          <cell r="AB57">
            <v>-815.08073817762397</v>
          </cell>
          <cell r="AC57">
            <v>-16501.298082000001</v>
          </cell>
          <cell r="AD57">
            <v>-485.83191800000003</v>
          </cell>
          <cell r="AE57">
            <v>-16987.13</v>
          </cell>
          <cell r="AG57">
            <v>-6632.0645905420997</v>
          </cell>
          <cell r="AH57">
            <v>-5816.9838523644758</v>
          </cell>
          <cell r="AI57">
            <v>-815.08073817762397</v>
          </cell>
          <cell r="AJ57">
            <v>0</v>
          </cell>
          <cell r="AK57">
            <v>0</v>
          </cell>
          <cell r="AL57"/>
          <cell r="AN57">
            <v>-6632.0645905420997</v>
          </cell>
          <cell r="AO57">
            <v>-5816.9838523644758</v>
          </cell>
          <cell r="AP57">
            <v>-815.08073817762397</v>
          </cell>
          <cell r="AQ57">
            <v>0</v>
          </cell>
          <cell r="AR57">
            <v>0</v>
          </cell>
          <cell r="AS57"/>
          <cell r="AU57">
            <v>-6632.0645905420997</v>
          </cell>
          <cell r="AV57">
            <v>-5816.9838523644758</v>
          </cell>
          <cell r="AW57">
            <v>-815.08073817762397</v>
          </cell>
          <cell r="AX57">
            <v>0</v>
          </cell>
          <cell r="AY57">
            <v>0</v>
          </cell>
          <cell r="AZ57"/>
          <cell r="BB57">
            <v>-6632.0645905420997</v>
          </cell>
          <cell r="BC57">
            <v>-5816.9838523644758</v>
          </cell>
          <cell r="BD57">
            <v>-815.08073817762397</v>
          </cell>
          <cell r="BE57">
            <v>0</v>
          </cell>
          <cell r="BF57">
            <v>0</v>
          </cell>
          <cell r="BG57"/>
          <cell r="BI57">
            <v>-6632.0645905420997</v>
          </cell>
          <cell r="BJ57">
            <v>-5816.9838523644758</v>
          </cell>
          <cell r="BK57">
            <v>-815.08073817762397</v>
          </cell>
          <cell r="BL57">
            <v>0</v>
          </cell>
          <cell r="BM57">
            <v>0</v>
          </cell>
          <cell r="BN57"/>
          <cell r="BP57">
            <v>-6632.0645905420997</v>
          </cell>
          <cell r="BQ57">
            <v>-5816.9838523644758</v>
          </cell>
          <cell r="BR57">
            <v>-815.08073817762397</v>
          </cell>
          <cell r="BS57">
            <v>0</v>
          </cell>
          <cell r="BT57">
            <v>0</v>
          </cell>
          <cell r="BU57"/>
          <cell r="BW57">
            <v>-6632.0645905420997</v>
          </cell>
          <cell r="BX57">
            <v>-5816.9838523644758</v>
          </cell>
          <cell r="BY57">
            <v>-815.08073817762397</v>
          </cell>
          <cell r="BZ57">
            <v>0</v>
          </cell>
          <cell r="CA57">
            <v>0</v>
          </cell>
          <cell r="CB57"/>
          <cell r="CD57">
            <v>-6632.0645905420997</v>
          </cell>
          <cell r="CE57">
            <v>-5816.9838523644758</v>
          </cell>
          <cell r="CF57">
            <v>-815.08073817762397</v>
          </cell>
          <cell r="CG57">
            <v>0</v>
          </cell>
          <cell r="CH57">
            <v>0</v>
          </cell>
          <cell r="CI57"/>
          <cell r="CK57">
            <v>-6632.0645905420997</v>
          </cell>
          <cell r="CL57">
            <v>-5816.9838523644758</v>
          </cell>
          <cell r="CM57">
            <v>-815.08073817762397</v>
          </cell>
          <cell r="CN57">
            <v>0</v>
          </cell>
          <cell r="CO57">
            <v>0</v>
          </cell>
          <cell r="CP57"/>
        </row>
      </sheetData>
      <sheetData sheetId="16">
        <row r="4">
          <cell r="X4">
            <v>71739.520000000019</v>
          </cell>
          <cell r="AE4">
            <v>73494.45</v>
          </cell>
          <cell r="AL4">
            <v>135819.88</v>
          </cell>
          <cell r="AS4"/>
          <cell r="AZ4"/>
          <cell r="BG4"/>
          <cell r="BN4"/>
          <cell r="BU4"/>
          <cell r="CB4"/>
          <cell r="CI4"/>
          <cell r="CP4"/>
        </row>
        <row r="5">
          <cell r="X5">
            <v>10806.509999999998</v>
          </cell>
          <cell r="AE5">
            <v>6310.6900000000005</v>
          </cell>
          <cell r="AL5">
            <v>9556.4500000000007</v>
          </cell>
          <cell r="AS5"/>
          <cell r="AZ5"/>
          <cell r="BG5"/>
          <cell r="BN5"/>
          <cell r="BU5"/>
          <cell r="CB5"/>
          <cell r="CI5"/>
          <cell r="CP5"/>
        </row>
        <row r="6">
          <cell r="X6">
            <v>10498.98</v>
          </cell>
          <cell r="AE6">
            <v>10044.040000000001</v>
          </cell>
          <cell r="AL6">
            <v>10321.799999999999</v>
          </cell>
          <cell r="AS6"/>
          <cell r="AZ6"/>
          <cell r="BG6"/>
          <cell r="BN6"/>
          <cell r="BU6"/>
          <cell r="CB6"/>
          <cell r="CI6"/>
          <cell r="CP6"/>
        </row>
        <row r="7">
          <cell r="X7">
            <v>7069.08</v>
          </cell>
          <cell r="AE7">
            <v>6777.42</v>
          </cell>
          <cell r="AL7">
            <v>6843.05</v>
          </cell>
          <cell r="AS7"/>
          <cell r="AZ7"/>
          <cell r="BG7"/>
          <cell r="BN7"/>
          <cell r="BU7"/>
          <cell r="CB7"/>
          <cell r="CI7"/>
          <cell r="CP7"/>
        </row>
        <row r="8">
          <cell r="X8"/>
          <cell r="AE8"/>
          <cell r="AL8"/>
          <cell r="AS8"/>
          <cell r="AZ8"/>
          <cell r="BG8"/>
          <cell r="BN8"/>
          <cell r="BU8"/>
          <cell r="CB8"/>
          <cell r="CI8"/>
          <cell r="CP8"/>
        </row>
        <row r="9">
          <cell r="X9">
            <v>10452.709999999999</v>
          </cell>
          <cell r="AE9">
            <v>746.63</v>
          </cell>
          <cell r="AL9"/>
          <cell r="AS9"/>
          <cell r="AZ9"/>
          <cell r="BG9"/>
          <cell r="BN9"/>
          <cell r="BU9"/>
          <cell r="CB9"/>
          <cell r="CI9"/>
          <cell r="CP9"/>
        </row>
        <row r="10">
          <cell r="X10"/>
          <cell r="AE10"/>
          <cell r="AL10">
            <v>2627.52</v>
          </cell>
          <cell r="AS10"/>
          <cell r="AZ10"/>
          <cell r="BG10"/>
          <cell r="BN10"/>
          <cell r="BU10"/>
          <cell r="CB10"/>
          <cell r="CI10"/>
          <cell r="CP10"/>
        </row>
        <row r="11">
          <cell r="X11"/>
          <cell r="AE11"/>
          <cell r="AL11"/>
          <cell r="AS11"/>
          <cell r="AZ11"/>
          <cell r="BG11"/>
          <cell r="BN11"/>
          <cell r="BU11"/>
          <cell r="CB11"/>
          <cell r="CI11"/>
          <cell r="CP11"/>
        </row>
        <row r="12">
          <cell r="X12">
            <v>9641</v>
          </cell>
          <cell r="AE12">
            <v>5998.65</v>
          </cell>
          <cell r="AL12">
            <v>3102.75</v>
          </cell>
          <cell r="AS12"/>
          <cell r="AZ12"/>
          <cell r="BG12"/>
          <cell r="BN12"/>
          <cell r="BU12"/>
          <cell r="CB12"/>
          <cell r="CI12"/>
          <cell r="CP12"/>
        </row>
        <row r="13">
          <cell r="X13"/>
          <cell r="AE13"/>
          <cell r="AL13"/>
          <cell r="AS13"/>
          <cell r="AZ13"/>
          <cell r="BG13"/>
          <cell r="BN13"/>
          <cell r="BU13"/>
          <cell r="CB13"/>
          <cell r="CI13"/>
          <cell r="CP13"/>
        </row>
        <row r="14">
          <cell r="X14">
            <v>1115.52</v>
          </cell>
          <cell r="AE14">
            <v>1676.82</v>
          </cell>
          <cell r="AL14">
            <v>2080.2399999999998</v>
          </cell>
          <cell r="AS14"/>
          <cell r="AZ14"/>
          <cell r="BG14"/>
          <cell r="BN14"/>
          <cell r="BU14"/>
          <cell r="CB14"/>
          <cell r="CI14"/>
          <cell r="CP14"/>
        </row>
        <row r="15">
          <cell r="X15">
            <v>2307.089999999982</v>
          </cell>
          <cell r="AE15">
            <v>14639.64</v>
          </cell>
          <cell r="AL15">
            <v>17227.640000000003</v>
          </cell>
          <cell r="AS15"/>
          <cell r="AZ15"/>
          <cell r="BG15"/>
          <cell r="BN15"/>
          <cell r="BU15"/>
          <cell r="CB15"/>
          <cell r="CI15"/>
          <cell r="CP15"/>
        </row>
        <row r="16">
          <cell r="X16"/>
          <cell r="AE16">
            <v>821.19</v>
          </cell>
          <cell r="AL16">
            <v>2197.91</v>
          </cell>
          <cell r="AS16"/>
          <cell r="AZ16"/>
          <cell r="BG16"/>
          <cell r="BN16"/>
          <cell r="BU16"/>
          <cell r="CB16"/>
          <cell r="CI16"/>
          <cell r="CP16"/>
        </row>
        <row r="17">
          <cell r="AS17"/>
          <cell r="AZ17"/>
          <cell r="BG17"/>
          <cell r="BN17"/>
          <cell r="BU17"/>
          <cell r="CB17"/>
          <cell r="CI17"/>
          <cell r="CP17"/>
        </row>
        <row r="18">
          <cell r="AS18"/>
          <cell r="AZ18"/>
          <cell r="BG18"/>
          <cell r="BN18"/>
          <cell r="BU18"/>
          <cell r="CB18"/>
          <cell r="CI18"/>
          <cell r="CP18"/>
        </row>
        <row r="19">
          <cell r="AS19"/>
          <cell r="AZ19"/>
          <cell r="BG19"/>
          <cell r="BN19"/>
          <cell r="BU19"/>
          <cell r="CB19"/>
          <cell r="CI19"/>
          <cell r="CP19"/>
        </row>
        <row r="20">
          <cell r="AS20"/>
          <cell r="AZ20"/>
          <cell r="BG20"/>
          <cell r="BN20"/>
          <cell r="BU20"/>
          <cell r="CB20"/>
          <cell r="CI20"/>
          <cell r="CP20"/>
        </row>
        <row r="21">
          <cell r="AS21"/>
          <cell r="AZ21"/>
          <cell r="BG21"/>
          <cell r="BN21"/>
          <cell r="BU21"/>
          <cell r="CB21"/>
          <cell r="CI21"/>
          <cell r="CP21"/>
        </row>
        <row r="22">
          <cell r="AS22"/>
          <cell r="AZ22"/>
          <cell r="BG22"/>
          <cell r="BN22"/>
          <cell r="BU22"/>
          <cell r="CB22"/>
          <cell r="CI22"/>
          <cell r="CP22"/>
        </row>
        <row r="23">
          <cell r="AS23"/>
          <cell r="AZ23"/>
          <cell r="BG23"/>
          <cell r="BN23"/>
          <cell r="BU23"/>
          <cell r="CB23"/>
          <cell r="CI23"/>
          <cell r="CP23"/>
        </row>
        <row r="24">
          <cell r="AS24"/>
          <cell r="AZ24"/>
          <cell r="BG24"/>
          <cell r="BN24"/>
          <cell r="BU24"/>
          <cell r="CB24"/>
          <cell r="CI24"/>
          <cell r="CP24"/>
        </row>
        <row r="25">
          <cell r="AS25"/>
          <cell r="AZ25"/>
          <cell r="BG25"/>
          <cell r="BN25"/>
          <cell r="BU25"/>
          <cell r="CB25"/>
          <cell r="CI25"/>
          <cell r="CP25"/>
        </row>
        <row r="26">
          <cell r="AS26"/>
          <cell r="AZ26"/>
          <cell r="BG26"/>
          <cell r="BN26"/>
          <cell r="BU26"/>
          <cell r="CB26"/>
          <cell r="CI26"/>
          <cell r="CP26"/>
        </row>
        <row r="27">
          <cell r="AS27"/>
          <cell r="AZ27"/>
          <cell r="BG27"/>
          <cell r="BN27"/>
          <cell r="BU27"/>
          <cell r="CB27"/>
          <cell r="CI27"/>
          <cell r="CP27"/>
        </row>
        <row r="28">
          <cell r="AS28"/>
          <cell r="AZ28"/>
          <cell r="BG28"/>
          <cell r="BN28"/>
          <cell r="BU28"/>
          <cell r="CB28"/>
          <cell r="CI28"/>
          <cell r="CP28"/>
        </row>
        <row r="29">
          <cell r="AS29"/>
          <cell r="AZ29"/>
          <cell r="BG29"/>
          <cell r="BN29"/>
          <cell r="BU29"/>
          <cell r="CB29"/>
          <cell r="CI29"/>
          <cell r="CP29"/>
        </row>
        <row r="30">
          <cell r="X30">
            <v>4577.5</v>
          </cell>
          <cell r="AE30">
            <v>2500</v>
          </cell>
          <cell r="AL30">
            <v>2415.8000000000002</v>
          </cell>
          <cell r="AS30"/>
          <cell r="AZ30"/>
          <cell r="BG30"/>
          <cell r="BN30"/>
          <cell r="BU30"/>
          <cell r="CB30"/>
          <cell r="CI30"/>
          <cell r="CP30"/>
        </row>
        <row r="31">
          <cell r="X31">
            <v>73600</v>
          </cell>
          <cell r="AE31"/>
          <cell r="AL31">
            <v>13494.53</v>
          </cell>
          <cell r="AS31"/>
          <cell r="AZ31"/>
          <cell r="BG31"/>
          <cell r="BN31"/>
          <cell r="BU31"/>
          <cell r="CB31"/>
          <cell r="CI31"/>
          <cell r="CP31"/>
        </row>
        <row r="32">
          <cell r="AS32"/>
          <cell r="AZ32"/>
          <cell r="BG32"/>
          <cell r="BN32"/>
          <cell r="BU32"/>
          <cell r="CB32"/>
          <cell r="CI32"/>
          <cell r="CP32"/>
        </row>
        <row r="33">
          <cell r="AS33"/>
          <cell r="AZ33"/>
          <cell r="BG33"/>
          <cell r="BN33"/>
          <cell r="BU33"/>
          <cell r="CB33"/>
          <cell r="CI33"/>
          <cell r="CP33"/>
        </row>
        <row r="34">
          <cell r="X34"/>
          <cell r="AE34"/>
          <cell r="AL34"/>
          <cell r="AS34"/>
          <cell r="AZ34"/>
          <cell r="BG34"/>
          <cell r="BN34"/>
          <cell r="BU34"/>
          <cell r="CB34"/>
          <cell r="CI34"/>
          <cell r="CP34"/>
        </row>
        <row r="35">
          <cell r="X35"/>
          <cell r="AE35"/>
          <cell r="AL35"/>
          <cell r="AS35"/>
          <cell r="AZ35"/>
          <cell r="BG35"/>
          <cell r="BN35"/>
          <cell r="BU35"/>
          <cell r="CB35"/>
          <cell r="CI35"/>
          <cell r="CP35"/>
        </row>
        <row r="36">
          <cell r="X36">
            <v>47459.519999999997</v>
          </cell>
          <cell r="AE36">
            <v>47725.61</v>
          </cell>
          <cell r="AL36">
            <v>33990.92</v>
          </cell>
          <cell r="AS36"/>
          <cell r="AZ36"/>
          <cell r="BG36"/>
          <cell r="BN36"/>
          <cell r="BU36"/>
          <cell r="CB36"/>
          <cell r="CI36"/>
          <cell r="CP36"/>
        </row>
        <row r="37">
          <cell r="X37">
            <v>24415.65</v>
          </cell>
          <cell r="AE37">
            <v>12332.379999999997</v>
          </cell>
          <cell r="AL37">
            <v>31901.990000000005</v>
          </cell>
          <cell r="AS37"/>
          <cell r="AZ37"/>
          <cell r="BG37"/>
          <cell r="BN37"/>
          <cell r="BU37"/>
          <cell r="CB37"/>
          <cell r="CI37"/>
          <cell r="CP37"/>
        </row>
        <row r="38">
          <cell r="X38">
            <v>1304</v>
          </cell>
          <cell r="AE38">
            <v>5350</v>
          </cell>
          <cell r="AL38">
            <v>5285</v>
          </cell>
          <cell r="AS38"/>
          <cell r="AZ38"/>
          <cell r="BG38"/>
          <cell r="BN38"/>
          <cell r="BU38"/>
          <cell r="CB38"/>
          <cell r="CI38"/>
          <cell r="CP38"/>
        </row>
        <row r="39">
          <cell r="X39">
            <v>320</v>
          </cell>
          <cell r="AE39">
            <v>3032.25</v>
          </cell>
          <cell r="AL39">
            <v>1809.7</v>
          </cell>
          <cell r="AS39"/>
          <cell r="AZ39"/>
          <cell r="BG39"/>
          <cell r="BN39"/>
          <cell r="BU39"/>
          <cell r="CB39"/>
          <cell r="CI39"/>
          <cell r="CP39"/>
        </row>
        <row r="40">
          <cell r="X40">
            <v>3044.5</v>
          </cell>
          <cell r="AE40">
            <v>12101.18</v>
          </cell>
          <cell r="AL40">
            <v>20358.12</v>
          </cell>
          <cell r="AS40"/>
          <cell r="AZ40"/>
          <cell r="BG40"/>
          <cell r="BN40"/>
          <cell r="BU40"/>
          <cell r="CB40"/>
          <cell r="CI40"/>
          <cell r="CP40"/>
        </row>
        <row r="41">
          <cell r="AS41"/>
          <cell r="AZ41"/>
          <cell r="BG41"/>
          <cell r="BN41"/>
          <cell r="BU41"/>
          <cell r="CB41"/>
          <cell r="CI41"/>
          <cell r="CP41"/>
        </row>
        <row r="42">
          <cell r="AS42"/>
          <cell r="AZ42"/>
          <cell r="BG42"/>
          <cell r="BN42"/>
          <cell r="BU42"/>
          <cell r="CB42"/>
          <cell r="CI42"/>
          <cell r="CP42"/>
        </row>
        <row r="43">
          <cell r="X43">
            <v>14525.35</v>
          </cell>
          <cell r="AE43">
            <v>9638.2999999999993</v>
          </cell>
          <cell r="AL43">
            <v>11709.59</v>
          </cell>
          <cell r="AS43"/>
          <cell r="AZ43"/>
          <cell r="BG43"/>
          <cell r="BN43"/>
          <cell r="BU43"/>
          <cell r="CB43"/>
          <cell r="CI43"/>
          <cell r="CP43"/>
        </row>
        <row r="44">
          <cell r="X44"/>
          <cell r="AE44"/>
          <cell r="AL44"/>
          <cell r="AS44"/>
          <cell r="AZ44"/>
          <cell r="BG44"/>
          <cell r="BN44"/>
          <cell r="BU44"/>
          <cell r="CB44"/>
          <cell r="CI44"/>
          <cell r="CP44"/>
        </row>
        <row r="45">
          <cell r="X45"/>
          <cell r="AE45"/>
          <cell r="AL45"/>
          <cell r="AS45"/>
          <cell r="AZ45"/>
          <cell r="BG45"/>
          <cell r="BN45"/>
          <cell r="BU45"/>
          <cell r="CB45"/>
          <cell r="CI45"/>
          <cell r="CP45"/>
        </row>
        <row r="46">
          <cell r="X46"/>
          <cell r="AE46"/>
          <cell r="AL46"/>
          <cell r="AS46"/>
          <cell r="AZ46"/>
          <cell r="BG46"/>
          <cell r="BN46"/>
          <cell r="BU46"/>
          <cell r="CB46"/>
          <cell r="CI46"/>
          <cell r="CP46"/>
        </row>
        <row r="47">
          <cell r="X47"/>
          <cell r="AE47"/>
          <cell r="AL47"/>
          <cell r="AS47"/>
          <cell r="AZ47"/>
          <cell r="BG47"/>
          <cell r="BN47"/>
          <cell r="BU47"/>
          <cell r="CB47"/>
          <cell r="CI47"/>
          <cell r="CP47"/>
        </row>
        <row r="48">
          <cell r="X48"/>
          <cell r="AE48">
            <v>3158</v>
          </cell>
          <cell r="AL48">
            <v>1823.22</v>
          </cell>
          <cell r="AS48"/>
          <cell r="AZ48"/>
          <cell r="BG48"/>
          <cell r="BN48"/>
          <cell r="BU48"/>
          <cell r="CB48"/>
          <cell r="CI48"/>
          <cell r="CP48"/>
        </row>
        <row r="49">
          <cell r="X49">
            <v>31779.18</v>
          </cell>
          <cell r="AE49">
            <v>15238.599999999999</v>
          </cell>
          <cell r="AL49">
            <v>44928.52</v>
          </cell>
          <cell r="AS49"/>
          <cell r="AZ49"/>
          <cell r="BG49"/>
          <cell r="BN49"/>
          <cell r="BU49"/>
          <cell r="CB49"/>
          <cell r="CI49"/>
          <cell r="CP49"/>
        </row>
        <row r="50">
          <cell r="X50"/>
          <cell r="AE50"/>
          <cell r="AL50"/>
          <cell r="AS50"/>
          <cell r="AZ50"/>
          <cell r="BG50"/>
          <cell r="BN50"/>
          <cell r="BU50"/>
          <cell r="CB50"/>
          <cell r="CI50"/>
          <cell r="CP50"/>
        </row>
        <row r="51">
          <cell r="X51"/>
          <cell r="AE51"/>
          <cell r="AL51"/>
          <cell r="AS51"/>
          <cell r="AZ51"/>
          <cell r="BG51"/>
          <cell r="BN51"/>
          <cell r="BU51"/>
          <cell r="CB51"/>
          <cell r="CI51"/>
          <cell r="CP51"/>
        </row>
        <row r="52">
          <cell r="X52">
            <v>21563.32</v>
          </cell>
          <cell r="AE52">
            <v>37892.559999999998</v>
          </cell>
          <cell r="AL52">
            <v>2047.31</v>
          </cell>
          <cell r="AS52"/>
          <cell r="AZ52"/>
          <cell r="BG52"/>
          <cell r="BN52"/>
          <cell r="BU52"/>
          <cell r="CB52"/>
          <cell r="CI52"/>
          <cell r="CP52"/>
        </row>
        <row r="53">
          <cell r="X53">
            <v>16.18</v>
          </cell>
          <cell r="AE53"/>
          <cell r="AL53">
            <v>126.8</v>
          </cell>
          <cell r="AS53"/>
          <cell r="AZ53"/>
          <cell r="BG53"/>
          <cell r="BN53"/>
          <cell r="BU53"/>
          <cell r="CB53"/>
          <cell r="CI53"/>
          <cell r="CP53"/>
        </row>
        <row r="54">
          <cell r="X54">
            <v>8299.74</v>
          </cell>
          <cell r="AE54">
            <v>24620.050000000003</v>
          </cell>
          <cell r="AL54"/>
          <cell r="AS54"/>
          <cell r="AZ54"/>
          <cell r="BG54"/>
          <cell r="BN54"/>
          <cell r="BU54"/>
          <cell r="CB54"/>
          <cell r="CI54"/>
          <cell r="CP54"/>
        </row>
        <row r="56">
          <cell r="X56"/>
          <cell r="AE56"/>
          <cell r="AL56"/>
          <cell r="AS56"/>
          <cell r="AZ56"/>
          <cell r="BG56"/>
          <cell r="BN56"/>
          <cell r="BU56"/>
          <cell r="CB56"/>
          <cell r="CI56"/>
          <cell r="CP56"/>
        </row>
        <row r="57">
          <cell r="X57"/>
          <cell r="AE57"/>
          <cell r="AL57"/>
          <cell r="AS57"/>
          <cell r="AZ57"/>
          <cell r="BG57"/>
          <cell r="BN57"/>
          <cell r="BU57"/>
          <cell r="CB57"/>
          <cell r="CI57"/>
          <cell r="CP57"/>
        </row>
      </sheetData>
      <sheetData sheetId="17">
        <row r="4">
          <cell r="L4">
            <v>38375.127664150357</v>
          </cell>
          <cell r="M4">
            <v>33658.824474226276</v>
          </cell>
          <cell r="N4">
            <v>4716.3031899240787</v>
          </cell>
          <cell r="O4">
            <v>36111.19816844356</v>
          </cell>
          <cell r="P4"/>
          <cell r="Q4">
            <v>36111.19816844356</v>
          </cell>
          <cell r="S4">
            <v>52490.135024722302</v>
          </cell>
          <cell r="T4">
            <v>46039.097430183931</v>
          </cell>
          <cell r="U4">
            <v>6451.0375945383703</v>
          </cell>
          <cell r="V4">
            <v>32646.01728267724</v>
          </cell>
          <cell r="W4"/>
          <cell r="X4">
            <v>32646.01728267724</v>
          </cell>
          <cell r="Z4">
            <v>38375.127664150357</v>
          </cell>
          <cell r="AA4">
            <v>33658.824474226276</v>
          </cell>
          <cell r="AB4">
            <v>4716.3031899240787</v>
          </cell>
          <cell r="AC4">
            <v>33444.621386940664</v>
          </cell>
          <cell r="AD4"/>
          <cell r="AE4">
            <v>33444.621386940664</v>
          </cell>
          <cell r="AG4">
            <v>38375.127664150357</v>
          </cell>
          <cell r="AH4">
            <v>33658.824474226276</v>
          </cell>
          <cell r="AI4">
            <v>4716.3031899240787</v>
          </cell>
          <cell r="AJ4">
            <v>61806.632520138795</v>
          </cell>
          <cell r="AK4"/>
          <cell r="AL4">
            <v>61806.632520138795</v>
          </cell>
          <cell r="AN4">
            <v>38375.127664150357</v>
          </cell>
          <cell r="AO4">
            <v>33658.824474226276</v>
          </cell>
          <cell r="AP4">
            <v>4716.3031899240787</v>
          </cell>
          <cell r="AQ4">
            <v>0</v>
          </cell>
          <cell r="AR4"/>
          <cell r="AU4">
            <v>38375.127664150357</v>
          </cell>
          <cell r="AV4">
            <v>33658.824474226276</v>
          </cell>
          <cell r="AW4">
            <v>4716.3031899240787</v>
          </cell>
          <cell r="AX4">
            <v>0</v>
          </cell>
          <cell r="AY4"/>
          <cell r="BB4">
            <v>38375.127664150357</v>
          </cell>
          <cell r="BC4">
            <v>33658.824474226276</v>
          </cell>
          <cell r="BD4">
            <v>4716.3031899240787</v>
          </cell>
          <cell r="BE4">
            <v>0</v>
          </cell>
          <cell r="BF4"/>
          <cell r="BI4">
            <v>41445.137877282395</v>
          </cell>
          <cell r="BJ4">
            <v>36351.530432164393</v>
          </cell>
          <cell r="BK4">
            <v>5093.6074451180066</v>
          </cell>
          <cell r="BL4">
            <v>0</v>
          </cell>
          <cell r="BM4"/>
          <cell r="BP4">
            <v>41445.137877282395</v>
          </cell>
          <cell r="BQ4">
            <v>36351.530432164393</v>
          </cell>
          <cell r="BR4">
            <v>5093.6074451180066</v>
          </cell>
          <cell r="BS4">
            <v>0</v>
          </cell>
          <cell r="BT4"/>
          <cell r="BW4">
            <v>41445.137877282395</v>
          </cell>
          <cell r="BX4">
            <v>36351.530432164393</v>
          </cell>
          <cell r="BY4">
            <v>5093.6074451180066</v>
          </cell>
          <cell r="BZ4">
            <v>0</v>
          </cell>
          <cell r="CA4"/>
          <cell r="CD4">
            <v>41445.137877282395</v>
          </cell>
          <cell r="CE4">
            <v>36351.530432164393</v>
          </cell>
          <cell r="CF4">
            <v>5093.6074451180066</v>
          </cell>
          <cell r="CG4">
            <v>0</v>
          </cell>
          <cell r="CH4"/>
          <cell r="CK4">
            <v>41445.137877282395</v>
          </cell>
          <cell r="CL4">
            <v>36351.530432164393</v>
          </cell>
          <cell r="CM4">
            <v>5093.6074451180066</v>
          </cell>
          <cell r="CN4">
            <v>0</v>
          </cell>
          <cell r="CO4"/>
        </row>
        <row r="5">
          <cell r="L5">
            <v>1667.4353948059604</v>
          </cell>
          <cell r="M5">
            <v>1462.5075847843079</v>
          </cell>
          <cell r="N5">
            <v>204.92781002165253</v>
          </cell>
          <cell r="O5">
            <v>3787.9536509730565</v>
          </cell>
          <cell r="P5"/>
          <cell r="Q5">
            <v>3787.9536509730565</v>
          </cell>
          <cell r="S5">
            <v>1667.4353948059604</v>
          </cell>
          <cell r="T5">
            <v>1462.5075847843079</v>
          </cell>
          <cell r="U5">
            <v>204.92781002165253</v>
          </cell>
          <cell r="V5">
            <v>4917.6452842927338</v>
          </cell>
          <cell r="W5"/>
          <cell r="X5">
            <v>4917.6452842927338</v>
          </cell>
          <cell r="Z5">
            <v>1667.4353948059604</v>
          </cell>
          <cell r="AA5">
            <v>1462.5075847843079</v>
          </cell>
          <cell r="AB5">
            <v>204.92781002165253</v>
          </cell>
          <cell r="AC5">
            <v>2871.7629391110841</v>
          </cell>
          <cell r="AD5"/>
          <cell r="AE5">
            <v>2871.7629391110841</v>
          </cell>
          <cell r="AG5">
            <v>1667.4353948059604</v>
          </cell>
          <cell r="AH5">
            <v>1462.5075847843079</v>
          </cell>
          <cell r="AI5">
            <v>204.92781002165253</v>
          </cell>
          <cell r="AJ5">
            <v>4348.7889500939073</v>
          </cell>
          <cell r="AK5"/>
          <cell r="AL5">
            <v>4348.7889500939073</v>
          </cell>
          <cell r="AN5">
            <v>1667.4353948059604</v>
          </cell>
          <cell r="AO5">
            <v>1462.5075847843079</v>
          </cell>
          <cell r="AP5">
            <v>204.92781002165253</v>
          </cell>
          <cell r="AQ5">
            <v>0</v>
          </cell>
          <cell r="AR5"/>
          <cell r="AU5">
            <v>1667.4353948059604</v>
          </cell>
          <cell r="AV5">
            <v>1462.5075847843079</v>
          </cell>
          <cell r="AW5">
            <v>204.92781002165253</v>
          </cell>
          <cell r="AX5">
            <v>0</v>
          </cell>
          <cell r="AY5"/>
          <cell r="BB5">
            <v>1667.4353948059604</v>
          </cell>
          <cell r="BC5">
            <v>1462.5075847843079</v>
          </cell>
          <cell r="BD5">
            <v>204.92781002165253</v>
          </cell>
          <cell r="BE5">
            <v>0</v>
          </cell>
          <cell r="BF5"/>
          <cell r="BI5">
            <v>1667.4353948059604</v>
          </cell>
          <cell r="BJ5">
            <v>1462.5075847843079</v>
          </cell>
          <cell r="BK5">
            <v>204.92781002165253</v>
          </cell>
          <cell r="BL5">
            <v>0</v>
          </cell>
          <cell r="BM5"/>
          <cell r="BP5">
            <v>1667.4353948059604</v>
          </cell>
          <cell r="BQ5">
            <v>1462.5075847843079</v>
          </cell>
          <cell r="BR5">
            <v>204.92781002165253</v>
          </cell>
          <cell r="BS5">
            <v>0</v>
          </cell>
          <cell r="BT5"/>
          <cell r="BW5">
            <v>1667.4353948059604</v>
          </cell>
          <cell r="BX5">
            <v>1462.5075847843079</v>
          </cell>
          <cell r="BY5">
            <v>204.92781002165253</v>
          </cell>
          <cell r="BZ5">
            <v>0</v>
          </cell>
          <cell r="CA5"/>
          <cell r="CD5">
            <v>1667.4353948059604</v>
          </cell>
          <cell r="CE5">
            <v>1462.5075847843079</v>
          </cell>
          <cell r="CF5">
            <v>204.92781002165253</v>
          </cell>
          <cell r="CG5">
            <v>0</v>
          </cell>
          <cell r="CH5"/>
          <cell r="CK5">
            <v>1667.4353948059604</v>
          </cell>
          <cell r="CL5">
            <v>1462.5075847843079</v>
          </cell>
          <cell r="CM5">
            <v>204.92781002165253</v>
          </cell>
          <cell r="CN5">
            <v>0</v>
          </cell>
          <cell r="CO5"/>
        </row>
        <row r="6">
          <cell r="L6">
            <v>5032.0255591034065</v>
          </cell>
          <cell r="M6">
            <v>4413.5896178895982</v>
          </cell>
          <cell r="N6">
            <v>618.43594121380863</v>
          </cell>
          <cell r="O6">
            <v>4944.8151849254446</v>
          </cell>
          <cell r="P6"/>
          <cell r="Q6">
            <v>4944.8151849254446</v>
          </cell>
          <cell r="S6">
            <v>5032.0255591034065</v>
          </cell>
          <cell r="T6">
            <v>4413.5896178895982</v>
          </cell>
          <cell r="U6">
            <v>618.43594121380863</v>
          </cell>
          <cell r="V6">
            <v>4777.6996909162835</v>
          </cell>
          <cell r="W6"/>
          <cell r="X6">
            <v>4777.6996909162835</v>
          </cell>
          <cell r="Z6">
            <v>5032.0255591034065</v>
          </cell>
          <cell r="AA6">
            <v>4413.5896178895982</v>
          </cell>
          <cell r="AB6">
            <v>618.43594121380863</v>
          </cell>
          <cell r="AC6">
            <v>4570.6732276421899</v>
          </cell>
          <cell r="AD6"/>
          <cell r="AE6">
            <v>4570.6732276421899</v>
          </cell>
          <cell r="AG6">
            <v>5032.0255591034065</v>
          </cell>
          <cell r="AH6">
            <v>4413.5896178895982</v>
          </cell>
          <cell r="AI6">
            <v>618.43594121380863</v>
          </cell>
          <cell r="AJ6">
            <v>4697.0715888305049</v>
          </cell>
          <cell r="AK6"/>
          <cell r="AL6">
            <v>4697.0715888305049</v>
          </cell>
          <cell r="AN6">
            <v>5032.0255591034065</v>
          </cell>
          <cell r="AO6">
            <v>4413.5896178895982</v>
          </cell>
          <cell r="AP6">
            <v>618.43594121380863</v>
          </cell>
          <cell r="AQ6">
            <v>0</v>
          </cell>
          <cell r="AR6"/>
          <cell r="AU6">
            <v>5032.0255591034065</v>
          </cell>
          <cell r="AV6">
            <v>4413.5896178895982</v>
          </cell>
          <cell r="AW6">
            <v>618.43594121380863</v>
          </cell>
          <cell r="AX6">
            <v>0</v>
          </cell>
          <cell r="AY6"/>
          <cell r="BB6">
            <v>5032.0255591034065</v>
          </cell>
          <cell r="BC6">
            <v>4413.5896178895982</v>
          </cell>
          <cell r="BD6">
            <v>618.43594121380863</v>
          </cell>
          <cell r="BE6">
            <v>0</v>
          </cell>
          <cell r="BF6"/>
          <cell r="BI6">
            <v>5419.1138033678808</v>
          </cell>
          <cell r="BJ6">
            <v>4753.1047169339681</v>
          </cell>
          <cell r="BK6">
            <v>666.00908643391256</v>
          </cell>
          <cell r="BL6">
            <v>0</v>
          </cell>
          <cell r="BM6"/>
          <cell r="BP6">
            <v>5419.1138033678808</v>
          </cell>
          <cell r="BQ6">
            <v>4753.1047169339681</v>
          </cell>
          <cell r="BR6">
            <v>666.00908643391256</v>
          </cell>
          <cell r="BS6">
            <v>0</v>
          </cell>
          <cell r="BT6"/>
          <cell r="BW6">
            <v>5419.1138033678808</v>
          </cell>
          <cell r="BX6">
            <v>4753.1047169339681</v>
          </cell>
          <cell r="BY6">
            <v>666.00908643391256</v>
          </cell>
          <cell r="BZ6">
            <v>0</v>
          </cell>
          <cell r="CA6"/>
          <cell r="CD6">
            <v>5419.1138033678808</v>
          </cell>
          <cell r="CE6">
            <v>4753.1047169339681</v>
          </cell>
          <cell r="CF6">
            <v>666.00908643391256</v>
          </cell>
          <cell r="CG6">
            <v>0</v>
          </cell>
          <cell r="CH6"/>
          <cell r="CK6">
            <v>5419.1138033678808</v>
          </cell>
          <cell r="CL6">
            <v>4753.1047169339681</v>
          </cell>
          <cell r="CM6">
            <v>666.00908643391256</v>
          </cell>
          <cell r="CN6">
            <v>0</v>
          </cell>
          <cell r="CO6"/>
        </row>
        <row r="7">
          <cell r="L7">
            <v>3470.3624545540733</v>
          </cell>
          <cell r="M7">
            <v>3043.8549088893778</v>
          </cell>
          <cell r="N7">
            <v>426.50754566469561</v>
          </cell>
          <cell r="O7">
            <v>3319.5012668730333</v>
          </cell>
          <cell r="P7"/>
          <cell r="Q7">
            <v>3319.5012668730333</v>
          </cell>
          <cell r="S7">
            <v>3470.3624545540733</v>
          </cell>
          <cell r="T7">
            <v>3043.8549088893778</v>
          </cell>
          <cell r="U7">
            <v>426.50754566469561</v>
          </cell>
          <cell r="V7">
            <v>3216.8783378063854</v>
          </cell>
          <cell r="W7"/>
          <cell r="X7">
            <v>3216.8783378063854</v>
          </cell>
          <cell r="Z7">
            <v>3470.3624545540733</v>
          </cell>
          <cell r="AA7">
            <v>3043.8549088893778</v>
          </cell>
          <cell r="AB7">
            <v>426.50754566469561</v>
          </cell>
          <cell r="AC7">
            <v>3084.1545977999617</v>
          </cell>
          <cell r="AD7"/>
          <cell r="AE7">
            <v>3084.1545977999617</v>
          </cell>
          <cell r="AG7">
            <v>3470.3624545540733</v>
          </cell>
          <cell r="AH7">
            <v>3043.8549088893778</v>
          </cell>
          <cell r="AI7">
            <v>426.50754566469561</v>
          </cell>
          <cell r="AJ7">
            <v>3114.0203972123654</v>
          </cell>
          <cell r="AK7"/>
          <cell r="AL7">
            <v>3114.0203972123654</v>
          </cell>
          <cell r="AN7">
            <v>3470.3624545540733</v>
          </cell>
          <cell r="AO7">
            <v>3043.8549088893778</v>
          </cell>
          <cell r="AP7">
            <v>426.50754566469561</v>
          </cell>
          <cell r="AQ7">
            <v>0</v>
          </cell>
          <cell r="AR7"/>
          <cell r="AU7">
            <v>3470.3624545540733</v>
          </cell>
          <cell r="AV7">
            <v>3043.8549088893778</v>
          </cell>
          <cell r="AW7">
            <v>426.50754566469561</v>
          </cell>
          <cell r="AX7">
            <v>0</v>
          </cell>
          <cell r="AY7"/>
          <cell r="BB7">
            <v>3470.3624545540733</v>
          </cell>
          <cell r="BC7">
            <v>3043.8549088893778</v>
          </cell>
          <cell r="BD7">
            <v>426.50754566469561</v>
          </cell>
          <cell r="BE7">
            <v>0</v>
          </cell>
          <cell r="BF7"/>
          <cell r="BI7">
            <v>3737.3198643916417</v>
          </cell>
          <cell r="BJ7">
            <v>3278.0032530579088</v>
          </cell>
          <cell r="BK7">
            <v>459.31661133373274</v>
          </cell>
          <cell r="BL7">
            <v>0</v>
          </cell>
          <cell r="BM7"/>
          <cell r="BP7">
            <v>3737.3198643916417</v>
          </cell>
          <cell r="BQ7">
            <v>3278.0032530579088</v>
          </cell>
          <cell r="BR7">
            <v>459.31661133373274</v>
          </cell>
          <cell r="BS7">
            <v>0</v>
          </cell>
          <cell r="BT7"/>
          <cell r="BW7">
            <v>3737.3198643916417</v>
          </cell>
          <cell r="BX7">
            <v>3278.0032530579088</v>
          </cell>
          <cell r="BY7">
            <v>459.31661133373274</v>
          </cell>
          <cell r="BZ7">
            <v>0</v>
          </cell>
          <cell r="CA7"/>
          <cell r="CD7">
            <v>3737.3198643916417</v>
          </cell>
          <cell r="CE7">
            <v>3278.0032530579088</v>
          </cell>
          <cell r="CF7">
            <v>459.31661133373274</v>
          </cell>
          <cell r="CG7">
            <v>0</v>
          </cell>
          <cell r="CH7"/>
          <cell r="CK7">
            <v>3737.3198643916417</v>
          </cell>
          <cell r="CL7">
            <v>3278.0032530579088</v>
          </cell>
          <cell r="CM7">
            <v>459.31661133373274</v>
          </cell>
          <cell r="CN7">
            <v>0</v>
          </cell>
          <cell r="CO7"/>
        </row>
        <row r="8">
          <cell r="L8">
            <v>0</v>
          </cell>
          <cell r="M8">
            <v>0</v>
          </cell>
          <cell r="N8">
            <v>0</v>
          </cell>
          <cell r="O8">
            <v>0</v>
          </cell>
          <cell r="P8"/>
          <cell r="Q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/>
          <cell r="X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/>
          <cell r="AE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/>
          <cell r="AL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/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/>
          <cell r="BB8">
            <v>48544.951072613796</v>
          </cell>
          <cell r="BC8">
            <v>42578.776585789557</v>
          </cell>
          <cell r="BD8">
            <v>5966.1744868242349</v>
          </cell>
          <cell r="BE8">
            <v>0</v>
          </cell>
          <cell r="BF8"/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/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/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/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/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/>
        </row>
        <row r="9">
          <cell r="L9">
            <v>5812.8571113780727</v>
          </cell>
          <cell r="M9">
            <v>5098.4569723897075</v>
          </cell>
          <cell r="N9">
            <v>714.40013898836514</v>
          </cell>
          <cell r="O9">
            <v>0</v>
          </cell>
          <cell r="P9"/>
          <cell r="Q9">
            <v>0</v>
          </cell>
          <cell r="S9">
            <v>5812.8571113780727</v>
          </cell>
          <cell r="T9">
            <v>5098.4569723897075</v>
          </cell>
          <cell r="U9">
            <v>714.40013898836514</v>
          </cell>
          <cell r="V9">
            <v>4756.643915526799</v>
          </cell>
          <cell r="W9"/>
          <cell r="X9">
            <v>4756.643915526799</v>
          </cell>
          <cell r="Z9">
            <v>5812.8571113780727</v>
          </cell>
          <cell r="AA9">
            <v>5098.4569723897075</v>
          </cell>
          <cell r="AB9">
            <v>714.40013898836514</v>
          </cell>
          <cell r="AC9">
            <v>339.76385517724816</v>
          </cell>
          <cell r="AD9"/>
          <cell r="AE9">
            <v>339.76385517724816</v>
          </cell>
          <cell r="AG9">
            <v>5812.8571113780727</v>
          </cell>
          <cell r="AH9">
            <v>5098.4569723897075</v>
          </cell>
          <cell r="AI9">
            <v>714.40013898836514</v>
          </cell>
          <cell r="AJ9">
            <v>0</v>
          </cell>
          <cell r="AK9"/>
          <cell r="AL9">
            <v>0</v>
          </cell>
          <cell r="AN9">
            <v>5812.8571113780727</v>
          </cell>
          <cell r="AO9">
            <v>5098.4569723897075</v>
          </cell>
          <cell r="AP9">
            <v>714.40013898836514</v>
          </cell>
          <cell r="AQ9">
            <v>0</v>
          </cell>
          <cell r="AR9"/>
          <cell r="AU9">
            <v>5812.8571113780727</v>
          </cell>
          <cell r="AV9">
            <v>5098.4569723897075</v>
          </cell>
          <cell r="AW9">
            <v>714.40013898836514</v>
          </cell>
          <cell r="AX9">
            <v>0</v>
          </cell>
          <cell r="AY9"/>
          <cell r="BB9">
            <v>5812.8571113780727</v>
          </cell>
          <cell r="BC9">
            <v>5098.4569723897075</v>
          </cell>
          <cell r="BD9">
            <v>714.40013898836514</v>
          </cell>
          <cell r="BE9">
            <v>0</v>
          </cell>
          <cell r="BF9"/>
          <cell r="BI9">
            <v>6260.0107728560006</v>
          </cell>
          <cell r="BJ9">
            <v>5490.6554488719985</v>
          </cell>
          <cell r="BK9">
            <v>769.35532398400244</v>
          </cell>
          <cell r="BL9">
            <v>0</v>
          </cell>
          <cell r="BM9"/>
          <cell r="BP9">
            <v>6260.0107728560006</v>
          </cell>
          <cell r="BQ9">
            <v>5490.6554488719985</v>
          </cell>
          <cell r="BR9">
            <v>769.35532398400244</v>
          </cell>
          <cell r="BS9">
            <v>0</v>
          </cell>
          <cell r="BT9"/>
          <cell r="BW9">
            <v>6260.0107728560006</v>
          </cell>
          <cell r="BX9">
            <v>5490.6554488719985</v>
          </cell>
          <cell r="BY9">
            <v>769.35532398400244</v>
          </cell>
          <cell r="BZ9">
            <v>0</v>
          </cell>
          <cell r="CA9"/>
          <cell r="CD9">
            <v>6260.0107728560006</v>
          </cell>
          <cell r="CE9">
            <v>5490.6554488719985</v>
          </cell>
          <cell r="CF9">
            <v>769.35532398400244</v>
          </cell>
          <cell r="CG9">
            <v>0</v>
          </cell>
          <cell r="CH9"/>
          <cell r="CK9">
            <v>6260.0107728560006</v>
          </cell>
          <cell r="CL9">
            <v>5490.6554488719985</v>
          </cell>
          <cell r="CM9">
            <v>769.35532398400244</v>
          </cell>
          <cell r="CN9">
            <v>0</v>
          </cell>
          <cell r="CO9"/>
        </row>
        <row r="10">
          <cell r="L10">
            <v>1750.8071645462583</v>
          </cell>
          <cell r="M10">
            <v>1535.6329640235231</v>
          </cell>
          <cell r="N10">
            <v>215.17420052273513</v>
          </cell>
          <cell r="O10">
            <v>0</v>
          </cell>
          <cell r="P10"/>
          <cell r="Q10">
            <v>0</v>
          </cell>
          <cell r="S10">
            <v>1750.8071645462583</v>
          </cell>
          <cell r="T10">
            <v>1535.6329640235231</v>
          </cell>
          <cell r="U10">
            <v>215.17420052273513</v>
          </cell>
          <cell r="V10">
            <v>0</v>
          </cell>
          <cell r="W10"/>
          <cell r="X10">
            <v>0</v>
          </cell>
          <cell r="Z10">
            <v>1750.8071645462583</v>
          </cell>
          <cell r="AA10">
            <v>1535.6329640235231</v>
          </cell>
          <cell r="AB10">
            <v>215.17420052273513</v>
          </cell>
          <cell r="AC10">
            <v>0</v>
          </cell>
          <cell r="AD10"/>
          <cell r="AE10">
            <v>0</v>
          </cell>
          <cell r="AG10">
            <v>1750.8071645462583</v>
          </cell>
          <cell r="AH10">
            <v>1535.6329640235231</v>
          </cell>
          <cell r="AI10">
            <v>215.17420052273513</v>
          </cell>
          <cell r="AJ10">
            <v>1195.6877231765709</v>
          </cell>
          <cell r="AK10"/>
          <cell r="AL10">
            <v>1195.6877231765709</v>
          </cell>
          <cell r="AN10">
            <v>1750.8071645462583</v>
          </cell>
          <cell r="AO10">
            <v>1535.6329640235231</v>
          </cell>
          <cell r="AP10">
            <v>215.17420052273513</v>
          </cell>
          <cell r="AQ10">
            <v>0</v>
          </cell>
          <cell r="AR10"/>
          <cell r="AU10">
            <v>1750.8071645462583</v>
          </cell>
          <cell r="AV10">
            <v>1535.6329640235231</v>
          </cell>
          <cell r="AW10">
            <v>215.17420052273513</v>
          </cell>
          <cell r="AX10">
            <v>0</v>
          </cell>
          <cell r="AY10"/>
          <cell r="BB10">
            <v>1750.8071645462583</v>
          </cell>
          <cell r="BC10">
            <v>1535.6329640235231</v>
          </cell>
          <cell r="BD10">
            <v>215.17420052273513</v>
          </cell>
          <cell r="BE10">
            <v>0</v>
          </cell>
          <cell r="BF10"/>
          <cell r="BI10">
            <v>1750.8071645462583</v>
          </cell>
          <cell r="BJ10">
            <v>1535.6329640235231</v>
          </cell>
          <cell r="BK10">
            <v>215.17420052273513</v>
          </cell>
          <cell r="BL10">
            <v>0</v>
          </cell>
          <cell r="BM10"/>
          <cell r="BP10">
            <v>1750.8071645462583</v>
          </cell>
          <cell r="BQ10">
            <v>1535.6329640235231</v>
          </cell>
          <cell r="BR10">
            <v>215.17420052273513</v>
          </cell>
          <cell r="BS10">
            <v>0</v>
          </cell>
          <cell r="BT10"/>
          <cell r="BW10">
            <v>1750.8071645462583</v>
          </cell>
          <cell r="BX10">
            <v>1535.6329640235231</v>
          </cell>
          <cell r="BY10">
            <v>215.17420052273513</v>
          </cell>
          <cell r="BZ10">
            <v>0</v>
          </cell>
          <cell r="CA10"/>
          <cell r="CD10">
            <v>1750.8071645462583</v>
          </cell>
          <cell r="CE10">
            <v>1535.6329640235231</v>
          </cell>
          <cell r="CF10">
            <v>215.17420052273513</v>
          </cell>
          <cell r="CG10">
            <v>0</v>
          </cell>
          <cell r="CH10"/>
          <cell r="CK10">
            <v>1750.8071645462583</v>
          </cell>
          <cell r="CL10">
            <v>1535.6329640235231</v>
          </cell>
          <cell r="CM10">
            <v>215.17420052273513</v>
          </cell>
          <cell r="CN10">
            <v>0</v>
          </cell>
          <cell r="CO10"/>
        </row>
        <row r="11"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/>
          <cell r="Q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/>
          <cell r="X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/>
          <cell r="AE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/>
          <cell r="AL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/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/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/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/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/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/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/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/>
        </row>
        <row r="12">
          <cell r="L12">
            <v>1553.2160702617518</v>
          </cell>
          <cell r="M12">
            <v>1362.3258152265826</v>
          </cell>
          <cell r="N12">
            <v>190.8902550351693</v>
          </cell>
          <cell r="O12">
            <v>749.51881213188722</v>
          </cell>
          <cell r="P12"/>
          <cell r="Q12">
            <v>749.51881213188722</v>
          </cell>
          <cell r="S12">
            <v>1553.2160702617518</v>
          </cell>
          <cell r="T12">
            <v>1362.3258152265826</v>
          </cell>
          <cell r="U12">
            <v>190.8902550351693</v>
          </cell>
          <cell r="V12">
            <v>4387.2645457105255</v>
          </cell>
          <cell r="W12"/>
          <cell r="X12">
            <v>4387.2645457105255</v>
          </cell>
          <cell r="Z12">
            <v>1553.2160702617518</v>
          </cell>
          <cell r="AA12">
            <v>1362.3258152265826</v>
          </cell>
          <cell r="AB12">
            <v>190.8902550351693</v>
          </cell>
          <cell r="AC12">
            <v>2729.7650105929306</v>
          </cell>
          <cell r="AD12"/>
          <cell r="AE12">
            <v>2729.7650105929306</v>
          </cell>
          <cell r="AG12">
            <v>1553.2160702617518</v>
          </cell>
          <cell r="AH12">
            <v>1362.3258152265826</v>
          </cell>
          <cell r="AI12">
            <v>190.8902550351693</v>
          </cell>
          <cell r="AJ12">
            <v>1411.9474192722055</v>
          </cell>
          <cell r="AK12"/>
          <cell r="AL12">
            <v>1411.9474192722055</v>
          </cell>
          <cell r="AN12">
            <v>1553.2160702617518</v>
          </cell>
          <cell r="AO12">
            <v>1362.3258152265826</v>
          </cell>
          <cell r="AP12">
            <v>190.8902550351693</v>
          </cell>
          <cell r="AQ12">
            <v>0</v>
          </cell>
          <cell r="AR12"/>
          <cell r="AU12">
            <v>1553.2160702617518</v>
          </cell>
          <cell r="AV12">
            <v>1362.3258152265826</v>
          </cell>
          <cell r="AW12">
            <v>190.8902550351693</v>
          </cell>
          <cell r="AX12">
            <v>0</v>
          </cell>
          <cell r="AY12"/>
          <cell r="BB12">
            <v>1553.2160702617518</v>
          </cell>
          <cell r="BC12">
            <v>1362.3258152265826</v>
          </cell>
          <cell r="BD12">
            <v>190.8902550351693</v>
          </cell>
          <cell r="BE12">
            <v>0</v>
          </cell>
          <cell r="BF12"/>
          <cell r="BI12">
            <v>1553.2160702617518</v>
          </cell>
          <cell r="BJ12">
            <v>1362.3258152265826</v>
          </cell>
          <cell r="BK12">
            <v>190.8902550351693</v>
          </cell>
          <cell r="BL12">
            <v>0</v>
          </cell>
          <cell r="BM12"/>
          <cell r="BP12">
            <v>1553.2160702617518</v>
          </cell>
          <cell r="BQ12">
            <v>1362.3258152265826</v>
          </cell>
          <cell r="BR12">
            <v>190.8902550351693</v>
          </cell>
          <cell r="BS12">
            <v>0</v>
          </cell>
          <cell r="BT12"/>
          <cell r="BW12">
            <v>1553.2160702617518</v>
          </cell>
          <cell r="BX12">
            <v>1362.3258152265826</v>
          </cell>
          <cell r="BY12">
            <v>190.8902550351693</v>
          </cell>
          <cell r="BZ12">
            <v>0</v>
          </cell>
          <cell r="CA12"/>
          <cell r="CD12">
            <v>1553.2160702617518</v>
          </cell>
          <cell r="CE12">
            <v>1362.3258152265826</v>
          </cell>
          <cell r="CF12">
            <v>190.8902550351693</v>
          </cell>
          <cell r="CG12">
            <v>0</v>
          </cell>
          <cell r="CH12"/>
          <cell r="CK12">
            <v>1553.2160702617518</v>
          </cell>
          <cell r="CL12">
            <v>1362.3258152265826</v>
          </cell>
          <cell r="CM12">
            <v>190.8902550351693</v>
          </cell>
          <cell r="CN12">
            <v>0</v>
          </cell>
          <cell r="CO12"/>
        </row>
        <row r="13"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/>
          <cell r="Q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/>
          <cell r="X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/>
          <cell r="AE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/>
          <cell r="AL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/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/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/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/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/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/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/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/>
        </row>
        <row r="14">
          <cell r="L14">
            <v>3332.4463385478725</v>
          </cell>
          <cell r="M14">
            <v>2922.8886835403391</v>
          </cell>
          <cell r="N14">
            <v>409.55765500753353</v>
          </cell>
          <cell r="O14">
            <v>755.4867089147516</v>
          </cell>
          <cell r="P14"/>
          <cell r="Q14">
            <v>755.4867089147516</v>
          </cell>
          <cell r="S14">
            <v>3332.4463385478725</v>
          </cell>
          <cell r="T14">
            <v>2922.8886835403391</v>
          </cell>
          <cell r="U14">
            <v>409.55765500753353</v>
          </cell>
          <cell r="V14">
            <v>507.63212799823725</v>
          </cell>
          <cell r="W14"/>
          <cell r="X14">
            <v>507.63212799823725</v>
          </cell>
          <cell r="Z14">
            <v>3332.4463385478725</v>
          </cell>
          <cell r="AA14">
            <v>2922.8886835403391</v>
          </cell>
          <cell r="AB14">
            <v>409.55765500753353</v>
          </cell>
          <cell r="AC14">
            <v>763.05911581146393</v>
          </cell>
          <cell r="AD14"/>
          <cell r="AE14">
            <v>763.05911581146393</v>
          </cell>
          <cell r="AG14">
            <v>3332.4463385478725</v>
          </cell>
          <cell r="AH14">
            <v>2922.8886835403391</v>
          </cell>
          <cell r="AI14">
            <v>409.55765500753353</v>
          </cell>
          <cell r="AJ14">
            <v>946.64072176837078</v>
          </cell>
          <cell r="AK14"/>
          <cell r="AL14">
            <v>946.64072176837078</v>
          </cell>
          <cell r="AN14">
            <v>3332.4463385478725</v>
          </cell>
          <cell r="AO14">
            <v>2922.8886835403391</v>
          </cell>
          <cell r="AP14">
            <v>409.55765500753353</v>
          </cell>
          <cell r="AQ14">
            <v>0</v>
          </cell>
          <cell r="AR14"/>
          <cell r="AU14">
            <v>3332.4463385478725</v>
          </cell>
          <cell r="AV14">
            <v>2922.8886835403391</v>
          </cell>
          <cell r="AW14">
            <v>409.55765500753353</v>
          </cell>
          <cell r="AX14">
            <v>0</v>
          </cell>
          <cell r="AY14"/>
          <cell r="BB14">
            <v>3332.4463385478725</v>
          </cell>
          <cell r="BC14">
            <v>2922.8886835403391</v>
          </cell>
          <cell r="BD14">
            <v>409.55765500753353</v>
          </cell>
          <cell r="BE14">
            <v>0</v>
          </cell>
          <cell r="BF14"/>
          <cell r="BI14">
            <v>3332.4463385478725</v>
          </cell>
          <cell r="BJ14">
            <v>2922.8886835403391</v>
          </cell>
          <cell r="BK14">
            <v>409.55765500753353</v>
          </cell>
          <cell r="BL14">
            <v>0</v>
          </cell>
          <cell r="BM14"/>
          <cell r="BP14">
            <v>3332.4463385478725</v>
          </cell>
          <cell r="BQ14">
            <v>2922.8886835403391</v>
          </cell>
          <cell r="BR14">
            <v>409.55765500753353</v>
          </cell>
          <cell r="BS14">
            <v>0</v>
          </cell>
          <cell r="BT14"/>
          <cell r="BW14">
            <v>3332.4463385478725</v>
          </cell>
          <cell r="BX14">
            <v>2922.8886835403391</v>
          </cell>
          <cell r="BY14">
            <v>409.55765500753353</v>
          </cell>
          <cell r="BZ14">
            <v>0</v>
          </cell>
          <cell r="CA14"/>
          <cell r="CD14">
            <v>3332.4463385478725</v>
          </cell>
          <cell r="CE14">
            <v>2922.8886835403391</v>
          </cell>
          <cell r="CF14">
            <v>409.55765500753353</v>
          </cell>
          <cell r="CG14">
            <v>0</v>
          </cell>
          <cell r="CH14"/>
          <cell r="CK14">
            <v>3332.4463385478725</v>
          </cell>
          <cell r="CL14">
            <v>2922.8886835403391</v>
          </cell>
          <cell r="CM14">
            <v>409.55765500753353</v>
          </cell>
          <cell r="CN14">
            <v>0</v>
          </cell>
          <cell r="CO14"/>
        </row>
        <row r="15">
          <cell r="L15">
            <v>5473.3233347426685</v>
          </cell>
          <cell r="M15">
            <v>4800.6518969027948</v>
          </cell>
          <cell r="N15">
            <v>672.67143783987399</v>
          </cell>
          <cell r="O15">
            <v>8695.2456223458921</v>
          </cell>
          <cell r="P15"/>
          <cell r="Q15">
            <v>8695.2456223458921</v>
          </cell>
          <cell r="S15">
            <v>5473.3233347426685</v>
          </cell>
          <cell r="T15">
            <v>4800.6518969027948</v>
          </cell>
          <cell r="U15">
            <v>672.67143783987399</v>
          </cell>
          <cell r="V15">
            <v>1049.871814206329</v>
          </cell>
          <cell r="W15"/>
          <cell r="X15">
            <v>1049.871814206329</v>
          </cell>
          <cell r="Z15">
            <v>5473.3233347426685</v>
          </cell>
          <cell r="AA15">
            <v>4800.6518969027948</v>
          </cell>
          <cell r="AB15">
            <v>672.67143783987399</v>
          </cell>
          <cell r="AC15">
            <v>6661.9617813469176</v>
          </cell>
          <cell r="AD15"/>
          <cell r="AE15">
            <v>6661.9617813469176</v>
          </cell>
          <cell r="AG15">
            <v>5473.3233347426685</v>
          </cell>
          <cell r="AH15">
            <v>4800.6518969027948</v>
          </cell>
          <cell r="AI15">
            <v>672.67143783987399</v>
          </cell>
          <cell r="AJ15">
            <v>7839.6654058981949</v>
          </cell>
          <cell r="AK15"/>
          <cell r="AL15">
            <v>7839.6654058981949</v>
          </cell>
          <cell r="AN15">
            <v>5473.3233347426685</v>
          </cell>
          <cell r="AO15">
            <v>4800.6518969027948</v>
          </cell>
          <cell r="AP15">
            <v>672.67143783987399</v>
          </cell>
          <cell r="AQ15">
            <v>0</v>
          </cell>
          <cell r="AR15"/>
          <cell r="AU15">
            <v>5473.3233347426685</v>
          </cell>
          <cell r="AV15">
            <v>4800.6518969027948</v>
          </cell>
          <cell r="AW15">
            <v>672.67143783987399</v>
          </cell>
          <cell r="AX15">
            <v>0</v>
          </cell>
          <cell r="AY15"/>
          <cell r="BB15">
            <v>5900.3201906445793</v>
          </cell>
          <cell r="BC15">
            <v>5175.170839214361</v>
          </cell>
          <cell r="BD15">
            <v>725.14935143021876</v>
          </cell>
          <cell r="BE15">
            <v>0</v>
          </cell>
          <cell r="BF15"/>
          <cell r="BI15">
            <v>5473.3233347426685</v>
          </cell>
          <cell r="BJ15">
            <v>4800.6518969027948</v>
          </cell>
          <cell r="BK15">
            <v>672.67143783987399</v>
          </cell>
          <cell r="BL15">
            <v>0</v>
          </cell>
          <cell r="BM15"/>
          <cell r="BP15">
            <v>5473.3233347426685</v>
          </cell>
          <cell r="BQ15">
            <v>4800.6518969027948</v>
          </cell>
          <cell r="BR15">
            <v>672.67143783987399</v>
          </cell>
          <cell r="BS15">
            <v>0</v>
          </cell>
          <cell r="BT15"/>
          <cell r="BW15">
            <v>5473.3233347426685</v>
          </cell>
          <cell r="BX15">
            <v>4800.6518969027948</v>
          </cell>
          <cell r="BY15">
            <v>672.67143783987399</v>
          </cell>
          <cell r="BZ15">
            <v>0</v>
          </cell>
          <cell r="CA15"/>
          <cell r="CD15">
            <v>5473.3233347426685</v>
          </cell>
          <cell r="CE15">
            <v>4800.6518969027948</v>
          </cell>
          <cell r="CF15">
            <v>672.67143783987399</v>
          </cell>
          <cell r="CG15">
            <v>0</v>
          </cell>
          <cell r="CH15"/>
          <cell r="CK15">
            <v>5473.3233347426685</v>
          </cell>
          <cell r="CL15">
            <v>4800.6518969027948</v>
          </cell>
          <cell r="CM15">
            <v>672.67143783987399</v>
          </cell>
          <cell r="CN15">
            <v>0</v>
          </cell>
          <cell r="CO15"/>
        </row>
        <row r="16">
          <cell r="L16">
            <v>1354.7912582798429</v>
          </cell>
          <cell r="M16">
            <v>1188.2874126372501</v>
          </cell>
          <cell r="N16">
            <v>166.50384564259269</v>
          </cell>
          <cell r="O16">
            <v>1611.7723450505557</v>
          </cell>
          <cell r="P16"/>
          <cell r="Q16">
            <v>1611.7723450505557</v>
          </cell>
          <cell r="S16">
            <v>1354.7912582798429</v>
          </cell>
          <cell r="T16">
            <v>1188.2874126372501</v>
          </cell>
          <cell r="U16">
            <v>166.50384564259269</v>
          </cell>
          <cell r="V16">
            <v>0</v>
          </cell>
          <cell r="W16"/>
          <cell r="X16">
            <v>0</v>
          </cell>
          <cell r="Z16">
            <v>1354.7912582798429</v>
          </cell>
          <cell r="AA16">
            <v>1188.2874126372501</v>
          </cell>
          <cell r="AB16">
            <v>166.50384564259269</v>
          </cell>
          <cell r="AC16">
            <v>373.69336918286763</v>
          </cell>
          <cell r="AD16"/>
          <cell r="AE16">
            <v>373.69336918286763</v>
          </cell>
          <cell r="AG16">
            <v>1354.7912582798429</v>
          </cell>
          <cell r="AH16">
            <v>1188.2874126372501</v>
          </cell>
          <cell r="AI16">
            <v>166.50384564259269</v>
          </cell>
          <cell r="AJ16">
            <v>1000.1880113746106</v>
          </cell>
          <cell r="AK16"/>
          <cell r="AL16">
            <v>1000.1880113746106</v>
          </cell>
          <cell r="AN16">
            <v>1354.7912582798429</v>
          </cell>
          <cell r="AO16">
            <v>1188.2874126372501</v>
          </cell>
          <cell r="AP16">
            <v>166.50384564259269</v>
          </cell>
          <cell r="AQ16">
            <v>0</v>
          </cell>
          <cell r="AR16"/>
          <cell r="AU16">
            <v>1354.7912582798429</v>
          </cell>
          <cell r="AV16">
            <v>1188.2874126372501</v>
          </cell>
          <cell r="AW16">
            <v>166.50384564259269</v>
          </cell>
          <cell r="AX16">
            <v>0</v>
          </cell>
          <cell r="AY16"/>
          <cell r="BB16">
            <v>1354.7912582798429</v>
          </cell>
          <cell r="BC16">
            <v>1188.2874126372501</v>
          </cell>
          <cell r="BD16">
            <v>166.50384564259269</v>
          </cell>
          <cell r="BE16">
            <v>0</v>
          </cell>
          <cell r="BF16"/>
          <cell r="BI16">
            <v>1354.7912582798429</v>
          </cell>
          <cell r="BJ16">
            <v>1188.2874126372501</v>
          </cell>
          <cell r="BK16">
            <v>166.50384564259269</v>
          </cell>
          <cell r="BL16">
            <v>0</v>
          </cell>
          <cell r="BM16"/>
          <cell r="BP16">
            <v>1354.7912582798429</v>
          </cell>
          <cell r="BQ16">
            <v>1188.2874126372501</v>
          </cell>
          <cell r="BR16">
            <v>166.50384564259269</v>
          </cell>
          <cell r="BS16">
            <v>0</v>
          </cell>
          <cell r="BT16"/>
          <cell r="BW16">
            <v>1354.7912582798429</v>
          </cell>
          <cell r="BX16">
            <v>1188.2874126372501</v>
          </cell>
          <cell r="BY16">
            <v>166.50384564259269</v>
          </cell>
          <cell r="BZ16">
            <v>0</v>
          </cell>
          <cell r="CA16"/>
          <cell r="CD16">
            <v>1354.7912582798429</v>
          </cell>
          <cell r="CE16">
            <v>1188.2874126372501</v>
          </cell>
          <cell r="CF16">
            <v>166.50384564259269</v>
          </cell>
          <cell r="CG16">
            <v>0</v>
          </cell>
          <cell r="CH16"/>
          <cell r="CK16">
            <v>1354.7912582798429</v>
          </cell>
          <cell r="CL16">
            <v>1188.2874126372501</v>
          </cell>
          <cell r="CM16">
            <v>166.50384564259269</v>
          </cell>
          <cell r="CN16">
            <v>0</v>
          </cell>
          <cell r="CO16"/>
        </row>
        <row r="17">
          <cell r="L17">
            <v>36304.737364031207</v>
          </cell>
          <cell r="M17">
            <v>31842.88514199177</v>
          </cell>
          <cell r="N17">
            <v>4461.8522220394352</v>
          </cell>
          <cell r="O17">
            <v>30879.45435916699</v>
          </cell>
          <cell r="P17"/>
          <cell r="Q17">
            <v>30879.45435916699</v>
          </cell>
          <cell r="S17">
            <v>36304.737364031207</v>
          </cell>
          <cell r="T17">
            <v>31842.88514199177</v>
          </cell>
          <cell r="U17">
            <v>4461.8522220394352</v>
          </cell>
          <cell r="V17">
            <v>30706.785232411876</v>
          </cell>
          <cell r="W17"/>
          <cell r="X17">
            <v>30706.785232411876</v>
          </cell>
          <cell r="Z17">
            <v>36304.737364031207</v>
          </cell>
          <cell r="AA17">
            <v>31842.88514199177</v>
          </cell>
          <cell r="AB17">
            <v>4461.8522220394352</v>
          </cell>
          <cell r="AC17">
            <v>24743.689691945154</v>
          </cell>
          <cell r="AD17"/>
          <cell r="AE17">
            <v>24743.689691945154</v>
          </cell>
          <cell r="AG17">
            <v>36304.737364031207</v>
          </cell>
          <cell r="AH17">
            <v>31842.88514199177</v>
          </cell>
          <cell r="AI17">
            <v>4461.8522220394352</v>
          </cell>
          <cell r="AJ17">
            <v>32977.168949374747</v>
          </cell>
          <cell r="AK17"/>
          <cell r="AL17">
            <v>32977.168949374747</v>
          </cell>
          <cell r="AN17">
            <v>36304.737364031207</v>
          </cell>
          <cell r="AO17">
            <v>31842.88514199177</v>
          </cell>
          <cell r="AP17">
            <v>4461.8522220394352</v>
          </cell>
          <cell r="AQ17">
            <v>0</v>
          </cell>
          <cell r="AR17"/>
          <cell r="AU17">
            <v>36304.737364031207</v>
          </cell>
          <cell r="AV17">
            <v>31842.88514199177</v>
          </cell>
          <cell r="AW17">
            <v>4461.8522220394352</v>
          </cell>
          <cell r="AX17">
            <v>0</v>
          </cell>
          <cell r="AY17"/>
          <cell r="BB17">
            <v>36304.737364031207</v>
          </cell>
          <cell r="BC17">
            <v>31842.88514199177</v>
          </cell>
          <cell r="BD17">
            <v>4461.8522220394352</v>
          </cell>
          <cell r="BE17">
            <v>0</v>
          </cell>
          <cell r="BF17"/>
          <cell r="BI17">
            <v>36304.737364031207</v>
          </cell>
          <cell r="BJ17">
            <v>31842.88514199177</v>
          </cell>
          <cell r="BK17">
            <v>4461.8522220394352</v>
          </cell>
          <cell r="BL17">
            <v>0</v>
          </cell>
          <cell r="BM17"/>
          <cell r="BP17">
            <v>36304.737364031207</v>
          </cell>
          <cell r="BQ17">
            <v>31842.88514199177</v>
          </cell>
          <cell r="BR17">
            <v>4461.8522220394352</v>
          </cell>
          <cell r="BS17">
            <v>0</v>
          </cell>
          <cell r="BT17"/>
          <cell r="BW17">
            <v>36304.737364031207</v>
          </cell>
          <cell r="BX17">
            <v>31842.88514199177</v>
          </cell>
          <cell r="BY17">
            <v>4461.8522220394352</v>
          </cell>
          <cell r="BZ17">
            <v>0</v>
          </cell>
          <cell r="CA17"/>
          <cell r="CD17">
            <v>36304.737364031207</v>
          </cell>
          <cell r="CE17">
            <v>31842.88514199177</v>
          </cell>
          <cell r="CF17">
            <v>4461.8522220394352</v>
          </cell>
          <cell r="CG17">
            <v>0</v>
          </cell>
          <cell r="CH17"/>
          <cell r="CK17">
            <v>36304.737364031207</v>
          </cell>
          <cell r="CL17">
            <v>31842.88514199177</v>
          </cell>
          <cell r="CM17">
            <v>4461.8522220394352</v>
          </cell>
          <cell r="CN17">
            <v>0</v>
          </cell>
          <cell r="CO17"/>
        </row>
        <row r="18">
          <cell r="L18">
            <v>4805.8155974939455</v>
          </cell>
          <cell r="M18">
            <v>4215.1808605619399</v>
          </cell>
          <cell r="N18">
            <v>590.63473693200592</v>
          </cell>
          <cell r="O18">
            <v>0</v>
          </cell>
          <cell r="P18"/>
          <cell r="Q18">
            <v>0</v>
          </cell>
          <cell r="S18">
            <v>4805.8155974939455</v>
          </cell>
          <cell r="T18">
            <v>4215.1808605619399</v>
          </cell>
          <cell r="U18">
            <v>590.63473693200592</v>
          </cell>
          <cell r="V18">
            <v>0</v>
          </cell>
          <cell r="W18"/>
          <cell r="X18">
            <v>0</v>
          </cell>
          <cell r="Z18">
            <v>4805.8155974939455</v>
          </cell>
          <cell r="AA18">
            <v>4215.1808605619399</v>
          </cell>
          <cell r="AB18">
            <v>590.63473693200592</v>
          </cell>
          <cell r="AC18">
            <v>7277.3434141083926</v>
          </cell>
          <cell r="AD18"/>
          <cell r="AE18">
            <v>7277.3434141083926</v>
          </cell>
          <cell r="AG18">
            <v>4805.8155974939455</v>
          </cell>
          <cell r="AH18">
            <v>4215.1808605619399</v>
          </cell>
          <cell r="AI18">
            <v>590.63473693200592</v>
          </cell>
          <cell r="AJ18">
            <v>2603.3599353362192</v>
          </cell>
          <cell r="AK18"/>
          <cell r="AL18">
            <v>2603.3599353362192</v>
          </cell>
          <cell r="AN18">
            <v>4805.8155974939455</v>
          </cell>
          <cell r="AO18">
            <v>4215.1808605619399</v>
          </cell>
          <cell r="AP18">
            <v>590.63473693200592</v>
          </cell>
          <cell r="AQ18">
            <v>0</v>
          </cell>
          <cell r="AR18"/>
          <cell r="AU18">
            <v>4805.8155974939455</v>
          </cell>
          <cell r="AV18">
            <v>4215.1808605619399</v>
          </cell>
          <cell r="AW18">
            <v>590.63473693200592</v>
          </cell>
          <cell r="AX18">
            <v>0</v>
          </cell>
          <cell r="AY18"/>
          <cell r="BB18">
            <v>4805.8155974939455</v>
          </cell>
          <cell r="BC18">
            <v>4215.1808605619399</v>
          </cell>
          <cell r="BD18">
            <v>590.63473693200592</v>
          </cell>
          <cell r="BE18">
            <v>0</v>
          </cell>
          <cell r="BF18"/>
          <cell r="BI18">
            <v>4805.8155974939455</v>
          </cell>
          <cell r="BJ18">
            <v>4215.1808605619399</v>
          </cell>
          <cell r="BK18">
            <v>590.63473693200592</v>
          </cell>
          <cell r="BL18">
            <v>0</v>
          </cell>
          <cell r="BM18"/>
          <cell r="BP18">
            <v>4805.8155974939455</v>
          </cell>
          <cell r="BQ18">
            <v>4215.1808605619399</v>
          </cell>
          <cell r="BR18">
            <v>590.63473693200592</v>
          </cell>
          <cell r="BS18">
            <v>0</v>
          </cell>
          <cell r="BT18"/>
          <cell r="BW18">
            <v>4805.8155974939455</v>
          </cell>
          <cell r="BX18">
            <v>4215.1808605619399</v>
          </cell>
          <cell r="BY18">
            <v>590.63473693200592</v>
          </cell>
          <cell r="BZ18">
            <v>0</v>
          </cell>
          <cell r="CA18"/>
          <cell r="CD18">
            <v>4805.8155974939455</v>
          </cell>
          <cell r="CE18">
            <v>4215.1808605619399</v>
          </cell>
          <cell r="CF18">
            <v>590.63473693200592</v>
          </cell>
          <cell r="CG18">
            <v>0</v>
          </cell>
          <cell r="CH18"/>
          <cell r="CK18">
            <v>4805.8155974939455</v>
          </cell>
          <cell r="CL18">
            <v>4215.1808605619399</v>
          </cell>
          <cell r="CM18">
            <v>590.63473693200592</v>
          </cell>
          <cell r="CN18">
            <v>0</v>
          </cell>
          <cell r="CO18"/>
        </row>
        <row r="19">
          <cell r="L19">
            <v>2084.2942435074501</v>
          </cell>
          <cell r="M19">
            <v>1828.1344809803845</v>
          </cell>
          <cell r="N19">
            <v>256.1597625270656</v>
          </cell>
          <cell r="O19">
            <v>3000.7727338119785</v>
          </cell>
          <cell r="P19"/>
          <cell r="Q19">
            <v>3000.7727338119785</v>
          </cell>
          <cell r="S19">
            <v>2084.2942435074501</v>
          </cell>
          <cell r="T19">
            <v>1828.1344809803845</v>
          </cell>
          <cell r="U19">
            <v>256.1597625270656</v>
          </cell>
          <cell r="V19">
            <v>3733.0360356808096</v>
          </cell>
          <cell r="W19"/>
          <cell r="X19">
            <v>3733.0360356808096</v>
          </cell>
          <cell r="Z19">
            <v>2084.2942435074501</v>
          </cell>
          <cell r="AA19">
            <v>1828.1344809803845</v>
          </cell>
          <cell r="AB19">
            <v>256.1597625270656</v>
          </cell>
          <cell r="AC19">
            <v>2504.9220032691246</v>
          </cell>
          <cell r="AD19"/>
          <cell r="AE19">
            <v>2504.9220032691246</v>
          </cell>
          <cell r="AG19">
            <v>2084.2942435074501</v>
          </cell>
          <cell r="AH19">
            <v>1828.1344809803845</v>
          </cell>
          <cell r="AI19">
            <v>256.1597625270656</v>
          </cell>
          <cell r="AJ19">
            <v>3406.5928828357887</v>
          </cell>
          <cell r="AK19"/>
          <cell r="AL19">
            <v>3406.5928828357887</v>
          </cell>
          <cell r="AN19">
            <v>2084.2942435074501</v>
          </cell>
          <cell r="AO19">
            <v>1828.1344809803845</v>
          </cell>
          <cell r="AP19">
            <v>256.1597625270656</v>
          </cell>
          <cell r="AQ19">
            <v>0</v>
          </cell>
          <cell r="AR19"/>
          <cell r="AU19">
            <v>2084.2942435074501</v>
          </cell>
          <cell r="AV19">
            <v>1828.1344809803845</v>
          </cell>
          <cell r="AW19">
            <v>256.1597625270656</v>
          </cell>
          <cell r="AX19">
            <v>0</v>
          </cell>
          <cell r="AY19"/>
          <cell r="BB19">
            <v>2084.2942435074501</v>
          </cell>
          <cell r="BC19">
            <v>1828.1344809803845</v>
          </cell>
          <cell r="BD19">
            <v>256.1597625270656</v>
          </cell>
          <cell r="BE19">
            <v>0</v>
          </cell>
          <cell r="BF19"/>
          <cell r="BI19">
            <v>2084.2942435074501</v>
          </cell>
          <cell r="BJ19">
            <v>1828.1344809803845</v>
          </cell>
          <cell r="BK19">
            <v>256.1597625270656</v>
          </cell>
          <cell r="BL19">
            <v>0</v>
          </cell>
          <cell r="BM19"/>
          <cell r="BP19">
            <v>2084.2942435074501</v>
          </cell>
          <cell r="BQ19">
            <v>1828.1344809803845</v>
          </cell>
          <cell r="BR19">
            <v>256.1597625270656</v>
          </cell>
          <cell r="BS19">
            <v>0</v>
          </cell>
          <cell r="BT19"/>
          <cell r="BW19">
            <v>2084.2942435074501</v>
          </cell>
          <cell r="BX19">
            <v>1828.1344809803845</v>
          </cell>
          <cell r="BY19">
            <v>256.1597625270656</v>
          </cell>
          <cell r="BZ19">
            <v>0</v>
          </cell>
          <cell r="CA19"/>
          <cell r="CD19">
            <v>2084.2942435074501</v>
          </cell>
          <cell r="CE19">
            <v>1828.1344809803845</v>
          </cell>
          <cell r="CF19">
            <v>256.1597625270656</v>
          </cell>
          <cell r="CG19">
            <v>0</v>
          </cell>
          <cell r="CH19"/>
          <cell r="CK19">
            <v>2084.2942435074501</v>
          </cell>
          <cell r="CL19">
            <v>1828.1344809803845</v>
          </cell>
          <cell r="CM19">
            <v>256.1597625270656</v>
          </cell>
          <cell r="CN19">
            <v>0</v>
          </cell>
          <cell r="CO19"/>
        </row>
        <row r="20">
          <cell r="L20">
            <v>0</v>
          </cell>
          <cell r="M20">
            <v>0</v>
          </cell>
          <cell r="N20">
            <v>0</v>
          </cell>
          <cell r="O20">
            <v>16814.400000000001</v>
          </cell>
          <cell r="P20"/>
          <cell r="Q20">
            <v>16814.400000000001</v>
          </cell>
          <cell r="S20">
            <v>0</v>
          </cell>
          <cell r="T20">
            <v>0</v>
          </cell>
          <cell r="U20">
            <v>0</v>
          </cell>
          <cell r="V20">
            <v>4308.99</v>
          </cell>
          <cell r="W20"/>
          <cell r="X20">
            <v>4308.99</v>
          </cell>
          <cell r="Z20">
            <v>147644.26047999901</v>
          </cell>
          <cell r="AA20">
            <v>129498.78086700712</v>
          </cell>
          <cell r="AB20">
            <v>18145.479612991876</v>
          </cell>
          <cell r="AC20">
            <v>46719.430000000008</v>
          </cell>
          <cell r="AD20"/>
          <cell r="AE20">
            <v>46719.430000000008</v>
          </cell>
          <cell r="AG20">
            <v>0</v>
          </cell>
          <cell r="AH20">
            <v>0</v>
          </cell>
          <cell r="AI20">
            <v>0</v>
          </cell>
          <cell r="AJ20">
            <v>64339.595464768805</v>
          </cell>
          <cell r="AK20"/>
          <cell r="AL20">
            <v>64339.595464768805</v>
          </cell>
          <cell r="AN20">
            <v>4984.0624399999997</v>
          </cell>
          <cell r="AO20">
            <v>4371.521166124</v>
          </cell>
          <cell r="AP20">
            <v>612.54127387599999</v>
          </cell>
          <cell r="AQ20">
            <v>0</v>
          </cell>
          <cell r="AR20"/>
          <cell r="AU20">
            <v>4984.0624399999997</v>
          </cell>
          <cell r="AV20">
            <v>4371.521166124</v>
          </cell>
          <cell r="AW20">
            <v>612.54127387599999</v>
          </cell>
          <cell r="AX20">
            <v>0</v>
          </cell>
          <cell r="AY20"/>
          <cell r="BB20">
            <v>81896.062439999994</v>
          </cell>
          <cell r="BC20">
            <v>71831.036366123997</v>
          </cell>
          <cell r="BD20">
            <v>10065.026073875999</v>
          </cell>
          <cell r="BE20">
            <v>0</v>
          </cell>
          <cell r="BF20"/>
          <cell r="BI20">
            <v>12103.322920000001</v>
          </cell>
          <cell r="BJ20">
            <v>10615.824533132001</v>
          </cell>
          <cell r="BK20">
            <v>1487.4983868679999</v>
          </cell>
          <cell r="BL20">
            <v>0</v>
          </cell>
          <cell r="BM20"/>
          <cell r="BP20">
            <v>96317.062439999994</v>
          </cell>
          <cell r="BQ20">
            <v>84479.695466124002</v>
          </cell>
          <cell r="BR20">
            <v>11837.366973875998</v>
          </cell>
          <cell r="BS20">
            <v>0</v>
          </cell>
          <cell r="BT20"/>
          <cell r="BW20">
            <v>4984.0624399999997</v>
          </cell>
          <cell r="BX20">
            <v>4371.521166124</v>
          </cell>
          <cell r="BY20">
            <v>612.54127387599999</v>
          </cell>
          <cell r="BZ20">
            <v>0</v>
          </cell>
          <cell r="CA20"/>
          <cell r="CD20">
            <v>4984.0624399999997</v>
          </cell>
          <cell r="CE20">
            <v>4371.521166124</v>
          </cell>
          <cell r="CF20">
            <v>612.54127387599999</v>
          </cell>
          <cell r="CG20">
            <v>0</v>
          </cell>
          <cell r="CH20"/>
          <cell r="CK20">
            <v>4984.0624399999997</v>
          </cell>
          <cell r="CL20">
            <v>4371.521166124</v>
          </cell>
          <cell r="CM20">
            <v>612.54127387599999</v>
          </cell>
          <cell r="CN20">
            <v>0</v>
          </cell>
          <cell r="CO20"/>
        </row>
        <row r="21">
          <cell r="L21">
            <v>0</v>
          </cell>
          <cell r="M21">
            <v>0</v>
          </cell>
          <cell r="N21">
            <v>0</v>
          </cell>
          <cell r="O21">
            <v>23423.09</v>
          </cell>
          <cell r="P21"/>
          <cell r="Q21">
            <v>23423.09</v>
          </cell>
          <cell r="S21">
            <v>0</v>
          </cell>
          <cell r="T21">
            <v>0</v>
          </cell>
          <cell r="U21">
            <v>0</v>
          </cell>
          <cell r="V21">
            <v>16870</v>
          </cell>
          <cell r="W21"/>
          <cell r="X21">
            <v>16870</v>
          </cell>
          <cell r="Z21">
            <v>0</v>
          </cell>
          <cell r="AA21">
            <v>0</v>
          </cell>
          <cell r="AB21">
            <v>0</v>
          </cell>
          <cell r="AC21">
            <v>12481.6</v>
          </cell>
          <cell r="AD21"/>
          <cell r="AE21">
            <v>12481.6</v>
          </cell>
          <cell r="AG21">
            <v>0</v>
          </cell>
          <cell r="AH21">
            <v>0</v>
          </cell>
          <cell r="AI21">
            <v>0</v>
          </cell>
          <cell r="AJ21">
            <v>300</v>
          </cell>
          <cell r="AK21"/>
          <cell r="AL21">
            <v>300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/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/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/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/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/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/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/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/>
        </row>
        <row r="22">
          <cell r="L22">
            <v>14146.691999999999</v>
          </cell>
          <cell r="M22">
            <v>12408.0635532</v>
          </cell>
          <cell r="N22">
            <v>1738.6284467999999</v>
          </cell>
          <cell r="O22">
            <v>0</v>
          </cell>
          <cell r="P22"/>
          <cell r="Q22">
            <v>0</v>
          </cell>
          <cell r="S22">
            <v>14146.691999999999</v>
          </cell>
          <cell r="T22">
            <v>12408.0635532</v>
          </cell>
          <cell r="U22">
            <v>1738.6284467999999</v>
          </cell>
          <cell r="V22">
            <v>83188.222531953827</v>
          </cell>
          <cell r="W22"/>
          <cell r="X22">
            <v>83188.222531953827</v>
          </cell>
          <cell r="Z22">
            <v>14146.691999999999</v>
          </cell>
          <cell r="AA22">
            <v>12408.0635532</v>
          </cell>
          <cell r="AB22">
            <v>1738.6284467999999</v>
          </cell>
          <cell r="AC22">
            <v>21168.113446642361</v>
          </cell>
          <cell r="AD22"/>
          <cell r="AE22">
            <v>21168.113446642361</v>
          </cell>
          <cell r="AG22">
            <v>14146.691999999999</v>
          </cell>
          <cell r="AH22">
            <v>12408.0635532</v>
          </cell>
          <cell r="AI22">
            <v>1738.6284467999999</v>
          </cell>
          <cell r="AJ22">
            <v>0</v>
          </cell>
          <cell r="AK22"/>
          <cell r="AL22">
            <v>0</v>
          </cell>
          <cell r="AN22">
            <v>14146.691999999999</v>
          </cell>
          <cell r="AO22">
            <v>12408.0635532</v>
          </cell>
          <cell r="AP22">
            <v>1738.6284467999999</v>
          </cell>
          <cell r="AQ22">
            <v>0</v>
          </cell>
          <cell r="AR22"/>
          <cell r="AU22">
            <v>14146.691999999999</v>
          </cell>
          <cell r="AV22">
            <v>12408.0635532</v>
          </cell>
          <cell r="AW22">
            <v>1738.6284467999999</v>
          </cell>
          <cell r="AX22">
            <v>0</v>
          </cell>
          <cell r="AY22"/>
          <cell r="BB22">
            <v>14146.691999999999</v>
          </cell>
          <cell r="BC22">
            <v>12408.0635532</v>
          </cell>
          <cell r="BD22">
            <v>1738.6284467999999</v>
          </cell>
          <cell r="BE22">
            <v>0</v>
          </cell>
          <cell r="BF22"/>
          <cell r="BI22">
            <v>14146.691999999999</v>
          </cell>
          <cell r="BJ22">
            <v>12408.0635532</v>
          </cell>
          <cell r="BK22">
            <v>1738.6284467999999</v>
          </cell>
          <cell r="BL22">
            <v>0</v>
          </cell>
          <cell r="BM22"/>
          <cell r="BP22">
            <v>14146.691999999999</v>
          </cell>
          <cell r="BQ22">
            <v>12408.0635532</v>
          </cell>
          <cell r="BR22">
            <v>1738.6284467999999</v>
          </cell>
          <cell r="BS22">
            <v>0</v>
          </cell>
          <cell r="BT22"/>
          <cell r="BW22">
            <v>14146.691999999999</v>
          </cell>
          <cell r="BX22">
            <v>12408.0635532</v>
          </cell>
          <cell r="BY22">
            <v>1738.6284467999999</v>
          </cell>
          <cell r="BZ22">
            <v>0</v>
          </cell>
          <cell r="CA22"/>
          <cell r="CD22">
            <v>14146.691999999999</v>
          </cell>
          <cell r="CE22">
            <v>12408.0635532</v>
          </cell>
          <cell r="CF22">
            <v>1738.6284467999999</v>
          </cell>
          <cell r="CG22">
            <v>0</v>
          </cell>
          <cell r="CH22"/>
          <cell r="CK22">
            <v>14146.691999999999</v>
          </cell>
          <cell r="CL22">
            <v>12408.0635532</v>
          </cell>
          <cell r="CM22">
            <v>1738.6284467999999</v>
          </cell>
          <cell r="CN22">
            <v>0</v>
          </cell>
          <cell r="CO22"/>
        </row>
        <row r="23"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/>
          <cell r="Q23"/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/>
          <cell r="X23"/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/>
          <cell r="AE23"/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/>
          <cell r="AL23"/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/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/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/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/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/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/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/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/>
        </row>
        <row r="24">
          <cell r="L24">
            <v>11254.8315264262</v>
          </cell>
          <cell r="M24">
            <v>9871.6127318284198</v>
          </cell>
          <cell r="N24">
            <v>1383.2187945977798</v>
          </cell>
          <cell r="O24">
            <v>0</v>
          </cell>
          <cell r="P24"/>
          <cell r="Q24">
            <v>0</v>
          </cell>
          <cell r="S24">
            <v>11254.8315264262</v>
          </cell>
          <cell r="T24">
            <v>9871.6127318284198</v>
          </cell>
          <cell r="U24">
            <v>1383.2187945977798</v>
          </cell>
          <cell r="V24">
            <v>0</v>
          </cell>
          <cell r="W24"/>
          <cell r="X24">
            <v>0</v>
          </cell>
          <cell r="Z24">
            <v>11254.8315264262</v>
          </cell>
          <cell r="AA24">
            <v>9871.6127318284198</v>
          </cell>
          <cell r="AB24">
            <v>1383.2187945977798</v>
          </cell>
          <cell r="AC24">
            <v>0</v>
          </cell>
          <cell r="AD24"/>
          <cell r="AE24">
            <v>0</v>
          </cell>
          <cell r="AG24">
            <v>11254.8315264262</v>
          </cell>
          <cell r="AH24">
            <v>9871.6127318284198</v>
          </cell>
          <cell r="AI24">
            <v>1383.2187945977798</v>
          </cell>
          <cell r="AJ24">
            <v>0</v>
          </cell>
          <cell r="AK24"/>
          <cell r="AL24">
            <v>0</v>
          </cell>
          <cell r="AN24">
            <v>11254.8315264262</v>
          </cell>
          <cell r="AO24">
            <v>9871.6127318284198</v>
          </cell>
          <cell r="AP24">
            <v>1383.2187945977798</v>
          </cell>
          <cell r="AQ24">
            <v>0</v>
          </cell>
          <cell r="AR24"/>
          <cell r="AU24">
            <v>11254.8315264262</v>
          </cell>
          <cell r="AV24">
            <v>9871.6127318284198</v>
          </cell>
          <cell r="AW24">
            <v>1383.2187945977798</v>
          </cell>
          <cell r="AX24">
            <v>0</v>
          </cell>
          <cell r="AY24"/>
          <cell r="BB24">
            <v>9854.2922419461993</v>
          </cell>
          <cell r="BC24">
            <v>8643.199725411012</v>
          </cell>
          <cell r="BD24">
            <v>1211.0925165351878</v>
          </cell>
          <cell r="BE24">
            <v>0</v>
          </cell>
          <cell r="BF24"/>
          <cell r="BI24">
            <v>11254.8315264262</v>
          </cell>
          <cell r="BJ24">
            <v>9871.6127318284198</v>
          </cell>
          <cell r="BK24">
            <v>1383.2187945977798</v>
          </cell>
          <cell r="BL24">
            <v>0</v>
          </cell>
          <cell r="BM24"/>
          <cell r="BP24">
            <v>11254.8315264262</v>
          </cell>
          <cell r="BQ24">
            <v>9871.6127318284198</v>
          </cell>
          <cell r="BR24">
            <v>1383.2187945977798</v>
          </cell>
          <cell r="BS24">
            <v>0</v>
          </cell>
          <cell r="BT24"/>
          <cell r="BW24">
            <v>11254.8315264262</v>
          </cell>
          <cell r="BX24">
            <v>9871.6127318284198</v>
          </cell>
          <cell r="BY24">
            <v>1383.2187945977798</v>
          </cell>
          <cell r="BZ24">
            <v>0</v>
          </cell>
          <cell r="CA24"/>
          <cell r="CD24">
            <v>11254.8315264262</v>
          </cell>
          <cell r="CE24">
            <v>9871.6127318284198</v>
          </cell>
          <cell r="CF24">
            <v>1383.2187945977798</v>
          </cell>
          <cell r="CG24">
            <v>0</v>
          </cell>
          <cell r="CH24"/>
          <cell r="CK24">
            <v>11254.8315264262</v>
          </cell>
          <cell r="CL24">
            <v>9871.6127318284198</v>
          </cell>
          <cell r="CM24">
            <v>1383.2187945977798</v>
          </cell>
          <cell r="CN24">
            <v>0</v>
          </cell>
          <cell r="CO24"/>
        </row>
        <row r="25">
          <cell r="L25">
            <v>0</v>
          </cell>
          <cell r="M25">
            <v>0</v>
          </cell>
          <cell r="N25">
            <v>0</v>
          </cell>
          <cell r="O25">
            <v>4444.4800000000005</v>
          </cell>
          <cell r="P25"/>
          <cell r="Q25">
            <v>4444.4800000000005</v>
          </cell>
          <cell r="S25">
            <v>0</v>
          </cell>
          <cell r="T25">
            <v>0</v>
          </cell>
          <cell r="U25">
            <v>0</v>
          </cell>
          <cell r="V25">
            <v>516.79999999999995</v>
          </cell>
          <cell r="W25"/>
          <cell r="X25">
            <v>516.79999999999995</v>
          </cell>
          <cell r="Z25">
            <v>33933.535369999998</v>
          </cell>
          <cell r="AA25">
            <v>29763.103873026997</v>
          </cell>
          <cell r="AB25">
            <v>4170.4314969729994</v>
          </cell>
          <cell r="AC25">
            <v>253.84</v>
          </cell>
          <cell r="AD25"/>
          <cell r="AE25">
            <v>253.84</v>
          </cell>
          <cell r="AG25">
            <v>29947.271836999898</v>
          </cell>
          <cell r="AH25">
            <v>26266.752128232612</v>
          </cell>
          <cell r="AI25">
            <v>3680.5197087672873</v>
          </cell>
          <cell r="AJ25">
            <v>0</v>
          </cell>
          <cell r="AK25"/>
          <cell r="AL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/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/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/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/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/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/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/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/>
        </row>
        <row r="26">
          <cell r="L26">
            <v>50081.897095985994</v>
          </cell>
          <cell r="M26">
            <v>43926.831942889316</v>
          </cell>
          <cell r="N26">
            <v>6155.0651530966788</v>
          </cell>
          <cell r="O26">
            <v>23964.419707129066</v>
          </cell>
          <cell r="P26"/>
          <cell r="Q26">
            <v>23964.419707129066</v>
          </cell>
          <cell r="S26">
            <v>68142.461602319905</v>
          </cell>
          <cell r="T26">
            <v>59767.753071394793</v>
          </cell>
          <cell r="U26">
            <v>8374.7085309251161</v>
          </cell>
          <cell r="V26">
            <v>28078.697239775316</v>
          </cell>
          <cell r="W26"/>
          <cell r="X26">
            <v>28078.697239775316</v>
          </cell>
          <cell r="Z26">
            <v>83737.055448703904</v>
          </cell>
          <cell r="AA26">
            <v>73445.771334058198</v>
          </cell>
          <cell r="AB26">
            <v>10291.28411464571</v>
          </cell>
          <cell r="AC26">
            <v>43999.859539210818</v>
          </cell>
          <cell r="AD26"/>
          <cell r="AE26">
            <v>43999.859539210818</v>
          </cell>
          <cell r="AG26">
            <v>78960.979851619515</v>
          </cell>
          <cell r="AH26">
            <v>69256.675427855473</v>
          </cell>
          <cell r="AI26">
            <v>9704.3044237640388</v>
          </cell>
          <cell r="AJ26">
            <v>50187.84731528836</v>
          </cell>
          <cell r="AK26"/>
          <cell r="AL26">
            <v>50187.84731528836</v>
          </cell>
          <cell r="AN26">
            <v>86448.636890355512</v>
          </cell>
          <cell r="AO26">
            <v>75824.099416530822</v>
          </cell>
          <cell r="AP26">
            <v>10624.537473824692</v>
          </cell>
          <cell r="AQ26">
            <v>0</v>
          </cell>
          <cell r="AR26"/>
          <cell r="AU26">
            <v>78896.938296609995</v>
          </cell>
          <cell r="AV26">
            <v>69200.504579956629</v>
          </cell>
          <cell r="AW26">
            <v>9696.4337166533678</v>
          </cell>
          <cell r="AX26">
            <v>0</v>
          </cell>
          <cell r="AY26"/>
          <cell r="BB26">
            <v>80807.539222143911</v>
          </cell>
          <cell r="BC26">
            <v>70876.29265174242</v>
          </cell>
          <cell r="BD26">
            <v>9931.2465704014867</v>
          </cell>
          <cell r="BE26">
            <v>0</v>
          </cell>
          <cell r="BF26"/>
          <cell r="BI26">
            <v>78960.979851619515</v>
          </cell>
          <cell r="BJ26">
            <v>69256.675427855473</v>
          </cell>
          <cell r="BK26">
            <v>9704.3044237640388</v>
          </cell>
          <cell r="BL26">
            <v>0</v>
          </cell>
          <cell r="BM26"/>
          <cell r="BP26">
            <v>103074.44585726313</v>
          </cell>
          <cell r="BQ26">
            <v>90406.596461405483</v>
          </cell>
          <cell r="BR26">
            <v>12667.849395857638</v>
          </cell>
          <cell r="BS26">
            <v>0</v>
          </cell>
          <cell r="BT26"/>
          <cell r="BW26">
            <v>86431.122682289919</v>
          </cell>
          <cell r="BX26">
            <v>75808.737704636485</v>
          </cell>
          <cell r="BY26">
            <v>10622.38497765343</v>
          </cell>
          <cell r="BZ26">
            <v>0</v>
          </cell>
          <cell r="CA26"/>
          <cell r="CD26">
            <v>24485.962751266001</v>
          </cell>
          <cell r="CE26">
            <v>21476.63792913541</v>
          </cell>
          <cell r="CF26">
            <v>3009.3248221305912</v>
          </cell>
          <cell r="CG26">
            <v>0</v>
          </cell>
          <cell r="CH26"/>
          <cell r="CK26">
            <v>66760.636684799931</v>
          </cell>
          <cell r="CL26">
            <v>58555.754436238021</v>
          </cell>
          <cell r="CM26">
            <v>8204.8822485619112</v>
          </cell>
          <cell r="CN26">
            <v>0</v>
          </cell>
          <cell r="CO26"/>
        </row>
        <row r="27">
          <cell r="L27">
            <v>2021.61232952</v>
          </cell>
          <cell r="M27">
            <v>1773.1561742219919</v>
          </cell>
          <cell r="N27">
            <v>248.45615529800799</v>
          </cell>
          <cell r="O27">
            <v>7765.0151146103899</v>
          </cell>
          <cell r="P27"/>
          <cell r="Q27">
            <v>7765.0151146103899</v>
          </cell>
          <cell r="S27">
            <v>7298.1590701599998</v>
          </cell>
          <cell r="T27">
            <v>6401.2153204373362</v>
          </cell>
          <cell r="U27">
            <v>896.94374972266394</v>
          </cell>
          <cell r="V27">
            <v>6158.56</v>
          </cell>
          <cell r="W27"/>
          <cell r="X27">
            <v>6158.56</v>
          </cell>
          <cell r="Z27">
            <v>7298.1590701599998</v>
          </cell>
          <cell r="AA27">
            <v>6401.2153204373362</v>
          </cell>
          <cell r="AB27">
            <v>896.94374972266394</v>
          </cell>
          <cell r="AC27">
            <v>19926.380000000008</v>
          </cell>
          <cell r="AD27"/>
          <cell r="AE27">
            <v>19926.380000000008</v>
          </cell>
          <cell r="AG27">
            <v>6731.8284949999897</v>
          </cell>
          <cell r="AH27">
            <v>5904.4867729644911</v>
          </cell>
          <cell r="AI27">
            <v>827.34172203549872</v>
          </cell>
          <cell r="AJ27">
            <v>7950.7394636621802</v>
          </cell>
          <cell r="AK27"/>
          <cell r="AL27">
            <v>7950.7394636621802</v>
          </cell>
          <cell r="AN27">
            <v>2636.98669499999</v>
          </cell>
          <cell r="AO27">
            <v>2312.9010301844914</v>
          </cell>
          <cell r="AP27">
            <v>324.08566481549877</v>
          </cell>
          <cell r="AQ27">
            <v>0</v>
          </cell>
          <cell r="AR27"/>
          <cell r="AU27">
            <v>8753.4408245199993</v>
          </cell>
          <cell r="AV27">
            <v>7677.6429471864913</v>
          </cell>
          <cell r="AW27">
            <v>1075.7978773335078</v>
          </cell>
          <cell r="AX27">
            <v>0</v>
          </cell>
          <cell r="AY27"/>
          <cell r="BB27">
            <v>4658.5990245199901</v>
          </cell>
          <cell r="BC27">
            <v>4086.0572044064834</v>
          </cell>
          <cell r="BD27">
            <v>572.54182011350679</v>
          </cell>
          <cell r="BE27">
            <v>0</v>
          </cell>
          <cell r="BF27"/>
          <cell r="BI27">
            <v>8753.4408245199993</v>
          </cell>
          <cell r="BJ27">
            <v>7677.6429471864913</v>
          </cell>
          <cell r="BK27">
            <v>1075.7978773335078</v>
          </cell>
          <cell r="BL27">
            <v>0</v>
          </cell>
          <cell r="BM27"/>
          <cell r="BP27">
            <v>8753.4408245199993</v>
          </cell>
          <cell r="BQ27">
            <v>7677.6429471864913</v>
          </cell>
          <cell r="BR27">
            <v>1075.7978773335078</v>
          </cell>
          <cell r="BS27">
            <v>0</v>
          </cell>
          <cell r="BT27"/>
          <cell r="BW27">
            <v>2403.52495</v>
          </cell>
          <cell r="BX27">
            <v>2108.1317336450002</v>
          </cell>
          <cell r="BY27">
            <v>295.39321635499999</v>
          </cell>
          <cell r="BZ27">
            <v>0</v>
          </cell>
          <cell r="CA27"/>
          <cell r="CD27">
            <v>2403.52495</v>
          </cell>
          <cell r="CE27">
            <v>2108.1317336450002</v>
          </cell>
          <cell r="CF27">
            <v>295.39321635499999</v>
          </cell>
          <cell r="CG27">
            <v>0</v>
          </cell>
          <cell r="CH27"/>
          <cell r="CK27">
            <v>2403.52495</v>
          </cell>
          <cell r="CL27">
            <v>2108.1317336450002</v>
          </cell>
          <cell r="CM27">
            <v>295.39321635499999</v>
          </cell>
          <cell r="CN27">
            <v>0</v>
          </cell>
          <cell r="CO27"/>
        </row>
        <row r="28">
          <cell r="L28">
            <v>0</v>
          </cell>
          <cell r="M28">
            <v>0</v>
          </cell>
          <cell r="N28">
            <v>0</v>
          </cell>
          <cell r="O28">
            <v>10.28</v>
          </cell>
          <cell r="P28"/>
          <cell r="Q28">
            <v>10.28</v>
          </cell>
          <cell r="S28">
            <v>0</v>
          </cell>
          <cell r="T28">
            <v>0</v>
          </cell>
          <cell r="U28">
            <v>0</v>
          </cell>
          <cell r="V28">
            <v>1220.3736182439097</v>
          </cell>
          <cell r="W28"/>
          <cell r="X28">
            <v>1220.3736182439097</v>
          </cell>
          <cell r="Z28">
            <v>0</v>
          </cell>
          <cell r="AA28">
            <v>0</v>
          </cell>
          <cell r="AB28">
            <v>0</v>
          </cell>
          <cell r="AC28">
            <v>2936.1900000000014</v>
          </cell>
          <cell r="AD28"/>
          <cell r="AE28">
            <v>2936.1900000000014</v>
          </cell>
          <cell r="AG28">
            <v>2020.5951149999901</v>
          </cell>
          <cell r="AH28">
            <v>1772.2639753664912</v>
          </cell>
          <cell r="AI28">
            <v>248.33113963349876</v>
          </cell>
          <cell r="AJ28">
            <v>2853.2394912921936</v>
          </cell>
          <cell r="AK28"/>
          <cell r="AL28">
            <v>2853.2394912921936</v>
          </cell>
          <cell r="AN28">
            <v>462.95530749999898</v>
          </cell>
          <cell r="AO28">
            <v>406.05810020824913</v>
          </cell>
          <cell r="AP28">
            <v>56.897207291749872</v>
          </cell>
          <cell r="AQ28">
            <v>0</v>
          </cell>
          <cell r="AR28"/>
          <cell r="AU28">
            <v>2020.5951149999901</v>
          </cell>
          <cell r="AV28">
            <v>1772.2639753664912</v>
          </cell>
          <cell r="AW28">
            <v>248.33113963349876</v>
          </cell>
          <cell r="AX28">
            <v>0</v>
          </cell>
          <cell r="AY28"/>
          <cell r="BB28">
            <v>2483.5504225</v>
          </cell>
          <cell r="BC28">
            <v>2178.3220755747498</v>
          </cell>
          <cell r="BD28">
            <v>305.22834692524998</v>
          </cell>
          <cell r="BE28">
            <v>0</v>
          </cell>
          <cell r="BF28"/>
          <cell r="BI28">
            <v>2020.5951149999901</v>
          </cell>
          <cell r="BJ28">
            <v>1772.2639753664912</v>
          </cell>
          <cell r="BK28">
            <v>248.33113963349876</v>
          </cell>
          <cell r="BL28">
            <v>0</v>
          </cell>
          <cell r="BM28"/>
          <cell r="BP28">
            <v>2020.5951149999901</v>
          </cell>
          <cell r="BQ28">
            <v>1772.2639753664912</v>
          </cell>
          <cell r="BR28">
            <v>248.33113963349876</v>
          </cell>
          <cell r="BS28">
            <v>0</v>
          </cell>
          <cell r="BT28"/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/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/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/>
        </row>
        <row r="29"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/>
          <cell r="Q29"/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/>
          <cell r="X29"/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/>
          <cell r="AE29"/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/>
          <cell r="AL29"/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/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/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/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/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/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/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/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/>
        </row>
        <row r="30">
          <cell r="L30">
            <v>2501.1530922089405</v>
          </cell>
          <cell r="M30">
            <v>2193.7613771764618</v>
          </cell>
          <cell r="N30">
            <v>307.39171503247877</v>
          </cell>
          <cell r="O30">
            <v>2161.0489607689683</v>
          </cell>
          <cell r="P30"/>
          <cell r="Q30">
            <v>2161.0489607689683</v>
          </cell>
          <cell r="S30">
            <v>2501.1530922089405</v>
          </cell>
          <cell r="T30">
            <v>2193.7613771764618</v>
          </cell>
          <cell r="U30">
            <v>307.39171503247877</v>
          </cell>
          <cell r="V30">
            <v>2083.0519093444591</v>
          </cell>
          <cell r="W30"/>
          <cell r="X30">
            <v>2083.0519093444591</v>
          </cell>
          <cell r="Z30">
            <v>2501.1530922089405</v>
          </cell>
          <cell r="AA30">
            <v>2193.7613771764618</v>
          </cell>
          <cell r="AB30">
            <v>307.39171503247877</v>
          </cell>
          <cell r="AC30">
            <v>1137.658060810737</v>
          </cell>
          <cell r="AD30"/>
          <cell r="AE30">
            <v>1137.658060810737</v>
          </cell>
          <cell r="AG30">
            <v>2501.1530922089405</v>
          </cell>
          <cell r="AH30">
            <v>2193.7613771764618</v>
          </cell>
          <cell r="AI30">
            <v>307.39171503247877</v>
          </cell>
          <cell r="AJ30">
            <v>1099.3417373226314</v>
          </cell>
          <cell r="AK30"/>
          <cell r="AL30">
            <v>1099.3417373226314</v>
          </cell>
          <cell r="AN30">
            <v>2501.1530922089405</v>
          </cell>
          <cell r="AO30">
            <v>2193.7613771764618</v>
          </cell>
          <cell r="AP30">
            <v>307.39171503247877</v>
          </cell>
          <cell r="AQ30">
            <v>0</v>
          </cell>
          <cell r="AR30"/>
          <cell r="AU30">
            <v>2501.1530922089405</v>
          </cell>
          <cell r="AV30">
            <v>2193.7613771764618</v>
          </cell>
          <cell r="AW30">
            <v>307.39171503247877</v>
          </cell>
          <cell r="AX30">
            <v>0</v>
          </cell>
          <cell r="AY30"/>
          <cell r="BB30">
            <v>2501.1530922089405</v>
          </cell>
          <cell r="BC30">
            <v>2193.7613771764618</v>
          </cell>
          <cell r="BD30">
            <v>307.39171503247877</v>
          </cell>
          <cell r="BE30">
            <v>0</v>
          </cell>
          <cell r="BF30"/>
          <cell r="BI30">
            <v>2501.1530922089405</v>
          </cell>
          <cell r="BJ30">
            <v>2193.7613771764618</v>
          </cell>
          <cell r="BK30">
            <v>307.39171503247877</v>
          </cell>
          <cell r="BL30">
            <v>0</v>
          </cell>
          <cell r="BM30"/>
          <cell r="BP30">
            <v>2501.1530922089405</v>
          </cell>
          <cell r="BQ30">
            <v>2193.7613771764618</v>
          </cell>
          <cell r="BR30">
            <v>307.39171503247877</v>
          </cell>
          <cell r="BS30">
            <v>0</v>
          </cell>
          <cell r="BT30"/>
          <cell r="BW30">
            <v>2501.1530922089405</v>
          </cell>
          <cell r="BX30">
            <v>2193.7613771764618</v>
          </cell>
          <cell r="BY30">
            <v>307.39171503247877</v>
          </cell>
          <cell r="BZ30">
            <v>0</v>
          </cell>
          <cell r="CA30"/>
          <cell r="CD30">
            <v>2501.1530922089405</v>
          </cell>
          <cell r="CE30">
            <v>2193.7613771764618</v>
          </cell>
          <cell r="CF30">
            <v>307.39171503247877</v>
          </cell>
          <cell r="CG30">
            <v>0</v>
          </cell>
          <cell r="CH30"/>
          <cell r="CK30">
            <v>2501.1530922089405</v>
          </cell>
          <cell r="CL30">
            <v>2193.7613771764618</v>
          </cell>
          <cell r="CM30">
            <v>307.39171503247877</v>
          </cell>
          <cell r="CN30">
            <v>0</v>
          </cell>
          <cell r="CO30"/>
        </row>
        <row r="31">
          <cell r="L31">
            <v>416.8588487014901</v>
          </cell>
          <cell r="M31">
            <v>365.62689619607698</v>
          </cell>
          <cell r="N31">
            <v>51.231952505413133</v>
          </cell>
          <cell r="O31">
            <v>11005.341929841969</v>
          </cell>
          <cell r="P31"/>
          <cell r="Q31">
            <v>11005.341929841969</v>
          </cell>
          <cell r="S31">
            <v>416.8588487014901</v>
          </cell>
          <cell r="T31">
            <v>365.62689619607698</v>
          </cell>
          <cell r="U31">
            <v>51.231952505413133</v>
          </cell>
          <cell r="V31">
            <v>33492.653310268091</v>
          </cell>
          <cell r="W31"/>
          <cell r="X31">
            <v>33492.653310268091</v>
          </cell>
          <cell r="Z31">
            <v>416.8588487014901</v>
          </cell>
          <cell r="AA31">
            <v>365.62689619607698</v>
          </cell>
          <cell r="AB31">
            <v>51.231952505413133</v>
          </cell>
          <cell r="AC31">
            <v>0</v>
          </cell>
          <cell r="AD31"/>
          <cell r="AE31">
            <v>0</v>
          </cell>
          <cell r="AG31">
            <v>416.8588487014901</v>
          </cell>
          <cell r="AH31">
            <v>365.62689619607698</v>
          </cell>
          <cell r="AI31">
            <v>51.231952505413133</v>
          </cell>
          <cell r="AJ31">
            <v>6140.8643325409257</v>
          </cell>
          <cell r="AK31"/>
          <cell r="AL31">
            <v>6140.8643325409257</v>
          </cell>
          <cell r="AN31">
            <v>416.8588487014901</v>
          </cell>
          <cell r="AO31">
            <v>365.62689619607698</v>
          </cell>
          <cell r="AP31">
            <v>51.231952505413133</v>
          </cell>
          <cell r="AQ31">
            <v>0</v>
          </cell>
          <cell r="AR31"/>
          <cell r="AU31">
            <v>416.8588487014901</v>
          </cell>
          <cell r="AV31">
            <v>365.62689619607698</v>
          </cell>
          <cell r="AW31">
            <v>51.231952505413133</v>
          </cell>
          <cell r="AX31">
            <v>0</v>
          </cell>
          <cell r="AY31"/>
          <cell r="BB31">
            <v>416.8588487014901</v>
          </cell>
          <cell r="BC31">
            <v>365.62689619607698</v>
          </cell>
          <cell r="BD31">
            <v>51.231952505413133</v>
          </cell>
          <cell r="BE31">
            <v>0</v>
          </cell>
          <cell r="BF31"/>
          <cell r="BI31">
            <v>416.8588487014901</v>
          </cell>
          <cell r="BJ31">
            <v>365.62689619607698</v>
          </cell>
          <cell r="BK31">
            <v>51.231952505413133</v>
          </cell>
          <cell r="BL31">
            <v>0</v>
          </cell>
          <cell r="BM31"/>
          <cell r="BP31">
            <v>416.8588487014901</v>
          </cell>
          <cell r="BQ31">
            <v>365.62689619607698</v>
          </cell>
          <cell r="BR31">
            <v>51.231952505413133</v>
          </cell>
          <cell r="BS31">
            <v>0</v>
          </cell>
          <cell r="BT31"/>
          <cell r="BW31">
            <v>416.8588487014901</v>
          </cell>
          <cell r="BX31">
            <v>365.62689619607698</v>
          </cell>
          <cell r="BY31">
            <v>51.231952505413133</v>
          </cell>
          <cell r="BZ31">
            <v>0</v>
          </cell>
          <cell r="CA31"/>
          <cell r="CD31">
            <v>416.8588487014901</v>
          </cell>
          <cell r="CE31">
            <v>365.62689619607698</v>
          </cell>
          <cell r="CF31">
            <v>51.231952505413133</v>
          </cell>
          <cell r="CG31">
            <v>0</v>
          </cell>
          <cell r="CH31"/>
          <cell r="CK31">
            <v>416.8588487014901</v>
          </cell>
          <cell r="CL31">
            <v>365.62689619607698</v>
          </cell>
          <cell r="CM31">
            <v>51.231952505413133</v>
          </cell>
          <cell r="CN31">
            <v>0</v>
          </cell>
          <cell r="CO31"/>
        </row>
        <row r="32">
          <cell r="L32">
            <v>214147.78032713759</v>
          </cell>
          <cell r="M32">
            <v>187829.01812493237</v>
          </cell>
          <cell r="N32">
            <v>26318.762202205209</v>
          </cell>
          <cell r="O32">
            <v>95204.19</v>
          </cell>
          <cell r="P32"/>
          <cell r="Q32">
            <v>95204.19</v>
          </cell>
          <cell r="S32">
            <v>285530.37376951671</v>
          </cell>
          <cell r="T32">
            <v>250438.6908332431</v>
          </cell>
          <cell r="U32">
            <v>35091.682936273603</v>
          </cell>
          <cell r="V32">
            <v>195841.72</v>
          </cell>
          <cell r="W32"/>
          <cell r="X32">
            <v>195841.72</v>
          </cell>
          <cell r="Z32">
            <v>285530.37376951671</v>
          </cell>
          <cell r="AA32">
            <v>250438.6908332431</v>
          </cell>
          <cell r="AB32">
            <v>35091.682936273603</v>
          </cell>
          <cell r="AC32">
            <v>256295.34</v>
          </cell>
          <cell r="AD32"/>
          <cell r="AE32">
            <v>256295.34</v>
          </cell>
          <cell r="AG32">
            <v>142765.18688475835</v>
          </cell>
          <cell r="AH32">
            <v>125219.34541662155</v>
          </cell>
          <cell r="AI32">
            <v>17545.841468136801</v>
          </cell>
          <cell r="AJ32">
            <v>178754.72</v>
          </cell>
          <cell r="AK32"/>
          <cell r="AL32">
            <v>178754.72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/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/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/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/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/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/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/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/>
        </row>
        <row r="33">
          <cell r="L33">
            <v>122448.97959183673</v>
          </cell>
          <cell r="M33">
            <v>107400</v>
          </cell>
          <cell r="N33">
            <v>15048.979591836734</v>
          </cell>
          <cell r="O33">
            <v>36031.39</v>
          </cell>
          <cell r="P33"/>
          <cell r="Q33">
            <v>36031.39</v>
          </cell>
          <cell r="S33">
            <v>163265.30612244899</v>
          </cell>
          <cell r="T33">
            <v>143200</v>
          </cell>
          <cell r="U33">
            <v>20065.306122448979</v>
          </cell>
          <cell r="V33">
            <v>190707.63</v>
          </cell>
          <cell r="W33"/>
          <cell r="X33">
            <v>190707.63</v>
          </cell>
          <cell r="Z33">
            <v>163265.30612244899</v>
          </cell>
          <cell r="AA33">
            <v>143200</v>
          </cell>
          <cell r="AB33">
            <v>20065.306122448979</v>
          </cell>
          <cell r="AC33">
            <v>294717.03999999998</v>
          </cell>
          <cell r="AD33"/>
          <cell r="AE33">
            <v>294717.03999999998</v>
          </cell>
          <cell r="AG33">
            <v>81632.653061224497</v>
          </cell>
          <cell r="AH33">
            <v>71600</v>
          </cell>
          <cell r="AI33">
            <v>10032.65306122449</v>
          </cell>
          <cell r="AJ33">
            <v>187379.57</v>
          </cell>
          <cell r="AK33"/>
          <cell r="AL33">
            <v>187379.57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/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/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/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/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/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/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/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/>
        </row>
        <row r="34"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/>
          <cell r="Q34"/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/>
          <cell r="X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/>
          <cell r="AE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/>
          <cell r="AL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/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/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/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/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/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/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/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/>
        </row>
        <row r="35"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/>
          <cell r="Q35"/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/>
          <cell r="X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/>
          <cell r="AE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/>
          <cell r="AL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/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/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/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/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/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/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/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/>
        </row>
        <row r="36">
          <cell r="L36">
            <v>8337.1769740298005</v>
          </cell>
          <cell r="M36">
            <v>7312.5379239215381</v>
          </cell>
          <cell r="N36">
            <v>1024.6390501082624</v>
          </cell>
          <cell r="O36">
            <v>12601.2415703728</v>
          </cell>
          <cell r="P36"/>
          <cell r="Q36">
            <v>12601.2415703728</v>
          </cell>
          <cell r="S36">
            <v>8337.1769740298005</v>
          </cell>
          <cell r="T36">
            <v>7312.5379239215381</v>
          </cell>
          <cell r="U36">
            <v>1024.6390501082624</v>
          </cell>
          <cell r="V36">
            <v>21597.082196083353</v>
          </cell>
          <cell r="W36"/>
          <cell r="X36">
            <v>21597.082196083353</v>
          </cell>
          <cell r="Z36">
            <v>8337.1769740298005</v>
          </cell>
          <cell r="AA36">
            <v>7312.5379239215381</v>
          </cell>
          <cell r="AB36">
            <v>1024.6390501082624</v>
          </cell>
          <cell r="AC36">
            <v>21718.169969443807</v>
          </cell>
          <cell r="AD36"/>
          <cell r="AE36">
            <v>21718.169969443807</v>
          </cell>
          <cell r="AG36">
            <v>8337.1769740298005</v>
          </cell>
          <cell r="AH36">
            <v>7312.5379239215381</v>
          </cell>
          <cell r="AI36">
            <v>1024.6390501082624</v>
          </cell>
          <cell r="AJ36">
            <v>15468.017652949156</v>
          </cell>
          <cell r="AK36"/>
          <cell r="AL36">
            <v>15468.017652949156</v>
          </cell>
          <cell r="AN36">
            <v>8337.1769740298005</v>
          </cell>
          <cell r="AO36">
            <v>7312.5379239215381</v>
          </cell>
          <cell r="AP36">
            <v>1024.6390501082624</v>
          </cell>
          <cell r="AQ36">
            <v>0</v>
          </cell>
          <cell r="AR36"/>
          <cell r="AU36">
            <v>8337.1769740298005</v>
          </cell>
          <cell r="AV36">
            <v>7312.5379239215381</v>
          </cell>
          <cell r="AW36">
            <v>1024.6390501082624</v>
          </cell>
          <cell r="AX36">
            <v>0</v>
          </cell>
          <cell r="AY36"/>
          <cell r="BB36">
            <v>8337.1769740298005</v>
          </cell>
          <cell r="BC36">
            <v>7312.5379239215381</v>
          </cell>
          <cell r="BD36">
            <v>1024.6390501082624</v>
          </cell>
          <cell r="BE36">
            <v>0</v>
          </cell>
          <cell r="BF36"/>
          <cell r="BI36">
            <v>8337.1769740298005</v>
          </cell>
          <cell r="BJ36">
            <v>7312.5379239215381</v>
          </cell>
          <cell r="BK36">
            <v>1024.6390501082624</v>
          </cell>
          <cell r="BL36">
            <v>0</v>
          </cell>
          <cell r="BM36"/>
          <cell r="BP36">
            <v>8337.1769740298005</v>
          </cell>
          <cell r="BQ36">
            <v>7312.5379239215381</v>
          </cell>
          <cell r="BR36">
            <v>1024.6390501082624</v>
          </cell>
          <cell r="BS36">
            <v>0</v>
          </cell>
          <cell r="BT36"/>
          <cell r="BW36">
            <v>8337.1769740298005</v>
          </cell>
          <cell r="BX36">
            <v>7312.5379239215381</v>
          </cell>
          <cell r="BY36">
            <v>1024.6390501082624</v>
          </cell>
          <cell r="BZ36">
            <v>0</v>
          </cell>
          <cell r="CA36"/>
          <cell r="CD36">
            <v>8337.1769740298005</v>
          </cell>
          <cell r="CE36">
            <v>7312.5379239215381</v>
          </cell>
          <cell r="CF36">
            <v>1024.6390501082624</v>
          </cell>
          <cell r="CG36">
            <v>0</v>
          </cell>
          <cell r="CH36"/>
          <cell r="CK36">
            <v>8337.1769740298005</v>
          </cell>
          <cell r="CL36">
            <v>7312.5379239215381</v>
          </cell>
          <cell r="CM36">
            <v>1024.6390501082624</v>
          </cell>
          <cell r="CN36">
            <v>0</v>
          </cell>
          <cell r="CO36"/>
        </row>
        <row r="37">
          <cell r="L37">
            <v>8337.1769740298005</v>
          </cell>
          <cell r="M37">
            <v>7312.5379239215381</v>
          </cell>
          <cell r="N37">
            <v>1024.6390501082624</v>
          </cell>
          <cell r="O37">
            <v>8091.582607781459</v>
          </cell>
          <cell r="P37"/>
          <cell r="Q37">
            <v>8091.582607781459</v>
          </cell>
          <cell r="S37">
            <v>8337.1769740298005</v>
          </cell>
          <cell r="T37">
            <v>7312.5379239215381</v>
          </cell>
          <cell r="U37">
            <v>1024.6390501082624</v>
          </cell>
          <cell r="V37">
            <v>11110.664412973467</v>
          </cell>
          <cell r="W37"/>
          <cell r="X37">
            <v>11110.664412973467</v>
          </cell>
          <cell r="Z37">
            <v>8337.1769740298005</v>
          </cell>
          <cell r="AA37">
            <v>7312.5379239215381</v>
          </cell>
          <cell r="AB37">
            <v>1024.6390501082624</v>
          </cell>
          <cell r="AC37">
            <v>5612.0126063924445</v>
          </cell>
          <cell r="AD37"/>
          <cell r="AE37">
            <v>5612.0126063924445</v>
          </cell>
          <cell r="AG37">
            <v>8337.1769740298005</v>
          </cell>
          <cell r="AH37">
            <v>7312.5379239215381</v>
          </cell>
          <cell r="AI37">
            <v>1024.6390501082624</v>
          </cell>
          <cell r="AJ37">
            <v>14517.42243176141</v>
          </cell>
          <cell r="AK37"/>
          <cell r="AL37">
            <v>14517.42243176141</v>
          </cell>
          <cell r="AN37">
            <v>8337.1769740298005</v>
          </cell>
          <cell r="AO37">
            <v>7312.5379239215381</v>
          </cell>
          <cell r="AP37">
            <v>1024.6390501082624</v>
          </cell>
          <cell r="AQ37">
            <v>0</v>
          </cell>
          <cell r="AR37"/>
          <cell r="AU37">
            <v>8337.1769740298005</v>
          </cell>
          <cell r="AV37">
            <v>7312.5379239215381</v>
          </cell>
          <cell r="AW37">
            <v>1024.6390501082624</v>
          </cell>
          <cell r="AX37">
            <v>0</v>
          </cell>
          <cell r="AY37"/>
          <cell r="BB37">
            <v>8337.1769740298005</v>
          </cell>
          <cell r="BC37">
            <v>7312.5379239215381</v>
          </cell>
          <cell r="BD37">
            <v>1024.6390501082624</v>
          </cell>
          <cell r="BE37">
            <v>0</v>
          </cell>
          <cell r="BF37"/>
          <cell r="BI37">
            <v>8337.1769740298005</v>
          </cell>
          <cell r="BJ37">
            <v>7312.5379239215381</v>
          </cell>
          <cell r="BK37">
            <v>1024.6390501082624</v>
          </cell>
          <cell r="BL37">
            <v>0</v>
          </cell>
          <cell r="BM37"/>
          <cell r="BP37">
            <v>8337.1769740298005</v>
          </cell>
          <cell r="BQ37">
            <v>7312.5379239215381</v>
          </cell>
          <cell r="BR37">
            <v>1024.6390501082624</v>
          </cell>
          <cell r="BS37">
            <v>0</v>
          </cell>
          <cell r="BT37"/>
          <cell r="BW37">
            <v>8337.1769740298005</v>
          </cell>
          <cell r="BX37">
            <v>7312.5379239215381</v>
          </cell>
          <cell r="BY37">
            <v>1024.6390501082624</v>
          </cell>
          <cell r="BZ37">
            <v>0</v>
          </cell>
          <cell r="CA37"/>
          <cell r="CD37">
            <v>8337.1769740298005</v>
          </cell>
          <cell r="CE37">
            <v>7312.5379239215381</v>
          </cell>
          <cell r="CF37">
            <v>1024.6390501082624</v>
          </cell>
          <cell r="CG37">
            <v>0</v>
          </cell>
          <cell r="CH37"/>
          <cell r="CK37">
            <v>8337.1769740298005</v>
          </cell>
          <cell r="CL37">
            <v>7312.5379239215381</v>
          </cell>
          <cell r="CM37">
            <v>1024.6390501082624</v>
          </cell>
          <cell r="CN37">
            <v>0</v>
          </cell>
          <cell r="CO37"/>
        </row>
        <row r="38">
          <cell r="L38">
            <v>1667.4353948059604</v>
          </cell>
          <cell r="M38">
            <v>1462.5075847843079</v>
          </cell>
          <cell r="N38">
            <v>204.92781002165253</v>
          </cell>
          <cell r="O38">
            <v>1415.1869236146786</v>
          </cell>
          <cell r="P38"/>
          <cell r="Q38">
            <v>1415.1869236146786</v>
          </cell>
          <cell r="S38">
            <v>1667.4353948059604</v>
          </cell>
          <cell r="T38">
            <v>1462.5075847843079</v>
          </cell>
          <cell r="U38">
            <v>204.92781002165253</v>
          </cell>
          <cell r="V38">
            <v>593.40244451888032</v>
          </cell>
          <cell r="W38"/>
          <cell r="X38">
            <v>593.40244451888032</v>
          </cell>
          <cell r="Z38">
            <v>1667.4353948059604</v>
          </cell>
          <cell r="AA38">
            <v>1462.5075847843079</v>
          </cell>
          <cell r="AB38">
            <v>204.92781002165253</v>
          </cell>
          <cell r="AC38">
            <v>2434.588250134977</v>
          </cell>
          <cell r="AD38"/>
          <cell r="AE38">
            <v>2434.588250134977</v>
          </cell>
          <cell r="AG38">
            <v>1667.4353948059604</v>
          </cell>
          <cell r="AH38">
            <v>1462.5075847843079</v>
          </cell>
          <cell r="AI38">
            <v>204.92781002165253</v>
          </cell>
          <cell r="AJ38">
            <v>2405.0091405538979</v>
          </cell>
          <cell r="AK38"/>
          <cell r="AL38">
            <v>2405.0091405538979</v>
          </cell>
          <cell r="AN38">
            <v>1667.4353948059604</v>
          </cell>
          <cell r="AO38">
            <v>1462.5075847843079</v>
          </cell>
          <cell r="AP38">
            <v>204.92781002165253</v>
          </cell>
          <cell r="AQ38">
            <v>0</v>
          </cell>
          <cell r="AR38"/>
          <cell r="AU38">
            <v>1667.4353948059604</v>
          </cell>
          <cell r="AV38">
            <v>1462.5075847843079</v>
          </cell>
          <cell r="AW38">
            <v>204.92781002165253</v>
          </cell>
          <cell r="AX38">
            <v>0</v>
          </cell>
          <cell r="AY38"/>
          <cell r="BB38">
            <v>1667.4353948059604</v>
          </cell>
          <cell r="BC38">
            <v>1462.5075847843079</v>
          </cell>
          <cell r="BD38">
            <v>204.92781002165253</v>
          </cell>
          <cell r="BE38">
            <v>0</v>
          </cell>
          <cell r="BF38"/>
          <cell r="BI38">
            <v>1667.4353948059604</v>
          </cell>
          <cell r="BJ38">
            <v>1462.5075847843079</v>
          </cell>
          <cell r="BK38">
            <v>204.92781002165253</v>
          </cell>
          <cell r="BL38">
            <v>0</v>
          </cell>
          <cell r="BM38"/>
          <cell r="BP38">
            <v>1667.4353948059604</v>
          </cell>
          <cell r="BQ38">
            <v>1462.5075847843079</v>
          </cell>
          <cell r="BR38">
            <v>204.92781002165253</v>
          </cell>
          <cell r="BS38">
            <v>0</v>
          </cell>
          <cell r="BT38"/>
          <cell r="BW38">
            <v>1667.4353948059604</v>
          </cell>
          <cell r="BX38">
            <v>1462.5075847843079</v>
          </cell>
          <cell r="BY38">
            <v>204.92781002165253</v>
          </cell>
          <cell r="BZ38">
            <v>0</v>
          </cell>
          <cell r="CA38"/>
          <cell r="CD38">
            <v>1667.4353948059604</v>
          </cell>
          <cell r="CE38">
            <v>1462.5075847843079</v>
          </cell>
          <cell r="CF38">
            <v>204.92781002165253</v>
          </cell>
          <cell r="CG38">
            <v>0</v>
          </cell>
          <cell r="CH38"/>
          <cell r="CK38">
            <v>1667.4353948059604</v>
          </cell>
          <cell r="CL38">
            <v>1462.5075847843079</v>
          </cell>
          <cell r="CM38">
            <v>204.92781002165253</v>
          </cell>
          <cell r="CN38">
            <v>0</v>
          </cell>
          <cell r="CO38"/>
        </row>
        <row r="39">
          <cell r="L39">
            <v>208.42942435074505</v>
          </cell>
          <cell r="M39">
            <v>182.81344809803849</v>
          </cell>
          <cell r="N39">
            <v>25.615976252706567</v>
          </cell>
          <cell r="O39">
            <v>405.19668014418158</v>
          </cell>
          <cell r="P39"/>
          <cell r="Q39">
            <v>405.19668014418158</v>
          </cell>
          <cell r="S39">
            <v>208.42942435074505</v>
          </cell>
          <cell r="T39">
            <v>182.81344809803849</v>
          </cell>
          <cell r="U39">
            <v>25.615976252706567</v>
          </cell>
          <cell r="V39">
            <v>145.62023178377433</v>
          </cell>
          <cell r="W39"/>
          <cell r="X39">
            <v>145.62023178377433</v>
          </cell>
          <cell r="Z39">
            <v>208.42942435074505</v>
          </cell>
          <cell r="AA39">
            <v>182.81344809803849</v>
          </cell>
          <cell r="AB39">
            <v>25.615976252706567</v>
          </cell>
          <cell r="AC39">
            <v>1379.8654619573426</v>
          </cell>
          <cell r="AD39"/>
          <cell r="AE39">
            <v>1379.8654619573426</v>
          </cell>
          <cell r="AG39">
            <v>208.42942435074505</v>
          </cell>
          <cell r="AH39">
            <v>182.81344809803849</v>
          </cell>
          <cell r="AI39">
            <v>25.615976252706567</v>
          </cell>
          <cell r="AJ39">
            <v>823.52791705967627</v>
          </cell>
          <cell r="AK39"/>
          <cell r="AL39">
            <v>823.52791705967627</v>
          </cell>
          <cell r="AN39">
            <v>208.42942435074505</v>
          </cell>
          <cell r="AO39">
            <v>182.81344809803849</v>
          </cell>
          <cell r="AP39">
            <v>25.615976252706567</v>
          </cell>
          <cell r="AQ39">
            <v>0</v>
          </cell>
          <cell r="AR39"/>
          <cell r="AU39">
            <v>208.42942435074505</v>
          </cell>
          <cell r="AV39">
            <v>182.81344809803849</v>
          </cell>
          <cell r="AW39">
            <v>25.615976252706567</v>
          </cell>
          <cell r="AX39">
            <v>0</v>
          </cell>
          <cell r="AY39"/>
          <cell r="BB39">
            <v>208.42942435074505</v>
          </cell>
          <cell r="BC39">
            <v>182.81344809803849</v>
          </cell>
          <cell r="BD39">
            <v>25.615976252706567</v>
          </cell>
          <cell r="BE39">
            <v>0</v>
          </cell>
          <cell r="BF39"/>
          <cell r="BI39">
            <v>208.42942435074505</v>
          </cell>
          <cell r="BJ39">
            <v>182.81344809803849</v>
          </cell>
          <cell r="BK39">
            <v>25.615976252706567</v>
          </cell>
          <cell r="BL39">
            <v>0</v>
          </cell>
          <cell r="BM39"/>
          <cell r="BP39">
            <v>208.42942435074505</v>
          </cell>
          <cell r="BQ39">
            <v>182.81344809803849</v>
          </cell>
          <cell r="BR39">
            <v>25.615976252706567</v>
          </cell>
          <cell r="BS39">
            <v>0</v>
          </cell>
          <cell r="BT39"/>
          <cell r="BW39">
            <v>208.42942435074505</v>
          </cell>
          <cell r="BX39">
            <v>182.81344809803849</v>
          </cell>
          <cell r="BY39">
            <v>25.615976252706567</v>
          </cell>
          <cell r="BZ39">
            <v>0</v>
          </cell>
          <cell r="CA39"/>
          <cell r="CD39">
            <v>208.42942435074505</v>
          </cell>
          <cell r="CE39">
            <v>182.81344809803849</v>
          </cell>
          <cell r="CF39">
            <v>25.615976252706567</v>
          </cell>
          <cell r="CG39">
            <v>0</v>
          </cell>
          <cell r="CH39"/>
          <cell r="CK39">
            <v>208.42942435074505</v>
          </cell>
          <cell r="CL39">
            <v>182.81344809803849</v>
          </cell>
          <cell r="CM39">
            <v>25.615976252706567</v>
          </cell>
          <cell r="CN39">
            <v>0</v>
          </cell>
          <cell r="CO39"/>
        </row>
        <row r="40">
          <cell r="L40">
            <v>833.71769740298021</v>
          </cell>
          <cell r="M40">
            <v>731.25379239215397</v>
          </cell>
          <cell r="N40">
            <v>102.46390501082627</v>
          </cell>
          <cell r="O40">
            <v>2979.19608468972</v>
          </cell>
          <cell r="P40"/>
          <cell r="Q40">
            <v>2979.19608468972</v>
          </cell>
          <cell r="S40">
            <v>833.71769740298021</v>
          </cell>
          <cell r="T40">
            <v>731.25379239215397</v>
          </cell>
          <cell r="U40">
            <v>102.46390501082627</v>
          </cell>
          <cell r="V40">
            <v>1385.4399864553154</v>
          </cell>
          <cell r="W40"/>
          <cell r="X40">
            <v>1385.4399864553154</v>
          </cell>
          <cell r="Z40">
            <v>833.71769740298021</v>
          </cell>
          <cell r="AA40">
            <v>731.25379239215397</v>
          </cell>
          <cell r="AB40">
            <v>102.46390501082627</v>
          </cell>
          <cell r="AC40">
            <v>5506.8019889286688</v>
          </cell>
          <cell r="AD40"/>
          <cell r="AE40">
            <v>5506.8019889286688</v>
          </cell>
          <cell r="AG40">
            <v>833.71769740298021</v>
          </cell>
          <cell r="AH40">
            <v>731.25379239215397</v>
          </cell>
          <cell r="AI40">
            <v>102.46390501082627</v>
          </cell>
          <cell r="AJ40">
            <v>9264.2317283809116</v>
          </cell>
          <cell r="AK40"/>
          <cell r="AL40">
            <v>9264.2317283809116</v>
          </cell>
          <cell r="AN40">
            <v>833.71769740298021</v>
          </cell>
          <cell r="AO40">
            <v>731.25379239215397</v>
          </cell>
          <cell r="AP40">
            <v>102.46390501082627</v>
          </cell>
          <cell r="AQ40">
            <v>0</v>
          </cell>
          <cell r="AR40"/>
          <cell r="AU40">
            <v>833.71769740298021</v>
          </cell>
          <cell r="AV40">
            <v>731.25379239215397</v>
          </cell>
          <cell r="AW40">
            <v>102.46390501082627</v>
          </cell>
          <cell r="AX40">
            <v>0</v>
          </cell>
          <cell r="AY40"/>
          <cell r="BB40">
            <v>833.71769740298021</v>
          </cell>
          <cell r="BC40">
            <v>731.25379239215397</v>
          </cell>
          <cell r="BD40">
            <v>102.46390501082627</v>
          </cell>
          <cell r="BE40">
            <v>0</v>
          </cell>
          <cell r="BF40"/>
          <cell r="BI40">
            <v>833.71769740298021</v>
          </cell>
          <cell r="BJ40">
            <v>731.25379239215397</v>
          </cell>
          <cell r="BK40">
            <v>102.46390501082627</v>
          </cell>
          <cell r="BL40">
            <v>0</v>
          </cell>
          <cell r="BM40"/>
          <cell r="BP40">
            <v>833.71769740298021</v>
          </cell>
          <cell r="BQ40">
            <v>731.25379239215397</v>
          </cell>
          <cell r="BR40">
            <v>102.46390501082627</v>
          </cell>
          <cell r="BS40">
            <v>0</v>
          </cell>
          <cell r="BT40"/>
          <cell r="BW40">
            <v>833.71769740298021</v>
          </cell>
          <cell r="BX40">
            <v>731.25379239215397</v>
          </cell>
          <cell r="BY40">
            <v>102.46390501082627</v>
          </cell>
          <cell r="BZ40">
            <v>0</v>
          </cell>
          <cell r="CA40"/>
          <cell r="CD40">
            <v>833.71769740298021</v>
          </cell>
          <cell r="CE40">
            <v>731.25379239215397</v>
          </cell>
          <cell r="CF40">
            <v>102.46390501082627</v>
          </cell>
          <cell r="CG40">
            <v>0</v>
          </cell>
          <cell r="CH40"/>
          <cell r="CK40">
            <v>833.71769740298021</v>
          </cell>
          <cell r="CL40">
            <v>731.25379239215397</v>
          </cell>
          <cell r="CM40">
            <v>102.46390501082627</v>
          </cell>
          <cell r="CN40">
            <v>0</v>
          </cell>
          <cell r="CO40"/>
        </row>
        <row r="41">
          <cell r="L41">
            <v>5169.0497238984772</v>
          </cell>
          <cell r="M41">
            <v>4533.7735128313543</v>
          </cell>
          <cell r="N41">
            <v>635.27621106712286</v>
          </cell>
          <cell r="O41">
            <v>5169.0497238984772</v>
          </cell>
          <cell r="P41"/>
          <cell r="Q41">
            <v>5169.0497238984772</v>
          </cell>
          <cell r="S41">
            <v>5169.0497238984772</v>
          </cell>
          <cell r="T41">
            <v>4533.7735128313543</v>
          </cell>
          <cell r="U41">
            <v>635.27621106712286</v>
          </cell>
          <cell r="V41">
            <v>5169.0497238984772</v>
          </cell>
          <cell r="W41"/>
          <cell r="X41">
            <v>5169.0497238984772</v>
          </cell>
          <cell r="Z41">
            <v>5169.0497238984772</v>
          </cell>
          <cell r="AA41">
            <v>4533.7735128313543</v>
          </cell>
          <cell r="AB41">
            <v>635.27621106712286</v>
          </cell>
          <cell r="AC41">
            <v>5169.0497238984772</v>
          </cell>
          <cell r="AD41"/>
          <cell r="AE41">
            <v>5169.0497238984772</v>
          </cell>
          <cell r="AG41">
            <v>5169.0497238984772</v>
          </cell>
          <cell r="AH41">
            <v>4533.7735128313543</v>
          </cell>
          <cell r="AI41">
            <v>635.27621106712286</v>
          </cell>
          <cell r="AJ41">
            <v>5169.0497238984772</v>
          </cell>
          <cell r="AK41"/>
          <cell r="AL41">
            <v>5169.0497238984772</v>
          </cell>
          <cell r="AN41">
            <v>5169.0497238984772</v>
          </cell>
          <cell r="AO41">
            <v>4533.7735128313543</v>
          </cell>
          <cell r="AP41">
            <v>635.27621106712286</v>
          </cell>
          <cell r="AQ41">
            <v>0</v>
          </cell>
          <cell r="AR41"/>
          <cell r="AU41">
            <v>5169.0497238984772</v>
          </cell>
          <cell r="AV41">
            <v>4533.7735128313543</v>
          </cell>
          <cell r="AW41">
            <v>635.27621106712286</v>
          </cell>
          <cell r="AX41">
            <v>0</v>
          </cell>
          <cell r="AY41"/>
          <cell r="BB41">
            <v>5169.0497238984772</v>
          </cell>
          <cell r="BC41">
            <v>4533.7735128313543</v>
          </cell>
          <cell r="BD41">
            <v>635.27621106712286</v>
          </cell>
          <cell r="BE41">
            <v>0</v>
          </cell>
          <cell r="BF41"/>
          <cell r="BI41">
            <v>5169.0497238984772</v>
          </cell>
          <cell r="BJ41">
            <v>4533.7735128313543</v>
          </cell>
          <cell r="BK41">
            <v>635.27621106712286</v>
          </cell>
          <cell r="BL41">
            <v>0</v>
          </cell>
          <cell r="BM41"/>
          <cell r="BP41">
            <v>5169.0497238984772</v>
          </cell>
          <cell r="BQ41">
            <v>4533.7735128313543</v>
          </cell>
          <cell r="BR41">
            <v>635.27621106712286</v>
          </cell>
          <cell r="BS41">
            <v>0</v>
          </cell>
          <cell r="BT41"/>
          <cell r="BW41">
            <v>5169.0497238984772</v>
          </cell>
          <cell r="BX41">
            <v>4533.7735128313543</v>
          </cell>
          <cell r="BY41">
            <v>635.27621106712286</v>
          </cell>
          <cell r="BZ41">
            <v>0</v>
          </cell>
          <cell r="CA41"/>
          <cell r="CD41">
            <v>5169.0497238984772</v>
          </cell>
          <cell r="CE41">
            <v>4533.7735128313543</v>
          </cell>
          <cell r="CF41">
            <v>635.27621106712286</v>
          </cell>
          <cell r="CG41">
            <v>0</v>
          </cell>
          <cell r="CH41"/>
          <cell r="CK41">
            <v>5169.0497238984772</v>
          </cell>
          <cell r="CL41">
            <v>4533.7735128313543</v>
          </cell>
          <cell r="CM41">
            <v>635.27621106712286</v>
          </cell>
          <cell r="CN41">
            <v>0</v>
          </cell>
          <cell r="CO41"/>
        </row>
        <row r="42">
          <cell r="L42">
            <v>5874.123599999999</v>
          </cell>
          <cell r="M42">
            <v>5152.193809559999</v>
          </cell>
          <cell r="N42">
            <v>721.92979043999981</v>
          </cell>
          <cell r="O42">
            <v>5069.08</v>
          </cell>
          <cell r="P42"/>
          <cell r="Q42">
            <v>5069.08</v>
          </cell>
          <cell r="S42">
            <v>5874.123599999999</v>
          </cell>
          <cell r="T42">
            <v>5152.193809559999</v>
          </cell>
          <cell r="U42">
            <v>721.92979043999981</v>
          </cell>
          <cell r="V42">
            <v>5648</v>
          </cell>
          <cell r="W42"/>
          <cell r="X42">
            <v>5648</v>
          </cell>
          <cell r="Z42">
            <v>5874.123599999999</v>
          </cell>
          <cell r="AA42">
            <v>5152.193809559999</v>
          </cell>
          <cell r="AB42">
            <v>721.92979043999981</v>
          </cell>
          <cell r="AC42">
            <v>5648</v>
          </cell>
          <cell r="AD42"/>
          <cell r="AE42">
            <v>5648</v>
          </cell>
          <cell r="AG42">
            <v>5874.123599999999</v>
          </cell>
          <cell r="AH42">
            <v>5152.193809559999</v>
          </cell>
          <cell r="AI42">
            <v>721.92979043999981</v>
          </cell>
          <cell r="AJ42">
            <v>5648</v>
          </cell>
          <cell r="AK42"/>
          <cell r="AL42">
            <v>5648</v>
          </cell>
          <cell r="AN42">
            <v>5874.123599999999</v>
          </cell>
          <cell r="AO42">
            <v>5152.193809559999</v>
          </cell>
          <cell r="AP42">
            <v>721.92979043999981</v>
          </cell>
          <cell r="AQ42">
            <v>0</v>
          </cell>
          <cell r="AR42"/>
          <cell r="AU42">
            <v>5874.123599999999</v>
          </cell>
          <cell r="AV42">
            <v>5152.193809559999</v>
          </cell>
          <cell r="AW42">
            <v>721.92979043999981</v>
          </cell>
          <cell r="AX42">
            <v>0</v>
          </cell>
          <cell r="AY42"/>
          <cell r="BB42">
            <v>5874.123599999999</v>
          </cell>
          <cell r="BC42">
            <v>5152.193809559999</v>
          </cell>
          <cell r="BD42">
            <v>721.92979043999981</v>
          </cell>
          <cell r="BE42">
            <v>0</v>
          </cell>
          <cell r="BF42"/>
          <cell r="BI42">
            <v>5874.123599999999</v>
          </cell>
          <cell r="BJ42">
            <v>5152.193809559999</v>
          </cell>
          <cell r="BK42">
            <v>721.92979043999981</v>
          </cell>
          <cell r="BL42">
            <v>0</v>
          </cell>
          <cell r="BM42"/>
          <cell r="BP42">
            <v>5874.123599999999</v>
          </cell>
          <cell r="BQ42">
            <v>5152.193809559999</v>
          </cell>
          <cell r="BR42">
            <v>721.92979043999981</v>
          </cell>
          <cell r="BS42">
            <v>0</v>
          </cell>
          <cell r="BT42"/>
          <cell r="BW42">
            <v>5874.123599999999</v>
          </cell>
          <cell r="BX42">
            <v>5152.193809559999</v>
          </cell>
          <cell r="BY42">
            <v>721.92979043999981</v>
          </cell>
          <cell r="BZ42">
            <v>0</v>
          </cell>
          <cell r="CA42"/>
          <cell r="CD42">
            <v>5874.123599999999</v>
          </cell>
          <cell r="CE42">
            <v>5152.193809559999</v>
          </cell>
          <cell r="CF42">
            <v>721.92979043999981</v>
          </cell>
          <cell r="CG42">
            <v>0</v>
          </cell>
          <cell r="CH42"/>
          <cell r="CK42">
            <v>5874.123599999999</v>
          </cell>
          <cell r="CL42">
            <v>5152.193809559999</v>
          </cell>
          <cell r="CM42">
            <v>721.92979043999981</v>
          </cell>
          <cell r="CN42">
            <v>0</v>
          </cell>
          <cell r="CO42"/>
        </row>
        <row r="43">
          <cell r="L43">
            <v>3430.9567542376139</v>
          </cell>
          <cell r="M43">
            <v>3009.2921691418114</v>
          </cell>
          <cell r="N43">
            <v>421.66458509580275</v>
          </cell>
          <cell r="O43">
            <v>6679.8523620183805</v>
          </cell>
          <cell r="P43"/>
          <cell r="Q43">
            <v>6679.8523620183805</v>
          </cell>
          <cell r="S43">
            <v>3430.9567542376139</v>
          </cell>
          <cell r="T43">
            <v>3009.2921691418114</v>
          </cell>
          <cell r="U43">
            <v>421.66458509580275</v>
          </cell>
          <cell r="V43">
            <v>6609.9526054388953</v>
          </cell>
          <cell r="W43"/>
          <cell r="X43">
            <v>6609.9526054388953</v>
          </cell>
          <cell r="Z43">
            <v>3430.9567542376139</v>
          </cell>
          <cell r="AA43">
            <v>3009.2921691418114</v>
          </cell>
          <cell r="AB43">
            <v>421.66458509580275</v>
          </cell>
          <cell r="AC43">
            <v>4386.0358750048499</v>
          </cell>
          <cell r="AD43"/>
          <cell r="AE43">
            <v>4386.0358750048499</v>
          </cell>
          <cell r="AG43">
            <v>3430.9567542376139</v>
          </cell>
          <cell r="AH43">
            <v>3009.2921691418114</v>
          </cell>
          <cell r="AI43">
            <v>421.66458509580275</v>
          </cell>
          <cell r="AJ43">
            <v>5328.6037809155187</v>
          </cell>
          <cell r="AK43"/>
          <cell r="AL43">
            <v>5328.6037809155187</v>
          </cell>
          <cell r="AN43">
            <v>3430.9567542376139</v>
          </cell>
          <cell r="AO43">
            <v>3009.2921691418114</v>
          </cell>
          <cell r="AP43">
            <v>421.66458509580275</v>
          </cell>
          <cell r="AQ43">
            <v>0</v>
          </cell>
          <cell r="AR43"/>
          <cell r="AU43">
            <v>3430.9567542376139</v>
          </cell>
          <cell r="AV43">
            <v>3009.2921691418114</v>
          </cell>
          <cell r="AW43">
            <v>421.66458509580275</v>
          </cell>
          <cell r="AX43">
            <v>0</v>
          </cell>
          <cell r="AY43"/>
          <cell r="BB43">
            <v>3430.9567542376139</v>
          </cell>
          <cell r="BC43">
            <v>3009.2921691418114</v>
          </cell>
          <cell r="BD43">
            <v>421.66458509580275</v>
          </cell>
          <cell r="BE43">
            <v>0</v>
          </cell>
          <cell r="BF43"/>
          <cell r="BI43">
            <v>3430.9567542376139</v>
          </cell>
          <cell r="BJ43">
            <v>3009.2921691418114</v>
          </cell>
          <cell r="BK43">
            <v>421.66458509580275</v>
          </cell>
          <cell r="BL43">
            <v>0</v>
          </cell>
          <cell r="BM43"/>
          <cell r="BP43">
            <v>3430.9567542376139</v>
          </cell>
          <cell r="BQ43">
            <v>3009.2921691418114</v>
          </cell>
          <cell r="BR43">
            <v>421.66458509580275</v>
          </cell>
          <cell r="BS43">
            <v>0</v>
          </cell>
          <cell r="BT43"/>
          <cell r="BW43">
            <v>3430.9567542376139</v>
          </cell>
          <cell r="BX43">
            <v>3009.2921691418114</v>
          </cell>
          <cell r="BY43">
            <v>421.66458509580275</v>
          </cell>
          <cell r="BZ43">
            <v>0</v>
          </cell>
          <cell r="CA43"/>
          <cell r="CD43">
            <v>3430.9567542376139</v>
          </cell>
          <cell r="CE43">
            <v>3009.2921691418114</v>
          </cell>
          <cell r="CF43">
            <v>421.66458509580275</v>
          </cell>
          <cell r="CG43">
            <v>0</v>
          </cell>
          <cell r="CH43"/>
          <cell r="CK43">
            <v>3430.9567542376139</v>
          </cell>
          <cell r="CL43">
            <v>3009.2921691418114</v>
          </cell>
          <cell r="CM43">
            <v>421.66458509580275</v>
          </cell>
          <cell r="CN43">
            <v>0</v>
          </cell>
          <cell r="CO43"/>
        </row>
        <row r="44"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/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/>
          <cell r="X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/>
          <cell r="AE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/>
          <cell r="AL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/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/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/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/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/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/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/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/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/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/>
          <cell r="X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/>
          <cell r="AE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/>
          <cell r="AL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/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/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/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/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/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/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/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/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/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/>
          <cell r="X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/>
          <cell r="AE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/>
          <cell r="AL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/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/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/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/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/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/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/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/>
        </row>
        <row r="47"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/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/>
          <cell r="X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/>
          <cell r="AE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/>
          <cell r="AL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/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/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/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/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/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/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/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/>
        </row>
        <row r="48">
          <cell r="L48">
            <v>2709.5825165596857</v>
          </cell>
          <cell r="M48">
            <v>2376.5748252745002</v>
          </cell>
          <cell r="N48">
            <v>333.00769128518539</v>
          </cell>
          <cell r="O48">
            <v>810.66849383660917</v>
          </cell>
          <cell r="P48"/>
          <cell r="Q48">
            <v>810.66849383660917</v>
          </cell>
          <cell r="S48">
            <v>2709.5825165596857</v>
          </cell>
          <cell r="T48">
            <v>2376.5748252745002</v>
          </cell>
          <cell r="U48">
            <v>333.00769128518539</v>
          </cell>
          <cell r="V48">
            <v>0</v>
          </cell>
          <cell r="W48"/>
          <cell r="X48">
            <v>0</v>
          </cell>
          <cell r="Z48">
            <v>2709.5825165596857</v>
          </cell>
          <cell r="AA48">
            <v>2376.5748252745002</v>
          </cell>
          <cell r="AB48">
            <v>333.00769128518539</v>
          </cell>
          <cell r="AC48">
            <v>1437.0896624161228</v>
          </cell>
          <cell r="AD48"/>
          <cell r="AE48">
            <v>1437.0896624161228</v>
          </cell>
          <cell r="AG48">
            <v>2709.5825165596857</v>
          </cell>
          <cell r="AH48">
            <v>2376.5748252745002</v>
          </cell>
          <cell r="AI48">
            <v>333.00769128518539</v>
          </cell>
          <cell r="AJ48">
            <v>829.6803718525407</v>
          </cell>
          <cell r="AK48"/>
          <cell r="AL48">
            <v>829.6803718525407</v>
          </cell>
          <cell r="AN48">
            <v>2709.5825165596857</v>
          </cell>
          <cell r="AO48">
            <v>2376.5748252745002</v>
          </cell>
          <cell r="AP48">
            <v>333.00769128518539</v>
          </cell>
          <cell r="AQ48">
            <v>0</v>
          </cell>
          <cell r="AR48"/>
          <cell r="AU48">
            <v>2709.5825165596857</v>
          </cell>
          <cell r="AV48">
            <v>2376.5748252745002</v>
          </cell>
          <cell r="AW48">
            <v>333.00769128518539</v>
          </cell>
          <cell r="AX48">
            <v>0</v>
          </cell>
          <cell r="AY48"/>
          <cell r="BB48">
            <v>2709.5825165596857</v>
          </cell>
          <cell r="BC48">
            <v>2376.5748252745002</v>
          </cell>
          <cell r="BD48">
            <v>333.00769128518539</v>
          </cell>
          <cell r="BE48">
            <v>0</v>
          </cell>
          <cell r="BF48"/>
          <cell r="BI48">
            <v>2709.5825165596857</v>
          </cell>
          <cell r="BJ48">
            <v>2376.5748252745002</v>
          </cell>
          <cell r="BK48">
            <v>333.00769128518539</v>
          </cell>
          <cell r="BL48">
            <v>0</v>
          </cell>
          <cell r="BM48"/>
          <cell r="BP48">
            <v>2709.5825165596857</v>
          </cell>
          <cell r="BQ48">
            <v>2376.5748252745002</v>
          </cell>
          <cell r="BR48">
            <v>333.00769128518539</v>
          </cell>
          <cell r="BS48">
            <v>0</v>
          </cell>
          <cell r="BT48"/>
          <cell r="BW48">
            <v>2709.5825165596857</v>
          </cell>
          <cell r="BX48">
            <v>2376.5748252745002</v>
          </cell>
          <cell r="BY48">
            <v>333.00769128518539</v>
          </cell>
          <cell r="BZ48">
            <v>0</v>
          </cell>
          <cell r="CA48"/>
          <cell r="CD48">
            <v>2709.5825165596857</v>
          </cell>
          <cell r="CE48">
            <v>2376.5748252745002</v>
          </cell>
          <cell r="CF48">
            <v>333.00769128518539</v>
          </cell>
          <cell r="CG48">
            <v>0</v>
          </cell>
          <cell r="CH48"/>
          <cell r="CK48">
            <v>2709.5825165596857</v>
          </cell>
          <cell r="CL48">
            <v>2376.5748252745002</v>
          </cell>
          <cell r="CM48">
            <v>333.00769128518539</v>
          </cell>
          <cell r="CN48">
            <v>0</v>
          </cell>
          <cell r="CO48"/>
        </row>
        <row r="49">
          <cell r="L49">
            <v>2605.3678043843129</v>
          </cell>
          <cell r="M49">
            <v>2285.1681012254808</v>
          </cell>
          <cell r="N49">
            <v>320.19970315883205</v>
          </cell>
          <cell r="O49">
            <v>21155.868937424209</v>
          </cell>
          <cell r="P49"/>
          <cell r="Q49">
            <v>21155.868937424209</v>
          </cell>
          <cell r="S49">
            <v>2605.3678043843129</v>
          </cell>
          <cell r="T49">
            <v>2285.1681012254808</v>
          </cell>
          <cell r="U49">
            <v>320.19970315883205</v>
          </cell>
          <cell r="V49">
            <v>14461.536117182141</v>
          </cell>
          <cell r="W49"/>
          <cell r="X49">
            <v>14461.536117182141</v>
          </cell>
          <cell r="Z49">
            <v>2605.3678043843129</v>
          </cell>
          <cell r="AA49">
            <v>2285.1681012254808</v>
          </cell>
          <cell r="AB49">
            <v>320.19970315883205</v>
          </cell>
          <cell r="AC49">
            <v>6934.5264501881975</v>
          </cell>
          <cell r="AD49"/>
          <cell r="AE49">
            <v>6934.5264501881975</v>
          </cell>
          <cell r="AG49">
            <v>2605.3678043843129</v>
          </cell>
          <cell r="AH49">
            <v>2285.1681012254808</v>
          </cell>
          <cell r="AI49">
            <v>320.19970315883205</v>
          </cell>
          <cell r="AJ49">
            <v>20445.31717531856</v>
          </cell>
          <cell r="AK49"/>
          <cell r="AL49">
            <v>20445.31717531856</v>
          </cell>
          <cell r="AN49">
            <v>2605.3678043843129</v>
          </cell>
          <cell r="AO49">
            <v>2285.1681012254808</v>
          </cell>
          <cell r="AP49">
            <v>320.19970315883205</v>
          </cell>
          <cell r="AQ49">
            <v>0</v>
          </cell>
          <cell r="AR49"/>
          <cell r="AU49">
            <v>2605.3678043843129</v>
          </cell>
          <cell r="AV49">
            <v>2285.1681012254808</v>
          </cell>
          <cell r="AW49">
            <v>320.19970315883205</v>
          </cell>
          <cell r="AX49">
            <v>0</v>
          </cell>
          <cell r="AY49"/>
          <cell r="BB49">
            <v>2605.3678043843129</v>
          </cell>
          <cell r="BC49">
            <v>2285.1681012254808</v>
          </cell>
          <cell r="BD49">
            <v>320.19970315883205</v>
          </cell>
          <cell r="BE49">
            <v>0</v>
          </cell>
          <cell r="BF49"/>
          <cell r="BI49">
            <v>2605.3678043843129</v>
          </cell>
          <cell r="BJ49">
            <v>2285.1681012254808</v>
          </cell>
          <cell r="BK49">
            <v>320.19970315883205</v>
          </cell>
          <cell r="BL49">
            <v>0</v>
          </cell>
          <cell r="BM49"/>
          <cell r="BP49">
            <v>2605.3678043843129</v>
          </cell>
          <cell r="BQ49">
            <v>2285.1681012254808</v>
          </cell>
          <cell r="BR49">
            <v>320.19970315883205</v>
          </cell>
          <cell r="BS49">
            <v>0</v>
          </cell>
          <cell r="BT49"/>
          <cell r="BW49">
            <v>2605.3678043843129</v>
          </cell>
          <cell r="BX49">
            <v>2285.1681012254808</v>
          </cell>
          <cell r="BY49">
            <v>320.19970315883205</v>
          </cell>
          <cell r="BZ49">
            <v>0</v>
          </cell>
          <cell r="CA49"/>
          <cell r="CD49">
            <v>2605.3678043843129</v>
          </cell>
          <cell r="CE49">
            <v>2285.1681012254808</v>
          </cell>
          <cell r="CF49">
            <v>320.19970315883205</v>
          </cell>
          <cell r="CG49">
            <v>0</v>
          </cell>
          <cell r="CH49"/>
          <cell r="CK49">
            <v>2605.3678043843129</v>
          </cell>
          <cell r="CL49">
            <v>2285.1681012254808</v>
          </cell>
          <cell r="CM49">
            <v>320.19970315883205</v>
          </cell>
          <cell r="CN49">
            <v>0</v>
          </cell>
          <cell r="CO49"/>
        </row>
        <row r="50"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/>
          <cell r="Q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/>
          <cell r="X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/>
          <cell r="AE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/>
          <cell r="AL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/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/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/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/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/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/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/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/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/>
          <cell r="Q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/>
          <cell r="X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/>
          <cell r="AE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/>
          <cell r="AL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/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/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/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/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/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/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/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/>
        </row>
        <row r="52">
          <cell r="L52">
            <v>1667.4353948059604</v>
          </cell>
          <cell r="M52">
            <v>1462.5075847843079</v>
          </cell>
          <cell r="N52">
            <v>204.92781002165253</v>
          </cell>
          <cell r="O52">
            <v>23682.665429947028</v>
          </cell>
          <cell r="P52"/>
          <cell r="Q52">
            <v>23682.665429947028</v>
          </cell>
          <cell r="S52">
            <v>1667.4353948059604</v>
          </cell>
          <cell r="T52">
            <v>1462.5075847843079</v>
          </cell>
          <cell r="U52">
            <v>204.92781002165253</v>
          </cell>
          <cell r="V52">
            <v>9812.6739263365507</v>
          </cell>
          <cell r="W52"/>
          <cell r="X52">
            <v>9812.6739263365507</v>
          </cell>
          <cell r="Z52">
            <v>1667.4353948059604</v>
          </cell>
          <cell r="AA52">
            <v>1462.5075847843079</v>
          </cell>
          <cell r="AB52">
            <v>204.92781002165253</v>
          </cell>
          <cell r="AC52">
            <v>17243.510531501797</v>
          </cell>
          <cell r="AD52"/>
          <cell r="AE52">
            <v>17243.510531501797</v>
          </cell>
          <cell r="AG52">
            <v>1667.4353948059604</v>
          </cell>
          <cell r="AH52">
            <v>1462.5075847843079</v>
          </cell>
          <cell r="AI52">
            <v>204.92781002165253</v>
          </cell>
          <cell r="AJ52">
            <v>931.65548979137191</v>
          </cell>
          <cell r="AK52"/>
          <cell r="AL52">
            <v>931.65548979137191</v>
          </cell>
          <cell r="AN52">
            <v>1667.4353948059604</v>
          </cell>
          <cell r="AO52">
            <v>1462.5075847843079</v>
          </cell>
          <cell r="AP52">
            <v>204.92781002165253</v>
          </cell>
          <cell r="AQ52">
            <v>0</v>
          </cell>
          <cell r="AR52"/>
          <cell r="AU52">
            <v>1667.4353948059604</v>
          </cell>
          <cell r="AV52">
            <v>1462.5075847843079</v>
          </cell>
          <cell r="AW52">
            <v>204.92781002165253</v>
          </cell>
          <cell r="AX52">
            <v>0</v>
          </cell>
          <cell r="AY52"/>
          <cell r="BB52">
            <v>1667.4353948059604</v>
          </cell>
          <cell r="BC52">
            <v>1462.5075847843079</v>
          </cell>
          <cell r="BD52">
            <v>204.92781002165253</v>
          </cell>
          <cell r="BE52">
            <v>0</v>
          </cell>
          <cell r="BF52"/>
          <cell r="BI52">
            <v>1667.4353948059604</v>
          </cell>
          <cell r="BJ52">
            <v>1462.5075847843079</v>
          </cell>
          <cell r="BK52">
            <v>204.92781002165253</v>
          </cell>
          <cell r="BL52">
            <v>0</v>
          </cell>
          <cell r="BM52"/>
          <cell r="BP52">
            <v>1667.4353948059604</v>
          </cell>
          <cell r="BQ52">
            <v>1462.5075847843079</v>
          </cell>
          <cell r="BR52">
            <v>204.92781002165253</v>
          </cell>
          <cell r="BS52">
            <v>0</v>
          </cell>
          <cell r="BT52"/>
          <cell r="BW52">
            <v>1667.4353948059604</v>
          </cell>
          <cell r="BX52">
            <v>1462.5075847843079</v>
          </cell>
          <cell r="BY52">
            <v>204.92781002165253</v>
          </cell>
          <cell r="BZ52">
            <v>0</v>
          </cell>
          <cell r="CA52"/>
          <cell r="CD52">
            <v>1667.4353948059604</v>
          </cell>
          <cell r="CE52">
            <v>1462.5075847843079</v>
          </cell>
          <cell r="CF52">
            <v>204.92781002165253</v>
          </cell>
          <cell r="CG52">
            <v>0</v>
          </cell>
          <cell r="CH52"/>
          <cell r="CK52">
            <v>1667.4353948059604</v>
          </cell>
          <cell r="CL52">
            <v>1462.5075847843079</v>
          </cell>
          <cell r="CM52">
            <v>204.92781002165253</v>
          </cell>
          <cell r="CN52">
            <v>0</v>
          </cell>
          <cell r="CO52"/>
        </row>
        <row r="53">
          <cell r="L53">
            <v>416.8588487014901</v>
          </cell>
          <cell r="M53">
            <v>365.62689619607698</v>
          </cell>
          <cell r="N53">
            <v>51.231952505413133</v>
          </cell>
          <cell r="O53">
            <v>0</v>
          </cell>
          <cell r="P53"/>
          <cell r="Q53">
            <v>0</v>
          </cell>
          <cell r="S53">
            <v>416.8588487014901</v>
          </cell>
          <cell r="T53">
            <v>365.62689619607698</v>
          </cell>
          <cell r="U53">
            <v>51.231952505413133</v>
          </cell>
          <cell r="V53">
            <v>7.362922969567089</v>
          </cell>
          <cell r="W53"/>
          <cell r="X53">
            <v>7.362922969567089</v>
          </cell>
          <cell r="Z53">
            <v>416.8588487014901</v>
          </cell>
          <cell r="AA53">
            <v>365.62689619607698</v>
          </cell>
          <cell r="AB53">
            <v>51.231952505413133</v>
          </cell>
          <cell r="AC53">
            <v>0</v>
          </cell>
          <cell r="AD53"/>
          <cell r="AE53">
            <v>0</v>
          </cell>
          <cell r="AG53">
            <v>416.8588487014901</v>
          </cell>
          <cell r="AH53">
            <v>365.62689619607698</v>
          </cell>
          <cell r="AI53">
            <v>51.231952505413133</v>
          </cell>
          <cell r="AJ53">
            <v>57.702016844320575</v>
          </cell>
          <cell r="AK53"/>
          <cell r="AL53">
            <v>57.702016844320575</v>
          </cell>
          <cell r="AN53">
            <v>416.8588487014901</v>
          </cell>
          <cell r="AO53">
            <v>365.62689619607698</v>
          </cell>
          <cell r="AP53">
            <v>51.231952505413133</v>
          </cell>
          <cell r="AQ53">
            <v>0</v>
          </cell>
          <cell r="AR53"/>
          <cell r="AU53">
            <v>416.8588487014901</v>
          </cell>
          <cell r="AV53">
            <v>365.62689619607698</v>
          </cell>
          <cell r="AW53">
            <v>51.231952505413133</v>
          </cell>
          <cell r="AX53">
            <v>0</v>
          </cell>
          <cell r="AY53"/>
          <cell r="BB53">
            <v>416.8588487014901</v>
          </cell>
          <cell r="BC53">
            <v>365.62689619607698</v>
          </cell>
          <cell r="BD53">
            <v>51.231952505413133</v>
          </cell>
          <cell r="BE53">
            <v>0</v>
          </cell>
          <cell r="BF53"/>
          <cell r="BI53">
            <v>416.8588487014901</v>
          </cell>
          <cell r="BJ53">
            <v>365.62689619607698</v>
          </cell>
          <cell r="BK53">
            <v>51.231952505413133</v>
          </cell>
          <cell r="BL53">
            <v>0</v>
          </cell>
          <cell r="BM53"/>
          <cell r="BP53">
            <v>416.8588487014901</v>
          </cell>
          <cell r="BQ53">
            <v>365.62689619607698</v>
          </cell>
          <cell r="BR53">
            <v>51.231952505413133</v>
          </cell>
          <cell r="BS53">
            <v>0</v>
          </cell>
          <cell r="BT53"/>
          <cell r="BW53">
            <v>416.8588487014901</v>
          </cell>
          <cell r="BX53">
            <v>365.62689619607698</v>
          </cell>
          <cell r="BY53">
            <v>51.231952505413133</v>
          </cell>
          <cell r="BZ53">
            <v>0</v>
          </cell>
          <cell r="CA53"/>
          <cell r="CD53">
            <v>416.8588487014901</v>
          </cell>
          <cell r="CE53">
            <v>365.62689619607698</v>
          </cell>
          <cell r="CF53">
            <v>51.231952505413133</v>
          </cell>
          <cell r="CG53">
            <v>0</v>
          </cell>
          <cell r="CH53"/>
          <cell r="CK53">
            <v>416.8588487014901</v>
          </cell>
          <cell r="CL53">
            <v>365.62689619607698</v>
          </cell>
          <cell r="CM53">
            <v>51.231952505413133</v>
          </cell>
          <cell r="CN53">
            <v>0</v>
          </cell>
          <cell r="CO53"/>
        </row>
        <row r="54">
          <cell r="L54">
            <v>10260.714285714286</v>
          </cell>
          <cell r="M54">
            <v>8999.6725000000006</v>
          </cell>
          <cell r="N54">
            <v>1261.0417857142857</v>
          </cell>
          <cell r="O54">
            <v>0</v>
          </cell>
          <cell r="P54"/>
          <cell r="Q54">
            <v>0</v>
          </cell>
          <cell r="S54">
            <v>10260.714285714286</v>
          </cell>
          <cell r="T54">
            <v>8999.6725000000006</v>
          </cell>
          <cell r="U54">
            <v>1261.0417857142857</v>
          </cell>
          <cell r="V54">
            <v>3776.9064454533218</v>
          </cell>
          <cell r="W54"/>
          <cell r="X54">
            <v>3776.9064454533218</v>
          </cell>
          <cell r="Z54">
            <v>10260.714285714286</v>
          </cell>
          <cell r="AA54">
            <v>8999.6725000000006</v>
          </cell>
          <cell r="AB54">
            <v>1261.0417857142857</v>
          </cell>
          <cell r="AC54">
            <v>11203.679336025354</v>
          </cell>
          <cell r="AD54"/>
          <cell r="AE54">
            <v>11203.679336025354</v>
          </cell>
          <cell r="AG54">
            <v>10260.714285714286</v>
          </cell>
          <cell r="AH54">
            <v>8999.6725000000006</v>
          </cell>
          <cell r="AI54">
            <v>1261.0417857142857</v>
          </cell>
          <cell r="AJ54">
            <v>0</v>
          </cell>
          <cell r="AK54"/>
          <cell r="AL54">
            <v>0</v>
          </cell>
          <cell r="AN54">
            <v>10260.714285714286</v>
          </cell>
          <cell r="AO54">
            <v>8999.6725000000006</v>
          </cell>
          <cell r="AP54">
            <v>1261.0417857142857</v>
          </cell>
          <cell r="AQ54">
            <v>0</v>
          </cell>
          <cell r="AR54"/>
          <cell r="AU54">
            <v>10260.714285714286</v>
          </cell>
          <cell r="AV54">
            <v>8999.6725000000006</v>
          </cell>
          <cell r="AW54">
            <v>1261.0417857142857</v>
          </cell>
          <cell r="AX54">
            <v>0</v>
          </cell>
          <cell r="AY54"/>
          <cell r="BB54">
            <v>10260.714285714286</v>
          </cell>
          <cell r="BC54">
            <v>8999.6725000000006</v>
          </cell>
          <cell r="BD54">
            <v>1261.0417857142857</v>
          </cell>
          <cell r="BE54">
            <v>0</v>
          </cell>
          <cell r="BF54"/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/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/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/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/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/>
        </row>
        <row r="56">
          <cell r="L56">
            <v>-2812.7154151138598</v>
          </cell>
          <cell r="M56">
            <v>-2467.0326905963666</v>
          </cell>
          <cell r="N56">
            <v>-345.68272451749334</v>
          </cell>
          <cell r="O56">
            <v>0</v>
          </cell>
          <cell r="P56"/>
          <cell r="Q56">
            <v>0</v>
          </cell>
          <cell r="S56">
            <v>-2812.7154151138598</v>
          </cell>
          <cell r="T56">
            <v>-2467.0326905963666</v>
          </cell>
          <cell r="U56">
            <v>-345.68272451749334</v>
          </cell>
          <cell r="V56">
            <v>0</v>
          </cell>
          <cell r="W56"/>
          <cell r="X56">
            <v>0</v>
          </cell>
          <cell r="Z56">
            <v>-2812.7154151138598</v>
          </cell>
          <cell r="AA56">
            <v>-2467.0326905963666</v>
          </cell>
          <cell r="AB56">
            <v>-345.68272451749334</v>
          </cell>
          <cell r="AC56">
            <v>0</v>
          </cell>
          <cell r="AD56"/>
          <cell r="AE56">
            <v>0</v>
          </cell>
          <cell r="AG56">
            <v>-2812.7154151138598</v>
          </cell>
          <cell r="AH56">
            <v>-2467.0326905963666</v>
          </cell>
          <cell r="AI56">
            <v>-345.68272451749334</v>
          </cell>
          <cell r="AJ56">
            <v>0</v>
          </cell>
          <cell r="AK56"/>
          <cell r="AL56">
            <v>0</v>
          </cell>
          <cell r="AN56">
            <v>-2812.7154151138598</v>
          </cell>
          <cell r="AO56">
            <v>-2467.0326905963666</v>
          </cell>
          <cell r="AP56">
            <v>-345.68272451749334</v>
          </cell>
          <cell r="AQ56">
            <v>0</v>
          </cell>
          <cell r="AR56"/>
          <cell r="AU56">
            <v>-2812.7154151138598</v>
          </cell>
          <cell r="AV56">
            <v>-2467.0326905963666</v>
          </cell>
          <cell r="AW56">
            <v>-345.68272451749334</v>
          </cell>
          <cell r="AX56">
            <v>0</v>
          </cell>
          <cell r="AY56"/>
          <cell r="BB56">
            <v>-2812.7154151138598</v>
          </cell>
          <cell r="BC56">
            <v>-2467.0326905963666</v>
          </cell>
          <cell r="BD56">
            <v>-345.68272451749334</v>
          </cell>
          <cell r="BE56">
            <v>0</v>
          </cell>
          <cell r="BF56"/>
          <cell r="BI56">
            <v>-2812.7154151138598</v>
          </cell>
          <cell r="BJ56">
            <v>-2467.0326905963666</v>
          </cell>
          <cell r="BK56">
            <v>-345.68272451749334</v>
          </cell>
          <cell r="BL56">
            <v>0</v>
          </cell>
          <cell r="BM56"/>
          <cell r="BP56">
            <v>-2812.7154151138598</v>
          </cell>
          <cell r="BQ56">
            <v>-2467.0326905963666</v>
          </cell>
          <cell r="BR56">
            <v>-345.68272451749334</v>
          </cell>
          <cell r="BS56">
            <v>0</v>
          </cell>
          <cell r="BT56"/>
          <cell r="BW56">
            <v>-2812.7154151138598</v>
          </cell>
          <cell r="BX56">
            <v>-2467.0326905963666</v>
          </cell>
          <cell r="BY56">
            <v>-345.68272451749334</v>
          </cell>
          <cell r="BZ56">
            <v>0</v>
          </cell>
          <cell r="CA56"/>
          <cell r="CD56">
            <v>-2812.7154151138598</v>
          </cell>
          <cell r="CE56">
            <v>-2467.0326905963666</v>
          </cell>
          <cell r="CF56">
            <v>-345.68272451749334</v>
          </cell>
          <cell r="CG56">
            <v>0</v>
          </cell>
          <cell r="CH56"/>
          <cell r="CK56">
            <v>-2812.7154151138598</v>
          </cell>
          <cell r="CL56">
            <v>-2467.0326905963666</v>
          </cell>
          <cell r="CM56">
            <v>-345.68272451749334</v>
          </cell>
          <cell r="CN56">
            <v>0</v>
          </cell>
          <cell r="CO56"/>
        </row>
        <row r="57">
          <cell r="L57">
            <v>-937.57180503795337</v>
          </cell>
          <cell r="M57">
            <v>-822.34423019878886</v>
          </cell>
          <cell r="N57">
            <v>-115.22757483916446</v>
          </cell>
          <cell r="O57">
            <v>0</v>
          </cell>
          <cell r="P57"/>
          <cell r="Q57">
            <v>0</v>
          </cell>
          <cell r="S57">
            <v>-937.57180503795337</v>
          </cell>
          <cell r="T57">
            <v>-822.34423019878886</v>
          </cell>
          <cell r="U57">
            <v>-115.22757483916446</v>
          </cell>
          <cell r="V57">
            <v>0</v>
          </cell>
          <cell r="W57"/>
          <cell r="X57">
            <v>0</v>
          </cell>
          <cell r="Z57">
            <v>-937.57180503795337</v>
          </cell>
          <cell r="AA57">
            <v>-822.34423019878886</v>
          </cell>
          <cell r="AB57">
            <v>-115.22757483916446</v>
          </cell>
          <cell r="AC57">
            <v>0</v>
          </cell>
          <cell r="AD57"/>
          <cell r="AE57">
            <v>0</v>
          </cell>
          <cell r="AG57">
            <v>-937.57180503795337</v>
          </cell>
          <cell r="AH57">
            <v>-822.34423019878886</v>
          </cell>
          <cell r="AI57">
            <v>-115.22757483916446</v>
          </cell>
          <cell r="AJ57">
            <v>0</v>
          </cell>
          <cell r="AK57"/>
          <cell r="AL57">
            <v>0</v>
          </cell>
          <cell r="AN57">
            <v>-937.57180503795337</v>
          </cell>
          <cell r="AO57">
            <v>-822.34423019878886</v>
          </cell>
          <cell r="AP57">
            <v>-115.22757483916446</v>
          </cell>
          <cell r="AQ57">
            <v>0</v>
          </cell>
          <cell r="AR57"/>
          <cell r="AU57">
            <v>-937.57180503795337</v>
          </cell>
          <cell r="AV57">
            <v>-822.34423019878886</v>
          </cell>
          <cell r="AW57">
            <v>-115.22757483916446</v>
          </cell>
          <cell r="AX57">
            <v>0</v>
          </cell>
          <cell r="AY57"/>
          <cell r="BB57">
            <v>-937.57180503795337</v>
          </cell>
          <cell r="BC57">
            <v>-822.34423019878886</v>
          </cell>
          <cell r="BD57">
            <v>-115.22757483916446</v>
          </cell>
          <cell r="BE57">
            <v>0</v>
          </cell>
          <cell r="BF57"/>
          <cell r="BI57">
            <v>-937.57180503795337</v>
          </cell>
          <cell r="BJ57">
            <v>-822.34423019878886</v>
          </cell>
          <cell r="BK57">
            <v>-115.22757483916446</v>
          </cell>
          <cell r="BL57">
            <v>0</v>
          </cell>
          <cell r="BM57"/>
          <cell r="BP57">
            <v>-937.57180503795337</v>
          </cell>
          <cell r="BQ57">
            <v>-822.34423019878886</v>
          </cell>
          <cell r="BR57">
            <v>-115.22757483916446</v>
          </cell>
          <cell r="BS57">
            <v>0</v>
          </cell>
          <cell r="BT57"/>
          <cell r="BW57">
            <v>-937.57180503795337</v>
          </cell>
          <cell r="BX57">
            <v>-822.34423019878886</v>
          </cell>
          <cell r="BY57">
            <v>-115.22757483916446</v>
          </cell>
          <cell r="BZ57">
            <v>0</v>
          </cell>
          <cell r="CA57"/>
          <cell r="CD57">
            <v>-937.57180503795337</v>
          </cell>
          <cell r="CE57">
            <v>-822.34423019878886</v>
          </cell>
          <cell r="CF57">
            <v>-115.22757483916446</v>
          </cell>
          <cell r="CG57">
            <v>0</v>
          </cell>
          <cell r="CH57"/>
          <cell r="CK57">
            <v>-937.57180503795337</v>
          </cell>
          <cell r="CL57">
            <v>-822.34423019878886</v>
          </cell>
          <cell r="CM57">
            <v>-115.22757483916446</v>
          </cell>
          <cell r="CN57">
            <v>0</v>
          </cell>
          <cell r="CO57"/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AC5BC-3F75-CC41-9716-F3625E42CAED}">
  <sheetPr>
    <pageSetUpPr fitToPage="1"/>
  </sheetPr>
  <dimension ref="A1:DF1000"/>
  <sheetViews>
    <sheetView zoomScale="85" zoomScaleNormal="85" workbookViewId="0">
      <pane xSplit="11" ySplit="3" topLeftCell="L29" activePane="bottomRight" state="frozen"/>
      <selection activeCell="J2" sqref="J2:P58"/>
      <selection pane="topRight" activeCell="J2" sqref="J2:P58"/>
      <selection pane="bottomLeft" activeCell="J2" sqref="J2:P58"/>
      <selection pane="bottomRight" activeCell="O58" sqref="O58"/>
    </sheetView>
  </sheetViews>
  <sheetFormatPr baseColWidth="10" defaultColWidth="14.5" defaultRowHeight="15" customHeight="1" x14ac:dyDescent="0.2"/>
  <cols>
    <col min="1" max="1" width="32.33203125" customWidth="1"/>
    <col min="2" max="9" width="11.5" customWidth="1"/>
    <col min="10" max="10" width="11.33203125" customWidth="1"/>
    <col min="11" max="37" width="11.5" customWidth="1"/>
    <col min="38" max="38" width="11.83203125" bestFit="1" customWidth="1"/>
    <col min="39" max="65" width="11.5" customWidth="1"/>
    <col min="66" max="66" width="11.33203125" customWidth="1"/>
    <col min="67" max="72" width="11.5" customWidth="1"/>
    <col min="73" max="73" width="11.33203125" customWidth="1"/>
    <col min="74" max="96" width="11.5" customWidth="1"/>
    <col min="97" max="97" width="10.83203125" hidden="1" customWidth="1"/>
    <col min="98" max="98" width="10.6640625" hidden="1" customWidth="1"/>
    <col min="99" max="99" width="10.33203125" hidden="1" customWidth="1"/>
    <col min="100" max="100" width="11" bestFit="1" customWidth="1"/>
    <col min="101" max="101" width="10.33203125" customWidth="1"/>
    <col min="102" max="102" width="10.83203125" customWidth="1"/>
    <col min="103" max="103" width="10.5" customWidth="1"/>
    <col min="104" max="104" width="10.33203125" customWidth="1"/>
    <col min="105" max="105" width="12.33203125" customWidth="1"/>
    <col min="106" max="106" width="10.1640625" customWidth="1"/>
    <col min="107" max="107" width="11" customWidth="1"/>
    <col min="108" max="108" width="9.83203125" customWidth="1"/>
    <col min="109" max="110" width="9.1640625" customWidth="1"/>
  </cols>
  <sheetData>
    <row r="1" spans="1:110" ht="20" customHeight="1" thickBo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"/>
      <c r="AA1" s="2"/>
      <c r="AB1" s="2"/>
      <c r="AC1" s="2"/>
      <c r="AD1" s="2"/>
      <c r="AE1" s="1"/>
      <c r="AF1" s="1"/>
      <c r="AG1" s="3" t="s">
        <v>1</v>
      </c>
      <c r="AH1" s="3"/>
      <c r="AI1" s="3"/>
      <c r="AJ1" s="3"/>
      <c r="AK1" s="3"/>
      <c r="AL1" s="3"/>
      <c r="AM1" s="3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4"/>
      <c r="DA1" s="4"/>
      <c r="DB1" s="4"/>
      <c r="DC1" s="4"/>
      <c r="DD1" s="4"/>
      <c r="DE1" s="4"/>
      <c r="DF1" s="4"/>
    </row>
    <row r="2" spans="1:110" ht="14.25" customHeight="1" thickBot="1" x14ac:dyDescent="0.25">
      <c r="A2" s="5"/>
      <c r="B2" s="266"/>
      <c r="C2" s="267"/>
      <c r="D2" s="267"/>
      <c r="E2" s="268"/>
      <c r="F2" s="268"/>
      <c r="G2" s="268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58" t="s">
        <v>6</v>
      </c>
      <c r="AO2" s="259"/>
      <c r="AP2" s="259"/>
      <c r="AQ2" s="259"/>
      <c r="AR2" s="259"/>
      <c r="AS2" s="260"/>
      <c r="AT2" s="261"/>
      <c r="AU2" s="262" t="s">
        <v>7</v>
      </c>
      <c r="AV2" s="263"/>
      <c r="AW2" s="263"/>
      <c r="AX2" s="263"/>
      <c r="AY2" s="263"/>
      <c r="AZ2" s="264"/>
      <c r="BA2" s="265"/>
      <c r="BB2" s="258" t="s">
        <v>8</v>
      </c>
      <c r="BC2" s="259"/>
      <c r="BD2" s="259"/>
      <c r="BE2" s="259"/>
      <c r="BF2" s="259"/>
      <c r="BG2" s="260"/>
      <c r="BH2" s="261"/>
      <c r="BI2" s="258" t="s">
        <v>9</v>
      </c>
      <c r="BJ2" s="259"/>
      <c r="BK2" s="259"/>
      <c r="BL2" s="259"/>
      <c r="BM2" s="259"/>
      <c r="BN2" s="260"/>
      <c r="BO2" s="261"/>
      <c r="BP2" s="258" t="s">
        <v>10</v>
      </c>
      <c r="BQ2" s="259"/>
      <c r="BR2" s="259"/>
      <c r="BS2" s="259"/>
      <c r="BT2" s="259"/>
      <c r="BU2" s="260"/>
      <c r="BV2" s="261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  <c r="CS2" s="7">
        <v>45444</v>
      </c>
      <c r="CT2" s="7">
        <v>45474</v>
      </c>
      <c r="CU2" s="7">
        <v>45505</v>
      </c>
      <c r="CV2" s="7">
        <v>45536</v>
      </c>
      <c r="CW2" s="7">
        <v>45566</v>
      </c>
      <c r="CX2" s="7">
        <v>45597</v>
      </c>
      <c r="CY2" s="7">
        <v>45627</v>
      </c>
      <c r="CZ2" s="7">
        <v>45658</v>
      </c>
      <c r="DA2" s="7">
        <v>45689</v>
      </c>
      <c r="DB2" s="7">
        <v>45717</v>
      </c>
      <c r="DC2" s="7">
        <v>45748</v>
      </c>
      <c r="DD2" s="7">
        <v>45778</v>
      </c>
    </row>
    <row r="3" spans="1:110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27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27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27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110" s="26" customFormat="1" ht="14.25" customHeight="1" x14ac:dyDescent="0.2">
      <c r="A4" s="16" t="s">
        <v>28</v>
      </c>
      <c r="B4" s="17">
        <f t="shared" ref="B4:D35" si="0">+L4+S4+Z4+AG4+AN4+AU4+BB4+BI4+BP4+BW4+CD4+CK4</f>
        <v>742418.13509640982</v>
      </c>
      <c r="C4" s="18">
        <f t="shared" si="0"/>
        <v>651174.94629306102</v>
      </c>
      <c r="D4" s="19">
        <f t="shared" si="0"/>
        <v>91243.188803348763</v>
      </c>
      <c r="E4" s="17">
        <f>+L4+S4+Z4+AG4</f>
        <v>262173.76586980961</v>
      </c>
      <c r="F4" s="20">
        <f>+M4+T4+AA4+AH4</f>
        <v>229952.61004440999</v>
      </c>
      <c r="G4" s="21">
        <f>+N4+U4+AB4+AI4</f>
        <v>32221.155825399597</v>
      </c>
      <c r="H4" s="18">
        <f t="shared" ref="H4:J35" si="1">+O4+V4+AC4+AJ4+AQ4+AX4+BE4+BL4+BS4+BZ4+CG4+CN4</f>
        <v>206228.1139886484</v>
      </c>
      <c r="I4" s="20">
        <f t="shared" si="1"/>
        <v>28896.859205569359</v>
      </c>
      <c r="J4" s="20">
        <f t="shared" si="1"/>
        <v>235124.97319421775</v>
      </c>
      <c r="K4" s="22">
        <f t="shared" ref="K4:K54" si="2">IF(E4=0,"",(+J4/E4-1))</f>
        <v>-0.10317124059248461</v>
      </c>
      <c r="L4" s="23">
        <v>57171.948717452404</v>
      </c>
      <c r="M4" s="18">
        <f>L4-N4</f>
        <v>50145.516220077501</v>
      </c>
      <c r="N4" s="18">
        <f>+L4*12.29%</f>
        <v>7026.4324973748999</v>
      </c>
      <c r="O4" s="18">
        <f>+Q4-P4</f>
        <v>37693.385218802978</v>
      </c>
      <c r="P4" s="18">
        <f>+Q4*12.29%</f>
        <v>5281.6292821695197</v>
      </c>
      <c r="Q4" s="20">
        <v>42975.014500972495</v>
      </c>
      <c r="R4" s="22">
        <f t="shared" ref="R4:R54" si="3">IF(L4=0,"",(+Q4/L4-1))</f>
        <v>-0.24831992847824913</v>
      </c>
      <c r="S4" s="23">
        <v>90657.919717452402</v>
      </c>
      <c r="T4" s="18">
        <f>S4-U4</f>
        <v>79516.061384177505</v>
      </c>
      <c r="U4" s="18">
        <f>+S4*12.29%</f>
        <v>11141.8583332749</v>
      </c>
      <c r="V4" s="18">
        <f>+X4-W4</f>
        <v>52958.426945527135</v>
      </c>
      <c r="W4" s="18">
        <f>+X4*12.29%</f>
        <v>7420.5799471044174</v>
      </c>
      <c r="X4" s="20">
        <v>60379.006892631551</v>
      </c>
      <c r="Y4" s="22">
        <f t="shared" ref="Y4:Y54" si="4">IF(S4=0,"",(+X4/S4-1))</f>
        <v>-0.33399081866415148</v>
      </c>
      <c r="Z4" s="23">
        <v>57171.948717452404</v>
      </c>
      <c r="AA4" s="18">
        <f>Z4-AB4</f>
        <v>50145.516220077501</v>
      </c>
      <c r="AB4" s="18">
        <f>+Z4*12.29%</f>
        <v>7026.4324973748999</v>
      </c>
      <c r="AC4" s="18">
        <f>+AE4-AD4</f>
        <v>39070.204277905344</v>
      </c>
      <c r="AD4" s="18">
        <f>+AE4*12.29%</f>
        <v>5474.550342896553</v>
      </c>
      <c r="AE4" s="24">
        <v>44544.754620801898</v>
      </c>
      <c r="AF4" s="22">
        <f t="shared" ref="AF4:AF54" si="5">IF(Z4=0,"",(+AE4/Z4-1))</f>
        <v>-0.22086345454227818</v>
      </c>
      <c r="AG4" s="23">
        <v>57171.948717452404</v>
      </c>
      <c r="AH4" s="18">
        <f>AG4-AI4</f>
        <v>50145.516220077501</v>
      </c>
      <c r="AI4" s="18">
        <f>+AG4*12.29%</f>
        <v>7026.4324973748999</v>
      </c>
      <c r="AJ4" s="18">
        <f>+AL4-AK4</f>
        <v>76506.09754641293</v>
      </c>
      <c r="AK4" s="18">
        <f>+AL4*12.29%</f>
        <v>10720.09963339887</v>
      </c>
      <c r="AL4" s="24">
        <v>87226.197179811803</v>
      </c>
      <c r="AM4" s="22">
        <f t="shared" ref="AM4:AM54" si="6">IF(AG4=0,"",(+AL4/AG4-1))</f>
        <v>0.52568172218318998</v>
      </c>
      <c r="AN4" s="23">
        <v>57171.948717452404</v>
      </c>
      <c r="AO4" s="18">
        <f>AN4-AP4</f>
        <v>50145.516220077501</v>
      </c>
      <c r="AP4" s="18">
        <f>+AN4*12.29%</f>
        <v>7026.4324973748999</v>
      </c>
      <c r="AQ4" s="18">
        <f>+AS4-AR4</f>
        <v>0</v>
      </c>
      <c r="AR4" s="18">
        <f>+AS4*12.29%</f>
        <v>0</v>
      </c>
      <c r="AS4" s="24">
        <f t="shared" ref="AS4:AS16" si="7">CW4*0.51</f>
        <v>0</v>
      </c>
      <c r="AT4" s="22">
        <f t="shared" ref="AT4:AT54" si="8">IF(AN4=0,"",(+AS4/AN4-1))</f>
        <v>-1</v>
      </c>
      <c r="AU4" s="23">
        <v>57171.948717452404</v>
      </c>
      <c r="AV4" s="18">
        <f>AU4-AW4</f>
        <v>50145.516220077501</v>
      </c>
      <c r="AW4" s="18">
        <f>+AU4*12.29%</f>
        <v>7026.4324973748999</v>
      </c>
      <c r="AX4" s="18">
        <f>+AZ4-AY4</f>
        <v>0</v>
      </c>
      <c r="AY4" s="18">
        <f>+AZ4*12.29%</f>
        <v>0</v>
      </c>
      <c r="AZ4" s="24">
        <f t="shared" ref="AZ4:AZ16" si="9">CX4*0.51</f>
        <v>0</v>
      </c>
      <c r="BA4" s="22">
        <f t="shared" ref="BA4:BA54" si="10">IF(AU4=0,"",(+AZ4/AU4-1))</f>
        <v>-1</v>
      </c>
      <c r="BB4" s="23">
        <v>57171.948717452404</v>
      </c>
      <c r="BC4" s="18">
        <f>BB4-BD4</f>
        <v>50145.516220077501</v>
      </c>
      <c r="BD4" s="18">
        <f>+BB4*12.29%</f>
        <v>7026.4324973748999</v>
      </c>
      <c r="BE4" s="18">
        <f>+BG4-BF4</f>
        <v>0</v>
      </c>
      <c r="BF4" s="18">
        <f>+BG4*12.29%</f>
        <v>0</v>
      </c>
      <c r="BG4" s="24">
        <f t="shared" ref="BG4:BG16" si="11">CY4*0.51</f>
        <v>0</v>
      </c>
      <c r="BH4" s="22">
        <f t="shared" ref="BH4:BH54" si="12">IF(BB4=0,"",(+BG4/BB4-1))</f>
        <v>-1</v>
      </c>
      <c r="BI4" s="23">
        <v>61745.704614848597</v>
      </c>
      <c r="BJ4" s="18">
        <f>BI4-BK4</f>
        <v>54157.157517683707</v>
      </c>
      <c r="BK4" s="18">
        <f>+BI4*12.29%</f>
        <v>7588.547097164892</v>
      </c>
      <c r="BL4" s="18">
        <f>+BN4-BM4</f>
        <v>0</v>
      </c>
      <c r="BM4" s="18">
        <f>+BN4*12.29%</f>
        <v>0</v>
      </c>
      <c r="BN4" s="24">
        <f t="shared" ref="BN4:BN16" si="13">CZ4*0.51</f>
        <v>0</v>
      </c>
      <c r="BO4" s="25">
        <f t="shared" ref="BO4:BO54" si="14">IF(BI4=0,"",(+BN4/BI4-1))</f>
        <v>-1</v>
      </c>
      <c r="BP4" s="23">
        <v>61745.704614848597</v>
      </c>
      <c r="BQ4" s="18">
        <f>BP4-BR4</f>
        <v>54157.157517683707</v>
      </c>
      <c r="BR4" s="18">
        <f>+BP4*12.29%</f>
        <v>7588.547097164892</v>
      </c>
      <c r="BS4" s="18">
        <f>+BU4-BT4</f>
        <v>0</v>
      </c>
      <c r="BT4" s="18">
        <f>+BU4*12.29%</f>
        <v>0</v>
      </c>
      <c r="BU4" s="24">
        <f t="shared" ref="BU4:BU16" si="15">DA4*0.51</f>
        <v>0</v>
      </c>
      <c r="BV4" s="25">
        <f t="shared" ref="BV4:BV54" si="16">IF(BP4=0,"",(+BU4/BP4-1))</f>
        <v>-1</v>
      </c>
      <c r="BW4" s="23">
        <v>61745.704614848597</v>
      </c>
      <c r="BX4" s="18">
        <f>BW4-BY4</f>
        <v>54157.157517683707</v>
      </c>
      <c r="BY4" s="18">
        <f>+BW4*12.29%</f>
        <v>7588.547097164892</v>
      </c>
      <c r="BZ4" s="18">
        <f>+CB4-CA4</f>
        <v>0</v>
      </c>
      <c r="CA4" s="18">
        <f>+CB4*12.29%</f>
        <v>0</v>
      </c>
      <c r="CB4" s="24">
        <f t="shared" ref="CB4:CB16" si="17">DB4*0.51</f>
        <v>0</v>
      </c>
      <c r="CC4" s="25">
        <f t="shared" ref="CC4:CC54" si="18">IF(BW4=0,"",(+CB4/BW4-1))</f>
        <v>-1</v>
      </c>
      <c r="CD4" s="23">
        <v>61745.704614848597</v>
      </c>
      <c r="CE4" s="18">
        <f>CD4-CF4</f>
        <v>54157.157517683707</v>
      </c>
      <c r="CF4" s="18">
        <f>+CD4*12.29%</f>
        <v>7588.547097164892</v>
      </c>
      <c r="CG4" s="18">
        <f>+CI4-CH4</f>
        <v>0</v>
      </c>
      <c r="CH4" s="18">
        <f>+CI4*12.29%</f>
        <v>0</v>
      </c>
      <c r="CI4" s="24">
        <f t="shared" ref="CI4:CI16" si="19">DC4*0.51</f>
        <v>0</v>
      </c>
      <c r="CJ4" s="25">
        <f t="shared" ref="CJ4:CJ54" si="20">IF(CD4=0,"",(+CI4/CD4-1))</f>
        <v>-1</v>
      </c>
      <c r="CK4" s="23">
        <v>61745.704614848597</v>
      </c>
      <c r="CL4" s="18">
        <f>CK4-CM4</f>
        <v>54157.157517683707</v>
      </c>
      <c r="CM4" s="18">
        <f>+CK4*12.29%</f>
        <v>7588.547097164892</v>
      </c>
      <c r="CN4" s="18">
        <f>+CP4-CO4</f>
        <v>0</v>
      </c>
      <c r="CO4" s="18">
        <f>+CP4*12.29%</f>
        <v>0</v>
      </c>
      <c r="CP4" s="24">
        <f t="shared" ref="CP4:CP16" si="21">DD4*0.51</f>
        <v>0</v>
      </c>
      <c r="CQ4" s="25">
        <f t="shared" ref="CQ4:CQ54" si="22">IF(CK4=0,"",(+CP4/CK4-1))</f>
        <v>-1</v>
      </c>
      <c r="CS4" s="27">
        <f>155301.13-CS5-CS6-CS7-CS8-CS9</f>
        <v>97954.62999999999</v>
      </c>
      <c r="CT4" s="27">
        <f>184761.4-CT5-CT6-CT7-CT8-CT9</f>
        <v>137624.22999999998</v>
      </c>
      <c r="CU4" s="27">
        <f>154651.95-CU5-CU6-CU7-CU8-CU9</f>
        <v>101532.6</v>
      </c>
      <c r="CV4" s="27">
        <f>241924.03-CV5-CV6-CV7-CV8-CV9</f>
        <v>198818.08</v>
      </c>
      <c r="CW4" s="27"/>
      <c r="CX4" s="27"/>
      <c r="CY4" s="27"/>
      <c r="CZ4" s="27"/>
      <c r="DA4" s="27"/>
      <c r="DB4" s="27"/>
      <c r="DC4" s="27"/>
      <c r="DD4" s="27"/>
      <c r="DF4" s="28"/>
    </row>
    <row r="5" spans="1:110" s="26" customFormat="1" ht="14.25" customHeight="1" x14ac:dyDescent="0.2">
      <c r="A5" s="29" t="s">
        <v>29</v>
      </c>
      <c r="B5" s="30">
        <f t="shared" si="0"/>
        <v>46063.5</v>
      </c>
      <c r="C5" s="31">
        <f t="shared" si="0"/>
        <v>40402.295850000002</v>
      </c>
      <c r="D5" s="32">
        <f t="shared" si="0"/>
        <v>5661.2041500000014</v>
      </c>
      <c r="E5" s="30">
        <f t="shared" ref="E5:G36" si="23">+L5+S5+Z5+AG5</f>
        <v>15354.5</v>
      </c>
      <c r="F5" s="33">
        <f t="shared" si="23"/>
        <v>13467.43195</v>
      </c>
      <c r="G5" s="34">
        <f t="shared" si="23"/>
        <v>1887.0680499999999</v>
      </c>
      <c r="H5" s="31">
        <f t="shared" si="1"/>
        <v>15892.869555319279</v>
      </c>
      <c r="I5" s="33">
        <f t="shared" si="1"/>
        <v>2226.9224356957466</v>
      </c>
      <c r="J5" s="33">
        <f t="shared" si="1"/>
        <v>18119.791991015023</v>
      </c>
      <c r="K5" s="35">
        <f t="shared" si="2"/>
        <v>0.18009651835064799</v>
      </c>
      <c r="L5" s="36">
        <v>3838.625</v>
      </c>
      <c r="M5" s="31">
        <f t="shared" ref="M5:M54" si="24">L5-N5</f>
        <v>3366.8579875</v>
      </c>
      <c r="N5" s="31">
        <f t="shared" ref="N5:N54" si="25">+L5*12.29%</f>
        <v>471.76701249999996</v>
      </c>
      <c r="O5" s="31">
        <f t="shared" ref="O5:O54" si="26">+Q5-P5</f>
        <v>4328.9201129192061</v>
      </c>
      <c r="P5" s="31">
        <f t="shared" ref="P5:P54" si="27">+Q5*12.29%</f>
        <v>606.57197797032313</v>
      </c>
      <c r="Q5" s="33">
        <v>4935.4920908895292</v>
      </c>
      <c r="R5" s="35">
        <f t="shared" si="3"/>
        <v>0.28574478905585443</v>
      </c>
      <c r="S5" s="36">
        <v>3838.625</v>
      </c>
      <c r="T5" s="31">
        <f t="shared" ref="T5:T54" si="28">S5-U5</f>
        <v>3366.8579875</v>
      </c>
      <c r="U5" s="31">
        <f t="shared" ref="U5:U54" si="29">+S5*12.29%</f>
        <v>471.76701249999996</v>
      </c>
      <c r="V5" s="31">
        <f t="shared" ref="V5:V54" si="30">+X5-W5</f>
        <v>4418.3756216768343</v>
      </c>
      <c r="W5" s="31">
        <f t="shared" ref="W5:W54" si="31">+X5*12.29%</f>
        <v>619.10656014602989</v>
      </c>
      <c r="X5" s="33">
        <v>5037.4821818228638</v>
      </c>
      <c r="Y5" s="35">
        <f t="shared" si="4"/>
        <v>0.31231422236422257</v>
      </c>
      <c r="Z5" s="36">
        <v>3838.625</v>
      </c>
      <c r="AA5" s="31">
        <f t="shared" ref="AA5:AA54" si="32">Z5-AB5</f>
        <v>3366.8579875</v>
      </c>
      <c r="AB5" s="31">
        <f t="shared" ref="AB5:AB54" si="33">+Z5*12.29%</f>
        <v>471.76701249999996</v>
      </c>
      <c r="AC5" s="31">
        <f t="shared" ref="AC5:AC54" si="34">+AE5-AD5</f>
        <v>2980.541956523753</v>
      </c>
      <c r="AD5" s="31">
        <f t="shared" ref="AD5:AD54" si="35">+AE5*12.29%</f>
        <v>417.63608078528017</v>
      </c>
      <c r="AE5" s="27">
        <v>3398.1780373090332</v>
      </c>
      <c r="AF5" s="35">
        <f t="shared" si="5"/>
        <v>-0.11474081544588666</v>
      </c>
      <c r="AG5" s="36">
        <v>3838.625</v>
      </c>
      <c r="AH5" s="31">
        <f t="shared" ref="AH5:AH54" si="36">AG5-AI5</f>
        <v>3366.8579875</v>
      </c>
      <c r="AI5" s="31">
        <f t="shared" ref="AI5:AI54" si="37">+AG5*12.29%</f>
        <v>471.76701249999996</v>
      </c>
      <c r="AJ5" s="31">
        <f t="shared" ref="AJ5:AJ54" si="38">+AL5-AK5</f>
        <v>4165.0318641994854</v>
      </c>
      <c r="AK5" s="31">
        <f t="shared" ref="AK5:AK54" si="39">+AL5*12.29%</f>
        <v>583.60781679411321</v>
      </c>
      <c r="AL5" s="27">
        <v>4748.6396809935986</v>
      </c>
      <c r="AM5" s="35">
        <f t="shared" si="6"/>
        <v>0.23706787742840163</v>
      </c>
      <c r="AN5" s="36">
        <v>3838.625</v>
      </c>
      <c r="AO5" s="31">
        <f t="shared" ref="AO5:AO54" si="40">AN5-AP5</f>
        <v>3366.8579875</v>
      </c>
      <c r="AP5" s="31">
        <f t="shared" ref="AP5:AP54" si="41">+AN5*12.29%</f>
        <v>471.76701249999996</v>
      </c>
      <c r="AQ5" s="31">
        <f t="shared" ref="AQ5:AQ54" si="42">+AS5-AR5</f>
        <v>0</v>
      </c>
      <c r="AR5" s="31">
        <f t="shared" ref="AR5:AR54" si="43">+AS5*12.29%</f>
        <v>0</v>
      </c>
      <c r="AS5" s="27">
        <f t="shared" si="7"/>
        <v>0</v>
      </c>
      <c r="AT5" s="35">
        <f t="shared" si="8"/>
        <v>-1</v>
      </c>
      <c r="AU5" s="36">
        <v>3838.625</v>
      </c>
      <c r="AV5" s="31">
        <f t="shared" ref="AV5:AV54" si="44">AU5-AW5</f>
        <v>3366.8579875</v>
      </c>
      <c r="AW5" s="31">
        <f t="shared" ref="AW5:AW54" si="45">+AU5*12.29%</f>
        <v>471.76701249999996</v>
      </c>
      <c r="AX5" s="31">
        <f t="shared" ref="AX5:AX54" si="46">+AZ5-AY5</f>
        <v>0</v>
      </c>
      <c r="AY5" s="31">
        <f t="shared" ref="AY5:AY54" si="47">+AZ5*12.29%</f>
        <v>0</v>
      </c>
      <c r="AZ5" s="27">
        <f t="shared" si="9"/>
        <v>0</v>
      </c>
      <c r="BA5" s="35">
        <f t="shared" si="10"/>
        <v>-1</v>
      </c>
      <c r="BB5" s="36">
        <v>3838.625</v>
      </c>
      <c r="BC5" s="31">
        <f t="shared" ref="BC5:BC54" si="48">BB5-BD5</f>
        <v>3366.8579875</v>
      </c>
      <c r="BD5" s="31">
        <f t="shared" ref="BD5:BD54" si="49">+BB5*12.29%</f>
        <v>471.76701249999996</v>
      </c>
      <c r="BE5" s="31">
        <f t="shared" ref="BE5:BE54" si="50">+BG5-BF5</f>
        <v>0</v>
      </c>
      <c r="BF5" s="31">
        <f t="shared" ref="BF5:BF54" si="51">+BG5*12.29%</f>
        <v>0</v>
      </c>
      <c r="BG5" s="27">
        <f t="shared" si="11"/>
        <v>0</v>
      </c>
      <c r="BH5" s="35">
        <f t="shared" si="12"/>
        <v>-1</v>
      </c>
      <c r="BI5" s="36">
        <v>3838.625</v>
      </c>
      <c r="BJ5" s="31">
        <f t="shared" ref="BJ5:BJ54" si="52">BI5-BK5</f>
        <v>3366.8579875</v>
      </c>
      <c r="BK5" s="31">
        <f t="shared" ref="BK5:BK54" si="53">+BI5*12.29%</f>
        <v>471.76701249999996</v>
      </c>
      <c r="BL5" s="31">
        <f t="shared" ref="BL5:BL54" si="54">+BN5-BM5</f>
        <v>0</v>
      </c>
      <c r="BM5" s="31">
        <f t="shared" ref="BM5:BM54" si="55">+BN5*12.29%</f>
        <v>0</v>
      </c>
      <c r="BN5" s="27">
        <f t="shared" si="13"/>
        <v>0</v>
      </c>
      <c r="BO5" s="37">
        <f t="shared" si="14"/>
        <v>-1</v>
      </c>
      <c r="BP5" s="36">
        <v>3838.625</v>
      </c>
      <c r="BQ5" s="31">
        <f t="shared" ref="BQ5:BQ54" si="56">BP5-BR5</f>
        <v>3366.8579875</v>
      </c>
      <c r="BR5" s="31">
        <f t="shared" ref="BR5:BR54" si="57">+BP5*12.29%</f>
        <v>471.76701249999996</v>
      </c>
      <c r="BS5" s="31">
        <f t="shared" ref="BS5:BS54" si="58">+BU5-BT5</f>
        <v>0</v>
      </c>
      <c r="BT5" s="31">
        <f t="shared" ref="BT5:BT54" si="59">+BU5*12.29%</f>
        <v>0</v>
      </c>
      <c r="BU5" s="27">
        <f t="shared" si="15"/>
        <v>0</v>
      </c>
      <c r="BV5" s="37">
        <f t="shared" si="16"/>
        <v>-1</v>
      </c>
      <c r="BW5" s="36">
        <v>3838.625</v>
      </c>
      <c r="BX5" s="31">
        <f t="shared" ref="BX5:BX54" si="60">BW5-BY5</f>
        <v>3366.8579875</v>
      </c>
      <c r="BY5" s="31">
        <f t="shared" ref="BY5:BY54" si="61">+BW5*12.29%</f>
        <v>471.76701249999996</v>
      </c>
      <c r="BZ5" s="31">
        <f t="shared" ref="BZ5:BZ54" si="62">+CB5-CA5</f>
        <v>0</v>
      </c>
      <c r="CA5" s="31">
        <f t="shared" ref="CA5:CA54" si="63">+CB5*12.29%</f>
        <v>0</v>
      </c>
      <c r="CB5" s="27">
        <f t="shared" si="17"/>
        <v>0</v>
      </c>
      <c r="CC5" s="37">
        <f t="shared" si="18"/>
        <v>-1</v>
      </c>
      <c r="CD5" s="36">
        <v>3838.625</v>
      </c>
      <c r="CE5" s="31">
        <f t="shared" ref="CE5:CE54" si="64">CD5-CF5</f>
        <v>3366.8579875</v>
      </c>
      <c r="CF5" s="31">
        <f t="shared" ref="CF5:CF54" si="65">+CD5*12.29%</f>
        <v>471.76701249999996</v>
      </c>
      <c r="CG5" s="31">
        <f t="shared" ref="CG5:CG54" si="66">+CI5-CH5</f>
        <v>0</v>
      </c>
      <c r="CH5" s="31">
        <f t="shared" ref="CH5:CH54" si="67">+CI5*12.29%</f>
        <v>0</v>
      </c>
      <c r="CI5" s="27">
        <f t="shared" si="19"/>
        <v>0</v>
      </c>
      <c r="CJ5" s="37">
        <f t="shared" si="20"/>
        <v>-1</v>
      </c>
      <c r="CK5" s="36">
        <v>3838.625</v>
      </c>
      <c r="CL5" s="31">
        <f t="shared" ref="CL5:CL54" si="68">CK5-CM5</f>
        <v>3366.8579875</v>
      </c>
      <c r="CM5" s="31">
        <f t="shared" ref="CM5:CM54" si="69">+CK5*12.29%</f>
        <v>471.76701249999996</v>
      </c>
      <c r="CN5" s="31">
        <f t="shared" ref="CN5:CN54" si="70">+CP5-CO5</f>
        <v>0</v>
      </c>
      <c r="CO5" s="31">
        <f t="shared" ref="CO5:CO54" si="71">+CP5*12.29%</f>
        <v>0</v>
      </c>
      <c r="CP5" s="27">
        <f t="shared" si="21"/>
        <v>0</v>
      </c>
      <c r="CQ5" s="37">
        <f t="shared" si="22"/>
        <v>-1</v>
      </c>
      <c r="CS5" s="27">
        <f>6489.86+2823.24+1145.88+790.68</f>
        <v>11249.66</v>
      </c>
      <c r="CT5" s="27">
        <f>6827.85+2562.51+1091.78+999.99</f>
        <v>11482.130000000001</v>
      </c>
      <c r="CU5" s="27">
        <f>4652.29+1753.02+964.46+375.83</f>
        <v>7745.5999999999995</v>
      </c>
      <c r="CV5" s="27">
        <f>6702.11+1419.04+2320.47+382.14</f>
        <v>10823.759999999998</v>
      </c>
      <c r="CW5" s="27"/>
      <c r="CX5" s="27"/>
      <c r="CY5" s="27"/>
      <c r="CZ5" s="27"/>
      <c r="DA5" s="27"/>
      <c r="DB5" s="27"/>
      <c r="DC5" s="27"/>
      <c r="DD5" s="27"/>
      <c r="DF5" s="28"/>
    </row>
    <row r="6" spans="1:110" s="26" customFormat="1" ht="14.25" customHeight="1" x14ac:dyDescent="0.2">
      <c r="A6" s="29" t="s">
        <v>30</v>
      </c>
      <c r="B6" s="30">
        <f t="shared" si="0"/>
        <v>89993.941703722128</v>
      </c>
      <c r="C6" s="31">
        <f t="shared" si="0"/>
        <v>78933.686268334684</v>
      </c>
      <c r="D6" s="32">
        <f t="shared" si="0"/>
        <v>11060.255435387449</v>
      </c>
      <c r="E6" s="30">
        <f t="shared" si="23"/>
        <v>29084.886546361977</v>
      </c>
      <c r="F6" s="33">
        <f t="shared" si="23"/>
        <v>25510.353989814088</v>
      </c>
      <c r="G6" s="34">
        <f t="shared" si="23"/>
        <v>3574.532556547887</v>
      </c>
      <c r="H6" s="31">
        <f t="shared" si="1"/>
        <v>23405.735450521235</v>
      </c>
      <c r="I6" s="33">
        <f t="shared" si="1"/>
        <v>3279.6316119815983</v>
      </c>
      <c r="J6" s="33">
        <f t="shared" si="1"/>
        <v>26685.367062502832</v>
      </c>
      <c r="K6" s="35">
        <f t="shared" si="2"/>
        <v>-8.2500561933919081E-2</v>
      </c>
      <c r="L6" s="36">
        <v>7271.2216365904942</v>
      </c>
      <c r="M6" s="31">
        <f t="shared" si="24"/>
        <v>6377.588497453522</v>
      </c>
      <c r="N6" s="31">
        <f t="shared" si="25"/>
        <v>893.63313913697175</v>
      </c>
      <c r="O6" s="31">
        <f t="shared" si="26"/>
        <v>5729.8009991933131</v>
      </c>
      <c r="P6" s="31">
        <f t="shared" si="27"/>
        <v>802.86460244083707</v>
      </c>
      <c r="Q6" s="33">
        <v>6532.6656016341503</v>
      </c>
      <c r="R6" s="35">
        <f t="shared" si="3"/>
        <v>-0.10157248284659026</v>
      </c>
      <c r="S6" s="36">
        <v>7271.2216365904942</v>
      </c>
      <c r="T6" s="31">
        <f t="shared" si="28"/>
        <v>6377.588497453522</v>
      </c>
      <c r="U6" s="31">
        <f t="shared" si="29"/>
        <v>893.63313913697175</v>
      </c>
      <c r="V6" s="31">
        <f t="shared" si="30"/>
        <v>5656.5803934962287</v>
      </c>
      <c r="W6" s="31">
        <f t="shared" si="31"/>
        <v>792.60486872726767</v>
      </c>
      <c r="X6" s="33">
        <v>6449.1852622234965</v>
      </c>
      <c r="Y6" s="35">
        <f t="shared" si="4"/>
        <v>-0.11305340635338601</v>
      </c>
      <c r="Z6" s="36">
        <v>7271.2216365904942</v>
      </c>
      <c r="AA6" s="31">
        <f t="shared" si="32"/>
        <v>6377.588497453522</v>
      </c>
      <c r="AB6" s="31">
        <f t="shared" si="33"/>
        <v>893.63313913697175</v>
      </c>
      <c r="AC6" s="31">
        <f t="shared" si="34"/>
        <v>6097.2239072117463</v>
      </c>
      <c r="AD6" s="31">
        <f t="shared" si="35"/>
        <v>854.34821365445623</v>
      </c>
      <c r="AE6" s="27">
        <v>6951.5721208662026</v>
      </c>
      <c r="AF6" s="35">
        <f t="shared" si="5"/>
        <v>-4.3960909417991134E-2</v>
      </c>
      <c r="AG6" s="36">
        <v>7271.2216365904942</v>
      </c>
      <c r="AH6" s="31">
        <f t="shared" si="36"/>
        <v>6377.588497453522</v>
      </c>
      <c r="AI6" s="31">
        <f t="shared" si="37"/>
        <v>893.63313913697175</v>
      </c>
      <c r="AJ6" s="31">
        <f t="shared" si="38"/>
        <v>5922.130150619947</v>
      </c>
      <c r="AK6" s="31">
        <f t="shared" si="39"/>
        <v>829.81392715903712</v>
      </c>
      <c r="AL6" s="27">
        <v>6751.9440777789841</v>
      </c>
      <c r="AM6" s="35">
        <f t="shared" si="6"/>
        <v>-7.1415449117708585E-2</v>
      </c>
      <c r="AN6" s="36">
        <v>7271.2216365904942</v>
      </c>
      <c r="AO6" s="31">
        <f t="shared" si="40"/>
        <v>6377.588497453522</v>
      </c>
      <c r="AP6" s="31">
        <f t="shared" si="41"/>
        <v>893.63313913697175</v>
      </c>
      <c r="AQ6" s="31">
        <f t="shared" si="42"/>
        <v>0</v>
      </c>
      <c r="AR6" s="31">
        <f t="shared" si="43"/>
        <v>0</v>
      </c>
      <c r="AS6" s="27">
        <f t="shared" si="7"/>
        <v>0</v>
      </c>
      <c r="AT6" s="35">
        <f t="shared" si="8"/>
        <v>-1</v>
      </c>
      <c r="AU6" s="36">
        <v>7271.2216365904942</v>
      </c>
      <c r="AV6" s="31">
        <f t="shared" si="44"/>
        <v>6377.588497453522</v>
      </c>
      <c r="AW6" s="31">
        <f t="shared" si="45"/>
        <v>893.63313913697175</v>
      </c>
      <c r="AX6" s="31">
        <f t="shared" si="46"/>
        <v>0</v>
      </c>
      <c r="AY6" s="31">
        <f t="shared" si="47"/>
        <v>0</v>
      </c>
      <c r="AZ6" s="27">
        <f t="shared" si="9"/>
        <v>0</v>
      </c>
      <c r="BA6" s="35">
        <f t="shared" si="10"/>
        <v>-1</v>
      </c>
      <c r="BB6" s="36">
        <v>7271.2216365904942</v>
      </c>
      <c r="BC6" s="31">
        <f t="shared" si="48"/>
        <v>6377.588497453522</v>
      </c>
      <c r="BD6" s="31">
        <f t="shared" si="49"/>
        <v>893.63313913697175</v>
      </c>
      <c r="BE6" s="31">
        <f t="shared" si="50"/>
        <v>0</v>
      </c>
      <c r="BF6" s="31">
        <f t="shared" si="51"/>
        <v>0</v>
      </c>
      <c r="BG6" s="27">
        <f t="shared" si="11"/>
        <v>0</v>
      </c>
      <c r="BH6" s="35">
        <f t="shared" si="12"/>
        <v>-1</v>
      </c>
      <c r="BI6" s="36">
        <v>7819.0780495177332</v>
      </c>
      <c r="BJ6" s="31">
        <f t="shared" si="52"/>
        <v>6858.1133572320041</v>
      </c>
      <c r="BK6" s="31">
        <f t="shared" si="53"/>
        <v>960.96469228572937</v>
      </c>
      <c r="BL6" s="31">
        <f t="shared" si="54"/>
        <v>0</v>
      </c>
      <c r="BM6" s="31">
        <f t="shared" si="55"/>
        <v>0</v>
      </c>
      <c r="BN6" s="27">
        <f t="shared" si="13"/>
        <v>0</v>
      </c>
      <c r="BO6" s="37">
        <f t="shared" si="14"/>
        <v>-1</v>
      </c>
      <c r="BP6" s="36">
        <v>7819.0780495177332</v>
      </c>
      <c r="BQ6" s="31">
        <f t="shared" si="56"/>
        <v>6858.1133572320041</v>
      </c>
      <c r="BR6" s="31">
        <f t="shared" si="57"/>
        <v>960.96469228572937</v>
      </c>
      <c r="BS6" s="31">
        <f t="shared" si="58"/>
        <v>0</v>
      </c>
      <c r="BT6" s="31">
        <f t="shared" si="59"/>
        <v>0</v>
      </c>
      <c r="BU6" s="27">
        <f t="shared" si="15"/>
        <v>0</v>
      </c>
      <c r="BV6" s="37">
        <f t="shared" si="16"/>
        <v>-1</v>
      </c>
      <c r="BW6" s="36">
        <v>7819.0780495177332</v>
      </c>
      <c r="BX6" s="31">
        <f t="shared" si="60"/>
        <v>6858.1133572320041</v>
      </c>
      <c r="BY6" s="31">
        <f t="shared" si="61"/>
        <v>960.96469228572937</v>
      </c>
      <c r="BZ6" s="31">
        <f t="shared" si="62"/>
        <v>0</v>
      </c>
      <c r="CA6" s="31">
        <f t="shared" si="63"/>
        <v>0</v>
      </c>
      <c r="CB6" s="27">
        <f t="shared" si="17"/>
        <v>0</v>
      </c>
      <c r="CC6" s="37">
        <f t="shared" si="18"/>
        <v>-1</v>
      </c>
      <c r="CD6" s="36">
        <v>7819.0780495177332</v>
      </c>
      <c r="CE6" s="31">
        <f t="shared" si="64"/>
        <v>6858.1133572320041</v>
      </c>
      <c r="CF6" s="31">
        <f t="shared" si="65"/>
        <v>960.96469228572937</v>
      </c>
      <c r="CG6" s="31">
        <f t="shared" si="66"/>
        <v>0</v>
      </c>
      <c r="CH6" s="31">
        <f t="shared" si="67"/>
        <v>0</v>
      </c>
      <c r="CI6" s="27">
        <f t="shared" si="19"/>
        <v>0</v>
      </c>
      <c r="CJ6" s="37">
        <f t="shared" si="20"/>
        <v>-1</v>
      </c>
      <c r="CK6" s="36">
        <v>7819.0780495177332</v>
      </c>
      <c r="CL6" s="31">
        <f t="shared" si="68"/>
        <v>6858.1133572320041</v>
      </c>
      <c r="CM6" s="31">
        <f t="shared" si="69"/>
        <v>960.96469228572937</v>
      </c>
      <c r="CN6" s="31">
        <f t="shared" si="70"/>
        <v>0</v>
      </c>
      <c r="CO6" s="31">
        <f t="shared" si="71"/>
        <v>0</v>
      </c>
      <c r="CP6" s="27">
        <f t="shared" si="21"/>
        <v>0</v>
      </c>
      <c r="CQ6" s="37">
        <f t="shared" si="22"/>
        <v>-1</v>
      </c>
      <c r="CS6" s="27">
        <v>14890.16</v>
      </c>
      <c r="CT6" s="27">
        <v>14699.88</v>
      </c>
      <c r="CU6" s="27">
        <v>15844.99</v>
      </c>
      <c r="CV6" s="27">
        <v>15389.97</v>
      </c>
      <c r="CW6" s="27"/>
      <c r="CX6" s="27"/>
      <c r="CY6" s="27"/>
      <c r="CZ6" s="27"/>
      <c r="DA6" s="27"/>
      <c r="DB6" s="27"/>
      <c r="DC6" s="27"/>
      <c r="DD6" s="27"/>
      <c r="DF6" s="28"/>
    </row>
    <row r="7" spans="1:110" s="26" customFormat="1" ht="14.25" customHeight="1" x14ac:dyDescent="0.2">
      <c r="A7" s="29" t="s">
        <v>31</v>
      </c>
      <c r="B7" s="30">
        <f t="shared" si="0"/>
        <v>69822.885804611986</v>
      </c>
      <c r="C7" s="31">
        <f t="shared" si="0"/>
        <v>61241.653139225164</v>
      </c>
      <c r="D7" s="32">
        <f t="shared" si="0"/>
        <v>8581.2326653868149</v>
      </c>
      <c r="E7" s="30">
        <f t="shared" si="23"/>
        <v>22565.860251487738</v>
      </c>
      <c r="F7" s="33">
        <f t="shared" si="23"/>
        <v>19792.516026579895</v>
      </c>
      <c r="G7" s="34">
        <f t="shared" si="23"/>
        <v>2773.344224907843</v>
      </c>
      <c r="H7" s="31">
        <f t="shared" si="1"/>
        <v>15947.911995086522</v>
      </c>
      <c r="I7" s="33">
        <f t="shared" si="1"/>
        <v>2234.6350292966977</v>
      </c>
      <c r="J7" s="33">
        <f t="shared" si="1"/>
        <v>18182.547024383221</v>
      </c>
      <c r="K7" s="35">
        <f t="shared" si="2"/>
        <v>-0.19424534133661187</v>
      </c>
      <c r="L7" s="36">
        <v>5641.4650628719346</v>
      </c>
      <c r="M7" s="31">
        <f t="shared" si="24"/>
        <v>4948.1290066449737</v>
      </c>
      <c r="N7" s="31">
        <f t="shared" si="25"/>
        <v>693.33605622696075</v>
      </c>
      <c r="O7" s="31">
        <f t="shared" si="26"/>
        <v>3925.7950407396656</v>
      </c>
      <c r="P7" s="31">
        <f t="shared" si="27"/>
        <v>550.08574906727267</v>
      </c>
      <c r="Q7" s="33">
        <v>4475.8807898069381</v>
      </c>
      <c r="R7" s="35">
        <f t="shared" si="3"/>
        <v>-0.20661020853182865</v>
      </c>
      <c r="S7" s="36">
        <v>5641.4650628719346</v>
      </c>
      <c r="T7" s="31">
        <f t="shared" si="28"/>
        <v>4948.1290066449737</v>
      </c>
      <c r="U7" s="31">
        <f t="shared" si="29"/>
        <v>693.33605622696075</v>
      </c>
      <c r="V7" s="31">
        <f t="shared" si="30"/>
        <v>3878.9373932951949</v>
      </c>
      <c r="W7" s="31">
        <f t="shared" si="31"/>
        <v>543.52001554666447</v>
      </c>
      <c r="X7" s="33">
        <v>4422.4574088418594</v>
      </c>
      <c r="Y7" s="35">
        <f t="shared" si="4"/>
        <v>-0.21607997930408307</v>
      </c>
      <c r="Z7" s="36">
        <v>5641.4650628719346</v>
      </c>
      <c r="AA7" s="31">
        <f t="shared" si="32"/>
        <v>4948.1290066449737</v>
      </c>
      <c r="AB7" s="31">
        <f t="shared" si="33"/>
        <v>693.33605622696075</v>
      </c>
      <c r="AC7" s="31">
        <f t="shared" si="34"/>
        <v>4098.3413913523045</v>
      </c>
      <c r="AD7" s="31">
        <f t="shared" si="35"/>
        <v>574.26309086443757</v>
      </c>
      <c r="AE7" s="27">
        <v>4672.6044822167423</v>
      </c>
      <c r="AF7" s="35">
        <f t="shared" si="5"/>
        <v>-0.17173917942548922</v>
      </c>
      <c r="AG7" s="36">
        <v>5641.4650628719346</v>
      </c>
      <c r="AH7" s="31">
        <f t="shared" si="36"/>
        <v>4948.1290066449737</v>
      </c>
      <c r="AI7" s="31">
        <f t="shared" si="37"/>
        <v>693.33605622696075</v>
      </c>
      <c r="AJ7" s="31">
        <f t="shared" si="38"/>
        <v>4044.8381696993579</v>
      </c>
      <c r="AK7" s="31">
        <f t="shared" si="39"/>
        <v>566.76617381832295</v>
      </c>
      <c r="AL7" s="27">
        <v>4611.6043435176807</v>
      </c>
      <c r="AM7" s="35">
        <f t="shared" si="6"/>
        <v>-0.18255199808504641</v>
      </c>
      <c r="AN7" s="36">
        <v>5641.4650628719346</v>
      </c>
      <c r="AO7" s="31">
        <f t="shared" si="40"/>
        <v>4948.1290066449737</v>
      </c>
      <c r="AP7" s="31">
        <f t="shared" si="41"/>
        <v>693.33605622696075</v>
      </c>
      <c r="AQ7" s="31">
        <f t="shared" si="42"/>
        <v>0</v>
      </c>
      <c r="AR7" s="31">
        <f t="shared" si="43"/>
        <v>0</v>
      </c>
      <c r="AS7" s="27">
        <f t="shared" si="7"/>
        <v>0</v>
      </c>
      <c r="AT7" s="35">
        <f t="shared" si="8"/>
        <v>-1</v>
      </c>
      <c r="AU7" s="36">
        <v>5641.4650628719346</v>
      </c>
      <c r="AV7" s="31">
        <f t="shared" si="44"/>
        <v>4948.1290066449737</v>
      </c>
      <c r="AW7" s="31">
        <f t="shared" si="45"/>
        <v>693.33605622696075</v>
      </c>
      <c r="AX7" s="31">
        <f t="shared" si="46"/>
        <v>0</v>
      </c>
      <c r="AY7" s="31">
        <f t="shared" si="47"/>
        <v>0</v>
      </c>
      <c r="AZ7" s="27">
        <f t="shared" si="9"/>
        <v>0</v>
      </c>
      <c r="BA7" s="35">
        <f t="shared" si="10"/>
        <v>-1</v>
      </c>
      <c r="BB7" s="36">
        <v>5641.4650628719346</v>
      </c>
      <c r="BC7" s="31">
        <f t="shared" si="48"/>
        <v>4948.1290066449737</v>
      </c>
      <c r="BD7" s="31">
        <f t="shared" si="49"/>
        <v>693.33605622696075</v>
      </c>
      <c r="BE7" s="31">
        <f t="shared" si="50"/>
        <v>0</v>
      </c>
      <c r="BF7" s="31">
        <f t="shared" si="51"/>
        <v>0</v>
      </c>
      <c r="BG7" s="27">
        <f t="shared" si="11"/>
        <v>0</v>
      </c>
      <c r="BH7" s="35">
        <f t="shared" si="12"/>
        <v>-1</v>
      </c>
      <c r="BI7" s="36">
        <v>6066.5260729016891</v>
      </c>
      <c r="BJ7" s="31">
        <f t="shared" si="52"/>
        <v>5320.9500185420711</v>
      </c>
      <c r="BK7" s="31">
        <f t="shared" si="53"/>
        <v>745.57605435961761</v>
      </c>
      <c r="BL7" s="31">
        <f t="shared" si="54"/>
        <v>0</v>
      </c>
      <c r="BM7" s="31">
        <f t="shared" si="55"/>
        <v>0</v>
      </c>
      <c r="BN7" s="27">
        <f t="shared" si="13"/>
        <v>0</v>
      </c>
      <c r="BO7" s="37">
        <f t="shared" si="14"/>
        <v>-1</v>
      </c>
      <c r="BP7" s="36">
        <v>6066.5260729016891</v>
      </c>
      <c r="BQ7" s="31">
        <f t="shared" si="56"/>
        <v>5320.9500185420711</v>
      </c>
      <c r="BR7" s="31">
        <f t="shared" si="57"/>
        <v>745.57605435961761</v>
      </c>
      <c r="BS7" s="31">
        <f t="shared" si="58"/>
        <v>0</v>
      </c>
      <c r="BT7" s="31">
        <f t="shared" si="59"/>
        <v>0</v>
      </c>
      <c r="BU7" s="27">
        <f t="shared" si="15"/>
        <v>0</v>
      </c>
      <c r="BV7" s="37">
        <f t="shared" si="16"/>
        <v>-1</v>
      </c>
      <c r="BW7" s="36">
        <v>6066.5260729016891</v>
      </c>
      <c r="BX7" s="31">
        <f t="shared" si="60"/>
        <v>5320.9500185420711</v>
      </c>
      <c r="BY7" s="31">
        <f t="shared" si="61"/>
        <v>745.57605435961761</v>
      </c>
      <c r="BZ7" s="31">
        <f t="shared" si="62"/>
        <v>0</v>
      </c>
      <c r="CA7" s="31">
        <f t="shared" si="63"/>
        <v>0</v>
      </c>
      <c r="CB7" s="27">
        <f t="shared" si="17"/>
        <v>0</v>
      </c>
      <c r="CC7" s="37">
        <f t="shared" si="18"/>
        <v>-1</v>
      </c>
      <c r="CD7" s="36">
        <v>6066.5260729016891</v>
      </c>
      <c r="CE7" s="31">
        <f t="shared" si="64"/>
        <v>5320.9500185420711</v>
      </c>
      <c r="CF7" s="31">
        <f t="shared" si="65"/>
        <v>745.57605435961761</v>
      </c>
      <c r="CG7" s="31">
        <f t="shared" si="66"/>
        <v>0</v>
      </c>
      <c r="CH7" s="31">
        <f t="shared" si="67"/>
        <v>0</v>
      </c>
      <c r="CI7" s="27">
        <f t="shared" si="19"/>
        <v>0</v>
      </c>
      <c r="CJ7" s="37">
        <f t="shared" si="20"/>
        <v>-1</v>
      </c>
      <c r="CK7" s="36">
        <v>6066.5260729016891</v>
      </c>
      <c r="CL7" s="31">
        <f t="shared" si="68"/>
        <v>5320.9500185420711</v>
      </c>
      <c r="CM7" s="31">
        <f t="shared" si="69"/>
        <v>745.57605435961761</v>
      </c>
      <c r="CN7" s="31">
        <f t="shared" si="70"/>
        <v>0</v>
      </c>
      <c r="CO7" s="31">
        <f t="shared" si="71"/>
        <v>0</v>
      </c>
      <c r="CP7" s="27">
        <f t="shared" si="21"/>
        <v>0</v>
      </c>
      <c r="CQ7" s="37">
        <f t="shared" si="22"/>
        <v>-1</v>
      </c>
      <c r="CS7" s="27">
        <f>10202.05</f>
        <v>10202.049999999999</v>
      </c>
      <c r="CT7" s="27">
        <v>10080.280000000001</v>
      </c>
      <c r="CU7" s="27">
        <v>10650.45</v>
      </c>
      <c r="CV7" s="27">
        <f>10511.41</f>
        <v>10511.41</v>
      </c>
      <c r="CW7" s="27"/>
      <c r="CX7" s="27"/>
      <c r="CY7" s="27"/>
      <c r="CZ7" s="27"/>
      <c r="DA7" s="27"/>
      <c r="DB7" s="27"/>
      <c r="DC7" s="27"/>
      <c r="DD7" s="27"/>
      <c r="DF7" s="28"/>
    </row>
    <row r="8" spans="1:110" s="26" customFormat="1" ht="14.25" customHeight="1" x14ac:dyDescent="0.2">
      <c r="A8" s="38" t="s">
        <v>32</v>
      </c>
      <c r="B8" s="30">
        <f t="shared" si="0"/>
        <v>62834.771354377612</v>
      </c>
      <c r="C8" s="31">
        <f t="shared" si="0"/>
        <v>55112.377954924603</v>
      </c>
      <c r="D8" s="32">
        <f t="shared" si="0"/>
        <v>7722.393399453008</v>
      </c>
      <c r="E8" s="30">
        <f t="shared" si="23"/>
        <v>0</v>
      </c>
      <c r="F8" s="33">
        <f t="shared" si="23"/>
        <v>0</v>
      </c>
      <c r="G8" s="34">
        <f t="shared" si="23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5" t="str">
        <f t="shared" si="2"/>
        <v/>
      </c>
      <c r="L8" s="36">
        <v>0</v>
      </c>
      <c r="M8" s="31">
        <f t="shared" si="24"/>
        <v>0</v>
      </c>
      <c r="N8" s="31">
        <f t="shared" si="25"/>
        <v>0</v>
      </c>
      <c r="O8" s="31">
        <f t="shared" si="26"/>
        <v>0</v>
      </c>
      <c r="P8" s="31">
        <f t="shared" si="27"/>
        <v>0</v>
      </c>
      <c r="Q8" s="33">
        <v>0</v>
      </c>
      <c r="R8" s="35" t="str">
        <f t="shared" si="3"/>
        <v/>
      </c>
      <c r="S8" s="36">
        <v>0</v>
      </c>
      <c r="T8" s="31">
        <f t="shared" si="28"/>
        <v>0</v>
      </c>
      <c r="U8" s="31">
        <f t="shared" si="29"/>
        <v>0</v>
      </c>
      <c r="V8" s="31">
        <f t="shared" si="30"/>
        <v>0</v>
      </c>
      <c r="W8" s="31">
        <f t="shared" si="31"/>
        <v>0</v>
      </c>
      <c r="X8" s="33">
        <v>0</v>
      </c>
      <c r="Y8" s="35" t="str">
        <f t="shared" si="4"/>
        <v/>
      </c>
      <c r="Z8" s="36">
        <v>0</v>
      </c>
      <c r="AA8" s="31">
        <f t="shared" si="32"/>
        <v>0</v>
      </c>
      <c r="AB8" s="31">
        <f t="shared" si="33"/>
        <v>0</v>
      </c>
      <c r="AC8" s="31">
        <f t="shared" si="34"/>
        <v>0</v>
      </c>
      <c r="AD8" s="31">
        <f t="shared" si="35"/>
        <v>0</v>
      </c>
      <c r="AE8" s="27">
        <v>0</v>
      </c>
      <c r="AF8" s="35" t="str">
        <f t="shared" si="5"/>
        <v/>
      </c>
      <c r="AG8" s="36">
        <v>0</v>
      </c>
      <c r="AH8" s="31">
        <f t="shared" si="36"/>
        <v>0</v>
      </c>
      <c r="AI8" s="31">
        <f t="shared" si="37"/>
        <v>0</v>
      </c>
      <c r="AJ8" s="31">
        <f t="shared" si="38"/>
        <v>0</v>
      </c>
      <c r="AK8" s="31">
        <f t="shared" si="39"/>
        <v>0</v>
      </c>
      <c r="AL8" s="27">
        <v>0</v>
      </c>
      <c r="AM8" s="35" t="str">
        <f t="shared" si="6"/>
        <v/>
      </c>
      <c r="AN8" s="36">
        <v>0</v>
      </c>
      <c r="AO8" s="31">
        <f t="shared" si="40"/>
        <v>0</v>
      </c>
      <c r="AP8" s="31">
        <f t="shared" si="41"/>
        <v>0</v>
      </c>
      <c r="AQ8" s="31">
        <f t="shared" si="42"/>
        <v>0</v>
      </c>
      <c r="AR8" s="31">
        <f t="shared" si="43"/>
        <v>0</v>
      </c>
      <c r="AS8" s="27">
        <f t="shared" si="7"/>
        <v>0</v>
      </c>
      <c r="AT8" s="35" t="str">
        <f t="shared" si="8"/>
        <v/>
      </c>
      <c r="AU8" s="36">
        <v>0</v>
      </c>
      <c r="AV8" s="31">
        <f t="shared" si="44"/>
        <v>0</v>
      </c>
      <c r="AW8" s="31">
        <f t="shared" si="45"/>
        <v>0</v>
      </c>
      <c r="AX8" s="31">
        <f t="shared" si="46"/>
        <v>0</v>
      </c>
      <c r="AY8" s="31">
        <f t="shared" si="47"/>
        <v>0</v>
      </c>
      <c r="AZ8" s="27">
        <f t="shared" si="9"/>
        <v>0</v>
      </c>
      <c r="BA8" s="35" t="str">
        <f t="shared" si="10"/>
        <v/>
      </c>
      <c r="BB8" s="36">
        <v>62834.771354377612</v>
      </c>
      <c r="BC8" s="31">
        <f t="shared" si="48"/>
        <v>55112.377954924603</v>
      </c>
      <c r="BD8" s="31">
        <f t="shared" si="49"/>
        <v>7722.393399453008</v>
      </c>
      <c r="BE8" s="31">
        <f t="shared" si="50"/>
        <v>0</v>
      </c>
      <c r="BF8" s="31">
        <f t="shared" si="51"/>
        <v>0</v>
      </c>
      <c r="BG8" s="27">
        <f t="shared" si="11"/>
        <v>0</v>
      </c>
      <c r="BH8" s="35">
        <f t="shared" si="12"/>
        <v>-1</v>
      </c>
      <c r="BI8" s="36">
        <v>0</v>
      </c>
      <c r="BJ8" s="31">
        <f t="shared" si="52"/>
        <v>0</v>
      </c>
      <c r="BK8" s="31">
        <f t="shared" si="53"/>
        <v>0</v>
      </c>
      <c r="BL8" s="31">
        <f t="shared" si="54"/>
        <v>0</v>
      </c>
      <c r="BM8" s="31">
        <f t="shared" si="55"/>
        <v>0</v>
      </c>
      <c r="BN8" s="27">
        <f t="shared" si="13"/>
        <v>0</v>
      </c>
      <c r="BO8" s="37" t="str">
        <f t="shared" si="14"/>
        <v/>
      </c>
      <c r="BP8" s="36">
        <v>0</v>
      </c>
      <c r="BQ8" s="31">
        <f t="shared" si="56"/>
        <v>0</v>
      </c>
      <c r="BR8" s="31">
        <f t="shared" si="57"/>
        <v>0</v>
      </c>
      <c r="BS8" s="31">
        <f t="shared" si="58"/>
        <v>0</v>
      </c>
      <c r="BT8" s="31">
        <f t="shared" si="59"/>
        <v>0</v>
      </c>
      <c r="BU8" s="27">
        <f t="shared" si="15"/>
        <v>0</v>
      </c>
      <c r="BV8" s="37" t="str">
        <f t="shared" si="16"/>
        <v/>
      </c>
      <c r="BW8" s="36">
        <v>0</v>
      </c>
      <c r="BX8" s="31">
        <f t="shared" si="60"/>
        <v>0</v>
      </c>
      <c r="BY8" s="31">
        <f t="shared" si="61"/>
        <v>0</v>
      </c>
      <c r="BZ8" s="31">
        <f t="shared" si="62"/>
        <v>0</v>
      </c>
      <c r="CA8" s="31">
        <f t="shared" si="63"/>
        <v>0</v>
      </c>
      <c r="CB8" s="27">
        <f t="shared" si="17"/>
        <v>0</v>
      </c>
      <c r="CC8" s="37" t="str">
        <f t="shared" si="18"/>
        <v/>
      </c>
      <c r="CD8" s="36">
        <v>0</v>
      </c>
      <c r="CE8" s="31">
        <f t="shared" si="64"/>
        <v>0</v>
      </c>
      <c r="CF8" s="31">
        <f t="shared" si="65"/>
        <v>0</v>
      </c>
      <c r="CG8" s="31">
        <f t="shared" si="66"/>
        <v>0</v>
      </c>
      <c r="CH8" s="31">
        <f t="shared" si="67"/>
        <v>0</v>
      </c>
      <c r="CI8" s="27">
        <f t="shared" si="19"/>
        <v>0</v>
      </c>
      <c r="CJ8" s="37" t="str">
        <f t="shared" si="20"/>
        <v/>
      </c>
      <c r="CK8" s="36">
        <v>0</v>
      </c>
      <c r="CL8" s="31">
        <f t="shared" si="68"/>
        <v>0</v>
      </c>
      <c r="CM8" s="31">
        <f t="shared" si="69"/>
        <v>0</v>
      </c>
      <c r="CN8" s="31">
        <f t="shared" si="70"/>
        <v>0</v>
      </c>
      <c r="CO8" s="31">
        <f t="shared" si="71"/>
        <v>0</v>
      </c>
      <c r="CP8" s="27">
        <f t="shared" si="21"/>
        <v>0</v>
      </c>
      <c r="CQ8" s="37" t="str">
        <f t="shared" si="22"/>
        <v/>
      </c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F8" s="28"/>
    </row>
    <row r="9" spans="1:110" s="26" customFormat="1" ht="14.25" customHeight="1" x14ac:dyDescent="0.2">
      <c r="A9" s="38" t="s">
        <v>33</v>
      </c>
      <c r="B9" s="30">
        <f t="shared" si="0"/>
        <v>54715.009928760293</v>
      </c>
      <c r="C9" s="31">
        <f t="shared" si="0"/>
        <v>47990.535208515634</v>
      </c>
      <c r="D9" s="32">
        <f t="shared" si="0"/>
        <v>6724.474720244637</v>
      </c>
      <c r="E9" s="30">
        <f t="shared" si="23"/>
        <v>17683.188735083961</v>
      </c>
      <c r="F9" s="33">
        <f t="shared" si="23"/>
        <v>15509.924839542142</v>
      </c>
      <c r="G9" s="34">
        <f t="shared" si="23"/>
        <v>2173.2638955418188</v>
      </c>
      <c r="H9" s="31">
        <f t="shared" si="1"/>
        <v>21987.203580521433</v>
      </c>
      <c r="I9" s="33">
        <f t="shared" si="1"/>
        <v>3080.8657166184971</v>
      </c>
      <c r="J9" s="33">
        <f t="shared" si="1"/>
        <v>25068.069297139933</v>
      </c>
      <c r="K9" s="35">
        <f t="shared" si="2"/>
        <v>0.41762154285013953</v>
      </c>
      <c r="L9" s="36">
        <v>4420.7971837709902</v>
      </c>
      <c r="M9" s="31">
        <f t="shared" si="24"/>
        <v>3877.4812098855355</v>
      </c>
      <c r="N9" s="31">
        <f t="shared" si="25"/>
        <v>543.3159738854547</v>
      </c>
      <c r="O9" s="31">
        <f t="shared" si="26"/>
        <v>8082.6767450239522</v>
      </c>
      <c r="P9" s="31">
        <f t="shared" si="27"/>
        <v>1132.5515585035271</v>
      </c>
      <c r="Q9" s="33">
        <v>9215.2283035274795</v>
      </c>
      <c r="R9" s="35">
        <f t="shared" si="3"/>
        <v>1.0845173213005861</v>
      </c>
      <c r="S9" s="36">
        <v>4420.7971837709902</v>
      </c>
      <c r="T9" s="31">
        <f t="shared" si="28"/>
        <v>3877.4812098855355</v>
      </c>
      <c r="U9" s="31">
        <f t="shared" si="29"/>
        <v>543.3159738854547</v>
      </c>
      <c r="V9" s="31">
        <f t="shared" si="30"/>
        <v>4184.7030717001944</v>
      </c>
      <c r="W9" s="31">
        <f t="shared" si="31"/>
        <v>586.36416316492296</v>
      </c>
      <c r="X9" s="33">
        <v>4771.0672348651178</v>
      </c>
      <c r="Y9" s="35">
        <f t="shared" si="4"/>
        <v>7.9232327685149206E-2</v>
      </c>
      <c r="Z9" s="36">
        <v>4420.7971837709902</v>
      </c>
      <c r="AA9" s="31">
        <f t="shared" si="32"/>
        <v>3877.4812098855355</v>
      </c>
      <c r="AB9" s="31">
        <f t="shared" si="33"/>
        <v>543.3159738854547</v>
      </c>
      <c r="AC9" s="31">
        <f t="shared" si="34"/>
        <v>7264.4591798262154</v>
      </c>
      <c r="AD9" s="31">
        <f t="shared" si="35"/>
        <v>1017.9022154835729</v>
      </c>
      <c r="AE9" s="27">
        <v>8282.3613953097883</v>
      </c>
      <c r="AF9" s="35">
        <f t="shared" si="5"/>
        <v>0.87349951852910834</v>
      </c>
      <c r="AG9" s="36">
        <v>4420.7971837709902</v>
      </c>
      <c r="AH9" s="31">
        <f t="shared" si="36"/>
        <v>3877.4812098855355</v>
      </c>
      <c r="AI9" s="31">
        <f t="shared" si="37"/>
        <v>543.3159738854547</v>
      </c>
      <c r="AJ9" s="31">
        <f t="shared" si="38"/>
        <v>2455.3645839710716</v>
      </c>
      <c r="AK9" s="31">
        <f t="shared" si="39"/>
        <v>344.04777946647437</v>
      </c>
      <c r="AL9" s="27">
        <v>2799.412363437546</v>
      </c>
      <c r="AM9" s="35">
        <f t="shared" si="6"/>
        <v>-0.36676299611428553</v>
      </c>
      <c r="AN9" s="36">
        <v>4420.7971837709902</v>
      </c>
      <c r="AO9" s="31">
        <f t="shared" si="40"/>
        <v>3877.4812098855355</v>
      </c>
      <c r="AP9" s="31">
        <f t="shared" si="41"/>
        <v>543.3159738854547</v>
      </c>
      <c r="AQ9" s="31">
        <f t="shared" si="42"/>
        <v>0</v>
      </c>
      <c r="AR9" s="31">
        <f t="shared" si="43"/>
        <v>0</v>
      </c>
      <c r="AS9" s="27">
        <f t="shared" si="7"/>
        <v>0</v>
      </c>
      <c r="AT9" s="35">
        <f t="shared" si="8"/>
        <v>-1</v>
      </c>
      <c r="AU9" s="36">
        <v>4420.7971837709902</v>
      </c>
      <c r="AV9" s="31">
        <f t="shared" si="44"/>
        <v>3877.4812098855355</v>
      </c>
      <c r="AW9" s="31">
        <f t="shared" si="45"/>
        <v>543.3159738854547</v>
      </c>
      <c r="AX9" s="31">
        <f t="shared" si="46"/>
        <v>0</v>
      </c>
      <c r="AY9" s="31">
        <f t="shared" si="47"/>
        <v>0</v>
      </c>
      <c r="AZ9" s="27">
        <f t="shared" si="9"/>
        <v>0</v>
      </c>
      <c r="BA9" s="35">
        <f t="shared" si="10"/>
        <v>-1</v>
      </c>
      <c r="BB9" s="36">
        <v>4420.7971837709902</v>
      </c>
      <c r="BC9" s="31">
        <f t="shared" si="48"/>
        <v>3877.4812098855355</v>
      </c>
      <c r="BD9" s="31">
        <f t="shared" si="49"/>
        <v>543.3159738854547</v>
      </c>
      <c r="BE9" s="31">
        <f t="shared" si="50"/>
        <v>0</v>
      </c>
      <c r="BF9" s="31">
        <f t="shared" si="51"/>
        <v>0</v>
      </c>
      <c r="BG9" s="27">
        <f t="shared" si="11"/>
        <v>0</v>
      </c>
      <c r="BH9" s="35">
        <f t="shared" si="12"/>
        <v>-1</v>
      </c>
      <c r="BI9" s="36">
        <v>4753.8859284726695</v>
      </c>
      <c r="BJ9" s="31">
        <f t="shared" si="52"/>
        <v>4169.6333478633787</v>
      </c>
      <c r="BK9" s="31">
        <f t="shared" si="53"/>
        <v>584.25258060929104</v>
      </c>
      <c r="BL9" s="31">
        <f t="shared" si="54"/>
        <v>0</v>
      </c>
      <c r="BM9" s="31">
        <f t="shared" si="55"/>
        <v>0</v>
      </c>
      <c r="BN9" s="27">
        <f t="shared" si="13"/>
        <v>0</v>
      </c>
      <c r="BO9" s="37">
        <f t="shared" si="14"/>
        <v>-1</v>
      </c>
      <c r="BP9" s="36">
        <v>4753.8859284726695</v>
      </c>
      <c r="BQ9" s="31">
        <f t="shared" si="56"/>
        <v>4169.6333478633787</v>
      </c>
      <c r="BR9" s="31">
        <f t="shared" si="57"/>
        <v>584.25258060929104</v>
      </c>
      <c r="BS9" s="31">
        <f t="shared" si="58"/>
        <v>0</v>
      </c>
      <c r="BT9" s="31">
        <f t="shared" si="59"/>
        <v>0</v>
      </c>
      <c r="BU9" s="27">
        <f t="shared" si="15"/>
        <v>0</v>
      </c>
      <c r="BV9" s="37">
        <f t="shared" si="16"/>
        <v>-1</v>
      </c>
      <c r="BW9" s="36">
        <v>4753.8859284726695</v>
      </c>
      <c r="BX9" s="31">
        <f t="shared" si="60"/>
        <v>4169.6333478633787</v>
      </c>
      <c r="BY9" s="31">
        <f t="shared" si="61"/>
        <v>584.25258060929104</v>
      </c>
      <c r="BZ9" s="31">
        <f t="shared" si="62"/>
        <v>0</v>
      </c>
      <c r="CA9" s="31">
        <f t="shared" si="63"/>
        <v>0</v>
      </c>
      <c r="CB9" s="27">
        <f t="shared" si="17"/>
        <v>0</v>
      </c>
      <c r="CC9" s="37">
        <f t="shared" si="18"/>
        <v>-1</v>
      </c>
      <c r="CD9" s="36">
        <v>4753.8859284726695</v>
      </c>
      <c r="CE9" s="31">
        <f t="shared" si="64"/>
        <v>4169.6333478633787</v>
      </c>
      <c r="CF9" s="31">
        <f t="shared" si="65"/>
        <v>584.25258060929104</v>
      </c>
      <c r="CG9" s="31">
        <f t="shared" si="66"/>
        <v>0</v>
      </c>
      <c r="CH9" s="31">
        <f t="shared" si="67"/>
        <v>0</v>
      </c>
      <c r="CI9" s="27">
        <f t="shared" si="19"/>
        <v>0</v>
      </c>
      <c r="CJ9" s="37">
        <f t="shared" si="20"/>
        <v>-1</v>
      </c>
      <c r="CK9" s="36">
        <v>4753.8859284726695</v>
      </c>
      <c r="CL9" s="31">
        <f t="shared" si="68"/>
        <v>4169.6333478633787</v>
      </c>
      <c r="CM9" s="31">
        <f t="shared" si="69"/>
        <v>584.25258060929104</v>
      </c>
      <c r="CN9" s="31">
        <f t="shared" si="70"/>
        <v>0</v>
      </c>
      <c r="CO9" s="31">
        <f t="shared" si="71"/>
        <v>0</v>
      </c>
      <c r="CP9" s="27">
        <f t="shared" si="21"/>
        <v>0</v>
      </c>
      <c r="CQ9" s="37">
        <f t="shared" si="22"/>
        <v>-1</v>
      </c>
      <c r="CS9" s="27">
        <f>15400.34+5604.29</f>
        <v>21004.63</v>
      </c>
      <c r="CT9" s="27">
        <f>9414.91+1459.97</f>
        <v>10874.88</v>
      </c>
      <c r="CU9" s="27">
        <f>12213.22+6665.09</f>
        <v>18878.309999999998</v>
      </c>
      <c r="CV9" s="27">
        <f>6380.81</f>
        <v>6380.81</v>
      </c>
      <c r="CW9" s="27"/>
      <c r="CX9" s="27"/>
      <c r="CY9" s="27"/>
      <c r="CZ9" s="27"/>
      <c r="DA9" s="27"/>
      <c r="DB9" s="27"/>
      <c r="DC9" s="27"/>
      <c r="DD9" s="27"/>
      <c r="DF9" s="28"/>
    </row>
    <row r="10" spans="1:110" s="26" customFormat="1" ht="14.25" customHeight="1" x14ac:dyDescent="0.2">
      <c r="A10" s="38" t="s">
        <v>34</v>
      </c>
      <c r="B10" s="30">
        <f t="shared" si="0"/>
        <v>52644</v>
      </c>
      <c r="C10" s="31">
        <f t="shared" si="0"/>
        <v>46174.052400000015</v>
      </c>
      <c r="D10" s="32">
        <f t="shared" si="0"/>
        <v>6469.9475999999995</v>
      </c>
      <c r="E10" s="30">
        <f t="shared" si="23"/>
        <v>17548</v>
      </c>
      <c r="F10" s="33">
        <f t="shared" si="23"/>
        <v>15391.3508</v>
      </c>
      <c r="G10" s="34">
        <f t="shared" si="23"/>
        <v>2156.6491999999998</v>
      </c>
      <c r="H10" s="31">
        <f t="shared" si="1"/>
        <v>15124.64964251918</v>
      </c>
      <c r="I10" s="33">
        <f t="shared" si="1"/>
        <v>2119.2788063682674</v>
      </c>
      <c r="J10" s="33">
        <f t="shared" si="1"/>
        <v>17243.928448887447</v>
      </c>
      <c r="K10" s="35">
        <f t="shared" si="2"/>
        <v>-1.7327989008009581E-2</v>
      </c>
      <c r="L10" s="36">
        <v>4387</v>
      </c>
      <c r="M10" s="31">
        <f t="shared" si="24"/>
        <v>3847.8377</v>
      </c>
      <c r="N10" s="31">
        <f t="shared" si="25"/>
        <v>539.16229999999996</v>
      </c>
      <c r="O10" s="31">
        <f t="shared" si="26"/>
        <v>4780.0764863553695</v>
      </c>
      <c r="P10" s="31">
        <f t="shared" si="27"/>
        <v>669.78839376704468</v>
      </c>
      <c r="Q10" s="33">
        <v>5449.8648801224144</v>
      </c>
      <c r="R10" s="35">
        <f t="shared" si="3"/>
        <v>0.24227601552824574</v>
      </c>
      <c r="S10" s="36">
        <v>4387</v>
      </c>
      <c r="T10" s="31">
        <f t="shared" si="28"/>
        <v>3847.8377</v>
      </c>
      <c r="U10" s="31">
        <f t="shared" si="29"/>
        <v>539.16229999999996</v>
      </c>
      <c r="V10" s="31">
        <f t="shared" si="30"/>
        <v>4714.6327801807683</v>
      </c>
      <c r="W10" s="31">
        <f t="shared" si="31"/>
        <v>660.61836584678645</v>
      </c>
      <c r="X10" s="33">
        <v>5375.2511460275546</v>
      </c>
      <c r="Y10" s="35">
        <f t="shared" si="4"/>
        <v>0.22526809802314895</v>
      </c>
      <c r="Z10" s="36">
        <v>4387</v>
      </c>
      <c r="AA10" s="31">
        <f t="shared" si="32"/>
        <v>3847.8377</v>
      </c>
      <c r="AB10" s="31">
        <f t="shared" si="33"/>
        <v>539.16229999999996</v>
      </c>
      <c r="AC10" s="31">
        <f t="shared" si="34"/>
        <v>4860.3313188347893</v>
      </c>
      <c r="AD10" s="31">
        <f t="shared" si="35"/>
        <v>681.03376933621655</v>
      </c>
      <c r="AE10" s="33">
        <v>5541.3650881710055</v>
      </c>
      <c r="AF10" s="35">
        <f t="shared" si="5"/>
        <v>0.26313314068178828</v>
      </c>
      <c r="AG10" s="36">
        <v>4387</v>
      </c>
      <c r="AH10" s="31">
        <f t="shared" si="36"/>
        <v>3847.8377</v>
      </c>
      <c r="AI10" s="31">
        <f t="shared" si="37"/>
        <v>539.16229999999996</v>
      </c>
      <c r="AJ10" s="31">
        <f t="shared" si="38"/>
        <v>769.60905714825276</v>
      </c>
      <c r="AK10" s="31">
        <f t="shared" si="39"/>
        <v>107.83827741821942</v>
      </c>
      <c r="AL10" s="33">
        <v>877.44733456647214</v>
      </c>
      <c r="AM10" s="35">
        <f t="shared" si="6"/>
        <v>-0.79998921026522174</v>
      </c>
      <c r="AN10" s="36">
        <v>4387</v>
      </c>
      <c r="AO10" s="31">
        <f t="shared" si="40"/>
        <v>3847.8377</v>
      </c>
      <c r="AP10" s="31">
        <f t="shared" si="41"/>
        <v>539.16229999999996</v>
      </c>
      <c r="AQ10" s="31">
        <f t="shared" si="42"/>
        <v>0</v>
      </c>
      <c r="AR10" s="31">
        <f t="shared" si="43"/>
        <v>0</v>
      </c>
      <c r="AS10" s="27">
        <f t="shared" si="7"/>
        <v>0</v>
      </c>
      <c r="AT10" s="35">
        <f t="shared" si="8"/>
        <v>-1</v>
      </c>
      <c r="AU10" s="36">
        <v>4387</v>
      </c>
      <c r="AV10" s="31">
        <f t="shared" si="44"/>
        <v>3847.8377</v>
      </c>
      <c r="AW10" s="31">
        <f t="shared" si="45"/>
        <v>539.16229999999996</v>
      </c>
      <c r="AX10" s="31">
        <f t="shared" si="46"/>
        <v>0</v>
      </c>
      <c r="AY10" s="31">
        <f t="shared" si="47"/>
        <v>0</v>
      </c>
      <c r="AZ10" s="27">
        <f t="shared" si="9"/>
        <v>0</v>
      </c>
      <c r="BA10" s="35">
        <f t="shared" si="10"/>
        <v>-1</v>
      </c>
      <c r="BB10" s="36">
        <v>4387</v>
      </c>
      <c r="BC10" s="31">
        <f t="shared" si="48"/>
        <v>3847.8377</v>
      </c>
      <c r="BD10" s="31">
        <f t="shared" si="49"/>
        <v>539.16229999999996</v>
      </c>
      <c r="BE10" s="31">
        <f t="shared" si="50"/>
        <v>0</v>
      </c>
      <c r="BF10" s="31">
        <f t="shared" si="51"/>
        <v>0</v>
      </c>
      <c r="BG10" s="27">
        <f t="shared" si="11"/>
        <v>0</v>
      </c>
      <c r="BH10" s="35">
        <f t="shared" si="12"/>
        <v>-1</v>
      </c>
      <c r="BI10" s="36">
        <v>4387</v>
      </c>
      <c r="BJ10" s="31">
        <f t="shared" si="52"/>
        <v>3847.8377</v>
      </c>
      <c r="BK10" s="31">
        <f t="shared" si="53"/>
        <v>539.16229999999996</v>
      </c>
      <c r="BL10" s="31">
        <f t="shared" si="54"/>
        <v>0</v>
      </c>
      <c r="BM10" s="31">
        <f t="shared" si="55"/>
        <v>0</v>
      </c>
      <c r="BN10" s="27">
        <f t="shared" si="13"/>
        <v>0</v>
      </c>
      <c r="BO10" s="37">
        <f t="shared" si="14"/>
        <v>-1</v>
      </c>
      <c r="BP10" s="36">
        <v>4387</v>
      </c>
      <c r="BQ10" s="31">
        <f t="shared" si="56"/>
        <v>3847.8377</v>
      </c>
      <c r="BR10" s="31">
        <f t="shared" si="57"/>
        <v>539.16229999999996</v>
      </c>
      <c r="BS10" s="31">
        <f t="shared" si="58"/>
        <v>0</v>
      </c>
      <c r="BT10" s="31">
        <f t="shared" si="59"/>
        <v>0</v>
      </c>
      <c r="BU10" s="27">
        <f t="shared" si="15"/>
        <v>0</v>
      </c>
      <c r="BV10" s="37">
        <f t="shared" si="16"/>
        <v>-1</v>
      </c>
      <c r="BW10" s="36">
        <v>4387</v>
      </c>
      <c r="BX10" s="31">
        <f t="shared" si="60"/>
        <v>3847.8377</v>
      </c>
      <c r="BY10" s="31">
        <f t="shared" si="61"/>
        <v>539.16229999999996</v>
      </c>
      <c r="BZ10" s="31">
        <f t="shared" si="62"/>
        <v>0</v>
      </c>
      <c r="CA10" s="31">
        <f t="shared" si="63"/>
        <v>0</v>
      </c>
      <c r="CB10" s="27">
        <f t="shared" si="17"/>
        <v>0</v>
      </c>
      <c r="CC10" s="37">
        <f t="shared" si="18"/>
        <v>-1</v>
      </c>
      <c r="CD10" s="36">
        <v>4387</v>
      </c>
      <c r="CE10" s="31">
        <f t="shared" si="64"/>
        <v>3847.8377</v>
      </c>
      <c r="CF10" s="31">
        <f t="shared" si="65"/>
        <v>539.16229999999996</v>
      </c>
      <c r="CG10" s="31">
        <f t="shared" si="66"/>
        <v>0</v>
      </c>
      <c r="CH10" s="31">
        <f t="shared" si="67"/>
        <v>0</v>
      </c>
      <c r="CI10" s="27">
        <f t="shared" si="19"/>
        <v>0</v>
      </c>
      <c r="CJ10" s="37">
        <f t="shared" si="20"/>
        <v>-1</v>
      </c>
      <c r="CK10" s="36">
        <v>4387</v>
      </c>
      <c r="CL10" s="31">
        <f t="shared" si="68"/>
        <v>3847.8377</v>
      </c>
      <c r="CM10" s="31">
        <f t="shared" si="69"/>
        <v>539.16229999999996</v>
      </c>
      <c r="CN10" s="31">
        <f t="shared" si="70"/>
        <v>0</v>
      </c>
      <c r="CO10" s="31">
        <f t="shared" si="71"/>
        <v>0</v>
      </c>
      <c r="CP10" s="27">
        <f t="shared" si="21"/>
        <v>0</v>
      </c>
      <c r="CQ10" s="37">
        <f t="shared" si="22"/>
        <v>-1</v>
      </c>
      <c r="CS10" s="27">
        <f>2000+10422.09</f>
        <v>12422.09</v>
      </c>
      <c r="CT10" s="27">
        <f>2000+10252.02</f>
        <v>12252.02</v>
      </c>
      <c r="CU10" s="27">
        <f>2000+10630.65</f>
        <v>12630.65</v>
      </c>
      <c r="CV10" s="27">
        <f>2000</f>
        <v>2000</v>
      </c>
      <c r="CW10" s="27"/>
      <c r="CX10" s="27"/>
      <c r="CY10" s="27"/>
      <c r="CZ10" s="27"/>
      <c r="DA10" s="27"/>
      <c r="DB10" s="27"/>
      <c r="DC10" s="27"/>
      <c r="DD10" s="27"/>
      <c r="DF10" s="28"/>
    </row>
    <row r="11" spans="1:110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23"/>
        <v>0</v>
      </c>
      <c r="F11" s="33">
        <f t="shared" si="23"/>
        <v>0</v>
      </c>
      <c r="G11" s="34">
        <f t="shared" si="23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5" t="str">
        <f t="shared" si="2"/>
        <v/>
      </c>
      <c r="L11" s="36">
        <v>0</v>
      </c>
      <c r="M11" s="31">
        <f t="shared" si="24"/>
        <v>0</v>
      </c>
      <c r="N11" s="31">
        <f t="shared" si="25"/>
        <v>0</v>
      </c>
      <c r="O11" s="31">
        <f t="shared" si="26"/>
        <v>0</v>
      </c>
      <c r="P11" s="31">
        <f t="shared" si="27"/>
        <v>0</v>
      </c>
      <c r="Q11" s="33">
        <v>0</v>
      </c>
      <c r="R11" s="35" t="str">
        <f t="shared" si="3"/>
        <v/>
      </c>
      <c r="S11" s="36">
        <v>0</v>
      </c>
      <c r="T11" s="31">
        <f t="shared" si="28"/>
        <v>0</v>
      </c>
      <c r="U11" s="31">
        <f t="shared" si="29"/>
        <v>0</v>
      </c>
      <c r="V11" s="31">
        <f t="shared" si="30"/>
        <v>0</v>
      </c>
      <c r="W11" s="31">
        <f t="shared" si="31"/>
        <v>0</v>
      </c>
      <c r="X11" s="33">
        <v>0</v>
      </c>
      <c r="Y11" s="35" t="str">
        <f t="shared" si="4"/>
        <v/>
      </c>
      <c r="Z11" s="36">
        <v>0</v>
      </c>
      <c r="AA11" s="31">
        <f t="shared" si="32"/>
        <v>0</v>
      </c>
      <c r="AB11" s="31">
        <f t="shared" si="33"/>
        <v>0</v>
      </c>
      <c r="AC11" s="31">
        <f t="shared" si="34"/>
        <v>0</v>
      </c>
      <c r="AD11" s="31">
        <f t="shared" si="35"/>
        <v>0</v>
      </c>
      <c r="AE11" s="27">
        <v>0</v>
      </c>
      <c r="AF11" s="35" t="str">
        <f t="shared" si="5"/>
        <v/>
      </c>
      <c r="AG11" s="36">
        <v>0</v>
      </c>
      <c r="AH11" s="31">
        <f t="shared" si="36"/>
        <v>0</v>
      </c>
      <c r="AI11" s="31">
        <f t="shared" si="37"/>
        <v>0</v>
      </c>
      <c r="AJ11" s="31">
        <f t="shared" si="38"/>
        <v>0</v>
      </c>
      <c r="AK11" s="31">
        <f t="shared" si="39"/>
        <v>0</v>
      </c>
      <c r="AL11" s="27">
        <v>0</v>
      </c>
      <c r="AM11" s="35" t="str">
        <f t="shared" si="6"/>
        <v/>
      </c>
      <c r="AN11" s="36">
        <v>0</v>
      </c>
      <c r="AO11" s="31">
        <f t="shared" si="40"/>
        <v>0</v>
      </c>
      <c r="AP11" s="31">
        <f t="shared" si="41"/>
        <v>0</v>
      </c>
      <c r="AQ11" s="31">
        <f t="shared" si="42"/>
        <v>0</v>
      </c>
      <c r="AR11" s="31">
        <f t="shared" si="43"/>
        <v>0</v>
      </c>
      <c r="AS11" s="27">
        <f t="shared" si="7"/>
        <v>0</v>
      </c>
      <c r="AT11" s="35" t="str">
        <f t="shared" si="8"/>
        <v/>
      </c>
      <c r="AU11" s="36">
        <v>0</v>
      </c>
      <c r="AV11" s="31">
        <f t="shared" si="44"/>
        <v>0</v>
      </c>
      <c r="AW11" s="31">
        <f t="shared" si="45"/>
        <v>0</v>
      </c>
      <c r="AX11" s="31">
        <f t="shared" si="46"/>
        <v>0</v>
      </c>
      <c r="AY11" s="31">
        <f t="shared" si="47"/>
        <v>0</v>
      </c>
      <c r="AZ11" s="27">
        <f t="shared" si="9"/>
        <v>0</v>
      </c>
      <c r="BA11" s="35" t="str">
        <f t="shared" si="10"/>
        <v/>
      </c>
      <c r="BB11" s="36">
        <v>0</v>
      </c>
      <c r="BC11" s="31">
        <f t="shared" si="48"/>
        <v>0</v>
      </c>
      <c r="BD11" s="31">
        <f t="shared" si="49"/>
        <v>0</v>
      </c>
      <c r="BE11" s="31">
        <f t="shared" si="50"/>
        <v>0</v>
      </c>
      <c r="BF11" s="31">
        <f t="shared" si="51"/>
        <v>0</v>
      </c>
      <c r="BG11" s="27">
        <f t="shared" si="11"/>
        <v>0</v>
      </c>
      <c r="BH11" s="35" t="str">
        <f t="shared" si="12"/>
        <v/>
      </c>
      <c r="BI11" s="36">
        <v>0</v>
      </c>
      <c r="BJ11" s="31">
        <f t="shared" si="52"/>
        <v>0</v>
      </c>
      <c r="BK11" s="31">
        <f t="shared" si="53"/>
        <v>0</v>
      </c>
      <c r="BL11" s="31">
        <f t="shared" si="54"/>
        <v>0</v>
      </c>
      <c r="BM11" s="31">
        <f t="shared" si="55"/>
        <v>0</v>
      </c>
      <c r="BN11" s="27">
        <f t="shared" si="13"/>
        <v>0</v>
      </c>
      <c r="BO11" s="37" t="str">
        <f t="shared" si="14"/>
        <v/>
      </c>
      <c r="BP11" s="36">
        <v>0</v>
      </c>
      <c r="BQ11" s="31">
        <f t="shared" si="56"/>
        <v>0</v>
      </c>
      <c r="BR11" s="31">
        <f t="shared" si="57"/>
        <v>0</v>
      </c>
      <c r="BS11" s="31">
        <f t="shared" si="58"/>
        <v>0</v>
      </c>
      <c r="BT11" s="31">
        <f t="shared" si="59"/>
        <v>0</v>
      </c>
      <c r="BU11" s="27">
        <f t="shared" si="15"/>
        <v>0</v>
      </c>
      <c r="BV11" s="37" t="str">
        <f t="shared" si="16"/>
        <v/>
      </c>
      <c r="BW11" s="36">
        <v>0</v>
      </c>
      <c r="BX11" s="31">
        <f t="shared" si="60"/>
        <v>0</v>
      </c>
      <c r="BY11" s="31">
        <f t="shared" si="61"/>
        <v>0</v>
      </c>
      <c r="BZ11" s="31">
        <f t="shared" si="62"/>
        <v>0</v>
      </c>
      <c r="CA11" s="31">
        <f t="shared" si="63"/>
        <v>0</v>
      </c>
      <c r="CB11" s="27">
        <f t="shared" si="17"/>
        <v>0</v>
      </c>
      <c r="CC11" s="37" t="str">
        <f t="shared" si="18"/>
        <v/>
      </c>
      <c r="CD11" s="36">
        <v>0</v>
      </c>
      <c r="CE11" s="31">
        <f t="shared" si="64"/>
        <v>0</v>
      </c>
      <c r="CF11" s="31">
        <f t="shared" si="65"/>
        <v>0</v>
      </c>
      <c r="CG11" s="31">
        <f t="shared" si="66"/>
        <v>0</v>
      </c>
      <c r="CH11" s="31">
        <f t="shared" si="67"/>
        <v>0</v>
      </c>
      <c r="CI11" s="27">
        <f t="shared" si="19"/>
        <v>0</v>
      </c>
      <c r="CJ11" s="37" t="str">
        <f t="shared" si="20"/>
        <v/>
      </c>
      <c r="CK11" s="36">
        <v>0</v>
      </c>
      <c r="CL11" s="31">
        <f t="shared" si="68"/>
        <v>0</v>
      </c>
      <c r="CM11" s="31">
        <f t="shared" si="69"/>
        <v>0</v>
      </c>
      <c r="CN11" s="31">
        <f t="shared" si="70"/>
        <v>0</v>
      </c>
      <c r="CO11" s="31">
        <f t="shared" si="71"/>
        <v>0</v>
      </c>
      <c r="CP11" s="27">
        <f t="shared" si="21"/>
        <v>0</v>
      </c>
      <c r="CQ11" s="37" t="str">
        <f t="shared" si="22"/>
        <v/>
      </c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F11" s="28"/>
    </row>
    <row r="12" spans="1:110" s="26" customFormat="1" ht="14.25" customHeight="1" x14ac:dyDescent="0.2">
      <c r="A12" s="29" t="s">
        <v>36</v>
      </c>
      <c r="B12" s="30">
        <f t="shared" si="0"/>
        <v>16345.962000000001</v>
      </c>
      <c r="C12" s="31">
        <f t="shared" si="0"/>
        <v>14337.043270200003</v>
      </c>
      <c r="D12" s="32">
        <f t="shared" si="0"/>
        <v>2008.9187297999995</v>
      </c>
      <c r="E12" s="30">
        <f t="shared" si="23"/>
        <v>5448.6539999999995</v>
      </c>
      <c r="F12" s="33">
        <f t="shared" si="23"/>
        <v>4779.0144233999999</v>
      </c>
      <c r="G12" s="34">
        <f t="shared" si="23"/>
        <v>669.63957659999994</v>
      </c>
      <c r="H12" s="31">
        <f t="shared" si="1"/>
        <v>6844.1718256722688</v>
      </c>
      <c r="I12" s="33">
        <f t="shared" si="1"/>
        <v>959.01119299409629</v>
      </c>
      <c r="J12" s="33">
        <f t="shared" si="1"/>
        <v>7803.1830186663647</v>
      </c>
      <c r="K12" s="35">
        <f t="shared" si="2"/>
        <v>0.43213039746446835</v>
      </c>
      <c r="L12" s="36">
        <v>1362.1634999999999</v>
      </c>
      <c r="M12" s="31">
        <f t="shared" si="24"/>
        <v>1194.75360585</v>
      </c>
      <c r="N12" s="31">
        <f t="shared" si="25"/>
        <v>167.40989414999999</v>
      </c>
      <c r="O12" s="31">
        <f t="shared" si="26"/>
        <v>1113.9706297692385</v>
      </c>
      <c r="P12" s="31">
        <f t="shared" si="27"/>
        <v>156.09051464900173</v>
      </c>
      <c r="Q12" s="33">
        <v>1270.0611444182402</v>
      </c>
      <c r="R12" s="35">
        <f t="shared" si="3"/>
        <v>-6.7614758126876562E-2</v>
      </c>
      <c r="S12" s="36">
        <v>1362.1634999999999</v>
      </c>
      <c r="T12" s="31">
        <f t="shared" si="28"/>
        <v>1194.75360585</v>
      </c>
      <c r="U12" s="31">
        <f t="shared" si="29"/>
        <v>167.40989414999999</v>
      </c>
      <c r="V12" s="31">
        <f t="shared" si="30"/>
        <v>1113.9706297692385</v>
      </c>
      <c r="W12" s="31">
        <f t="shared" si="31"/>
        <v>156.09051464900173</v>
      </c>
      <c r="X12" s="33">
        <v>1270.0611444182402</v>
      </c>
      <c r="Y12" s="35">
        <f t="shared" si="4"/>
        <v>-6.7614758126876562E-2</v>
      </c>
      <c r="Z12" s="36">
        <v>1362.1634999999999</v>
      </c>
      <c r="AA12" s="31">
        <f t="shared" si="32"/>
        <v>1194.75360585</v>
      </c>
      <c r="AB12" s="31">
        <f t="shared" si="33"/>
        <v>167.40989414999999</v>
      </c>
      <c r="AC12" s="31">
        <f t="shared" si="34"/>
        <v>2308.3076853311832</v>
      </c>
      <c r="AD12" s="31">
        <f t="shared" si="35"/>
        <v>323.44204141740096</v>
      </c>
      <c r="AE12" s="33">
        <v>2631.7497267485842</v>
      </c>
      <c r="AF12" s="35">
        <f t="shared" si="5"/>
        <v>0.93203659233901393</v>
      </c>
      <c r="AG12" s="36">
        <v>1362.1634999999999</v>
      </c>
      <c r="AH12" s="31">
        <f t="shared" si="36"/>
        <v>1194.75360585</v>
      </c>
      <c r="AI12" s="31">
        <f t="shared" si="37"/>
        <v>167.40989414999999</v>
      </c>
      <c r="AJ12" s="31">
        <f t="shared" si="38"/>
        <v>2307.9228808026091</v>
      </c>
      <c r="AK12" s="31">
        <f t="shared" si="39"/>
        <v>323.38812227869187</v>
      </c>
      <c r="AL12" s="33">
        <v>2631.3110030813009</v>
      </c>
      <c r="AM12" s="35">
        <f t="shared" si="6"/>
        <v>0.93171451377261327</v>
      </c>
      <c r="AN12" s="36">
        <v>1362.1634999999999</v>
      </c>
      <c r="AO12" s="31">
        <f t="shared" si="40"/>
        <v>1194.75360585</v>
      </c>
      <c r="AP12" s="31">
        <f t="shared" si="41"/>
        <v>167.40989414999999</v>
      </c>
      <c r="AQ12" s="31">
        <f t="shared" si="42"/>
        <v>0</v>
      </c>
      <c r="AR12" s="31">
        <f t="shared" si="43"/>
        <v>0</v>
      </c>
      <c r="AS12" s="27">
        <f t="shared" si="7"/>
        <v>0</v>
      </c>
      <c r="AT12" s="35">
        <f t="shared" si="8"/>
        <v>-1</v>
      </c>
      <c r="AU12" s="36">
        <v>1362.1634999999999</v>
      </c>
      <c r="AV12" s="31">
        <f t="shared" si="44"/>
        <v>1194.75360585</v>
      </c>
      <c r="AW12" s="31">
        <f t="shared" si="45"/>
        <v>167.40989414999999</v>
      </c>
      <c r="AX12" s="31">
        <f t="shared" si="46"/>
        <v>0</v>
      </c>
      <c r="AY12" s="31">
        <f t="shared" si="47"/>
        <v>0</v>
      </c>
      <c r="AZ12" s="27">
        <f t="shared" si="9"/>
        <v>0</v>
      </c>
      <c r="BA12" s="35">
        <f t="shared" si="10"/>
        <v>-1</v>
      </c>
      <c r="BB12" s="36">
        <v>1362.1634999999999</v>
      </c>
      <c r="BC12" s="31">
        <f t="shared" si="48"/>
        <v>1194.75360585</v>
      </c>
      <c r="BD12" s="31">
        <f t="shared" si="49"/>
        <v>167.40989414999999</v>
      </c>
      <c r="BE12" s="31">
        <f t="shared" si="50"/>
        <v>0</v>
      </c>
      <c r="BF12" s="31">
        <f t="shared" si="51"/>
        <v>0</v>
      </c>
      <c r="BG12" s="27">
        <f t="shared" si="11"/>
        <v>0</v>
      </c>
      <c r="BH12" s="35">
        <f t="shared" si="12"/>
        <v>-1</v>
      </c>
      <c r="BI12" s="36">
        <v>1362.1634999999999</v>
      </c>
      <c r="BJ12" s="31">
        <f t="shared" si="52"/>
        <v>1194.75360585</v>
      </c>
      <c r="BK12" s="31">
        <f t="shared" si="53"/>
        <v>167.40989414999999</v>
      </c>
      <c r="BL12" s="31">
        <f t="shared" si="54"/>
        <v>0</v>
      </c>
      <c r="BM12" s="31">
        <f t="shared" si="55"/>
        <v>0</v>
      </c>
      <c r="BN12" s="27">
        <f t="shared" si="13"/>
        <v>0</v>
      </c>
      <c r="BO12" s="37">
        <f t="shared" si="14"/>
        <v>-1</v>
      </c>
      <c r="BP12" s="36">
        <v>1362.1634999999999</v>
      </c>
      <c r="BQ12" s="31">
        <f t="shared" si="56"/>
        <v>1194.75360585</v>
      </c>
      <c r="BR12" s="31">
        <f t="shared" si="57"/>
        <v>167.40989414999999</v>
      </c>
      <c r="BS12" s="31">
        <f t="shared" si="58"/>
        <v>0</v>
      </c>
      <c r="BT12" s="31">
        <f t="shared" si="59"/>
        <v>0</v>
      </c>
      <c r="BU12" s="27">
        <f t="shared" si="15"/>
        <v>0</v>
      </c>
      <c r="BV12" s="37">
        <f t="shared" si="16"/>
        <v>-1</v>
      </c>
      <c r="BW12" s="36">
        <v>1362.1634999999999</v>
      </c>
      <c r="BX12" s="31">
        <f t="shared" si="60"/>
        <v>1194.75360585</v>
      </c>
      <c r="BY12" s="31">
        <f t="shared" si="61"/>
        <v>167.40989414999999</v>
      </c>
      <c r="BZ12" s="31">
        <f t="shared" si="62"/>
        <v>0</v>
      </c>
      <c r="CA12" s="31">
        <f t="shared" si="63"/>
        <v>0</v>
      </c>
      <c r="CB12" s="27">
        <f t="shared" si="17"/>
        <v>0</v>
      </c>
      <c r="CC12" s="37">
        <f t="shared" si="18"/>
        <v>-1</v>
      </c>
      <c r="CD12" s="36">
        <v>1362.1634999999999</v>
      </c>
      <c r="CE12" s="31">
        <f t="shared" si="64"/>
        <v>1194.75360585</v>
      </c>
      <c r="CF12" s="31">
        <f t="shared" si="65"/>
        <v>167.40989414999999</v>
      </c>
      <c r="CG12" s="31">
        <f t="shared" si="66"/>
        <v>0</v>
      </c>
      <c r="CH12" s="31">
        <f t="shared" si="67"/>
        <v>0</v>
      </c>
      <c r="CI12" s="27">
        <f t="shared" si="19"/>
        <v>0</v>
      </c>
      <c r="CJ12" s="37">
        <f t="shared" si="20"/>
        <v>-1</v>
      </c>
      <c r="CK12" s="36">
        <v>1362.1634999999999</v>
      </c>
      <c r="CL12" s="31">
        <f t="shared" si="68"/>
        <v>1194.75360585</v>
      </c>
      <c r="CM12" s="31">
        <f t="shared" si="69"/>
        <v>167.40989414999999</v>
      </c>
      <c r="CN12" s="31">
        <f t="shared" si="70"/>
        <v>0</v>
      </c>
      <c r="CO12" s="31">
        <f t="shared" si="71"/>
        <v>0</v>
      </c>
      <c r="CP12" s="27">
        <f t="shared" si="21"/>
        <v>0</v>
      </c>
      <c r="CQ12" s="37">
        <f t="shared" si="22"/>
        <v>-1</v>
      </c>
      <c r="CS12" s="27">
        <f>2894.9</f>
        <v>2894.9</v>
      </c>
      <c r="CT12" s="27">
        <f>2894.9</f>
        <v>2894.9</v>
      </c>
      <c r="CU12" s="27">
        <f>5998.65</f>
        <v>5998.65</v>
      </c>
      <c r="CV12" s="27">
        <f>3102.75+2894.9</f>
        <v>5997.65</v>
      </c>
      <c r="CW12" s="27"/>
      <c r="CX12" s="27"/>
      <c r="CY12" s="27"/>
      <c r="CZ12" s="27"/>
      <c r="DA12" s="27"/>
      <c r="DB12" s="27"/>
      <c r="DC12" s="27"/>
      <c r="DD12" s="27"/>
      <c r="DF12" s="28"/>
    </row>
    <row r="13" spans="1:110" s="26" customFormat="1" ht="16" customHeight="1" x14ac:dyDescent="0.2">
      <c r="A13" s="38" t="s">
        <v>37</v>
      </c>
      <c r="B13" s="30">
        <f t="shared" si="0"/>
        <v>57908.399999999987</v>
      </c>
      <c r="C13" s="31">
        <f t="shared" si="0"/>
        <v>50791.457639999986</v>
      </c>
      <c r="D13" s="32">
        <f t="shared" si="0"/>
        <v>7116.9423599999982</v>
      </c>
      <c r="E13" s="30">
        <f t="shared" si="23"/>
        <v>19302.8</v>
      </c>
      <c r="F13" s="33">
        <f t="shared" si="23"/>
        <v>16930.48588</v>
      </c>
      <c r="G13" s="34">
        <f t="shared" si="23"/>
        <v>2372.31412</v>
      </c>
      <c r="H13" s="31">
        <f t="shared" si="1"/>
        <v>16466.493818019444</v>
      </c>
      <c r="I13" s="33">
        <f t="shared" si="1"/>
        <v>2307.2991565780294</v>
      </c>
      <c r="J13" s="33">
        <f t="shared" si="1"/>
        <v>18773.792974597476</v>
      </c>
      <c r="K13" s="35">
        <f t="shared" si="2"/>
        <v>-2.7405714476786969E-2</v>
      </c>
      <c r="L13" s="36">
        <v>4825.7</v>
      </c>
      <c r="M13" s="31">
        <f t="shared" si="24"/>
        <v>4232.62147</v>
      </c>
      <c r="N13" s="31">
        <f t="shared" si="25"/>
        <v>593.07853</v>
      </c>
      <c r="O13" s="31">
        <f t="shared" si="26"/>
        <v>3990.3190640909752</v>
      </c>
      <c r="P13" s="31">
        <f t="shared" si="27"/>
        <v>559.12691024601622</v>
      </c>
      <c r="Q13" s="33">
        <v>4549.4459743369916</v>
      </c>
      <c r="R13" s="35">
        <f t="shared" si="3"/>
        <v>-5.7246415165262743E-2</v>
      </c>
      <c r="S13" s="36">
        <v>4825.7</v>
      </c>
      <c r="T13" s="31">
        <f t="shared" si="28"/>
        <v>4232.62147</v>
      </c>
      <c r="U13" s="31">
        <f t="shared" si="29"/>
        <v>593.07853</v>
      </c>
      <c r="V13" s="31">
        <f t="shared" si="30"/>
        <v>4158.7249179761566</v>
      </c>
      <c r="W13" s="31">
        <f t="shared" si="31"/>
        <v>582.72408211067102</v>
      </c>
      <c r="X13" s="33">
        <v>4741.4490000868273</v>
      </c>
      <c r="Y13" s="35">
        <f t="shared" si="4"/>
        <v>-1.7458814247295229E-2</v>
      </c>
      <c r="Z13" s="36">
        <v>4825.7</v>
      </c>
      <c r="AA13" s="31">
        <f t="shared" si="32"/>
        <v>4232.62147</v>
      </c>
      <c r="AB13" s="31">
        <f t="shared" si="33"/>
        <v>593.07853</v>
      </c>
      <c r="AC13" s="31">
        <f t="shared" si="34"/>
        <v>4158.7249179761566</v>
      </c>
      <c r="AD13" s="31">
        <f t="shared" si="35"/>
        <v>582.72408211067102</v>
      </c>
      <c r="AE13" s="33">
        <v>4741.4490000868273</v>
      </c>
      <c r="AF13" s="35">
        <f t="shared" si="5"/>
        <v>-1.7458814247295229E-2</v>
      </c>
      <c r="AG13" s="36">
        <v>4825.7</v>
      </c>
      <c r="AH13" s="31">
        <f t="shared" si="36"/>
        <v>4232.62147</v>
      </c>
      <c r="AI13" s="31">
        <f t="shared" si="37"/>
        <v>593.07853</v>
      </c>
      <c r="AJ13" s="31">
        <f t="shared" si="38"/>
        <v>4158.7249179761566</v>
      </c>
      <c r="AK13" s="31">
        <f t="shared" si="39"/>
        <v>582.72408211067102</v>
      </c>
      <c r="AL13" s="33">
        <v>4741.4490000868273</v>
      </c>
      <c r="AM13" s="35">
        <f t="shared" si="6"/>
        <v>-1.7458814247295229E-2</v>
      </c>
      <c r="AN13" s="36">
        <v>4825.7</v>
      </c>
      <c r="AO13" s="31">
        <f t="shared" si="40"/>
        <v>4232.62147</v>
      </c>
      <c r="AP13" s="31">
        <f t="shared" si="41"/>
        <v>593.07853</v>
      </c>
      <c r="AQ13" s="31">
        <f t="shared" si="42"/>
        <v>0</v>
      </c>
      <c r="AR13" s="31">
        <f t="shared" si="43"/>
        <v>0</v>
      </c>
      <c r="AS13" s="27">
        <f t="shared" si="7"/>
        <v>0</v>
      </c>
      <c r="AT13" s="35">
        <f t="shared" si="8"/>
        <v>-1</v>
      </c>
      <c r="AU13" s="36">
        <v>4825.7</v>
      </c>
      <c r="AV13" s="31">
        <f t="shared" si="44"/>
        <v>4232.62147</v>
      </c>
      <c r="AW13" s="31">
        <f t="shared" si="45"/>
        <v>593.07853</v>
      </c>
      <c r="AX13" s="31">
        <f t="shared" si="46"/>
        <v>0</v>
      </c>
      <c r="AY13" s="31">
        <f t="shared" si="47"/>
        <v>0</v>
      </c>
      <c r="AZ13" s="27">
        <f t="shared" si="9"/>
        <v>0</v>
      </c>
      <c r="BA13" s="35">
        <f t="shared" si="10"/>
        <v>-1</v>
      </c>
      <c r="BB13" s="36">
        <v>4825.7</v>
      </c>
      <c r="BC13" s="31">
        <f t="shared" si="48"/>
        <v>4232.62147</v>
      </c>
      <c r="BD13" s="31">
        <f t="shared" si="49"/>
        <v>593.07853</v>
      </c>
      <c r="BE13" s="31">
        <f t="shared" si="50"/>
        <v>0</v>
      </c>
      <c r="BF13" s="31">
        <f t="shared" si="51"/>
        <v>0</v>
      </c>
      <c r="BG13" s="27">
        <f t="shared" si="11"/>
        <v>0</v>
      </c>
      <c r="BH13" s="35">
        <f t="shared" si="12"/>
        <v>-1</v>
      </c>
      <c r="BI13" s="36">
        <v>4825.7</v>
      </c>
      <c r="BJ13" s="31">
        <f t="shared" si="52"/>
        <v>4232.62147</v>
      </c>
      <c r="BK13" s="31">
        <f t="shared" si="53"/>
        <v>593.07853</v>
      </c>
      <c r="BL13" s="31">
        <f t="shared" si="54"/>
        <v>0</v>
      </c>
      <c r="BM13" s="31">
        <f t="shared" si="55"/>
        <v>0</v>
      </c>
      <c r="BN13" s="27">
        <f t="shared" si="13"/>
        <v>0</v>
      </c>
      <c r="BO13" s="37">
        <f t="shared" si="14"/>
        <v>-1</v>
      </c>
      <c r="BP13" s="36">
        <v>4825.7</v>
      </c>
      <c r="BQ13" s="31">
        <f t="shared" si="56"/>
        <v>4232.62147</v>
      </c>
      <c r="BR13" s="31">
        <f t="shared" si="57"/>
        <v>593.07853</v>
      </c>
      <c r="BS13" s="31">
        <f t="shared" si="58"/>
        <v>0</v>
      </c>
      <c r="BT13" s="31">
        <f t="shared" si="59"/>
        <v>0</v>
      </c>
      <c r="BU13" s="27">
        <f t="shared" si="15"/>
        <v>0</v>
      </c>
      <c r="BV13" s="37">
        <f t="shared" si="16"/>
        <v>-1</v>
      </c>
      <c r="BW13" s="36">
        <v>4825.7</v>
      </c>
      <c r="BX13" s="31">
        <f t="shared" si="60"/>
        <v>4232.62147</v>
      </c>
      <c r="BY13" s="31">
        <f t="shared" si="61"/>
        <v>593.07853</v>
      </c>
      <c r="BZ13" s="31">
        <f t="shared" si="62"/>
        <v>0</v>
      </c>
      <c r="CA13" s="31">
        <f t="shared" si="63"/>
        <v>0</v>
      </c>
      <c r="CB13" s="27">
        <f t="shared" si="17"/>
        <v>0</v>
      </c>
      <c r="CC13" s="37">
        <f t="shared" si="18"/>
        <v>-1</v>
      </c>
      <c r="CD13" s="36">
        <v>4825.7</v>
      </c>
      <c r="CE13" s="31">
        <f t="shared" si="64"/>
        <v>4232.62147</v>
      </c>
      <c r="CF13" s="31">
        <f t="shared" si="65"/>
        <v>593.07853</v>
      </c>
      <c r="CG13" s="31">
        <f t="shared" si="66"/>
        <v>0</v>
      </c>
      <c r="CH13" s="31">
        <f t="shared" si="67"/>
        <v>0</v>
      </c>
      <c r="CI13" s="27">
        <f t="shared" si="19"/>
        <v>0</v>
      </c>
      <c r="CJ13" s="37">
        <f t="shared" si="20"/>
        <v>-1</v>
      </c>
      <c r="CK13" s="36">
        <v>4825.7</v>
      </c>
      <c r="CL13" s="31">
        <f t="shared" si="68"/>
        <v>4232.62147</v>
      </c>
      <c r="CM13" s="31">
        <f t="shared" si="69"/>
        <v>593.07853</v>
      </c>
      <c r="CN13" s="31">
        <f t="shared" si="70"/>
        <v>0</v>
      </c>
      <c r="CO13" s="31">
        <f t="shared" si="71"/>
        <v>0</v>
      </c>
      <c r="CP13" s="27">
        <f t="shared" si="21"/>
        <v>0</v>
      </c>
      <c r="CQ13" s="37">
        <f t="shared" si="22"/>
        <v>-1</v>
      </c>
      <c r="CS13" s="27">
        <f>10369.73</f>
        <v>10369.73</v>
      </c>
      <c r="CT13" s="27">
        <f>10807.37</f>
        <v>10807.37</v>
      </c>
      <c r="CU13" s="27">
        <v>10807.37</v>
      </c>
      <c r="CV13" s="27">
        <f>10807.37</f>
        <v>10807.37</v>
      </c>
      <c r="CW13" s="27"/>
      <c r="CX13" s="27"/>
      <c r="CY13" s="27"/>
      <c r="CZ13" s="27"/>
      <c r="DA13" s="27"/>
      <c r="DB13" s="27"/>
      <c r="DC13" s="27"/>
      <c r="DD13" s="27"/>
      <c r="DF13" s="28"/>
    </row>
    <row r="14" spans="1:110" s="26" customFormat="1" ht="16" customHeight="1" x14ac:dyDescent="0.2">
      <c r="A14" s="39" t="s">
        <v>38</v>
      </c>
      <c r="B14" s="30">
        <f t="shared" si="0"/>
        <v>35754.857208000001</v>
      </c>
      <c r="C14" s="31">
        <f t="shared" si="0"/>
        <v>31360.585257136801</v>
      </c>
      <c r="D14" s="32">
        <f t="shared" si="0"/>
        <v>4394.271950863199</v>
      </c>
      <c r="E14" s="30">
        <f t="shared" si="23"/>
        <v>11918.285736</v>
      </c>
      <c r="F14" s="33">
        <f t="shared" si="23"/>
        <v>10453.5284190456</v>
      </c>
      <c r="G14" s="34">
        <f t="shared" si="23"/>
        <v>1464.7573169543998</v>
      </c>
      <c r="H14" s="31">
        <f t="shared" si="1"/>
        <v>14391.319956324895</v>
      </c>
      <c r="I14" s="33">
        <f t="shared" si="1"/>
        <v>2016.5240253475426</v>
      </c>
      <c r="J14" s="33">
        <f t="shared" si="1"/>
        <v>16407.843981672439</v>
      </c>
      <c r="K14" s="35">
        <f t="shared" si="2"/>
        <v>0.37669496646748613</v>
      </c>
      <c r="L14" s="36">
        <v>2979.571434</v>
      </c>
      <c r="M14" s="31">
        <f t="shared" si="24"/>
        <v>2613.3821047614001</v>
      </c>
      <c r="N14" s="31">
        <f t="shared" si="25"/>
        <v>366.18932923859995</v>
      </c>
      <c r="O14" s="31">
        <f t="shared" si="26"/>
        <v>1966.6705287725024</v>
      </c>
      <c r="P14" s="31">
        <f t="shared" si="27"/>
        <v>275.57155168867922</v>
      </c>
      <c r="Q14" s="33">
        <v>2242.2420804611816</v>
      </c>
      <c r="R14" s="35">
        <f t="shared" si="3"/>
        <v>-0.24746154602139281</v>
      </c>
      <c r="S14" s="36">
        <v>2979.571434</v>
      </c>
      <c r="T14" s="31">
        <f t="shared" si="28"/>
        <v>2613.3821047614001</v>
      </c>
      <c r="U14" s="31">
        <f t="shared" si="29"/>
        <v>366.18932923859995</v>
      </c>
      <c r="V14" s="31">
        <f t="shared" si="30"/>
        <v>7185.9128794536646</v>
      </c>
      <c r="W14" s="31">
        <f t="shared" si="31"/>
        <v>1006.8962408902695</v>
      </c>
      <c r="X14" s="33">
        <v>8192.8091203439344</v>
      </c>
      <c r="Y14" s="35">
        <f t="shared" si="4"/>
        <v>1.7496602453814285</v>
      </c>
      <c r="Z14" s="36">
        <v>2979.571434</v>
      </c>
      <c r="AA14" s="31">
        <f t="shared" si="32"/>
        <v>2613.3821047614001</v>
      </c>
      <c r="AB14" s="31">
        <f t="shared" si="33"/>
        <v>366.18932923859995</v>
      </c>
      <c r="AC14" s="31">
        <f t="shared" si="34"/>
        <v>2678.2433669212055</v>
      </c>
      <c r="AD14" s="31">
        <f t="shared" si="35"/>
        <v>375.27774460679075</v>
      </c>
      <c r="AE14" s="33">
        <v>3053.5211115279963</v>
      </c>
      <c r="AF14" s="35">
        <f t="shared" si="5"/>
        <v>2.4818897336762458E-2</v>
      </c>
      <c r="AG14" s="36">
        <v>2979.571434</v>
      </c>
      <c r="AH14" s="31">
        <f t="shared" si="36"/>
        <v>2613.3821047614001</v>
      </c>
      <c r="AI14" s="31">
        <f t="shared" si="37"/>
        <v>366.18932923859995</v>
      </c>
      <c r="AJ14" s="31">
        <f t="shared" si="38"/>
        <v>2560.4931811775227</v>
      </c>
      <c r="AK14" s="31">
        <f t="shared" si="39"/>
        <v>358.77848816180312</v>
      </c>
      <c r="AL14" s="33">
        <v>2919.2716693393259</v>
      </c>
      <c r="AM14" s="35">
        <f t="shared" si="6"/>
        <v>-2.0237730826853539E-2</v>
      </c>
      <c r="AN14" s="36">
        <v>2979.571434</v>
      </c>
      <c r="AO14" s="31">
        <f t="shared" si="40"/>
        <v>2613.3821047614001</v>
      </c>
      <c r="AP14" s="31">
        <f t="shared" si="41"/>
        <v>366.18932923859995</v>
      </c>
      <c r="AQ14" s="31">
        <f t="shared" si="42"/>
        <v>0</v>
      </c>
      <c r="AR14" s="31">
        <f t="shared" si="43"/>
        <v>0</v>
      </c>
      <c r="AS14" s="27">
        <f t="shared" si="7"/>
        <v>0</v>
      </c>
      <c r="AT14" s="35">
        <f t="shared" si="8"/>
        <v>-1</v>
      </c>
      <c r="AU14" s="36">
        <v>2979.571434</v>
      </c>
      <c r="AV14" s="31">
        <f t="shared" si="44"/>
        <v>2613.3821047614001</v>
      </c>
      <c r="AW14" s="31">
        <f t="shared" si="45"/>
        <v>366.18932923859995</v>
      </c>
      <c r="AX14" s="31">
        <f t="shared" si="46"/>
        <v>0</v>
      </c>
      <c r="AY14" s="31">
        <f t="shared" si="47"/>
        <v>0</v>
      </c>
      <c r="AZ14" s="27">
        <f t="shared" si="9"/>
        <v>0</v>
      </c>
      <c r="BA14" s="35">
        <f t="shared" si="10"/>
        <v>-1</v>
      </c>
      <c r="BB14" s="36">
        <v>2979.571434</v>
      </c>
      <c r="BC14" s="31">
        <f t="shared" si="48"/>
        <v>2613.3821047614001</v>
      </c>
      <c r="BD14" s="31">
        <f t="shared" si="49"/>
        <v>366.18932923859995</v>
      </c>
      <c r="BE14" s="31">
        <f t="shared" si="50"/>
        <v>0</v>
      </c>
      <c r="BF14" s="31">
        <f t="shared" si="51"/>
        <v>0</v>
      </c>
      <c r="BG14" s="27">
        <f t="shared" si="11"/>
        <v>0</v>
      </c>
      <c r="BH14" s="35">
        <f t="shared" si="12"/>
        <v>-1</v>
      </c>
      <c r="BI14" s="36">
        <v>2979.571434</v>
      </c>
      <c r="BJ14" s="31">
        <f t="shared" si="52"/>
        <v>2613.3821047614001</v>
      </c>
      <c r="BK14" s="31">
        <f t="shared" si="53"/>
        <v>366.18932923859995</v>
      </c>
      <c r="BL14" s="31">
        <f t="shared" si="54"/>
        <v>0</v>
      </c>
      <c r="BM14" s="31">
        <f t="shared" si="55"/>
        <v>0</v>
      </c>
      <c r="BN14" s="27">
        <f t="shared" si="13"/>
        <v>0</v>
      </c>
      <c r="BO14" s="37">
        <f t="shared" si="14"/>
        <v>-1</v>
      </c>
      <c r="BP14" s="36">
        <v>2979.571434</v>
      </c>
      <c r="BQ14" s="31">
        <f t="shared" si="56"/>
        <v>2613.3821047614001</v>
      </c>
      <c r="BR14" s="31">
        <f t="shared" si="57"/>
        <v>366.18932923859995</v>
      </c>
      <c r="BS14" s="31">
        <f t="shared" si="58"/>
        <v>0</v>
      </c>
      <c r="BT14" s="31">
        <f t="shared" si="59"/>
        <v>0</v>
      </c>
      <c r="BU14" s="27">
        <f t="shared" si="15"/>
        <v>0</v>
      </c>
      <c r="BV14" s="37">
        <f t="shared" si="16"/>
        <v>-1</v>
      </c>
      <c r="BW14" s="36">
        <v>2979.571434</v>
      </c>
      <c r="BX14" s="31">
        <f t="shared" si="60"/>
        <v>2613.3821047614001</v>
      </c>
      <c r="BY14" s="31">
        <f t="shared" si="61"/>
        <v>366.18932923859995</v>
      </c>
      <c r="BZ14" s="31">
        <f t="shared" si="62"/>
        <v>0</v>
      </c>
      <c r="CA14" s="31">
        <f t="shared" si="63"/>
        <v>0</v>
      </c>
      <c r="CB14" s="27">
        <f t="shared" si="17"/>
        <v>0</v>
      </c>
      <c r="CC14" s="37">
        <f t="shared" si="18"/>
        <v>-1</v>
      </c>
      <c r="CD14" s="36">
        <v>2979.571434</v>
      </c>
      <c r="CE14" s="31">
        <f t="shared" si="64"/>
        <v>2613.3821047614001</v>
      </c>
      <c r="CF14" s="31">
        <f t="shared" si="65"/>
        <v>366.18932923859995</v>
      </c>
      <c r="CG14" s="31">
        <f t="shared" si="66"/>
        <v>0</v>
      </c>
      <c r="CH14" s="31">
        <f t="shared" si="67"/>
        <v>0</v>
      </c>
      <c r="CI14" s="27">
        <f t="shared" si="19"/>
        <v>0</v>
      </c>
      <c r="CJ14" s="37">
        <f t="shared" si="20"/>
        <v>-1</v>
      </c>
      <c r="CK14" s="36">
        <v>2979.571434</v>
      </c>
      <c r="CL14" s="31">
        <f t="shared" si="68"/>
        <v>2613.3821047614001</v>
      </c>
      <c r="CM14" s="31">
        <f t="shared" si="69"/>
        <v>366.18932923859995</v>
      </c>
      <c r="CN14" s="31">
        <f t="shared" si="70"/>
        <v>0</v>
      </c>
      <c r="CO14" s="31">
        <f t="shared" si="71"/>
        <v>0</v>
      </c>
      <c r="CP14" s="27">
        <f t="shared" si="21"/>
        <v>0</v>
      </c>
      <c r="CQ14" s="37">
        <f t="shared" si="22"/>
        <v>-1</v>
      </c>
      <c r="CS14" s="27">
        <f>5110.83</f>
        <v>5110.83</v>
      </c>
      <c r="CT14" s="27">
        <f>18674.19</f>
        <v>18674.189999999999</v>
      </c>
      <c r="CU14" s="27">
        <f>6960.01</f>
        <v>6960.01</v>
      </c>
      <c r="CV14" s="27">
        <f>6654.01</f>
        <v>6654.01</v>
      </c>
      <c r="CW14" s="27"/>
      <c r="CX14" s="27"/>
      <c r="CY14" s="27"/>
      <c r="CZ14" s="27"/>
      <c r="DA14" s="27"/>
      <c r="DB14" s="27"/>
      <c r="DC14" s="27"/>
      <c r="DD14" s="27"/>
      <c r="DF14" s="28"/>
    </row>
    <row r="15" spans="1:110" s="26" customFormat="1" ht="16" customHeight="1" x14ac:dyDescent="0.2">
      <c r="A15" s="38" t="s">
        <v>39</v>
      </c>
      <c r="B15" s="30">
        <f t="shared" si="0"/>
        <v>97572.056659999973</v>
      </c>
      <c r="C15" s="31">
        <f t="shared" si="0"/>
        <v>85580.450896485985</v>
      </c>
      <c r="D15" s="32">
        <f t="shared" si="0"/>
        <v>11991.605763513999</v>
      </c>
      <c r="E15" s="30">
        <f t="shared" si="23"/>
        <v>32313.940079999997</v>
      </c>
      <c r="F15" s="33">
        <f t="shared" si="23"/>
        <v>28342.556844167997</v>
      </c>
      <c r="G15" s="34">
        <f t="shared" si="23"/>
        <v>3971.3832358319996</v>
      </c>
      <c r="H15" s="31">
        <f t="shared" si="1"/>
        <v>33333.992435265973</v>
      </c>
      <c r="I15" s="33">
        <f t="shared" si="1"/>
        <v>4670.787447604821</v>
      </c>
      <c r="J15" s="33">
        <f t="shared" si="1"/>
        <v>38004.779882870796</v>
      </c>
      <c r="K15" s="35">
        <f t="shared" si="2"/>
        <v>0.17611098457142393</v>
      </c>
      <c r="L15" s="36">
        <v>8078.4850199999992</v>
      </c>
      <c r="M15" s="40">
        <f t="shared" si="24"/>
        <v>7085.6392110419993</v>
      </c>
      <c r="N15" s="40">
        <f t="shared" si="25"/>
        <v>992.84580895799991</v>
      </c>
      <c r="O15" s="40">
        <f t="shared" si="26"/>
        <v>6349.1246477069399</v>
      </c>
      <c r="P15" s="40">
        <f t="shared" si="27"/>
        <v>889.64476023621364</v>
      </c>
      <c r="Q15" s="41">
        <v>7238.769407943154</v>
      </c>
      <c r="R15" s="35">
        <f t="shared" si="3"/>
        <v>-0.10394468888386266</v>
      </c>
      <c r="S15" s="36">
        <v>8078.4850199999992</v>
      </c>
      <c r="T15" s="40">
        <f t="shared" si="28"/>
        <v>7085.6392110419993</v>
      </c>
      <c r="U15" s="40">
        <f t="shared" si="29"/>
        <v>992.84580895799991</v>
      </c>
      <c r="V15" s="40">
        <f t="shared" si="30"/>
        <v>6325.7323804149109</v>
      </c>
      <c r="W15" s="40">
        <f t="shared" si="31"/>
        <v>886.36701579408566</v>
      </c>
      <c r="X15" s="41">
        <v>7212.099396208997</v>
      </c>
      <c r="Y15" s="35">
        <f t="shared" si="4"/>
        <v>-0.1072460519077626</v>
      </c>
      <c r="Z15" s="36">
        <v>8078.4850199999992</v>
      </c>
      <c r="AA15" s="40">
        <f t="shared" si="32"/>
        <v>7085.6392110419993</v>
      </c>
      <c r="AB15" s="40">
        <f t="shared" si="33"/>
        <v>992.84580895799991</v>
      </c>
      <c r="AC15" s="40">
        <f t="shared" si="34"/>
        <v>9476.0193105832914</v>
      </c>
      <c r="AD15" s="40">
        <f t="shared" si="35"/>
        <v>1327.7879070467295</v>
      </c>
      <c r="AE15" s="41">
        <v>10803.807217630021</v>
      </c>
      <c r="AF15" s="35">
        <f t="shared" si="5"/>
        <v>0.33735560453264557</v>
      </c>
      <c r="AG15" s="36">
        <v>8078.4850199999992</v>
      </c>
      <c r="AH15" s="40">
        <f t="shared" si="36"/>
        <v>7085.6392110419993</v>
      </c>
      <c r="AI15" s="40">
        <f t="shared" si="37"/>
        <v>992.84580895799991</v>
      </c>
      <c r="AJ15" s="40">
        <f t="shared" si="38"/>
        <v>11183.116096560832</v>
      </c>
      <c r="AK15" s="40">
        <f t="shared" si="39"/>
        <v>1566.9877645277918</v>
      </c>
      <c r="AL15" s="41">
        <v>12750.103861088624</v>
      </c>
      <c r="AM15" s="35">
        <f t="shared" si="6"/>
        <v>0.57827907454467575</v>
      </c>
      <c r="AN15" s="36">
        <v>8078.4850199999992</v>
      </c>
      <c r="AO15" s="40">
        <f t="shared" si="40"/>
        <v>7085.6392110419993</v>
      </c>
      <c r="AP15" s="40">
        <f t="shared" si="41"/>
        <v>992.84580895799991</v>
      </c>
      <c r="AQ15" s="40">
        <f t="shared" si="42"/>
        <v>0</v>
      </c>
      <c r="AR15" s="40">
        <f t="shared" si="43"/>
        <v>0</v>
      </c>
      <c r="AS15" s="42">
        <f t="shared" si="7"/>
        <v>0</v>
      </c>
      <c r="AT15" s="35">
        <f t="shared" si="8"/>
        <v>-1</v>
      </c>
      <c r="AU15" s="36">
        <v>8078.4850199999992</v>
      </c>
      <c r="AV15" s="40">
        <f t="shared" si="44"/>
        <v>7085.6392110419993</v>
      </c>
      <c r="AW15" s="40">
        <f t="shared" si="45"/>
        <v>992.84580895799991</v>
      </c>
      <c r="AX15" s="40">
        <f t="shared" si="46"/>
        <v>0</v>
      </c>
      <c r="AY15" s="40">
        <f t="shared" si="47"/>
        <v>0</v>
      </c>
      <c r="AZ15" s="42">
        <f t="shared" si="9"/>
        <v>0</v>
      </c>
      <c r="BA15" s="35">
        <f t="shared" si="10"/>
        <v>-1</v>
      </c>
      <c r="BB15" s="36">
        <v>8708.7214399999993</v>
      </c>
      <c r="BC15" s="40">
        <f t="shared" si="48"/>
        <v>7638.4195750239996</v>
      </c>
      <c r="BD15" s="40">
        <f t="shared" si="49"/>
        <v>1070.3018649759999</v>
      </c>
      <c r="BE15" s="40">
        <f t="shared" si="50"/>
        <v>0</v>
      </c>
      <c r="BF15" s="40">
        <f t="shared" si="51"/>
        <v>0</v>
      </c>
      <c r="BG15" s="42">
        <f t="shared" si="11"/>
        <v>0</v>
      </c>
      <c r="BH15" s="35">
        <f t="shared" si="12"/>
        <v>-1</v>
      </c>
      <c r="BI15" s="36">
        <v>8078.4850199999992</v>
      </c>
      <c r="BJ15" s="40">
        <f t="shared" si="52"/>
        <v>7085.6392110419993</v>
      </c>
      <c r="BK15" s="40">
        <f t="shared" si="53"/>
        <v>992.84580895799991</v>
      </c>
      <c r="BL15" s="40">
        <f t="shared" si="54"/>
        <v>0</v>
      </c>
      <c r="BM15" s="40">
        <f t="shared" si="55"/>
        <v>0</v>
      </c>
      <c r="BN15" s="42">
        <f t="shared" si="13"/>
        <v>0</v>
      </c>
      <c r="BO15" s="37">
        <f t="shared" si="14"/>
        <v>-1</v>
      </c>
      <c r="BP15" s="36">
        <v>8078.4850199999992</v>
      </c>
      <c r="BQ15" s="40">
        <f t="shared" si="56"/>
        <v>7085.6392110419993</v>
      </c>
      <c r="BR15" s="40">
        <f t="shared" si="57"/>
        <v>992.84580895799991</v>
      </c>
      <c r="BS15" s="40">
        <f t="shared" si="58"/>
        <v>0</v>
      </c>
      <c r="BT15" s="40">
        <f t="shared" si="59"/>
        <v>0</v>
      </c>
      <c r="BU15" s="42">
        <f t="shared" si="15"/>
        <v>0</v>
      </c>
      <c r="BV15" s="37">
        <f t="shared" si="16"/>
        <v>-1</v>
      </c>
      <c r="BW15" s="36">
        <v>8078.4850199999992</v>
      </c>
      <c r="BX15" s="40">
        <f t="shared" si="60"/>
        <v>7085.6392110419993</v>
      </c>
      <c r="BY15" s="40">
        <f t="shared" si="61"/>
        <v>992.84580895799991</v>
      </c>
      <c r="BZ15" s="40">
        <f t="shared" si="62"/>
        <v>0</v>
      </c>
      <c r="CA15" s="40">
        <f t="shared" si="63"/>
        <v>0</v>
      </c>
      <c r="CB15" s="42">
        <f t="shared" si="17"/>
        <v>0</v>
      </c>
      <c r="CC15" s="37">
        <f t="shared" si="18"/>
        <v>-1</v>
      </c>
      <c r="CD15" s="36">
        <v>8078.4850199999992</v>
      </c>
      <c r="CE15" s="40">
        <f t="shared" si="64"/>
        <v>7085.6392110419993</v>
      </c>
      <c r="CF15" s="40">
        <f t="shared" si="65"/>
        <v>992.84580895799991</v>
      </c>
      <c r="CG15" s="40">
        <f t="shared" si="66"/>
        <v>0</v>
      </c>
      <c r="CH15" s="40">
        <f t="shared" si="67"/>
        <v>0</v>
      </c>
      <c r="CI15" s="42">
        <f t="shared" si="19"/>
        <v>0</v>
      </c>
      <c r="CJ15" s="37">
        <f t="shared" si="20"/>
        <v>-1</v>
      </c>
      <c r="CK15" s="36">
        <v>8078.4850199999992</v>
      </c>
      <c r="CL15" s="40">
        <f t="shared" si="68"/>
        <v>7085.6392110419993</v>
      </c>
      <c r="CM15" s="40">
        <f t="shared" si="69"/>
        <v>992.84580895799991</v>
      </c>
      <c r="CN15" s="40">
        <f t="shared" si="70"/>
        <v>0</v>
      </c>
      <c r="CO15" s="40">
        <f t="shared" si="71"/>
        <v>0</v>
      </c>
      <c r="CP15" s="42">
        <f t="shared" si="21"/>
        <v>0</v>
      </c>
      <c r="CQ15" s="37">
        <f t="shared" si="22"/>
        <v>-1</v>
      </c>
      <c r="CS15" s="27">
        <f>1264.62+27233.78-(19.42+11979.37)</f>
        <v>16499.609999999997</v>
      </c>
      <c r="CT15" s="27">
        <f>1279.3+160660.28-(43565.68+101935.08)</f>
        <v>16438.819999999978</v>
      </c>
      <c r="CU15" s="27">
        <f>1264.62+23360.92</f>
        <v>24625.539999999997</v>
      </c>
      <c r="CV15" s="27">
        <f>1273.98+27787.83</f>
        <v>29061.81</v>
      </c>
      <c r="CW15" s="27"/>
      <c r="CX15" s="27"/>
      <c r="CY15" s="27"/>
      <c r="CZ15" s="27"/>
      <c r="DA15" s="27"/>
      <c r="DB15" s="27"/>
      <c r="DC15" s="27"/>
      <c r="DD15" s="27"/>
      <c r="DF15" s="28"/>
    </row>
    <row r="16" spans="1:110" s="26" customFormat="1" ht="16" customHeight="1" x14ac:dyDescent="0.2">
      <c r="A16" s="29" t="s">
        <v>40</v>
      </c>
      <c r="B16" s="30">
        <f t="shared" si="0"/>
        <v>32902.5</v>
      </c>
      <c r="C16" s="31">
        <f t="shared" si="0"/>
        <v>28858.782749999995</v>
      </c>
      <c r="D16" s="32">
        <f t="shared" si="0"/>
        <v>4043.7172499999997</v>
      </c>
      <c r="E16" s="30">
        <f t="shared" si="23"/>
        <v>10967.5</v>
      </c>
      <c r="F16" s="33">
        <f t="shared" si="23"/>
        <v>9619.5942500000001</v>
      </c>
      <c r="G16" s="34">
        <f t="shared" si="23"/>
        <v>1347.9057499999999</v>
      </c>
      <c r="H16" s="31">
        <f t="shared" si="1"/>
        <v>52099.073776224832</v>
      </c>
      <c r="I16" s="33">
        <f t="shared" si="1"/>
        <v>7300.1666481564607</v>
      </c>
      <c r="J16" s="33">
        <f t="shared" si="1"/>
        <v>59399.240424381293</v>
      </c>
      <c r="K16" s="35">
        <f t="shared" si="2"/>
        <v>4.4159325666178519</v>
      </c>
      <c r="L16" s="36">
        <v>2741.875</v>
      </c>
      <c r="M16" s="31">
        <f t="shared" si="24"/>
        <v>2404.8985625</v>
      </c>
      <c r="N16" s="31">
        <f t="shared" si="25"/>
        <v>336.97643749999997</v>
      </c>
      <c r="O16" s="31">
        <f t="shared" si="26"/>
        <v>2203.1829361700179</v>
      </c>
      <c r="P16" s="31">
        <f t="shared" si="27"/>
        <v>308.71187191345933</v>
      </c>
      <c r="Q16" s="33">
        <v>2511.8948080834771</v>
      </c>
      <c r="R16" s="35">
        <f t="shared" si="3"/>
        <v>-8.3876979044093192E-2</v>
      </c>
      <c r="S16" s="36">
        <v>2741.875</v>
      </c>
      <c r="T16" s="31">
        <f t="shared" si="28"/>
        <v>2404.8985625</v>
      </c>
      <c r="U16" s="31">
        <f t="shared" si="29"/>
        <v>336.97643749999997</v>
      </c>
      <c r="V16" s="31">
        <f t="shared" si="30"/>
        <v>38683.025505389916</v>
      </c>
      <c r="W16" s="31">
        <f t="shared" si="31"/>
        <v>5420.2985231016082</v>
      </c>
      <c r="X16" s="33">
        <v>44103.324028491523</v>
      </c>
      <c r="Y16" s="35">
        <f t="shared" si="4"/>
        <v>15.085096522814322</v>
      </c>
      <c r="Z16" s="36">
        <v>2741.875</v>
      </c>
      <c r="AA16" s="31">
        <f t="shared" si="32"/>
        <v>2404.8985625</v>
      </c>
      <c r="AB16" s="31">
        <f t="shared" si="33"/>
        <v>336.97643749999997</v>
      </c>
      <c r="AC16" s="31">
        <f t="shared" si="34"/>
        <v>2417.6999167142358</v>
      </c>
      <c r="AD16" s="31">
        <f t="shared" si="35"/>
        <v>338.77017416962673</v>
      </c>
      <c r="AE16" s="33">
        <v>2756.4700908838627</v>
      </c>
      <c r="AF16" s="35">
        <f t="shared" si="5"/>
        <v>5.3230329186642056E-3</v>
      </c>
      <c r="AG16" s="36">
        <v>2741.875</v>
      </c>
      <c r="AH16" s="31">
        <f t="shared" si="36"/>
        <v>2404.8985625</v>
      </c>
      <c r="AI16" s="31">
        <f t="shared" si="37"/>
        <v>336.97643749999997</v>
      </c>
      <c r="AJ16" s="31">
        <f t="shared" si="38"/>
        <v>8795.1654179506622</v>
      </c>
      <c r="AK16" s="31">
        <f t="shared" si="39"/>
        <v>1232.3860789717664</v>
      </c>
      <c r="AL16" s="33">
        <v>10027.551496922428</v>
      </c>
      <c r="AM16" s="35">
        <f t="shared" si="6"/>
        <v>2.6571876897825129</v>
      </c>
      <c r="AN16" s="36">
        <v>2741.875</v>
      </c>
      <c r="AO16" s="31">
        <f t="shared" si="40"/>
        <v>2404.8985625</v>
      </c>
      <c r="AP16" s="31">
        <f t="shared" si="41"/>
        <v>336.97643749999997</v>
      </c>
      <c r="AQ16" s="31">
        <f t="shared" si="42"/>
        <v>0</v>
      </c>
      <c r="AR16" s="31">
        <f t="shared" si="43"/>
        <v>0</v>
      </c>
      <c r="AS16" s="27">
        <f t="shared" si="7"/>
        <v>0</v>
      </c>
      <c r="AT16" s="35">
        <f t="shared" si="8"/>
        <v>-1</v>
      </c>
      <c r="AU16" s="36">
        <v>2741.875</v>
      </c>
      <c r="AV16" s="31">
        <f t="shared" si="44"/>
        <v>2404.8985625</v>
      </c>
      <c r="AW16" s="31">
        <f t="shared" si="45"/>
        <v>336.97643749999997</v>
      </c>
      <c r="AX16" s="31">
        <f t="shared" si="46"/>
        <v>0</v>
      </c>
      <c r="AY16" s="31">
        <f t="shared" si="47"/>
        <v>0</v>
      </c>
      <c r="AZ16" s="27">
        <f t="shared" si="9"/>
        <v>0</v>
      </c>
      <c r="BA16" s="35">
        <f t="shared" si="10"/>
        <v>-1</v>
      </c>
      <c r="BB16" s="36">
        <v>2741.875</v>
      </c>
      <c r="BC16" s="31">
        <f t="shared" si="48"/>
        <v>2404.8985625</v>
      </c>
      <c r="BD16" s="31">
        <f t="shared" si="49"/>
        <v>336.97643749999997</v>
      </c>
      <c r="BE16" s="31">
        <f t="shared" si="50"/>
        <v>0</v>
      </c>
      <c r="BF16" s="31">
        <f t="shared" si="51"/>
        <v>0</v>
      </c>
      <c r="BG16" s="27">
        <f t="shared" si="11"/>
        <v>0</v>
      </c>
      <c r="BH16" s="35">
        <f t="shared" si="12"/>
        <v>-1</v>
      </c>
      <c r="BI16" s="36">
        <v>2741.875</v>
      </c>
      <c r="BJ16" s="31">
        <f t="shared" si="52"/>
        <v>2404.8985625</v>
      </c>
      <c r="BK16" s="31">
        <f t="shared" si="53"/>
        <v>336.97643749999997</v>
      </c>
      <c r="BL16" s="31">
        <f t="shared" si="54"/>
        <v>0</v>
      </c>
      <c r="BM16" s="31">
        <f t="shared" si="55"/>
        <v>0</v>
      </c>
      <c r="BN16" s="27">
        <f t="shared" si="13"/>
        <v>0</v>
      </c>
      <c r="BO16" s="37">
        <f t="shared" si="14"/>
        <v>-1</v>
      </c>
      <c r="BP16" s="36">
        <v>2741.875</v>
      </c>
      <c r="BQ16" s="31">
        <f t="shared" si="56"/>
        <v>2404.8985625</v>
      </c>
      <c r="BR16" s="31">
        <f t="shared" si="57"/>
        <v>336.97643749999997</v>
      </c>
      <c r="BS16" s="31">
        <f t="shared" si="58"/>
        <v>0</v>
      </c>
      <c r="BT16" s="31">
        <f t="shared" si="59"/>
        <v>0</v>
      </c>
      <c r="BU16" s="27">
        <f t="shared" si="15"/>
        <v>0</v>
      </c>
      <c r="BV16" s="37">
        <f t="shared" si="16"/>
        <v>-1</v>
      </c>
      <c r="BW16" s="36">
        <v>2741.875</v>
      </c>
      <c r="BX16" s="31">
        <f t="shared" si="60"/>
        <v>2404.8985625</v>
      </c>
      <c r="BY16" s="31">
        <f t="shared" si="61"/>
        <v>336.97643749999997</v>
      </c>
      <c r="BZ16" s="31">
        <f t="shared" si="62"/>
        <v>0</v>
      </c>
      <c r="CA16" s="31">
        <f t="shared" si="63"/>
        <v>0</v>
      </c>
      <c r="CB16" s="27">
        <f t="shared" si="17"/>
        <v>0</v>
      </c>
      <c r="CC16" s="37">
        <f t="shared" si="18"/>
        <v>-1</v>
      </c>
      <c r="CD16" s="36">
        <v>2741.875</v>
      </c>
      <c r="CE16" s="31">
        <f t="shared" si="64"/>
        <v>2404.8985625</v>
      </c>
      <c r="CF16" s="31">
        <f t="shared" si="65"/>
        <v>336.97643749999997</v>
      </c>
      <c r="CG16" s="31">
        <f t="shared" si="66"/>
        <v>0</v>
      </c>
      <c r="CH16" s="31">
        <f t="shared" si="67"/>
        <v>0</v>
      </c>
      <c r="CI16" s="27">
        <f t="shared" si="19"/>
        <v>0</v>
      </c>
      <c r="CJ16" s="37">
        <f t="shared" si="20"/>
        <v>-1</v>
      </c>
      <c r="CK16" s="36">
        <v>2741.875</v>
      </c>
      <c r="CL16" s="31">
        <f t="shared" si="68"/>
        <v>2404.8985625</v>
      </c>
      <c r="CM16" s="31">
        <f t="shared" si="69"/>
        <v>336.97643749999997</v>
      </c>
      <c r="CN16" s="31">
        <f t="shared" si="70"/>
        <v>0</v>
      </c>
      <c r="CO16" s="31">
        <f t="shared" si="71"/>
        <v>0</v>
      </c>
      <c r="CP16" s="27">
        <f t="shared" si="21"/>
        <v>0</v>
      </c>
      <c r="CQ16" s="37">
        <f t="shared" si="22"/>
        <v>-1</v>
      </c>
      <c r="CS16" s="27">
        <f>5725.46</f>
        <v>5725.46</v>
      </c>
      <c r="CT16" s="27">
        <f>100526.43</f>
        <v>100526.43</v>
      </c>
      <c r="CU16" s="27">
        <f>6282.93</f>
        <v>6282.93</v>
      </c>
      <c r="CV16" s="27">
        <f>22856.19</f>
        <v>22856.19</v>
      </c>
      <c r="CW16" s="27"/>
      <c r="CX16" s="27"/>
      <c r="CY16" s="27"/>
      <c r="CZ16" s="27"/>
      <c r="DA16" s="27"/>
      <c r="DB16" s="27"/>
      <c r="DC16" s="27"/>
      <c r="DD16" s="27"/>
      <c r="DF16" s="28"/>
    </row>
    <row r="17" spans="1:110" s="26" customFormat="1" ht="16" customHeight="1" x14ac:dyDescent="0.2">
      <c r="A17" s="38" t="s">
        <v>41</v>
      </c>
      <c r="B17" s="30">
        <f t="shared" si="0"/>
        <v>414334.60199999996</v>
      </c>
      <c r="C17" s="31">
        <f t="shared" si="0"/>
        <v>363412.87941420003</v>
      </c>
      <c r="D17" s="32">
        <f t="shared" si="0"/>
        <v>50921.72258579998</v>
      </c>
      <c r="E17" s="30">
        <f t="shared" si="23"/>
        <v>138111.53399999999</v>
      </c>
      <c r="F17" s="33">
        <f t="shared" si="23"/>
        <v>121137.62647139998</v>
      </c>
      <c r="G17" s="34">
        <f t="shared" si="23"/>
        <v>16973.907528599997</v>
      </c>
      <c r="H17" s="31">
        <f t="shared" si="1"/>
        <v>125682.49840871883</v>
      </c>
      <c r="I17" s="33">
        <f t="shared" si="1"/>
        <v>17610.738860371159</v>
      </c>
      <c r="J17" s="33">
        <f t="shared" si="1"/>
        <v>143293.23726909002</v>
      </c>
      <c r="K17" s="35">
        <f t="shared" si="2"/>
        <v>3.7518251510334055E-2</v>
      </c>
      <c r="L17" s="36">
        <v>34527.883499999996</v>
      </c>
      <c r="M17" s="31">
        <f t="shared" si="24"/>
        <v>30284.406617849996</v>
      </c>
      <c r="N17" s="31">
        <f t="shared" si="25"/>
        <v>4243.4768821499993</v>
      </c>
      <c r="O17" s="31">
        <f t="shared" si="26"/>
        <v>23525.92644657335</v>
      </c>
      <c r="P17" s="31">
        <f t="shared" si="27"/>
        <v>3296.4728768485516</v>
      </c>
      <c r="Q17" s="33">
        <v>26822.399323421901</v>
      </c>
      <c r="R17" s="35">
        <f t="shared" si="3"/>
        <v>-0.22316699998649192</v>
      </c>
      <c r="S17" s="36">
        <v>34527.883499999996</v>
      </c>
      <c r="T17" s="31">
        <f t="shared" si="28"/>
        <v>30284.406617849996</v>
      </c>
      <c r="U17" s="31">
        <f t="shared" si="29"/>
        <v>4243.4768821499993</v>
      </c>
      <c r="V17" s="31">
        <f t="shared" si="30"/>
        <v>23642.466378930621</v>
      </c>
      <c r="W17" s="31">
        <f t="shared" si="31"/>
        <v>3312.8025515569184</v>
      </c>
      <c r="X17" s="33">
        <v>26955.268930487538</v>
      </c>
      <c r="Y17" s="35">
        <f t="shared" si="4"/>
        <v>-0.21931881719632362</v>
      </c>
      <c r="Z17" s="36">
        <v>34527.883499999996</v>
      </c>
      <c r="AA17" s="31">
        <f t="shared" si="32"/>
        <v>30284.406617849996</v>
      </c>
      <c r="AB17" s="31">
        <f t="shared" si="33"/>
        <v>4243.4768821499993</v>
      </c>
      <c r="AC17" s="31">
        <f t="shared" si="34"/>
        <v>28968.638096563922</v>
      </c>
      <c r="AD17" s="31">
        <f t="shared" si="35"/>
        <v>4059.1102748463186</v>
      </c>
      <c r="AE17" s="27">
        <v>33027.748371410242</v>
      </c>
      <c r="AF17" s="35">
        <f t="shared" si="5"/>
        <v>-4.3447062968390626E-2</v>
      </c>
      <c r="AG17" s="36">
        <v>34527.883499999996</v>
      </c>
      <c r="AH17" s="31">
        <f t="shared" si="36"/>
        <v>30284.406617849996</v>
      </c>
      <c r="AI17" s="31">
        <f t="shared" si="37"/>
        <v>4243.4768821499993</v>
      </c>
      <c r="AJ17" s="31">
        <f t="shared" si="38"/>
        <v>49545.467486650945</v>
      </c>
      <c r="AK17" s="31">
        <f t="shared" si="39"/>
        <v>6942.3531571193716</v>
      </c>
      <c r="AL17" s="27">
        <v>56487.820643770319</v>
      </c>
      <c r="AM17" s="35">
        <f t="shared" si="6"/>
        <v>0.63600588619254128</v>
      </c>
      <c r="AN17" s="36">
        <v>34527.883499999996</v>
      </c>
      <c r="AO17" s="31">
        <f t="shared" si="40"/>
        <v>30284.406617849996</v>
      </c>
      <c r="AP17" s="31">
        <f t="shared" si="41"/>
        <v>4243.4768821499993</v>
      </c>
      <c r="AQ17" s="31">
        <f t="shared" si="42"/>
        <v>0</v>
      </c>
      <c r="AR17" s="31">
        <f t="shared" si="43"/>
        <v>0</v>
      </c>
      <c r="AS17" s="27"/>
      <c r="AT17" s="35">
        <f t="shared" si="8"/>
        <v>-1</v>
      </c>
      <c r="AU17" s="36">
        <v>34527.883499999996</v>
      </c>
      <c r="AV17" s="31">
        <f t="shared" si="44"/>
        <v>30284.406617849996</v>
      </c>
      <c r="AW17" s="31">
        <f t="shared" si="45"/>
        <v>4243.4768821499993</v>
      </c>
      <c r="AX17" s="31">
        <f t="shared" si="46"/>
        <v>0</v>
      </c>
      <c r="AY17" s="31">
        <f t="shared" si="47"/>
        <v>0</v>
      </c>
      <c r="AZ17" s="27"/>
      <c r="BA17" s="35">
        <f t="shared" si="10"/>
        <v>-1</v>
      </c>
      <c r="BB17" s="36">
        <v>34527.883499999996</v>
      </c>
      <c r="BC17" s="31">
        <f t="shared" si="48"/>
        <v>30284.406617849996</v>
      </c>
      <c r="BD17" s="31">
        <f t="shared" si="49"/>
        <v>4243.4768821499993</v>
      </c>
      <c r="BE17" s="31">
        <f t="shared" si="50"/>
        <v>0</v>
      </c>
      <c r="BF17" s="31">
        <f t="shared" si="51"/>
        <v>0</v>
      </c>
      <c r="BG17" s="27"/>
      <c r="BH17" s="35">
        <f t="shared" si="12"/>
        <v>-1</v>
      </c>
      <c r="BI17" s="36">
        <v>34527.883499999996</v>
      </c>
      <c r="BJ17" s="31">
        <f t="shared" si="52"/>
        <v>30284.406617849996</v>
      </c>
      <c r="BK17" s="31">
        <f t="shared" si="53"/>
        <v>4243.4768821499993</v>
      </c>
      <c r="BL17" s="31">
        <f t="shared" si="54"/>
        <v>0</v>
      </c>
      <c r="BM17" s="31">
        <f t="shared" si="55"/>
        <v>0</v>
      </c>
      <c r="BN17" s="27"/>
      <c r="BO17" s="37">
        <f t="shared" si="14"/>
        <v>-1</v>
      </c>
      <c r="BP17" s="36">
        <v>34527.883499999996</v>
      </c>
      <c r="BQ17" s="31">
        <f t="shared" si="56"/>
        <v>30284.406617849996</v>
      </c>
      <c r="BR17" s="31">
        <f t="shared" si="57"/>
        <v>4243.4768821499993</v>
      </c>
      <c r="BS17" s="31">
        <f t="shared" si="58"/>
        <v>0</v>
      </c>
      <c r="BT17" s="31">
        <f t="shared" si="59"/>
        <v>0</v>
      </c>
      <c r="BU17" s="27"/>
      <c r="BV17" s="37">
        <f t="shared" si="16"/>
        <v>-1</v>
      </c>
      <c r="BW17" s="36">
        <v>34527.883499999996</v>
      </c>
      <c r="BX17" s="31">
        <f t="shared" si="60"/>
        <v>30284.406617849996</v>
      </c>
      <c r="BY17" s="31">
        <f t="shared" si="61"/>
        <v>4243.4768821499993</v>
      </c>
      <c r="BZ17" s="31">
        <f t="shared" si="62"/>
        <v>0</v>
      </c>
      <c r="CA17" s="31">
        <f t="shared" si="63"/>
        <v>0</v>
      </c>
      <c r="CB17" s="27"/>
      <c r="CC17" s="37">
        <f t="shared" si="18"/>
        <v>-1</v>
      </c>
      <c r="CD17" s="36">
        <v>34527.883499999996</v>
      </c>
      <c r="CE17" s="31">
        <f t="shared" si="64"/>
        <v>30284.406617849996</v>
      </c>
      <c r="CF17" s="31">
        <f t="shared" si="65"/>
        <v>4243.4768821499993</v>
      </c>
      <c r="CG17" s="31">
        <f t="shared" si="66"/>
        <v>0</v>
      </c>
      <c r="CH17" s="31">
        <f t="shared" si="67"/>
        <v>0</v>
      </c>
      <c r="CI17" s="27"/>
      <c r="CJ17" s="37">
        <f t="shared" si="20"/>
        <v>-1</v>
      </c>
      <c r="CK17" s="36">
        <v>34527.883499999996</v>
      </c>
      <c r="CL17" s="31">
        <f t="shared" si="68"/>
        <v>30284.406617849996</v>
      </c>
      <c r="CM17" s="31">
        <f t="shared" si="69"/>
        <v>4243.4768821499993</v>
      </c>
      <c r="CN17" s="31">
        <f t="shared" si="70"/>
        <v>0</v>
      </c>
      <c r="CO17" s="31">
        <f t="shared" si="71"/>
        <v>0</v>
      </c>
      <c r="CP17" s="27"/>
      <c r="CQ17" s="37">
        <f t="shared" si="22"/>
        <v>-1</v>
      </c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F17" s="28"/>
    </row>
    <row r="18" spans="1:110" s="26" customFormat="1" ht="16" customHeight="1" x14ac:dyDescent="0.2">
      <c r="A18" s="38" t="s">
        <v>42</v>
      </c>
      <c r="B18" s="30">
        <f t="shared" si="0"/>
        <v>57951.831300000013</v>
      </c>
      <c r="C18" s="31">
        <f t="shared" si="0"/>
        <v>50829.551233229991</v>
      </c>
      <c r="D18" s="32">
        <f t="shared" si="0"/>
        <v>7122.2800667700003</v>
      </c>
      <c r="E18" s="30">
        <f t="shared" si="23"/>
        <v>19317.277099999999</v>
      </c>
      <c r="F18" s="33">
        <f t="shared" si="23"/>
        <v>16943.183744409998</v>
      </c>
      <c r="G18" s="34">
        <f t="shared" si="23"/>
        <v>2374.0933555899996</v>
      </c>
      <c r="H18" s="31">
        <f t="shared" si="1"/>
        <v>16488.49031434716</v>
      </c>
      <c r="I18" s="33">
        <f t="shared" si="1"/>
        <v>2310.3813244023095</v>
      </c>
      <c r="J18" s="33">
        <f t="shared" si="1"/>
        <v>18798.871638749468</v>
      </c>
      <c r="K18" s="35">
        <f t="shared" si="2"/>
        <v>-2.6836363042622158E-2</v>
      </c>
      <c r="L18" s="36">
        <v>4829.3192749999998</v>
      </c>
      <c r="M18" s="31">
        <f t="shared" si="24"/>
        <v>4235.7959361024996</v>
      </c>
      <c r="N18" s="31">
        <f t="shared" si="25"/>
        <v>593.52333889749991</v>
      </c>
      <c r="O18" s="31">
        <f t="shared" si="26"/>
        <v>5727.4664558040813</v>
      </c>
      <c r="P18" s="31">
        <f t="shared" si="27"/>
        <v>802.537484230215</v>
      </c>
      <c r="Q18" s="33">
        <v>6530.0039400342966</v>
      </c>
      <c r="R18" s="35">
        <f t="shared" si="3"/>
        <v>0.35215825837779113</v>
      </c>
      <c r="S18" s="36">
        <v>4829.3192749999998</v>
      </c>
      <c r="T18" s="31">
        <f t="shared" si="28"/>
        <v>4235.7959361024996</v>
      </c>
      <c r="U18" s="31">
        <f t="shared" si="29"/>
        <v>593.52333889749991</v>
      </c>
      <c r="V18" s="31">
        <f t="shared" si="30"/>
        <v>10761.023858543078</v>
      </c>
      <c r="W18" s="31">
        <f t="shared" si="31"/>
        <v>1507.8438401720946</v>
      </c>
      <c r="X18" s="33">
        <v>12268.867698715172</v>
      </c>
      <c r="Y18" s="35">
        <f t="shared" si="4"/>
        <v>1.5404962894517205</v>
      </c>
      <c r="Z18" s="36">
        <v>4829.3192749999998</v>
      </c>
      <c r="AA18" s="31">
        <f t="shared" si="32"/>
        <v>4235.7959361024996</v>
      </c>
      <c r="AB18" s="31">
        <f t="shared" si="33"/>
        <v>593.52333889749991</v>
      </c>
      <c r="AC18" s="31">
        <f t="shared" si="34"/>
        <v>0</v>
      </c>
      <c r="AD18" s="31">
        <f t="shared" si="35"/>
        <v>0</v>
      </c>
      <c r="AE18" s="27">
        <v>0</v>
      </c>
      <c r="AF18" s="35">
        <f t="shared" si="5"/>
        <v>-1</v>
      </c>
      <c r="AG18" s="36">
        <v>4829.3192749999998</v>
      </c>
      <c r="AH18" s="31">
        <f t="shared" si="36"/>
        <v>4235.7959361024996</v>
      </c>
      <c r="AI18" s="31">
        <f t="shared" si="37"/>
        <v>593.52333889749991</v>
      </c>
      <c r="AJ18" s="31">
        <f t="shared" si="38"/>
        <v>0</v>
      </c>
      <c r="AK18" s="31">
        <f t="shared" si="39"/>
        <v>0</v>
      </c>
      <c r="AL18" s="27">
        <v>0</v>
      </c>
      <c r="AM18" s="35">
        <f t="shared" si="6"/>
        <v>-1</v>
      </c>
      <c r="AN18" s="36">
        <v>4829.3192749999998</v>
      </c>
      <c r="AO18" s="31">
        <f t="shared" si="40"/>
        <v>4235.7959361024996</v>
      </c>
      <c r="AP18" s="31">
        <f t="shared" si="41"/>
        <v>593.52333889749991</v>
      </c>
      <c r="AQ18" s="31">
        <f t="shared" si="42"/>
        <v>0</v>
      </c>
      <c r="AR18" s="31">
        <f t="shared" si="43"/>
        <v>0</v>
      </c>
      <c r="AS18" s="27"/>
      <c r="AT18" s="35">
        <f t="shared" si="8"/>
        <v>-1</v>
      </c>
      <c r="AU18" s="36">
        <v>4829.3192749999998</v>
      </c>
      <c r="AV18" s="31">
        <f t="shared" si="44"/>
        <v>4235.7959361024996</v>
      </c>
      <c r="AW18" s="31">
        <f t="shared" si="45"/>
        <v>593.52333889749991</v>
      </c>
      <c r="AX18" s="31">
        <f t="shared" si="46"/>
        <v>0</v>
      </c>
      <c r="AY18" s="31">
        <f t="shared" si="47"/>
        <v>0</v>
      </c>
      <c r="AZ18" s="27"/>
      <c r="BA18" s="35">
        <f t="shared" si="10"/>
        <v>-1</v>
      </c>
      <c r="BB18" s="36">
        <v>4829.3192749999998</v>
      </c>
      <c r="BC18" s="31">
        <f t="shared" si="48"/>
        <v>4235.7959361024996</v>
      </c>
      <c r="BD18" s="31">
        <f t="shared" si="49"/>
        <v>593.52333889749991</v>
      </c>
      <c r="BE18" s="31">
        <f t="shared" si="50"/>
        <v>0</v>
      </c>
      <c r="BF18" s="31">
        <f t="shared" si="51"/>
        <v>0</v>
      </c>
      <c r="BG18" s="27"/>
      <c r="BH18" s="35">
        <f t="shared" si="12"/>
        <v>-1</v>
      </c>
      <c r="BI18" s="36">
        <v>4829.3192749999998</v>
      </c>
      <c r="BJ18" s="31">
        <f t="shared" si="52"/>
        <v>4235.7959361024996</v>
      </c>
      <c r="BK18" s="31">
        <f t="shared" si="53"/>
        <v>593.52333889749991</v>
      </c>
      <c r="BL18" s="31">
        <f t="shared" si="54"/>
        <v>0</v>
      </c>
      <c r="BM18" s="31">
        <f t="shared" si="55"/>
        <v>0</v>
      </c>
      <c r="BN18" s="27"/>
      <c r="BO18" s="37">
        <f t="shared" si="14"/>
        <v>-1</v>
      </c>
      <c r="BP18" s="36">
        <v>4829.3192749999998</v>
      </c>
      <c r="BQ18" s="31">
        <f t="shared" si="56"/>
        <v>4235.7959361024996</v>
      </c>
      <c r="BR18" s="31">
        <f t="shared" si="57"/>
        <v>593.52333889749991</v>
      </c>
      <c r="BS18" s="31">
        <f t="shared" si="58"/>
        <v>0</v>
      </c>
      <c r="BT18" s="31">
        <f t="shared" si="59"/>
        <v>0</v>
      </c>
      <c r="BU18" s="27"/>
      <c r="BV18" s="37">
        <f t="shared" si="16"/>
        <v>-1</v>
      </c>
      <c r="BW18" s="36">
        <v>4829.3192749999998</v>
      </c>
      <c r="BX18" s="31">
        <f t="shared" si="60"/>
        <v>4235.7959361024996</v>
      </c>
      <c r="BY18" s="31">
        <f t="shared" si="61"/>
        <v>593.52333889749991</v>
      </c>
      <c r="BZ18" s="31">
        <f t="shared" si="62"/>
        <v>0</v>
      </c>
      <c r="CA18" s="31">
        <f t="shared" si="63"/>
        <v>0</v>
      </c>
      <c r="CB18" s="27"/>
      <c r="CC18" s="37">
        <f t="shared" si="18"/>
        <v>-1</v>
      </c>
      <c r="CD18" s="36">
        <v>4829.3192749999998</v>
      </c>
      <c r="CE18" s="31">
        <f t="shared" si="64"/>
        <v>4235.7959361024996</v>
      </c>
      <c r="CF18" s="31">
        <f t="shared" si="65"/>
        <v>593.52333889749991</v>
      </c>
      <c r="CG18" s="31">
        <f t="shared" si="66"/>
        <v>0</v>
      </c>
      <c r="CH18" s="31">
        <f t="shared" si="67"/>
        <v>0</v>
      </c>
      <c r="CI18" s="27"/>
      <c r="CJ18" s="37">
        <f t="shared" si="20"/>
        <v>-1</v>
      </c>
      <c r="CK18" s="36">
        <v>4829.3192749999998</v>
      </c>
      <c r="CL18" s="31">
        <f t="shared" si="68"/>
        <v>4235.7959361024996</v>
      </c>
      <c r="CM18" s="31">
        <f t="shared" si="69"/>
        <v>593.52333889749991</v>
      </c>
      <c r="CN18" s="31">
        <f t="shared" si="70"/>
        <v>0</v>
      </c>
      <c r="CO18" s="31">
        <f t="shared" si="71"/>
        <v>0</v>
      </c>
      <c r="CP18" s="27"/>
      <c r="CQ18" s="37">
        <f t="shared" si="22"/>
        <v>-1</v>
      </c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F18" s="28"/>
    </row>
    <row r="19" spans="1:110" s="26" customFormat="1" ht="16" customHeight="1" x14ac:dyDescent="0.2">
      <c r="A19" s="38" t="s">
        <v>43</v>
      </c>
      <c r="B19" s="30">
        <f t="shared" si="0"/>
        <v>15354.499999999995</v>
      </c>
      <c r="C19" s="31">
        <f t="shared" si="0"/>
        <v>13467.43195</v>
      </c>
      <c r="D19" s="32">
        <f t="shared" si="0"/>
        <v>1887.0680500000001</v>
      </c>
      <c r="E19" s="30">
        <f t="shared" si="23"/>
        <v>5118.1666666666661</v>
      </c>
      <c r="F19" s="33">
        <f t="shared" si="23"/>
        <v>4489.1439833333325</v>
      </c>
      <c r="G19" s="34">
        <f t="shared" si="23"/>
        <v>629.02268333333325</v>
      </c>
      <c r="H19" s="31">
        <f t="shared" si="1"/>
        <v>5827.7513929547431</v>
      </c>
      <c r="I19" s="33">
        <f t="shared" si="1"/>
        <v>816.58949514780284</v>
      </c>
      <c r="J19" s="33">
        <f t="shared" si="1"/>
        <v>6644.3408881025462</v>
      </c>
      <c r="K19" s="35">
        <f t="shared" si="2"/>
        <v>0.29818767555489534</v>
      </c>
      <c r="L19" s="36">
        <v>1279.5416666666665</v>
      </c>
      <c r="M19" s="31">
        <f t="shared" si="24"/>
        <v>1122.2859958333331</v>
      </c>
      <c r="N19" s="31">
        <f t="shared" si="25"/>
        <v>157.25567083333331</v>
      </c>
      <c r="O19" s="31">
        <f t="shared" si="26"/>
        <v>1995.51531324149</v>
      </c>
      <c r="P19" s="31">
        <f t="shared" si="27"/>
        <v>279.61330748760588</v>
      </c>
      <c r="Q19" s="33">
        <v>2275.1286207290959</v>
      </c>
      <c r="R19" s="35">
        <f t="shared" si="3"/>
        <v>0.77808091756482822</v>
      </c>
      <c r="S19" s="36">
        <v>1279.5416666666665</v>
      </c>
      <c r="T19" s="31">
        <f t="shared" si="28"/>
        <v>1122.2859958333331</v>
      </c>
      <c r="U19" s="31">
        <f t="shared" si="29"/>
        <v>157.25567083333331</v>
      </c>
      <c r="V19" s="31">
        <f t="shared" si="30"/>
        <v>974.87142146993574</v>
      </c>
      <c r="W19" s="31">
        <f t="shared" si="31"/>
        <v>136.59981495685224</v>
      </c>
      <c r="X19" s="33">
        <v>1111.471236426788</v>
      </c>
      <c r="Y19" s="35">
        <f t="shared" si="4"/>
        <v>-0.13135205723915089</v>
      </c>
      <c r="Z19" s="36">
        <v>1279.5416666666665</v>
      </c>
      <c r="AA19" s="31">
        <f t="shared" si="32"/>
        <v>1122.2859958333331</v>
      </c>
      <c r="AB19" s="31">
        <f t="shared" si="33"/>
        <v>157.25567083333331</v>
      </c>
      <c r="AC19" s="31">
        <f t="shared" si="34"/>
        <v>215.79428431858904</v>
      </c>
      <c r="AD19" s="31">
        <f t="shared" si="35"/>
        <v>30.237279150330171</v>
      </c>
      <c r="AE19" s="27">
        <v>246.03156346891922</v>
      </c>
      <c r="AF19" s="35">
        <f t="shared" si="5"/>
        <v>-0.80771899041798623</v>
      </c>
      <c r="AG19" s="36">
        <v>1279.5416666666665</v>
      </c>
      <c r="AH19" s="31">
        <f t="shared" si="36"/>
        <v>1122.2859958333331</v>
      </c>
      <c r="AI19" s="31">
        <f t="shared" si="37"/>
        <v>157.25567083333331</v>
      </c>
      <c r="AJ19" s="31">
        <f t="shared" si="38"/>
        <v>2641.5703739247283</v>
      </c>
      <c r="AK19" s="31">
        <f t="shared" si="39"/>
        <v>370.13909355301462</v>
      </c>
      <c r="AL19" s="27">
        <v>3011.7094674777431</v>
      </c>
      <c r="AM19" s="35">
        <f t="shared" si="6"/>
        <v>1.3537408323118902</v>
      </c>
      <c r="AN19" s="36">
        <v>1279.5416666666665</v>
      </c>
      <c r="AO19" s="31">
        <f t="shared" si="40"/>
        <v>1122.2859958333331</v>
      </c>
      <c r="AP19" s="31">
        <f t="shared" si="41"/>
        <v>157.25567083333331</v>
      </c>
      <c r="AQ19" s="31">
        <f t="shared" si="42"/>
        <v>0</v>
      </c>
      <c r="AR19" s="31">
        <f t="shared" si="43"/>
        <v>0</v>
      </c>
      <c r="AS19" s="27"/>
      <c r="AT19" s="35">
        <f t="shared" si="8"/>
        <v>-1</v>
      </c>
      <c r="AU19" s="36">
        <v>1279.5416666666665</v>
      </c>
      <c r="AV19" s="31">
        <f t="shared" si="44"/>
        <v>1122.2859958333331</v>
      </c>
      <c r="AW19" s="31">
        <f t="shared" si="45"/>
        <v>157.25567083333331</v>
      </c>
      <c r="AX19" s="31">
        <f t="shared" si="46"/>
        <v>0</v>
      </c>
      <c r="AY19" s="31">
        <f t="shared" si="47"/>
        <v>0</v>
      </c>
      <c r="AZ19" s="27"/>
      <c r="BA19" s="35">
        <f t="shared" si="10"/>
        <v>-1</v>
      </c>
      <c r="BB19" s="36">
        <v>1279.5416666666665</v>
      </c>
      <c r="BC19" s="31">
        <f t="shared" si="48"/>
        <v>1122.2859958333331</v>
      </c>
      <c r="BD19" s="31">
        <f t="shared" si="49"/>
        <v>157.25567083333331</v>
      </c>
      <c r="BE19" s="31">
        <f t="shared" si="50"/>
        <v>0</v>
      </c>
      <c r="BF19" s="31">
        <f t="shared" si="51"/>
        <v>0</v>
      </c>
      <c r="BG19" s="27"/>
      <c r="BH19" s="35">
        <f t="shared" si="12"/>
        <v>-1</v>
      </c>
      <c r="BI19" s="36">
        <v>1279.5416666666665</v>
      </c>
      <c r="BJ19" s="31">
        <f t="shared" si="52"/>
        <v>1122.2859958333331</v>
      </c>
      <c r="BK19" s="31">
        <f t="shared" si="53"/>
        <v>157.25567083333331</v>
      </c>
      <c r="BL19" s="31">
        <f t="shared" si="54"/>
        <v>0</v>
      </c>
      <c r="BM19" s="31">
        <f t="shared" si="55"/>
        <v>0</v>
      </c>
      <c r="BN19" s="27"/>
      <c r="BO19" s="37">
        <f t="shared" si="14"/>
        <v>-1</v>
      </c>
      <c r="BP19" s="36">
        <v>1279.5416666666665</v>
      </c>
      <c r="BQ19" s="31">
        <f t="shared" si="56"/>
        <v>1122.2859958333331</v>
      </c>
      <c r="BR19" s="31">
        <f t="shared" si="57"/>
        <v>157.25567083333331</v>
      </c>
      <c r="BS19" s="31">
        <f t="shared" si="58"/>
        <v>0</v>
      </c>
      <c r="BT19" s="31">
        <f t="shared" si="59"/>
        <v>0</v>
      </c>
      <c r="BU19" s="27"/>
      <c r="BV19" s="37">
        <f t="shared" si="16"/>
        <v>-1</v>
      </c>
      <c r="BW19" s="36">
        <v>1279.5416666666665</v>
      </c>
      <c r="BX19" s="31">
        <f t="shared" si="60"/>
        <v>1122.2859958333331</v>
      </c>
      <c r="BY19" s="31">
        <f t="shared" si="61"/>
        <v>157.25567083333331</v>
      </c>
      <c r="BZ19" s="31">
        <f t="shared" si="62"/>
        <v>0</v>
      </c>
      <c r="CA19" s="31">
        <f t="shared" si="63"/>
        <v>0</v>
      </c>
      <c r="CB19" s="27"/>
      <c r="CC19" s="37">
        <f t="shared" si="18"/>
        <v>-1</v>
      </c>
      <c r="CD19" s="36">
        <v>1279.5416666666665</v>
      </c>
      <c r="CE19" s="31">
        <f t="shared" si="64"/>
        <v>1122.2859958333331</v>
      </c>
      <c r="CF19" s="31">
        <f t="shared" si="65"/>
        <v>157.25567083333331</v>
      </c>
      <c r="CG19" s="31">
        <f t="shared" si="66"/>
        <v>0</v>
      </c>
      <c r="CH19" s="31">
        <f t="shared" si="67"/>
        <v>0</v>
      </c>
      <c r="CI19" s="27"/>
      <c r="CJ19" s="37">
        <f t="shared" si="20"/>
        <v>-1</v>
      </c>
      <c r="CK19" s="36">
        <v>1279.5416666666665</v>
      </c>
      <c r="CL19" s="31">
        <f t="shared" si="68"/>
        <v>1122.2859958333331</v>
      </c>
      <c r="CM19" s="31">
        <f t="shared" si="69"/>
        <v>157.25567083333331</v>
      </c>
      <c r="CN19" s="31">
        <f t="shared" si="70"/>
        <v>0</v>
      </c>
      <c r="CO19" s="31">
        <f t="shared" si="71"/>
        <v>0</v>
      </c>
      <c r="CP19" s="27"/>
      <c r="CQ19" s="37">
        <f t="shared" si="22"/>
        <v>-1</v>
      </c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F19" s="28"/>
    </row>
    <row r="20" spans="1:110" s="26" customFormat="1" ht="16" customHeight="1" x14ac:dyDescent="0.2">
      <c r="A20" s="29" t="s">
        <v>44</v>
      </c>
      <c r="B20" s="30">
        <f t="shared" si="0"/>
        <v>656071.42822857085</v>
      </c>
      <c r="C20" s="31">
        <f t="shared" si="0"/>
        <v>575440.24969927932</v>
      </c>
      <c r="D20" s="32">
        <f t="shared" si="0"/>
        <v>80631.178529291326</v>
      </c>
      <c r="E20" s="30">
        <f t="shared" si="23"/>
        <v>298811.938114285</v>
      </c>
      <c r="F20" s="33">
        <f t="shared" si="23"/>
        <v>262087.95092003938</v>
      </c>
      <c r="G20" s="34">
        <f t="shared" si="23"/>
        <v>36723.987194245623</v>
      </c>
      <c r="H20" s="31">
        <f t="shared" si="1"/>
        <v>107695.31115699999</v>
      </c>
      <c r="I20" s="33">
        <f t="shared" si="1"/>
        <v>15090.358842999996</v>
      </c>
      <c r="J20" s="33">
        <f t="shared" si="1"/>
        <v>122785.66999999998</v>
      </c>
      <c r="K20" s="35">
        <f t="shared" si="2"/>
        <v>-0.5890871336170016</v>
      </c>
      <c r="L20" s="36">
        <v>0</v>
      </c>
      <c r="M20" s="31">
        <f t="shared" si="24"/>
        <v>0</v>
      </c>
      <c r="N20" s="31">
        <f t="shared" si="25"/>
        <v>0</v>
      </c>
      <c r="O20" s="31">
        <f t="shared" si="26"/>
        <v>1132.4764360000001</v>
      </c>
      <c r="P20" s="31">
        <f t="shared" si="27"/>
        <v>158.68356400000002</v>
      </c>
      <c r="Q20" s="33">
        <v>1291.1600000000001</v>
      </c>
      <c r="R20" s="35" t="str">
        <f t="shared" si="3"/>
        <v/>
      </c>
      <c r="S20" s="36">
        <v>0</v>
      </c>
      <c r="T20" s="31">
        <f t="shared" si="28"/>
        <v>0</v>
      </c>
      <c r="U20" s="31">
        <f t="shared" si="29"/>
        <v>0</v>
      </c>
      <c r="V20" s="31">
        <f t="shared" si="30"/>
        <v>72.448459999999997</v>
      </c>
      <c r="W20" s="31">
        <f t="shared" si="31"/>
        <v>10.151539999999999</v>
      </c>
      <c r="X20" s="33">
        <v>82.6</v>
      </c>
      <c r="Y20" s="35" t="str">
        <f t="shared" si="4"/>
        <v/>
      </c>
      <c r="Z20" s="36">
        <v>298811.938114285</v>
      </c>
      <c r="AA20" s="31">
        <f t="shared" si="32"/>
        <v>262087.95092003938</v>
      </c>
      <c r="AB20" s="31">
        <f t="shared" si="33"/>
        <v>36723.987194245623</v>
      </c>
      <c r="AC20" s="31">
        <f t="shared" si="34"/>
        <v>1337.1301790000002</v>
      </c>
      <c r="AD20" s="31">
        <f t="shared" si="35"/>
        <v>187.35982100000001</v>
      </c>
      <c r="AE20" s="27">
        <v>1524.4900000000002</v>
      </c>
      <c r="AF20" s="35">
        <f t="shared" si="5"/>
        <v>-0.99489816233708528</v>
      </c>
      <c r="AG20" s="36">
        <v>0</v>
      </c>
      <c r="AH20" s="31">
        <f t="shared" si="36"/>
        <v>0</v>
      </c>
      <c r="AI20" s="31">
        <f t="shared" si="37"/>
        <v>0</v>
      </c>
      <c r="AJ20" s="31">
        <f t="shared" si="38"/>
        <v>105153.25608199999</v>
      </c>
      <c r="AK20" s="31">
        <f t="shared" si="39"/>
        <v>14734.163917999997</v>
      </c>
      <c r="AL20" s="27">
        <v>119887.41999999998</v>
      </c>
      <c r="AM20" s="35" t="str">
        <f t="shared" si="6"/>
        <v/>
      </c>
      <c r="AN20" s="36">
        <v>7954.9439999999904</v>
      </c>
      <c r="AO20" s="31">
        <f t="shared" si="40"/>
        <v>6977.2813823999913</v>
      </c>
      <c r="AP20" s="31">
        <f t="shared" si="41"/>
        <v>977.66261759999884</v>
      </c>
      <c r="AQ20" s="31">
        <f t="shared" si="42"/>
        <v>0</v>
      </c>
      <c r="AR20" s="31">
        <f t="shared" si="43"/>
        <v>0</v>
      </c>
      <c r="AS20" s="27"/>
      <c r="AT20" s="35">
        <f t="shared" si="8"/>
        <v>-1</v>
      </c>
      <c r="AU20" s="36">
        <v>7954.9439999999904</v>
      </c>
      <c r="AV20" s="31">
        <f t="shared" si="44"/>
        <v>6977.2813823999913</v>
      </c>
      <c r="AW20" s="31">
        <f t="shared" si="45"/>
        <v>977.66261759999884</v>
      </c>
      <c r="AX20" s="31">
        <f t="shared" si="46"/>
        <v>0</v>
      </c>
      <c r="AY20" s="31">
        <f t="shared" si="47"/>
        <v>0</v>
      </c>
      <c r="AZ20" s="27"/>
      <c r="BA20" s="35">
        <f t="shared" si="10"/>
        <v>-1</v>
      </c>
      <c r="BB20" s="36">
        <v>145333.94399999999</v>
      </c>
      <c r="BC20" s="31">
        <f t="shared" si="48"/>
        <v>127472.4022824</v>
      </c>
      <c r="BD20" s="31">
        <f t="shared" si="49"/>
        <v>17861.541717599997</v>
      </c>
      <c r="BE20" s="31">
        <f t="shared" si="50"/>
        <v>0</v>
      </c>
      <c r="BF20" s="31">
        <f t="shared" si="51"/>
        <v>0</v>
      </c>
      <c r="BG20" s="27"/>
      <c r="BH20" s="35">
        <f t="shared" si="12"/>
        <v>-1</v>
      </c>
      <c r="BI20" s="36">
        <v>20491.88211428569</v>
      </c>
      <c r="BJ20" s="31">
        <f t="shared" si="52"/>
        <v>17973.42980243998</v>
      </c>
      <c r="BK20" s="31">
        <f t="shared" si="53"/>
        <v>2518.4523118457114</v>
      </c>
      <c r="BL20" s="31">
        <f t="shared" si="54"/>
        <v>0</v>
      </c>
      <c r="BM20" s="31">
        <f t="shared" si="55"/>
        <v>0</v>
      </c>
      <c r="BN20" s="27"/>
      <c r="BO20" s="37">
        <f t="shared" si="14"/>
        <v>-1</v>
      </c>
      <c r="BP20" s="36">
        <v>151658.94399999999</v>
      </c>
      <c r="BQ20" s="31">
        <f t="shared" si="56"/>
        <v>133020.0597824</v>
      </c>
      <c r="BR20" s="31">
        <f t="shared" si="57"/>
        <v>18638.884217599996</v>
      </c>
      <c r="BS20" s="31">
        <f t="shared" si="58"/>
        <v>0</v>
      </c>
      <c r="BT20" s="31">
        <f t="shared" si="59"/>
        <v>0</v>
      </c>
      <c r="BU20" s="27"/>
      <c r="BV20" s="37">
        <f t="shared" si="16"/>
        <v>-1</v>
      </c>
      <c r="BW20" s="36">
        <v>7954.9439999999904</v>
      </c>
      <c r="BX20" s="31">
        <f t="shared" si="60"/>
        <v>6977.2813823999913</v>
      </c>
      <c r="BY20" s="31">
        <f t="shared" si="61"/>
        <v>977.66261759999884</v>
      </c>
      <c r="BZ20" s="31">
        <f t="shared" si="62"/>
        <v>0</v>
      </c>
      <c r="CA20" s="31">
        <f t="shared" si="63"/>
        <v>0</v>
      </c>
      <c r="CB20" s="27"/>
      <c r="CC20" s="37">
        <f t="shared" si="18"/>
        <v>-1</v>
      </c>
      <c r="CD20" s="36">
        <v>7954.9439999999904</v>
      </c>
      <c r="CE20" s="31">
        <f t="shared" si="64"/>
        <v>6977.2813823999913</v>
      </c>
      <c r="CF20" s="31">
        <f t="shared" si="65"/>
        <v>977.66261759999884</v>
      </c>
      <c r="CG20" s="31">
        <f t="shared" si="66"/>
        <v>0</v>
      </c>
      <c r="CH20" s="31">
        <f t="shared" si="67"/>
        <v>0</v>
      </c>
      <c r="CI20" s="27"/>
      <c r="CJ20" s="37">
        <f t="shared" si="20"/>
        <v>-1</v>
      </c>
      <c r="CK20" s="36">
        <v>7954.9439999999904</v>
      </c>
      <c r="CL20" s="31">
        <f t="shared" si="68"/>
        <v>6977.2813823999913</v>
      </c>
      <c r="CM20" s="31">
        <f t="shared" si="69"/>
        <v>977.66261759999884</v>
      </c>
      <c r="CN20" s="31">
        <f t="shared" si="70"/>
        <v>0</v>
      </c>
      <c r="CO20" s="31">
        <f t="shared" si="71"/>
        <v>0</v>
      </c>
      <c r="CP20" s="27"/>
      <c r="CQ20" s="37">
        <f t="shared" si="22"/>
        <v>-1</v>
      </c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F20" s="28"/>
    </row>
    <row r="21" spans="1:110" s="26" customFormat="1" ht="16" customHeight="1" x14ac:dyDescent="0.2">
      <c r="A21" s="38" t="s">
        <v>45</v>
      </c>
      <c r="B21" s="30">
        <f t="shared" si="0"/>
        <v>68919.661500000002</v>
      </c>
      <c r="C21" s="31">
        <f t="shared" si="0"/>
        <v>60449.43510165</v>
      </c>
      <c r="D21" s="32">
        <f t="shared" si="0"/>
        <v>8470.2263983499997</v>
      </c>
      <c r="E21" s="30">
        <f t="shared" si="23"/>
        <v>68919.661500000002</v>
      </c>
      <c r="F21" s="33">
        <f t="shared" si="23"/>
        <v>60449.43510165</v>
      </c>
      <c r="G21" s="34">
        <f t="shared" si="23"/>
        <v>8470.2263983499997</v>
      </c>
      <c r="H21" s="31">
        <f t="shared" si="1"/>
        <v>42369.102630102789</v>
      </c>
      <c r="I21" s="33">
        <f t="shared" si="1"/>
        <v>5936.7947933412761</v>
      </c>
      <c r="J21" s="33">
        <f t="shared" si="1"/>
        <v>48305.897423444068</v>
      </c>
      <c r="K21" s="35">
        <f t="shared" si="2"/>
        <v>-0.2990984521384501</v>
      </c>
      <c r="L21" s="36">
        <v>68919.661500000002</v>
      </c>
      <c r="M21" s="31">
        <f t="shared" si="24"/>
        <v>60449.43510165</v>
      </c>
      <c r="N21" s="31">
        <f t="shared" si="25"/>
        <v>8470.2263983499997</v>
      </c>
      <c r="O21" s="31">
        <f t="shared" si="26"/>
        <v>0</v>
      </c>
      <c r="P21" s="31">
        <f t="shared" si="27"/>
        <v>0</v>
      </c>
      <c r="Q21" s="33">
        <v>0</v>
      </c>
      <c r="R21" s="35">
        <f t="shared" si="3"/>
        <v>-1</v>
      </c>
      <c r="S21" s="36">
        <v>0</v>
      </c>
      <c r="T21" s="31">
        <f t="shared" si="28"/>
        <v>0</v>
      </c>
      <c r="U21" s="31">
        <f t="shared" si="29"/>
        <v>0</v>
      </c>
      <c r="V21" s="31">
        <f t="shared" si="30"/>
        <v>0</v>
      </c>
      <c r="W21" s="31">
        <f t="shared" si="31"/>
        <v>0</v>
      </c>
      <c r="X21" s="33">
        <v>0</v>
      </c>
      <c r="Y21" s="35" t="str">
        <f t="shared" si="4"/>
        <v/>
      </c>
      <c r="Z21" s="36">
        <v>0</v>
      </c>
      <c r="AA21" s="31">
        <f t="shared" si="32"/>
        <v>0</v>
      </c>
      <c r="AB21" s="31">
        <f t="shared" si="33"/>
        <v>0</v>
      </c>
      <c r="AC21" s="31">
        <f t="shared" si="34"/>
        <v>11972.415000000001</v>
      </c>
      <c r="AD21" s="31">
        <f t="shared" si="35"/>
        <v>1677.585</v>
      </c>
      <c r="AE21" s="27">
        <v>13650</v>
      </c>
      <c r="AF21" s="35" t="str">
        <f t="shared" si="5"/>
        <v/>
      </c>
      <c r="AG21" s="36">
        <v>0</v>
      </c>
      <c r="AH21" s="31">
        <f t="shared" si="36"/>
        <v>0</v>
      </c>
      <c r="AI21" s="31">
        <f t="shared" si="37"/>
        <v>0</v>
      </c>
      <c r="AJ21" s="31">
        <f t="shared" si="38"/>
        <v>30396.687630102791</v>
      </c>
      <c r="AK21" s="31">
        <f t="shared" si="39"/>
        <v>4259.2097933412761</v>
      </c>
      <c r="AL21" s="27">
        <v>34655.897423444068</v>
      </c>
      <c r="AM21" s="35" t="str">
        <f t="shared" si="6"/>
        <v/>
      </c>
      <c r="AN21" s="36">
        <v>0</v>
      </c>
      <c r="AO21" s="31">
        <f t="shared" si="40"/>
        <v>0</v>
      </c>
      <c r="AP21" s="31">
        <f t="shared" si="41"/>
        <v>0</v>
      </c>
      <c r="AQ21" s="31">
        <f t="shared" si="42"/>
        <v>0</v>
      </c>
      <c r="AR21" s="31">
        <f t="shared" si="43"/>
        <v>0</v>
      </c>
      <c r="AS21" s="27"/>
      <c r="AT21" s="35" t="str">
        <f t="shared" si="8"/>
        <v/>
      </c>
      <c r="AU21" s="36">
        <v>0</v>
      </c>
      <c r="AV21" s="31">
        <f t="shared" si="44"/>
        <v>0</v>
      </c>
      <c r="AW21" s="31">
        <f t="shared" si="45"/>
        <v>0</v>
      </c>
      <c r="AX21" s="31">
        <f t="shared" si="46"/>
        <v>0</v>
      </c>
      <c r="AY21" s="31">
        <f t="shared" si="47"/>
        <v>0</v>
      </c>
      <c r="AZ21" s="27"/>
      <c r="BA21" s="35" t="str">
        <f t="shared" si="10"/>
        <v/>
      </c>
      <c r="BB21" s="36">
        <v>0</v>
      </c>
      <c r="BC21" s="31">
        <f t="shared" si="48"/>
        <v>0</v>
      </c>
      <c r="BD21" s="31">
        <f t="shared" si="49"/>
        <v>0</v>
      </c>
      <c r="BE21" s="31">
        <f t="shared" si="50"/>
        <v>0</v>
      </c>
      <c r="BF21" s="31">
        <f t="shared" si="51"/>
        <v>0</v>
      </c>
      <c r="BG21" s="27"/>
      <c r="BH21" s="35" t="str">
        <f t="shared" si="12"/>
        <v/>
      </c>
      <c r="BI21" s="36">
        <v>0</v>
      </c>
      <c r="BJ21" s="31">
        <f t="shared" si="52"/>
        <v>0</v>
      </c>
      <c r="BK21" s="31">
        <f t="shared" si="53"/>
        <v>0</v>
      </c>
      <c r="BL21" s="31">
        <f t="shared" si="54"/>
        <v>0</v>
      </c>
      <c r="BM21" s="31">
        <f t="shared" si="55"/>
        <v>0</v>
      </c>
      <c r="BN21" s="27"/>
      <c r="BO21" s="37" t="str">
        <f t="shared" si="14"/>
        <v/>
      </c>
      <c r="BP21" s="36">
        <v>0</v>
      </c>
      <c r="BQ21" s="31">
        <f t="shared" si="56"/>
        <v>0</v>
      </c>
      <c r="BR21" s="31">
        <f t="shared" si="57"/>
        <v>0</v>
      </c>
      <c r="BS21" s="31">
        <f t="shared" si="58"/>
        <v>0</v>
      </c>
      <c r="BT21" s="31">
        <f t="shared" si="59"/>
        <v>0</v>
      </c>
      <c r="BU21" s="27"/>
      <c r="BV21" s="37" t="str">
        <f t="shared" si="16"/>
        <v/>
      </c>
      <c r="BW21" s="36">
        <v>0</v>
      </c>
      <c r="BX21" s="31">
        <f t="shared" si="60"/>
        <v>0</v>
      </c>
      <c r="BY21" s="31">
        <f t="shared" si="61"/>
        <v>0</v>
      </c>
      <c r="BZ21" s="31">
        <f t="shared" si="62"/>
        <v>0</v>
      </c>
      <c r="CA21" s="31">
        <f t="shared" si="63"/>
        <v>0</v>
      </c>
      <c r="CB21" s="27"/>
      <c r="CC21" s="37" t="str">
        <f t="shared" si="18"/>
        <v/>
      </c>
      <c r="CD21" s="36">
        <v>0</v>
      </c>
      <c r="CE21" s="31">
        <f t="shared" si="64"/>
        <v>0</v>
      </c>
      <c r="CF21" s="31">
        <f t="shared" si="65"/>
        <v>0</v>
      </c>
      <c r="CG21" s="31">
        <f t="shared" si="66"/>
        <v>0</v>
      </c>
      <c r="CH21" s="31">
        <f t="shared" si="67"/>
        <v>0</v>
      </c>
      <c r="CI21" s="27"/>
      <c r="CJ21" s="37" t="str">
        <f t="shared" si="20"/>
        <v/>
      </c>
      <c r="CK21" s="36">
        <v>0</v>
      </c>
      <c r="CL21" s="31">
        <f t="shared" si="68"/>
        <v>0</v>
      </c>
      <c r="CM21" s="31">
        <f t="shared" si="69"/>
        <v>0</v>
      </c>
      <c r="CN21" s="31">
        <f t="shared" si="70"/>
        <v>0</v>
      </c>
      <c r="CO21" s="31">
        <f t="shared" si="71"/>
        <v>0</v>
      </c>
      <c r="CP21" s="27"/>
      <c r="CQ21" s="37" t="str">
        <f t="shared" si="22"/>
        <v/>
      </c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F21" s="28"/>
    </row>
    <row r="22" spans="1:110" s="26" customFormat="1" ht="16" customHeight="1" x14ac:dyDescent="0.2">
      <c r="A22" s="38" t="s">
        <v>46</v>
      </c>
      <c r="B22" s="30">
        <f t="shared" si="0"/>
        <v>187596.39999999863</v>
      </c>
      <c r="C22" s="31">
        <f t="shared" si="0"/>
        <v>164540.80243999884</v>
      </c>
      <c r="D22" s="32">
        <f t="shared" si="0"/>
        <v>23055.597559999835</v>
      </c>
      <c r="E22" s="30">
        <f t="shared" si="23"/>
        <v>62532.133333332895</v>
      </c>
      <c r="F22" s="33">
        <f t="shared" si="23"/>
        <v>54846.934146666281</v>
      </c>
      <c r="G22" s="34">
        <f t="shared" si="23"/>
        <v>7685.1991866666121</v>
      </c>
      <c r="H22" s="31">
        <f t="shared" si="1"/>
        <v>37232.725537616585</v>
      </c>
      <c r="I22" s="33">
        <f t="shared" si="1"/>
        <v>5217.081254786317</v>
      </c>
      <c r="J22" s="33">
        <f t="shared" si="1"/>
        <v>42449.806792402909</v>
      </c>
      <c r="K22" s="35">
        <f t="shared" si="2"/>
        <v>-0.32115210965024055</v>
      </c>
      <c r="L22" s="36">
        <v>15633.033333333224</v>
      </c>
      <c r="M22" s="31">
        <f t="shared" si="24"/>
        <v>13711.73353666657</v>
      </c>
      <c r="N22" s="31">
        <f t="shared" si="25"/>
        <v>1921.299796666653</v>
      </c>
      <c r="O22" s="31">
        <f t="shared" si="26"/>
        <v>15165.155606868931</v>
      </c>
      <c r="P22" s="31">
        <f t="shared" si="27"/>
        <v>2124.954536636862</v>
      </c>
      <c r="Q22" s="33">
        <v>17290.110143505794</v>
      </c>
      <c r="R22" s="35">
        <f t="shared" si="3"/>
        <v>0.10599841853079783</v>
      </c>
      <c r="S22" s="36">
        <v>15633.033333333224</v>
      </c>
      <c r="T22" s="31">
        <f t="shared" si="28"/>
        <v>13711.73353666657</v>
      </c>
      <c r="U22" s="31">
        <f t="shared" si="29"/>
        <v>1921.299796666653</v>
      </c>
      <c r="V22" s="31">
        <f t="shared" si="30"/>
        <v>12230.174111564624</v>
      </c>
      <c r="W22" s="31">
        <f t="shared" si="31"/>
        <v>1713.7024265320854</v>
      </c>
      <c r="X22" s="33">
        <v>13943.876538096709</v>
      </c>
      <c r="Y22" s="35">
        <f t="shared" si="4"/>
        <v>-0.10805048254038097</v>
      </c>
      <c r="Z22" s="36">
        <v>15633.033333333224</v>
      </c>
      <c r="AA22" s="31">
        <f t="shared" si="32"/>
        <v>13711.73353666657</v>
      </c>
      <c r="AB22" s="31">
        <f t="shared" si="33"/>
        <v>1921.299796666653</v>
      </c>
      <c r="AC22" s="31">
        <f t="shared" si="34"/>
        <v>5104.6114967175763</v>
      </c>
      <c r="AD22" s="31">
        <f t="shared" si="35"/>
        <v>715.26251618582842</v>
      </c>
      <c r="AE22" s="27">
        <v>5819.8740129034049</v>
      </c>
      <c r="AF22" s="35">
        <f t="shared" si="5"/>
        <v>-0.62771946500657072</v>
      </c>
      <c r="AG22" s="36">
        <v>15633.033333333224</v>
      </c>
      <c r="AH22" s="31">
        <f t="shared" si="36"/>
        <v>13711.73353666657</v>
      </c>
      <c r="AI22" s="31">
        <f t="shared" si="37"/>
        <v>1921.299796666653</v>
      </c>
      <c r="AJ22" s="31">
        <f t="shared" si="38"/>
        <v>4732.7843224654607</v>
      </c>
      <c r="AK22" s="31">
        <f t="shared" si="39"/>
        <v>663.16177543154163</v>
      </c>
      <c r="AL22" s="27">
        <v>5395.9460978970028</v>
      </c>
      <c r="AM22" s="35">
        <f t="shared" si="6"/>
        <v>-0.65483690958480811</v>
      </c>
      <c r="AN22" s="36">
        <v>15633.033333333224</v>
      </c>
      <c r="AO22" s="31">
        <f t="shared" si="40"/>
        <v>13711.73353666657</v>
      </c>
      <c r="AP22" s="31">
        <f t="shared" si="41"/>
        <v>1921.299796666653</v>
      </c>
      <c r="AQ22" s="31">
        <f t="shared" si="42"/>
        <v>0</v>
      </c>
      <c r="AR22" s="31">
        <f t="shared" si="43"/>
        <v>0</v>
      </c>
      <c r="AS22" s="27"/>
      <c r="AT22" s="35">
        <f t="shared" si="8"/>
        <v>-1</v>
      </c>
      <c r="AU22" s="36">
        <v>15633.033333333224</v>
      </c>
      <c r="AV22" s="31">
        <f t="shared" si="44"/>
        <v>13711.73353666657</v>
      </c>
      <c r="AW22" s="31">
        <f t="shared" si="45"/>
        <v>1921.299796666653</v>
      </c>
      <c r="AX22" s="31">
        <f t="shared" si="46"/>
        <v>0</v>
      </c>
      <c r="AY22" s="31">
        <f t="shared" si="47"/>
        <v>0</v>
      </c>
      <c r="AZ22" s="27"/>
      <c r="BA22" s="35">
        <f t="shared" si="10"/>
        <v>-1</v>
      </c>
      <c r="BB22" s="36">
        <v>15633.033333333224</v>
      </c>
      <c r="BC22" s="31">
        <f t="shared" si="48"/>
        <v>13711.73353666657</v>
      </c>
      <c r="BD22" s="31">
        <f t="shared" si="49"/>
        <v>1921.299796666653</v>
      </c>
      <c r="BE22" s="31">
        <f t="shared" si="50"/>
        <v>0</v>
      </c>
      <c r="BF22" s="31">
        <f t="shared" si="51"/>
        <v>0</v>
      </c>
      <c r="BG22" s="27"/>
      <c r="BH22" s="35">
        <f t="shared" si="12"/>
        <v>-1</v>
      </c>
      <c r="BI22" s="36">
        <v>15633.033333333224</v>
      </c>
      <c r="BJ22" s="31">
        <f t="shared" si="52"/>
        <v>13711.73353666657</v>
      </c>
      <c r="BK22" s="31">
        <f t="shared" si="53"/>
        <v>1921.299796666653</v>
      </c>
      <c r="BL22" s="31">
        <f t="shared" si="54"/>
        <v>0</v>
      </c>
      <c r="BM22" s="31">
        <f t="shared" si="55"/>
        <v>0</v>
      </c>
      <c r="BN22" s="27"/>
      <c r="BO22" s="37">
        <f t="shared" si="14"/>
        <v>-1</v>
      </c>
      <c r="BP22" s="36">
        <v>15633.033333333224</v>
      </c>
      <c r="BQ22" s="31">
        <f t="shared" si="56"/>
        <v>13711.73353666657</v>
      </c>
      <c r="BR22" s="31">
        <f t="shared" si="57"/>
        <v>1921.299796666653</v>
      </c>
      <c r="BS22" s="31">
        <f t="shared" si="58"/>
        <v>0</v>
      </c>
      <c r="BT22" s="31">
        <f t="shared" si="59"/>
        <v>0</v>
      </c>
      <c r="BU22" s="27"/>
      <c r="BV22" s="37">
        <f t="shared" si="16"/>
        <v>-1</v>
      </c>
      <c r="BW22" s="36">
        <v>15633.033333333224</v>
      </c>
      <c r="BX22" s="31">
        <f t="shared" si="60"/>
        <v>13711.73353666657</v>
      </c>
      <c r="BY22" s="31">
        <f t="shared" si="61"/>
        <v>1921.299796666653</v>
      </c>
      <c r="BZ22" s="31">
        <f t="shared" si="62"/>
        <v>0</v>
      </c>
      <c r="CA22" s="31">
        <f t="shared" si="63"/>
        <v>0</v>
      </c>
      <c r="CB22" s="27"/>
      <c r="CC22" s="37">
        <f t="shared" si="18"/>
        <v>-1</v>
      </c>
      <c r="CD22" s="36">
        <v>15633.033333333224</v>
      </c>
      <c r="CE22" s="31">
        <f t="shared" si="64"/>
        <v>13711.73353666657</v>
      </c>
      <c r="CF22" s="31">
        <f t="shared" si="65"/>
        <v>1921.299796666653</v>
      </c>
      <c r="CG22" s="31">
        <f t="shared" si="66"/>
        <v>0</v>
      </c>
      <c r="CH22" s="31">
        <f t="shared" si="67"/>
        <v>0</v>
      </c>
      <c r="CI22" s="27"/>
      <c r="CJ22" s="37">
        <f t="shared" si="20"/>
        <v>-1</v>
      </c>
      <c r="CK22" s="36">
        <v>15633.033333333224</v>
      </c>
      <c r="CL22" s="31">
        <f t="shared" si="68"/>
        <v>13711.73353666657</v>
      </c>
      <c r="CM22" s="31">
        <f t="shared" si="69"/>
        <v>1921.299796666653</v>
      </c>
      <c r="CN22" s="31">
        <f t="shared" si="70"/>
        <v>0</v>
      </c>
      <c r="CO22" s="31">
        <f t="shared" si="71"/>
        <v>0</v>
      </c>
      <c r="CP22" s="27"/>
      <c r="CQ22" s="37">
        <f t="shared" si="22"/>
        <v>-1</v>
      </c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F22" s="28"/>
    </row>
    <row r="23" spans="1:110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23"/>
        <v>0</v>
      </c>
      <c r="F23" s="33">
        <f t="shared" si="23"/>
        <v>0</v>
      </c>
      <c r="G23" s="34">
        <f t="shared" si="23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5" t="str">
        <f t="shared" si="2"/>
        <v/>
      </c>
      <c r="L23" s="36">
        <v>0</v>
      </c>
      <c r="M23" s="31">
        <f t="shared" si="24"/>
        <v>0</v>
      </c>
      <c r="N23" s="31">
        <f t="shared" si="25"/>
        <v>0</v>
      </c>
      <c r="O23" s="31">
        <f t="shared" si="26"/>
        <v>0</v>
      </c>
      <c r="P23" s="31">
        <f t="shared" si="27"/>
        <v>0</v>
      </c>
      <c r="Q23" s="33"/>
      <c r="R23" s="35" t="str">
        <f t="shared" si="3"/>
        <v/>
      </c>
      <c r="S23" s="36">
        <v>0</v>
      </c>
      <c r="T23" s="31">
        <f t="shared" si="28"/>
        <v>0</v>
      </c>
      <c r="U23" s="31">
        <f t="shared" si="29"/>
        <v>0</v>
      </c>
      <c r="V23" s="31">
        <f t="shared" si="30"/>
        <v>0</v>
      </c>
      <c r="W23" s="31">
        <f t="shared" si="31"/>
        <v>0</v>
      </c>
      <c r="X23" s="33"/>
      <c r="Y23" s="35" t="str">
        <f t="shared" si="4"/>
        <v/>
      </c>
      <c r="Z23" s="36">
        <v>0</v>
      </c>
      <c r="AA23" s="31">
        <f t="shared" si="32"/>
        <v>0</v>
      </c>
      <c r="AB23" s="31">
        <f t="shared" si="33"/>
        <v>0</v>
      </c>
      <c r="AC23" s="31">
        <f t="shared" si="34"/>
        <v>0</v>
      </c>
      <c r="AD23" s="31">
        <f t="shared" si="35"/>
        <v>0</v>
      </c>
      <c r="AE23" s="27"/>
      <c r="AF23" s="35" t="str">
        <f t="shared" si="5"/>
        <v/>
      </c>
      <c r="AG23" s="36">
        <v>0</v>
      </c>
      <c r="AH23" s="31">
        <f t="shared" si="36"/>
        <v>0</v>
      </c>
      <c r="AI23" s="31">
        <f t="shared" si="37"/>
        <v>0</v>
      </c>
      <c r="AJ23" s="31">
        <f t="shared" si="38"/>
        <v>0</v>
      </c>
      <c r="AK23" s="31">
        <f t="shared" si="39"/>
        <v>0</v>
      </c>
      <c r="AL23" s="27"/>
      <c r="AM23" s="35" t="str">
        <f t="shared" si="6"/>
        <v/>
      </c>
      <c r="AN23" s="36">
        <v>0</v>
      </c>
      <c r="AO23" s="31">
        <f t="shared" si="40"/>
        <v>0</v>
      </c>
      <c r="AP23" s="31">
        <f t="shared" si="41"/>
        <v>0</v>
      </c>
      <c r="AQ23" s="31">
        <f t="shared" si="42"/>
        <v>0</v>
      </c>
      <c r="AR23" s="31">
        <f t="shared" si="43"/>
        <v>0</v>
      </c>
      <c r="AS23" s="27"/>
      <c r="AT23" s="35" t="str">
        <f t="shared" si="8"/>
        <v/>
      </c>
      <c r="AU23" s="36">
        <v>0</v>
      </c>
      <c r="AV23" s="31">
        <f t="shared" si="44"/>
        <v>0</v>
      </c>
      <c r="AW23" s="31">
        <f t="shared" si="45"/>
        <v>0</v>
      </c>
      <c r="AX23" s="31">
        <f t="shared" si="46"/>
        <v>0</v>
      </c>
      <c r="AY23" s="31">
        <f t="shared" si="47"/>
        <v>0</v>
      </c>
      <c r="AZ23" s="27"/>
      <c r="BA23" s="35" t="str">
        <f t="shared" si="10"/>
        <v/>
      </c>
      <c r="BB23" s="36">
        <v>0</v>
      </c>
      <c r="BC23" s="31">
        <f t="shared" si="48"/>
        <v>0</v>
      </c>
      <c r="BD23" s="31">
        <f t="shared" si="49"/>
        <v>0</v>
      </c>
      <c r="BE23" s="31">
        <f t="shared" si="50"/>
        <v>0</v>
      </c>
      <c r="BF23" s="31">
        <f t="shared" si="51"/>
        <v>0</v>
      </c>
      <c r="BG23" s="27"/>
      <c r="BH23" s="35" t="str">
        <f t="shared" si="12"/>
        <v/>
      </c>
      <c r="BI23" s="36">
        <v>0</v>
      </c>
      <c r="BJ23" s="31">
        <f t="shared" si="52"/>
        <v>0</v>
      </c>
      <c r="BK23" s="31">
        <f t="shared" si="53"/>
        <v>0</v>
      </c>
      <c r="BL23" s="31">
        <f t="shared" si="54"/>
        <v>0</v>
      </c>
      <c r="BM23" s="31">
        <f t="shared" si="55"/>
        <v>0</v>
      </c>
      <c r="BN23" s="27"/>
      <c r="BO23" s="37" t="str">
        <f t="shared" si="14"/>
        <v/>
      </c>
      <c r="BP23" s="36">
        <v>0</v>
      </c>
      <c r="BQ23" s="31">
        <f t="shared" si="56"/>
        <v>0</v>
      </c>
      <c r="BR23" s="31">
        <f t="shared" si="57"/>
        <v>0</v>
      </c>
      <c r="BS23" s="31">
        <f t="shared" si="58"/>
        <v>0</v>
      </c>
      <c r="BT23" s="31">
        <f t="shared" si="59"/>
        <v>0</v>
      </c>
      <c r="BU23" s="27"/>
      <c r="BV23" s="37" t="str">
        <f t="shared" si="16"/>
        <v/>
      </c>
      <c r="BW23" s="36">
        <v>0</v>
      </c>
      <c r="BX23" s="31">
        <f t="shared" si="60"/>
        <v>0</v>
      </c>
      <c r="BY23" s="31">
        <f t="shared" si="61"/>
        <v>0</v>
      </c>
      <c r="BZ23" s="31">
        <f t="shared" si="62"/>
        <v>0</v>
      </c>
      <c r="CA23" s="31">
        <f t="shared" si="63"/>
        <v>0</v>
      </c>
      <c r="CB23" s="27"/>
      <c r="CC23" s="37" t="str">
        <f t="shared" si="18"/>
        <v/>
      </c>
      <c r="CD23" s="36">
        <v>0</v>
      </c>
      <c r="CE23" s="31">
        <f t="shared" si="64"/>
        <v>0</v>
      </c>
      <c r="CF23" s="31">
        <f t="shared" si="65"/>
        <v>0</v>
      </c>
      <c r="CG23" s="31">
        <f t="shared" si="66"/>
        <v>0</v>
      </c>
      <c r="CH23" s="31">
        <f t="shared" si="67"/>
        <v>0</v>
      </c>
      <c r="CI23" s="27"/>
      <c r="CJ23" s="37" t="str">
        <f t="shared" si="20"/>
        <v/>
      </c>
      <c r="CK23" s="36">
        <v>0</v>
      </c>
      <c r="CL23" s="31">
        <f t="shared" si="68"/>
        <v>0</v>
      </c>
      <c r="CM23" s="31">
        <f t="shared" si="69"/>
        <v>0</v>
      </c>
      <c r="CN23" s="31">
        <f t="shared" si="70"/>
        <v>0</v>
      </c>
      <c r="CO23" s="31">
        <f t="shared" si="71"/>
        <v>0</v>
      </c>
      <c r="CP23" s="27"/>
      <c r="CQ23" s="37" t="str">
        <f t="shared" si="22"/>
        <v/>
      </c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F23" s="28"/>
    </row>
    <row r="24" spans="1:110" s="26" customFormat="1" ht="16" customHeight="1" x14ac:dyDescent="0.2">
      <c r="A24" s="29" t="s">
        <v>48</v>
      </c>
      <c r="B24" s="30">
        <f t="shared" si="0"/>
        <v>152973.25589019142</v>
      </c>
      <c r="C24" s="31">
        <f t="shared" si="0"/>
        <v>134172.84274128688</v>
      </c>
      <c r="D24" s="32">
        <f t="shared" si="0"/>
        <v>18800.413148904525</v>
      </c>
      <c r="E24" s="30">
        <f t="shared" si="23"/>
        <v>51813.196637530469</v>
      </c>
      <c r="F24" s="33">
        <f t="shared" si="23"/>
        <v>45445.354770777973</v>
      </c>
      <c r="G24" s="34">
        <f t="shared" si="23"/>
        <v>6367.8418667524948</v>
      </c>
      <c r="H24" s="31">
        <f t="shared" si="1"/>
        <v>31322.197038999999</v>
      </c>
      <c r="I24" s="33">
        <f t="shared" si="1"/>
        <v>4388.8929609999996</v>
      </c>
      <c r="J24" s="33">
        <f t="shared" si="1"/>
        <v>35711.089999999997</v>
      </c>
      <c r="K24" s="35">
        <f t="shared" si="2"/>
        <v>-0.31077230671899991</v>
      </c>
      <c r="L24" s="36">
        <v>12953.299159382617</v>
      </c>
      <c r="M24" s="31">
        <f t="shared" si="24"/>
        <v>11361.338692694493</v>
      </c>
      <c r="N24" s="31">
        <f t="shared" si="25"/>
        <v>1591.9604666881237</v>
      </c>
      <c r="O24" s="31">
        <f t="shared" si="26"/>
        <v>18269.186067999995</v>
      </c>
      <c r="P24" s="31">
        <f t="shared" si="27"/>
        <v>2559.893931999999</v>
      </c>
      <c r="Q24" s="33">
        <v>20829.079999999994</v>
      </c>
      <c r="R24" s="35">
        <f t="shared" si="3"/>
        <v>0.60801350634387363</v>
      </c>
      <c r="S24" s="36">
        <v>12953.299159382617</v>
      </c>
      <c r="T24" s="31">
        <f t="shared" si="28"/>
        <v>11361.338692694493</v>
      </c>
      <c r="U24" s="31">
        <f t="shared" si="29"/>
        <v>1591.9604666881237</v>
      </c>
      <c r="V24" s="31">
        <f t="shared" si="30"/>
        <v>162.35121000000001</v>
      </c>
      <c r="W24" s="31">
        <f t="shared" si="31"/>
        <v>22.748790000000003</v>
      </c>
      <c r="X24" s="33">
        <v>185.10000000000002</v>
      </c>
      <c r="Y24" s="35">
        <f t="shared" si="4"/>
        <v>-0.98571020419412425</v>
      </c>
      <c r="Z24" s="36">
        <v>12953.299159382617</v>
      </c>
      <c r="AA24" s="31">
        <f t="shared" si="32"/>
        <v>11361.338692694493</v>
      </c>
      <c r="AB24" s="31">
        <f t="shared" si="33"/>
        <v>1591.9604666881237</v>
      </c>
      <c r="AC24" s="31">
        <f t="shared" si="34"/>
        <v>3558.3333030000003</v>
      </c>
      <c r="AD24" s="31">
        <f t="shared" si="35"/>
        <v>498.59669700000001</v>
      </c>
      <c r="AE24" s="27">
        <v>4056.9300000000003</v>
      </c>
      <c r="AF24" s="35">
        <f t="shared" si="5"/>
        <v>-0.68680334252441044</v>
      </c>
      <c r="AG24" s="36">
        <v>12953.299159382617</v>
      </c>
      <c r="AH24" s="31">
        <f t="shared" si="36"/>
        <v>11361.338692694493</v>
      </c>
      <c r="AI24" s="31">
        <f t="shared" si="37"/>
        <v>1591.9604666881237</v>
      </c>
      <c r="AJ24" s="31">
        <f t="shared" si="38"/>
        <v>9332.3264580000014</v>
      </c>
      <c r="AK24" s="31">
        <f t="shared" si="39"/>
        <v>1307.653542</v>
      </c>
      <c r="AL24" s="27">
        <v>10639.980000000001</v>
      </c>
      <c r="AM24" s="35">
        <f t="shared" si="6"/>
        <v>-0.1785891865013387</v>
      </c>
      <c r="AN24" s="36">
        <v>12953.299159382617</v>
      </c>
      <c r="AO24" s="31">
        <f t="shared" si="40"/>
        <v>11361.338692694493</v>
      </c>
      <c r="AP24" s="31">
        <f t="shared" si="41"/>
        <v>1591.9604666881237</v>
      </c>
      <c r="AQ24" s="31">
        <f t="shared" si="42"/>
        <v>0</v>
      </c>
      <c r="AR24" s="31">
        <f t="shared" si="43"/>
        <v>0</v>
      </c>
      <c r="AS24" s="27"/>
      <c r="AT24" s="35">
        <f t="shared" si="8"/>
        <v>-1</v>
      </c>
      <c r="AU24" s="36">
        <v>12953.299159382617</v>
      </c>
      <c r="AV24" s="31">
        <f t="shared" si="44"/>
        <v>11361.338692694493</v>
      </c>
      <c r="AW24" s="31">
        <f t="shared" si="45"/>
        <v>1591.9604666881237</v>
      </c>
      <c r="AX24" s="31">
        <f t="shared" si="46"/>
        <v>0</v>
      </c>
      <c r="AY24" s="31">
        <f t="shared" si="47"/>
        <v>0</v>
      </c>
      <c r="AZ24" s="27"/>
      <c r="BA24" s="35">
        <f t="shared" si="10"/>
        <v>-1</v>
      </c>
      <c r="BB24" s="36">
        <v>10486.965136982617</v>
      </c>
      <c r="BC24" s="31">
        <f t="shared" si="48"/>
        <v>9198.117121647454</v>
      </c>
      <c r="BD24" s="31">
        <f t="shared" si="49"/>
        <v>1288.8480153351636</v>
      </c>
      <c r="BE24" s="31">
        <f t="shared" si="50"/>
        <v>0</v>
      </c>
      <c r="BF24" s="31">
        <f t="shared" si="51"/>
        <v>0</v>
      </c>
      <c r="BG24" s="27"/>
      <c r="BH24" s="35">
        <f t="shared" si="12"/>
        <v>-1</v>
      </c>
      <c r="BI24" s="36">
        <v>12953.299159382617</v>
      </c>
      <c r="BJ24" s="31">
        <f t="shared" si="52"/>
        <v>11361.338692694493</v>
      </c>
      <c r="BK24" s="31">
        <f t="shared" si="53"/>
        <v>1591.9604666881237</v>
      </c>
      <c r="BL24" s="31">
        <f t="shared" si="54"/>
        <v>0</v>
      </c>
      <c r="BM24" s="31">
        <f t="shared" si="55"/>
        <v>0</v>
      </c>
      <c r="BN24" s="27"/>
      <c r="BO24" s="37">
        <f t="shared" si="14"/>
        <v>-1</v>
      </c>
      <c r="BP24" s="36">
        <v>12953.299159382617</v>
      </c>
      <c r="BQ24" s="31">
        <f t="shared" si="56"/>
        <v>11361.338692694493</v>
      </c>
      <c r="BR24" s="31">
        <f t="shared" si="57"/>
        <v>1591.9604666881237</v>
      </c>
      <c r="BS24" s="31">
        <f t="shared" si="58"/>
        <v>0</v>
      </c>
      <c r="BT24" s="31">
        <f t="shared" si="59"/>
        <v>0</v>
      </c>
      <c r="BU24" s="27"/>
      <c r="BV24" s="37">
        <f t="shared" si="16"/>
        <v>-1</v>
      </c>
      <c r="BW24" s="36">
        <v>12953.299159382617</v>
      </c>
      <c r="BX24" s="31">
        <f t="shared" si="60"/>
        <v>11361.338692694493</v>
      </c>
      <c r="BY24" s="31">
        <f t="shared" si="61"/>
        <v>1591.9604666881237</v>
      </c>
      <c r="BZ24" s="31">
        <f t="shared" si="62"/>
        <v>0</v>
      </c>
      <c r="CA24" s="31">
        <f t="shared" si="63"/>
        <v>0</v>
      </c>
      <c r="CB24" s="27"/>
      <c r="CC24" s="37">
        <f t="shared" si="18"/>
        <v>-1</v>
      </c>
      <c r="CD24" s="36">
        <v>12953.299159382617</v>
      </c>
      <c r="CE24" s="31">
        <f t="shared" si="64"/>
        <v>11361.338692694493</v>
      </c>
      <c r="CF24" s="31">
        <f t="shared" si="65"/>
        <v>1591.9604666881237</v>
      </c>
      <c r="CG24" s="31">
        <f t="shared" si="66"/>
        <v>0</v>
      </c>
      <c r="CH24" s="31">
        <f t="shared" si="67"/>
        <v>0</v>
      </c>
      <c r="CI24" s="27"/>
      <c r="CJ24" s="37">
        <f t="shared" si="20"/>
        <v>-1</v>
      </c>
      <c r="CK24" s="36">
        <v>12953.299159382617</v>
      </c>
      <c r="CL24" s="31">
        <f t="shared" si="68"/>
        <v>11361.338692694493</v>
      </c>
      <c r="CM24" s="31">
        <f t="shared" si="69"/>
        <v>1591.9604666881237</v>
      </c>
      <c r="CN24" s="31">
        <f t="shared" si="70"/>
        <v>0</v>
      </c>
      <c r="CO24" s="31">
        <f t="shared" si="71"/>
        <v>0</v>
      </c>
      <c r="CP24" s="27"/>
      <c r="CQ24" s="37">
        <f t="shared" si="22"/>
        <v>-1</v>
      </c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F24" s="28"/>
    </row>
    <row r="25" spans="1:110" s="26" customFormat="1" ht="16" customHeight="1" x14ac:dyDescent="0.2">
      <c r="A25" s="29" t="s">
        <v>49</v>
      </c>
      <c r="B25" s="30">
        <f t="shared" si="0"/>
        <v>364654.15363199939</v>
      </c>
      <c r="C25" s="31">
        <f t="shared" si="0"/>
        <v>319838.15815062658</v>
      </c>
      <c r="D25" s="32">
        <f t="shared" si="0"/>
        <v>44815.995481372709</v>
      </c>
      <c r="E25" s="30">
        <f t="shared" si="23"/>
        <v>118593.4600799999</v>
      </c>
      <c r="F25" s="33">
        <f t="shared" si="23"/>
        <v>104018.32383616791</v>
      </c>
      <c r="G25" s="34">
        <f t="shared" si="23"/>
        <v>14575.136243831988</v>
      </c>
      <c r="H25" s="31">
        <f t="shared" si="1"/>
        <v>156736.94552600005</v>
      </c>
      <c r="I25" s="33">
        <f t="shared" si="1"/>
        <v>21962.114474000002</v>
      </c>
      <c r="J25" s="33">
        <f t="shared" si="1"/>
        <v>178699.06000000003</v>
      </c>
      <c r="K25" s="35">
        <f t="shared" si="2"/>
        <v>0.50682052686087853</v>
      </c>
      <c r="L25" s="36">
        <v>0</v>
      </c>
      <c r="M25" s="31">
        <f t="shared" si="24"/>
        <v>0</v>
      </c>
      <c r="N25" s="31">
        <f t="shared" si="25"/>
        <v>0</v>
      </c>
      <c r="O25" s="31">
        <f t="shared" si="26"/>
        <v>13023.584266</v>
      </c>
      <c r="P25" s="31">
        <f t="shared" si="27"/>
        <v>1824.8757339999997</v>
      </c>
      <c r="Q25" s="33">
        <v>14848.46</v>
      </c>
      <c r="R25" s="35" t="str">
        <f t="shared" si="3"/>
        <v/>
      </c>
      <c r="S25" s="36">
        <v>0</v>
      </c>
      <c r="T25" s="31">
        <f t="shared" si="28"/>
        <v>0</v>
      </c>
      <c r="U25" s="31">
        <f t="shared" si="29"/>
        <v>0</v>
      </c>
      <c r="V25" s="31">
        <f t="shared" si="30"/>
        <v>17333.732605000001</v>
      </c>
      <c r="W25" s="31">
        <f t="shared" si="31"/>
        <v>2428.8173950000005</v>
      </c>
      <c r="X25" s="33">
        <v>19762.550000000003</v>
      </c>
      <c r="Y25" s="35" t="str">
        <f t="shared" si="4"/>
        <v/>
      </c>
      <c r="Z25" s="36">
        <v>51409.540559999907</v>
      </c>
      <c r="AA25" s="31">
        <f t="shared" si="32"/>
        <v>45091.308025175917</v>
      </c>
      <c r="AB25" s="31">
        <f t="shared" si="33"/>
        <v>6318.2325348239883</v>
      </c>
      <c r="AC25" s="31">
        <f t="shared" si="34"/>
        <v>31199.867902000009</v>
      </c>
      <c r="AD25" s="31">
        <f t="shared" si="35"/>
        <v>4371.7520980000008</v>
      </c>
      <c r="AE25" s="27">
        <v>35571.62000000001</v>
      </c>
      <c r="AF25" s="35">
        <f t="shared" si="5"/>
        <v>-0.30807356742500958</v>
      </c>
      <c r="AG25" s="36">
        <v>67183.919519999996</v>
      </c>
      <c r="AH25" s="31">
        <f t="shared" si="36"/>
        <v>58927.015810991994</v>
      </c>
      <c r="AI25" s="31">
        <f t="shared" si="37"/>
        <v>8256.9037090080001</v>
      </c>
      <c r="AJ25" s="31">
        <f t="shared" si="38"/>
        <v>95179.760753000024</v>
      </c>
      <c r="AK25" s="31">
        <f t="shared" si="39"/>
        <v>13336.669247000002</v>
      </c>
      <c r="AL25" s="27">
        <v>108516.43000000002</v>
      </c>
      <c r="AM25" s="35">
        <f t="shared" si="6"/>
        <v>0.61521433663446423</v>
      </c>
      <c r="AN25" s="36">
        <v>67183.919519999996</v>
      </c>
      <c r="AO25" s="31">
        <f t="shared" si="40"/>
        <v>58927.015810991994</v>
      </c>
      <c r="AP25" s="31">
        <f t="shared" si="41"/>
        <v>8256.9037090080001</v>
      </c>
      <c r="AQ25" s="31">
        <f t="shared" si="42"/>
        <v>0</v>
      </c>
      <c r="AR25" s="31">
        <f t="shared" si="43"/>
        <v>0</v>
      </c>
      <c r="AS25" s="27"/>
      <c r="AT25" s="35">
        <f t="shared" si="8"/>
        <v>-1</v>
      </c>
      <c r="AU25" s="36">
        <v>70111.612319999796</v>
      </c>
      <c r="AV25" s="31">
        <f t="shared" si="44"/>
        <v>61494.895165871822</v>
      </c>
      <c r="AW25" s="31">
        <f t="shared" si="45"/>
        <v>8616.7171541279749</v>
      </c>
      <c r="AX25" s="31">
        <f t="shared" si="46"/>
        <v>0</v>
      </c>
      <c r="AY25" s="31">
        <f t="shared" si="47"/>
        <v>0</v>
      </c>
      <c r="AZ25" s="27"/>
      <c r="BA25" s="35">
        <f t="shared" si="10"/>
        <v>-1</v>
      </c>
      <c r="BB25" s="36">
        <v>21808.25231999989</v>
      </c>
      <c r="BC25" s="31">
        <f t="shared" si="48"/>
        <v>19128.018109871904</v>
      </c>
      <c r="BD25" s="31">
        <f t="shared" si="49"/>
        <v>2680.2342101279864</v>
      </c>
      <c r="BE25" s="31">
        <f t="shared" si="50"/>
        <v>0</v>
      </c>
      <c r="BF25" s="31">
        <f t="shared" si="51"/>
        <v>0</v>
      </c>
      <c r="BG25" s="27"/>
      <c r="BH25" s="35">
        <f t="shared" si="12"/>
        <v>-1</v>
      </c>
      <c r="BI25" s="36">
        <v>21808.25231999989</v>
      </c>
      <c r="BJ25" s="31">
        <f t="shared" si="52"/>
        <v>19128.018109871904</v>
      </c>
      <c r="BK25" s="31">
        <f t="shared" si="53"/>
        <v>2680.2342101279864</v>
      </c>
      <c r="BL25" s="31">
        <f t="shared" si="54"/>
        <v>0</v>
      </c>
      <c r="BM25" s="31">
        <f t="shared" si="55"/>
        <v>0</v>
      </c>
      <c r="BN25" s="27"/>
      <c r="BO25" s="37">
        <f t="shared" si="14"/>
        <v>-1</v>
      </c>
      <c r="BP25" s="36">
        <v>21808.25231999989</v>
      </c>
      <c r="BQ25" s="31">
        <f t="shared" si="56"/>
        <v>19128.018109871904</v>
      </c>
      <c r="BR25" s="31">
        <f t="shared" si="57"/>
        <v>2680.2342101279864</v>
      </c>
      <c r="BS25" s="31">
        <f t="shared" si="58"/>
        <v>0</v>
      </c>
      <c r="BT25" s="31">
        <f t="shared" si="59"/>
        <v>0</v>
      </c>
      <c r="BU25" s="27"/>
      <c r="BV25" s="37">
        <f t="shared" si="16"/>
        <v>-1</v>
      </c>
      <c r="BW25" s="36">
        <v>18350.078711999991</v>
      </c>
      <c r="BX25" s="31">
        <f t="shared" si="60"/>
        <v>16094.854038295192</v>
      </c>
      <c r="BY25" s="31">
        <f t="shared" si="61"/>
        <v>2255.224673704799</v>
      </c>
      <c r="BZ25" s="31">
        <f t="shared" si="62"/>
        <v>0</v>
      </c>
      <c r="CA25" s="31">
        <f t="shared" si="63"/>
        <v>0</v>
      </c>
      <c r="CB25" s="27"/>
      <c r="CC25" s="37">
        <f t="shared" si="18"/>
        <v>-1</v>
      </c>
      <c r="CD25" s="36">
        <v>12495.163019999989</v>
      </c>
      <c r="CE25" s="31">
        <f t="shared" si="64"/>
        <v>10959.50748484199</v>
      </c>
      <c r="CF25" s="31">
        <f t="shared" si="65"/>
        <v>1535.6555351579987</v>
      </c>
      <c r="CG25" s="31">
        <f t="shared" si="66"/>
        <v>0</v>
      </c>
      <c r="CH25" s="31">
        <f t="shared" si="67"/>
        <v>0</v>
      </c>
      <c r="CI25" s="27"/>
      <c r="CJ25" s="37">
        <f t="shared" si="20"/>
        <v>-1</v>
      </c>
      <c r="CK25" s="36">
        <v>12495.163019999989</v>
      </c>
      <c r="CL25" s="31">
        <f t="shared" si="68"/>
        <v>10959.50748484199</v>
      </c>
      <c r="CM25" s="31">
        <f t="shared" si="69"/>
        <v>1535.6555351579987</v>
      </c>
      <c r="CN25" s="31">
        <f t="shared" si="70"/>
        <v>0</v>
      </c>
      <c r="CO25" s="31">
        <f t="shared" si="71"/>
        <v>0</v>
      </c>
      <c r="CP25" s="27"/>
      <c r="CQ25" s="37">
        <f t="shared" si="22"/>
        <v>-1</v>
      </c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F25" s="28"/>
    </row>
    <row r="26" spans="1:110" s="26" customFormat="1" ht="16" customHeight="1" x14ac:dyDescent="0.2">
      <c r="A26" s="29" t="s">
        <v>50</v>
      </c>
      <c r="B26" s="30">
        <f t="shared" si="0"/>
        <v>2121249.4381862385</v>
      </c>
      <c r="C26" s="31">
        <f t="shared" si="0"/>
        <v>1860547.8822331498</v>
      </c>
      <c r="D26" s="32">
        <f t="shared" si="0"/>
        <v>260701.55595308877</v>
      </c>
      <c r="E26" s="30">
        <f t="shared" si="23"/>
        <v>574122.44250965293</v>
      </c>
      <c r="F26" s="33">
        <f t="shared" si="23"/>
        <v>503562.79432521656</v>
      </c>
      <c r="G26" s="34">
        <f t="shared" si="23"/>
        <v>70559.648184436344</v>
      </c>
      <c r="H26" s="31">
        <f t="shared" si="1"/>
        <v>628785.70769106655</v>
      </c>
      <c r="I26" s="33">
        <f t="shared" si="1"/>
        <v>88105.989596661821</v>
      </c>
      <c r="J26" s="33">
        <f t="shared" si="1"/>
        <v>716891.69728772831</v>
      </c>
      <c r="K26" s="35">
        <f t="shared" si="2"/>
        <v>0.24867387896210835</v>
      </c>
      <c r="L26" s="36">
        <v>60934.545040213241</v>
      </c>
      <c r="M26" s="31">
        <f t="shared" si="24"/>
        <v>53445.689454771033</v>
      </c>
      <c r="N26" s="31">
        <f t="shared" si="25"/>
        <v>7488.8555854422075</v>
      </c>
      <c r="O26" s="31">
        <f t="shared" si="26"/>
        <v>121341.14524699998</v>
      </c>
      <c r="P26" s="31">
        <f t="shared" si="27"/>
        <v>17002.424752999996</v>
      </c>
      <c r="Q26" s="33">
        <v>138343.56999999998</v>
      </c>
      <c r="R26" s="35">
        <f t="shared" si="3"/>
        <v>1.2703635500798653</v>
      </c>
      <c r="S26" s="36">
        <v>125358.68584021323</v>
      </c>
      <c r="T26" s="31">
        <f t="shared" si="28"/>
        <v>109952.10335045103</v>
      </c>
      <c r="U26" s="31">
        <f t="shared" si="29"/>
        <v>15406.582489762206</v>
      </c>
      <c r="V26" s="31">
        <f t="shared" si="30"/>
        <v>110015.18395731329</v>
      </c>
      <c r="W26" s="31">
        <f t="shared" si="31"/>
        <v>15415.421398191542</v>
      </c>
      <c r="X26" s="33">
        <v>125430.60535550483</v>
      </c>
      <c r="Y26" s="35">
        <f t="shared" si="4"/>
        <v>5.7370986948024338E-4</v>
      </c>
      <c r="Z26" s="36">
        <v>193914.60581461323</v>
      </c>
      <c r="AA26" s="31">
        <f t="shared" si="32"/>
        <v>170082.50075999726</v>
      </c>
      <c r="AB26" s="31">
        <f t="shared" si="33"/>
        <v>23832.105054615964</v>
      </c>
      <c r="AC26" s="31">
        <f t="shared" si="34"/>
        <v>164103.7802887533</v>
      </c>
      <c r="AD26" s="31">
        <f t="shared" si="35"/>
        <v>22994.361643470278</v>
      </c>
      <c r="AE26" s="27">
        <v>187098.14193222357</v>
      </c>
      <c r="AF26" s="35">
        <f t="shared" si="5"/>
        <v>-3.5151884788432786E-2</v>
      </c>
      <c r="AG26" s="36">
        <v>193914.60581461323</v>
      </c>
      <c r="AH26" s="31">
        <f t="shared" si="36"/>
        <v>170082.50075999726</v>
      </c>
      <c r="AI26" s="31">
        <f t="shared" si="37"/>
        <v>23832.105054615964</v>
      </c>
      <c r="AJ26" s="31">
        <f t="shared" si="38"/>
        <v>233325.59819799999</v>
      </c>
      <c r="AK26" s="31">
        <f t="shared" si="39"/>
        <v>32693.781801999998</v>
      </c>
      <c r="AL26" s="27">
        <v>266019.38</v>
      </c>
      <c r="AM26" s="35">
        <f t="shared" si="6"/>
        <v>0.37183776787974687</v>
      </c>
      <c r="AN26" s="36">
        <v>217511.77384021322</v>
      </c>
      <c r="AO26" s="31">
        <f t="shared" si="40"/>
        <v>190779.57683525101</v>
      </c>
      <c r="AP26" s="31">
        <f t="shared" si="41"/>
        <v>26732.197004962203</v>
      </c>
      <c r="AQ26" s="31">
        <f t="shared" si="42"/>
        <v>0</v>
      </c>
      <c r="AR26" s="31">
        <f t="shared" si="43"/>
        <v>0</v>
      </c>
      <c r="AS26" s="27"/>
      <c r="AT26" s="35">
        <f t="shared" si="8"/>
        <v>-1</v>
      </c>
      <c r="AU26" s="36">
        <v>167929.09541461326</v>
      </c>
      <c r="AV26" s="31">
        <f t="shared" si="44"/>
        <v>147290.6095881573</v>
      </c>
      <c r="AW26" s="31">
        <f t="shared" si="45"/>
        <v>20638.48582645597</v>
      </c>
      <c r="AX26" s="31">
        <f t="shared" si="46"/>
        <v>0</v>
      </c>
      <c r="AY26" s="31">
        <f t="shared" si="47"/>
        <v>0</v>
      </c>
      <c r="AZ26" s="27"/>
      <c r="BA26" s="35">
        <f t="shared" si="10"/>
        <v>-1</v>
      </c>
      <c r="BB26" s="36">
        <v>144331.92738901323</v>
      </c>
      <c r="BC26" s="31">
        <f t="shared" si="48"/>
        <v>126593.53351290351</v>
      </c>
      <c r="BD26" s="31">
        <f t="shared" si="49"/>
        <v>17738.393876109727</v>
      </c>
      <c r="BE26" s="31">
        <f t="shared" si="50"/>
        <v>0</v>
      </c>
      <c r="BF26" s="31">
        <f t="shared" si="51"/>
        <v>0</v>
      </c>
      <c r="BG26" s="27"/>
      <c r="BH26" s="35">
        <f t="shared" si="12"/>
        <v>-1</v>
      </c>
      <c r="BI26" s="36">
        <v>193914.60581461323</v>
      </c>
      <c r="BJ26" s="31">
        <f t="shared" si="52"/>
        <v>170082.50075999726</v>
      </c>
      <c r="BK26" s="31">
        <f t="shared" si="53"/>
        <v>23832.105054615964</v>
      </c>
      <c r="BL26" s="31">
        <f t="shared" si="54"/>
        <v>0</v>
      </c>
      <c r="BM26" s="31">
        <f t="shared" si="55"/>
        <v>0</v>
      </c>
      <c r="BN26" s="27"/>
      <c r="BO26" s="37">
        <f t="shared" si="14"/>
        <v>-1</v>
      </c>
      <c r="BP26" s="36">
        <v>243564.06617173326</v>
      </c>
      <c r="BQ26" s="31">
        <f t="shared" si="56"/>
        <v>213630.04243922723</v>
      </c>
      <c r="BR26" s="31">
        <f t="shared" si="57"/>
        <v>29934.023732506015</v>
      </c>
      <c r="BS26" s="31">
        <f t="shared" si="58"/>
        <v>0</v>
      </c>
      <c r="BT26" s="31">
        <f t="shared" si="59"/>
        <v>0</v>
      </c>
      <c r="BU26" s="27"/>
      <c r="BV26" s="37">
        <f t="shared" si="16"/>
        <v>-1</v>
      </c>
      <c r="BW26" s="36">
        <v>238406.72067733321</v>
      </c>
      <c r="BX26" s="31">
        <f t="shared" si="60"/>
        <v>209106.53470608898</v>
      </c>
      <c r="BY26" s="31">
        <f t="shared" si="61"/>
        <v>29300.185971244249</v>
      </c>
      <c r="BZ26" s="31">
        <f t="shared" si="62"/>
        <v>0</v>
      </c>
      <c r="CA26" s="31">
        <f t="shared" si="63"/>
        <v>0</v>
      </c>
      <c r="CB26" s="27"/>
      <c r="CC26" s="37">
        <f t="shared" si="18"/>
        <v>-1</v>
      </c>
      <c r="CD26" s="36">
        <v>172800.29277173322</v>
      </c>
      <c r="CE26" s="31">
        <f t="shared" si="64"/>
        <v>151563.13679008721</v>
      </c>
      <c r="CF26" s="31">
        <f t="shared" si="65"/>
        <v>21237.15598164601</v>
      </c>
      <c r="CG26" s="31">
        <f t="shared" si="66"/>
        <v>0</v>
      </c>
      <c r="CH26" s="31">
        <f t="shared" si="67"/>
        <v>0</v>
      </c>
      <c r="CI26" s="27"/>
      <c r="CJ26" s="37">
        <f t="shared" si="20"/>
        <v>-1</v>
      </c>
      <c r="CK26" s="36">
        <v>168668.51359733325</v>
      </c>
      <c r="CL26" s="31">
        <f t="shared" si="68"/>
        <v>147939.15327622098</v>
      </c>
      <c r="CM26" s="31">
        <f t="shared" si="69"/>
        <v>20729.360321112257</v>
      </c>
      <c r="CN26" s="31">
        <f t="shared" si="70"/>
        <v>0</v>
      </c>
      <c r="CO26" s="31">
        <f t="shared" si="71"/>
        <v>0</v>
      </c>
      <c r="CP26" s="27"/>
      <c r="CQ26" s="37">
        <f t="shared" si="22"/>
        <v>-1</v>
      </c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F26" s="28"/>
    </row>
    <row r="27" spans="1:110" s="26" customFormat="1" ht="16" customHeight="1" x14ac:dyDescent="0.2">
      <c r="A27" s="29" t="s">
        <v>51</v>
      </c>
      <c r="B27" s="30">
        <f t="shared" si="0"/>
        <v>119372.2712399999</v>
      </c>
      <c r="C27" s="31">
        <f t="shared" si="0"/>
        <v>104701.4191046039</v>
      </c>
      <c r="D27" s="32">
        <f t="shared" si="0"/>
        <v>14670.852135395988</v>
      </c>
      <c r="E27" s="30">
        <f t="shared" si="23"/>
        <v>33808.412159999971</v>
      </c>
      <c r="F27" s="33">
        <f t="shared" si="23"/>
        <v>29653.358305535978</v>
      </c>
      <c r="G27" s="34">
        <f t="shared" si="23"/>
        <v>4155.0538544639967</v>
      </c>
      <c r="H27" s="31">
        <f t="shared" si="1"/>
        <v>65534.491203999991</v>
      </c>
      <c r="I27" s="33">
        <f t="shared" si="1"/>
        <v>9182.748795999998</v>
      </c>
      <c r="J27" s="33">
        <f t="shared" si="1"/>
        <v>74717.239999999991</v>
      </c>
      <c r="K27" s="35">
        <f t="shared" si="2"/>
        <v>1.2100192001445373</v>
      </c>
      <c r="L27" s="36">
        <v>2805.7804799999999</v>
      </c>
      <c r="M27" s="31">
        <f t="shared" si="24"/>
        <v>2460.9500590079997</v>
      </c>
      <c r="N27" s="31">
        <f t="shared" si="25"/>
        <v>344.83042099199997</v>
      </c>
      <c r="O27" s="31">
        <f t="shared" si="26"/>
        <v>30615.964889999996</v>
      </c>
      <c r="P27" s="31">
        <f t="shared" si="27"/>
        <v>4289.9351099999994</v>
      </c>
      <c r="Q27" s="33">
        <v>34905.899999999994</v>
      </c>
      <c r="R27" s="35">
        <f t="shared" si="3"/>
        <v>11.440709545459521</v>
      </c>
      <c r="S27" s="36">
        <v>10129.059839999991</v>
      </c>
      <c r="T27" s="31">
        <f t="shared" si="28"/>
        <v>8884.1983856639927</v>
      </c>
      <c r="U27" s="31">
        <f t="shared" si="29"/>
        <v>1244.8614543359988</v>
      </c>
      <c r="V27" s="31">
        <f t="shared" si="30"/>
        <v>9713.2509879999998</v>
      </c>
      <c r="W27" s="31">
        <f t="shared" si="31"/>
        <v>1361.029012</v>
      </c>
      <c r="X27" s="33">
        <v>11074.28</v>
      </c>
      <c r="Y27" s="35">
        <f t="shared" si="4"/>
        <v>9.3317659776014361E-2</v>
      </c>
      <c r="Z27" s="36">
        <v>10129.059839999991</v>
      </c>
      <c r="AA27" s="31">
        <f t="shared" si="32"/>
        <v>8884.1983856639927</v>
      </c>
      <c r="AB27" s="31">
        <f t="shared" si="33"/>
        <v>1244.8614543359988</v>
      </c>
      <c r="AC27" s="31">
        <f t="shared" si="34"/>
        <v>12750.279905999998</v>
      </c>
      <c r="AD27" s="31">
        <f t="shared" si="35"/>
        <v>1786.5800939999995</v>
      </c>
      <c r="AE27" s="27">
        <v>14536.859999999997</v>
      </c>
      <c r="AF27" s="35">
        <f t="shared" si="5"/>
        <v>0.43516379897307522</v>
      </c>
      <c r="AG27" s="36">
        <v>10744.51199999999</v>
      </c>
      <c r="AH27" s="31">
        <f t="shared" si="36"/>
        <v>9424.0114751999918</v>
      </c>
      <c r="AI27" s="31">
        <f t="shared" si="37"/>
        <v>1320.5005247999986</v>
      </c>
      <c r="AJ27" s="31">
        <f t="shared" si="38"/>
        <v>12454.995420000001</v>
      </c>
      <c r="AK27" s="31">
        <f t="shared" si="39"/>
        <v>1745.2045800000001</v>
      </c>
      <c r="AL27" s="27">
        <v>14200.2</v>
      </c>
      <c r="AM27" s="35">
        <f t="shared" si="6"/>
        <v>0.32162354139490135</v>
      </c>
      <c r="AN27" s="36">
        <v>4208.8319999999903</v>
      </c>
      <c r="AO27" s="31">
        <f t="shared" si="40"/>
        <v>3691.5665471999914</v>
      </c>
      <c r="AP27" s="31">
        <f t="shared" si="41"/>
        <v>517.2654527999988</v>
      </c>
      <c r="AQ27" s="31">
        <f t="shared" si="42"/>
        <v>0</v>
      </c>
      <c r="AR27" s="31">
        <f t="shared" si="43"/>
        <v>0</v>
      </c>
      <c r="AS27" s="27"/>
      <c r="AT27" s="35">
        <f t="shared" si="8"/>
        <v>-1</v>
      </c>
      <c r="AU27" s="36">
        <v>13550.292479999989</v>
      </c>
      <c r="AV27" s="31">
        <f t="shared" si="44"/>
        <v>11884.961534207991</v>
      </c>
      <c r="AW27" s="31">
        <f t="shared" si="45"/>
        <v>1665.3309457919986</v>
      </c>
      <c r="AX27" s="31">
        <f t="shared" si="46"/>
        <v>0</v>
      </c>
      <c r="AY27" s="31">
        <f t="shared" si="47"/>
        <v>0</v>
      </c>
      <c r="AZ27" s="27"/>
      <c r="BA27" s="35">
        <f t="shared" si="10"/>
        <v>-1</v>
      </c>
      <c r="BB27" s="36">
        <v>7014.6124799999998</v>
      </c>
      <c r="BC27" s="31">
        <f t="shared" si="48"/>
        <v>6152.5166062079998</v>
      </c>
      <c r="BD27" s="31">
        <f t="shared" si="49"/>
        <v>862.09587379199991</v>
      </c>
      <c r="BE27" s="31">
        <f t="shared" si="50"/>
        <v>0</v>
      </c>
      <c r="BF27" s="31">
        <f t="shared" si="51"/>
        <v>0</v>
      </c>
      <c r="BG27" s="27"/>
      <c r="BH27" s="35">
        <f t="shared" si="12"/>
        <v>-1</v>
      </c>
      <c r="BI27" s="36">
        <v>13550.292479999989</v>
      </c>
      <c r="BJ27" s="31">
        <f t="shared" si="52"/>
        <v>11884.961534207991</v>
      </c>
      <c r="BK27" s="31">
        <f t="shared" si="53"/>
        <v>1665.3309457919986</v>
      </c>
      <c r="BL27" s="31">
        <f t="shared" si="54"/>
        <v>0</v>
      </c>
      <c r="BM27" s="31">
        <f t="shared" si="55"/>
        <v>0</v>
      </c>
      <c r="BN27" s="27"/>
      <c r="BO27" s="37">
        <f t="shared" si="14"/>
        <v>-1</v>
      </c>
      <c r="BP27" s="36">
        <v>13550.292479999989</v>
      </c>
      <c r="BQ27" s="31">
        <f t="shared" si="56"/>
        <v>11884.961534207991</v>
      </c>
      <c r="BR27" s="31">
        <f t="shared" si="57"/>
        <v>1665.3309457919986</v>
      </c>
      <c r="BS27" s="31">
        <f t="shared" si="58"/>
        <v>0</v>
      </c>
      <c r="BT27" s="31">
        <f t="shared" si="59"/>
        <v>0</v>
      </c>
      <c r="BU27" s="27"/>
      <c r="BV27" s="37">
        <f t="shared" si="16"/>
        <v>-1</v>
      </c>
      <c r="BW27" s="36">
        <v>13100.36603999999</v>
      </c>
      <c r="BX27" s="31">
        <f t="shared" si="60"/>
        <v>11490.331053683991</v>
      </c>
      <c r="BY27" s="31">
        <f t="shared" si="61"/>
        <v>1610.0349863159986</v>
      </c>
      <c r="BZ27" s="31">
        <f t="shared" si="62"/>
        <v>0</v>
      </c>
      <c r="CA27" s="31">
        <f t="shared" si="63"/>
        <v>0</v>
      </c>
      <c r="CB27" s="27"/>
      <c r="CC27" s="37">
        <f t="shared" si="18"/>
        <v>-1</v>
      </c>
      <c r="CD27" s="36">
        <v>10294.58555999999</v>
      </c>
      <c r="CE27" s="31">
        <f t="shared" si="64"/>
        <v>9029.380994675992</v>
      </c>
      <c r="CF27" s="31">
        <f t="shared" si="65"/>
        <v>1265.2045653239988</v>
      </c>
      <c r="CG27" s="31">
        <f t="shared" si="66"/>
        <v>0</v>
      </c>
      <c r="CH27" s="31">
        <f t="shared" si="67"/>
        <v>0</v>
      </c>
      <c r="CI27" s="27"/>
      <c r="CJ27" s="37">
        <f t="shared" si="20"/>
        <v>-1</v>
      </c>
      <c r="CK27" s="36">
        <v>10294.58555999999</v>
      </c>
      <c r="CL27" s="31">
        <f t="shared" si="68"/>
        <v>9029.380994675992</v>
      </c>
      <c r="CM27" s="31">
        <f t="shared" si="69"/>
        <v>1265.2045653239988</v>
      </c>
      <c r="CN27" s="31">
        <f t="shared" si="70"/>
        <v>0</v>
      </c>
      <c r="CO27" s="31">
        <f t="shared" si="71"/>
        <v>0</v>
      </c>
      <c r="CP27" s="27"/>
      <c r="CQ27" s="37">
        <f t="shared" si="22"/>
        <v>-1</v>
      </c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F27" s="28"/>
    </row>
    <row r="28" spans="1:110" s="26" customFormat="1" ht="16" customHeight="1" x14ac:dyDescent="0.2">
      <c r="A28" s="29" t="s">
        <v>52</v>
      </c>
      <c r="B28" s="30">
        <f t="shared" si="0"/>
        <v>122662.05635999992</v>
      </c>
      <c r="C28" s="31">
        <f t="shared" si="0"/>
        <v>107586.8896333559</v>
      </c>
      <c r="D28" s="32">
        <f t="shared" si="0"/>
        <v>15075.166726643991</v>
      </c>
      <c r="E28" s="30">
        <f t="shared" si="23"/>
        <v>41648.44799999996</v>
      </c>
      <c r="F28" s="33">
        <f t="shared" si="23"/>
        <v>36529.853740799968</v>
      </c>
      <c r="G28" s="34">
        <f t="shared" si="23"/>
        <v>5118.5942591999947</v>
      </c>
      <c r="H28" s="31">
        <f t="shared" si="1"/>
        <v>32840.378199999999</v>
      </c>
      <c r="I28" s="33">
        <f t="shared" si="1"/>
        <v>4601.6217999999999</v>
      </c>
      <c r="J28" s="33">
        <f t="shared" si="1"/>
        <v>37442</v>
      </c>
      <c r="K28" s="35">
        <f t="shared" si="2"/>
        <v>-0.10099891357296109</v>
      </c>
      <c r="L28" s="36">
        <v>8866.9439999999904</v>
      </c>
      <c r="M28" s="31">
        <f t="shared" si="24"/>
        <v>7777.1965823999917</v>
      </c>
      <c r="N28" s="31">
        <f t="shared" si="25"/>
        <v>1089.7474175999987</v>
      </c>
      <c r="O28" s="31">
        <f t="shared" si="26"/>
        <v>13241.973395000005</v>
      </c>
      <c r="P28" s="31">
        <f t="shared" si="27"/>
        <v>1855.4766050000005</v>
      </c>
      <c r="Q28" s="33">
        <v>15097.450000000004</v>
      </c>
      <c r="R28" s="35">
        <f t="shared" si="3"/>
        <v>0.7026666684711238</v>
      </c>
      <c r="S28" s="36">
        <v>8866.9439999999904</v>
      </c>
      <c r="T28" s="31">
        <f t="shared" si="28"/>
        <v>7777.1965823999917</v>
      </c>
      <c r="U28" s="31">
        <f t="shared" si="29"/>
        <v>1089.7474175999987</v>
      </c>
      <c r="V28" s="31">
        <f t="shared" si="30"/>
        <v>8094.3348919999989</v>
      </c>
      <c r="W28" s="31">
        <f t="shared" si="31"/>
        <v>1134.1851079999999</v>
      </c>
      <c r="X28" s="33">
        <v>9228.5199999999986</v>
      </c>
      <c r="Y28" s="35">
        <f t="shared" si="4"/>
        <v>4.0777972658901263E-2</v>
      </c>
      <c r="Z28" s="36">
        <v>11822.591999999991</v>
      </c>
      <c r="AA28" s="31">
        <f t="shared" si="32"/>
        <v>10369.595443199993</v>
      </c>
      <c r="AB28" s="31">
        <f t="shared" si="33"/>
        <v>1452.9965567999989</v>
      </c>
      <c r="AC28" s="31">
        <f t="shared" si="34"/>
        <v>4138.6665179999991</v>
      </c>
      <c r="AD28" s="31">
        <f t="shared" si="35"/>
        <v>579.91348199999982</v>
      </c>
      <c r="AE28" s="27">
        <v>4718.579999999999</v>
      </c>
      <c r="AF28" s="35">
        <f t="shared" si="5"/>
        <v>-0.60088447609458218</v>
      </c>
      <c r="AG28" s="36">
        <v>12091.96799999999</v>
      </c>
      <c r="AH28" s="31">
        <f t="shared" si="36"/>
        <v>10605.865132799991</v>
      </c>
      <c r="AI28" s="31">
        <f t="shared" si="37"/>
        <v>1486.1028671999986</v>
      </c>
      <c r="AJ28" s="31">
        <f t="shared" si="38"/>
        <v>7365.4033949999994</v>
      </c>
      <c r="AK28" s="31">
        <f t="shared" si="39"/>
        <v>1032.0466049999998</v>
      </c>
      <c r="AL28" s="27">
        <v>8397.4499999999989</v>
      </c>
      <c r="AM28" s="35">
        <f t="shared" si="6"/>
        <v>-0.30553488067451007</v>
      </c>
      <c r="AN28" s="36">
        <v>10344.767999999991</v>
      </c>
      <c r="AO28" s="31">
        <f t="shared" si="40"/>
        <v>9073.3960127999926</v>
      </c>
      <c r="AP28" s="31">
        <f t="shared" si="41"/>
        <v>1271.3719871999988</v>
      </c>
      <c r="AQ28" s="31">
        <f t="shared" si="42"/>
        <v>0</v>
      </c>
      <c r="AR28" s="31">
        <f t="shared" si="43"/>
        <v>0</v>
      </c>
      <c r="AS28" s="27"/>
      <c r="AT28" s="35">
        <f t="shared" si="8"/>
        <v>-1</v>
      </c>
      <c r="AU28" s="36">
        <v>9136.32</v>
      </c>
      <c r="AV28" s="31">
        <f t="shared" si="44"/>
        <v>8013.4662719999997</v>
      </c>
      <c r="AW28" s="31">
        <f t="shared" si="45"/>
        <v>1122.8537279999998</v>
      </c>
      <c r="AX28" s="31">
        <f t="shared" si="46"/>
        <v>0</v>
      </c>
      <c r="AY28" s="31">
        <f t="shared" si="47"/>
        <v>0</v>
      </c>
      <c r="AZ28" s="27"/>
      <c r="BA28" s="35">
        <f t="shared" si="10"/>
        <v>-1</v>
      </c>
      <c r="BB28" s="36">
        <v>7389.1199999999899</v>
      </c>
      <c r="BC28" s="31">
        <f t="shared" si="48"/>
        <v>6480.9971519999908</v>
      </c>
      <c r="BD28" s="31">
        <f t="shared" si="49"/>
        <v>908.12284799999873</v>
      </c>
      <c r="BE28" s="31">
        <f t="shared" si="50"/>
        <v>0</v>
      </c>
      <c r="BF28" s="31">
        <f t="shared" si="51"/>
        <v>0</v>
      </c>
      <c r="BG28" s="27"/>
      <c r="BH28" s="35">
        <f t="shared" si="12"/>
        <v>-1</v>
      </c>
      <c r="BI28" s="36">
        <v>12091.96799999999</v>
      </c>
      <c r="BJ28" s="31">
        <f t="shared" si="52"/>
        <v>10605.865132799991</v>
      </c>
      <c r="BK28" s="31">
        <f t="shared" si="53"/>
        <v>1486.1028671999986</v>
      </c>
      <c r="BL28" s="31">
        <f t="shared" si="54"/>
        <v>0</v>
      </c>
      <c r="BM28" s="31">
        <f t="shared" si="55"/>
        <v>0</v>
      </c>
      <c r="BN28" s="27"/>
      <c r="BO28" s="37">
        <f t="shared" si="14"/>
        <v>-1</v>
      </c>
      <c r="BP28" s="36">
        <v>12091.96799999999</v>
      </c>
      <c r="BQ28" s="31">
        <f t="shared" si="56"/>
        <v>10605.865132799991</v>
      </c>
      <c r="BR28" s="31">
        <f t="shared" si="57"/>
        <v>1486.1028671999986</v>
      </c>
      <c r="BS28" s="31">
        <f t="shared" si="58"/>
        <v>0</v>
      </c>
      <c r="BT28" s="31">
        <f t="shared" si="59"/>
        <v>0</v>
      </c>
      <c r="BU28" s="27"/>
      <c r="BV28" s="37">
        <f t="shared" si="16"/>
        <v>-1</v>
      </c>
      <c r="BW28" s="36">
        <v>11956.92011999999</v>
      </c>
      <c r="BX28" s="31">
        <f t="shared" si="60"/>
        <v>10487.414637251992</v>
      </c>
      <c r="BY28" s="31">
        <f t="shared" si="61"/>
        <v>1469.5054827479987</v>
      </c>
      <c r="BZ28" s="31">
        <f t="shared" si="62"/>
        <v>0</v>
      </c>
      <c r="CA28" s="31">
        <f t="shared" si="63"/>
        <v>0</v>
      </c>
      <c r="CB28" s="27"/>
      <c r="CC28" s="37">
        <f t="shared" si="18"/>
        <v>-1</v>
      </c>
      <c r="CD28" s="36">
        <v>9001.2721199999996</v>
      </c>
      <c r="CE28" s="31">
        <f t="shared" si="64"/>
        <v>7895.015776452</v>
      </c>
      <c r="CF28" s="31">
        <f t="shared" si="65"/>
        <v>1106.2563435479999</v>
      </c>
      <c r="CG28" s="31">
        <f t="shared" si="66"/>
        <v>0</v>
      </c>
      <c r="CH28" s="31">
        <f t="shared" si="67"/>
        <v>0</v>
      </c>
      <c r="CI28" s="27"/>
      <c r="CJ28" s="37">
        <f t="shared" si="20"/>
        <v>-1</v>
      </c>
      <c r="CK28" s="36">
        <v>9001.2721199999996</v>
      </c>
      <c r="CL28" s="31">
        <f t="shared" si="68"/>
        <v>7895.015776452</v>
      </c>
      <c r="CM28" s="31">
        <f t="shared" si="69"/>
        <v>1106.2563435479999</v>
      </c>
      <c r="CN28" s="31">
        <f t="shared" si="70"/>
        <v>0</v>
      </c>
      <c r="CO28" s="31">
        <f t="shared" si="71"/>
        <v>0</v>
      </c>
      <c r="CP28" s="27"/>
      <c r="CQ28" s="37">
        <f t="shared" si="22"/>
        <v>-1</v>
      </c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F28" s="28"/>
    </row>
    <row r="29" spans="1:110" s="26" customFormat="1" ht="16" customHeight="1" x14ac:dyDescent="0.2">
      <c r="A29" s="29" t="s">
        <v>53</v>
      </c>
      <c r="B29" s="30">
        <f t="shared" si="0"/>
        <v>211290.05999999994</v>
      </c>
      <c r="C29" s="31">
        <f t="shared" si="0"/>
        <v>185322.5116259999</v>
      </c>
      <c r="D29" s="32">
        <f t="shared" si="0"/>
        <v>25967.548373999987</v>
      </c>
      <c r="E29" s="30">
        <f t="shared" si="23"/>
        <v>70430.01999999996</v>
      </c>
      <c r="F29" s="33">
        <f t="shared" si="23"/>
        <v>61774.170541999963</v>
      </c>
      <c r="G29" s="34">
        <f t="shared" si="23"/>
        <v>8655.8494579999951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5">
        <f t="shared" si="2"/>
        <v>-1</v>
      </c>
      <c r="L29" s="36">
        <v>17607.50499999999</v>
      </c>
      <c r="M29" s="31">
        <f t="shared" si="24"/>
        <v>15443.542635499991</v>
      </c>
      <c r="N29" s="31">
        <f t="shared" si="25"/>
        <v>2163.9623644999988</v>
      </c>
      <c r="O29" s="31">
        <f t="shared" si="26"/>
        <v>0</v>
      </c>
      <c r="P29" s="31">
        <f t="shared" si="27"/>
        <v>0</v>
      </c>
      <c r="Q29" s="33">
        <v>0</v>
      </c>
      <c r="R29" s="35">
        <f t="shared" si="3"/>
        <v>-1</v>
      </c>
      <c r="S29" s="36">
        <v>17607.50499999999</v>
      </c>
      <c r="T29" s="31">
        <f t="shared" si="28"/>
        <v>15443.542635499991</v>
      </c>
      <c r="U29" s="31">
        <f t="shared" si="29"/>
        <v>2163.9623644999988</v>
      </c>
      <c r="V29" s="31">
        <f t="shared" si="30"/>
        <v>0</v>
      </c>
      <c r="W29" s="31">
        <f t="shared" si="31"/>
        <v>0</v>
      </c>
      <c r="X29" s="33">
        <v>0</v>
      </c>
      <c r="Y29" s="35">
        <f t="shared" si="4"/>
        <v>-1</v>
      </c>
      <c r="Z29" s="36">
        <v>17607.50499999999</v>
      </c>
      <c r="AA29" s="31">
        <f t="shared" si="32"/>
        <v>15443.542635499991</v>
      </c>
      <c r="AB29" s="31">
        <f t="shared" si="33"/>
        <v>2163.9623644999988</v>
      </c>
      <c r="AC29" s="31">
        <f t="shared" si="34"/>
        <v>0</v>
      </c>
      <c r="AD29" s="31">
        <f t="shared" si="35"/>
        <v>0</v>
      </c>
      <c r="AE29" s="27">
        <v>0</v>
      </c>
      <c r="AF29" s="35">
        <f t="shared" si="5"/>
        <v>-1</v>
      </c>
      <c r="AG29" s="36">
        <v>17607.50499999999</v>
      </c>
      <c r="AH29" s="31">
        <f t="shared" si="36"/>
        <v>15443.542635499991</v>
      </c>
      <c r="AI29" s="31">
        <f t="shared" si="37"/>
        <v>2163.9623644999988</v>
      </c>
      <c r="AJ29" s="31">
        <f t="shared" si="38"/>
        <v>0</v>
      </c>
      <c r="AK29" s="31">
        <f t="shared" si="39"/>
        <v>0</v>
      </c>
      <c r="AL29" s="27">
        <v>0</v>
      </c>
      <c r="AM29" s="35">
        <f t="shared" si="6"/>
        <v>-1</v>
      </c>
      <c r="AN29" s="36">
        <v>17607.50499999999</v>
      </c>
      <c r="AO29" s="31">
        <f t="shared" si="40"/>
        <v>15443.542635499991</v>
      </c>
      <c r="AP29" s="31">
        <f t="shared" si="41"/>
        <v>2163.9623644999988</v>
      </c>
      <c r="AQ29" s="31">
        <f t="shared" si="42"/>
        <v>0</v>
      </c>
      <c r="AR29" s="31">
        <f t="shared" si="43"/>
        <v>0</v>
      </c>
      <c r="AS29" s="27"/>
      <c r="AT29" s="35">
        <f t="shared" si="8"/>
        <v>-1</v>
      </c>
      <c r="AU29" s="36">
        <v>17607.50499999999</v>
      </c>
      <c r="AV29" s="31">
        <f t="shared" si="44"/>
        <v>15443.542635499991</v>
      </c>
      <c r="AW29" s="31">
        <f t="shared" si="45"/>
        <v>2163.9623644999988</v>
      </c>
      <c r="AX29" s="31">
        <f t="shared" si="46"/>
        <v>0</v>
      </c>
      <c r="AY29" s="31">
        <f t="shared" si="47"/>
        <v>0</v>
      </c>
      <c r="AZ29" s="27"/>
      <c r="BA29" s="35">
        <f t="shared" si="10"/>
        <v>-1</v>
      </c>
      <c r="BB29" s="36">
        <v>17607.50499999999</v>
      </c>
      <c r="BC29" s="31">
        <f t="shared" si="48"/>
        <v>15443.542635499991</v>
      </c>
      <c r="BD29" s="31">
        <f t="shared" si="49"/>
        <v>2163.9623644999988</v>
      </c>
      <c r="BE29" s="31">
        <f t="shared" si="50"/>
        <v>0</v>
      </c>
      <c r="BF29" s="31">
        <f t="shared" si="51"/>
        <v>0</v>
      </c>
      <c r="BG29" s="27"/>
      <c r="BH29" s="35">
        <f t="shared" si="12"/>
        <v>-1</v>
      </c>
      <c r="BI29" s="36">
        <v>17607.50499999999</v>
      </c>
      <c r="BJ29" s="31">
        <f t="shared" si="52"/>
        <v>15443.542635499991</v>
      </c>
      <c r="BK29" s="31">
        <f t="shared" si="53"/>
        <v>2163.9623644999988</v>
      </c>
      <c r="BL29" s="31">
        <f t="shared" si="54"/>
        <v>0</v>
      </c>
      <c r="BM29" s="31">
        <f t="shared" si="55"/>
        <v>0</v>
      </c>
      <c r="BN29" s="27"/>
      <c r="BO29" s="37">
        <f t="shared" si="14"/>
        <v>-1</v>
      </c>
      <c r="BP29" s="36">
        <v>17607.50499999999</v>
      </c>
      <c r="BQ29" s="31">
        <f t="shared" si="56"/>
        <v>15443.542635499991</v>
      </c>
      <c r="BR29" s="31">
        <f t="shared" si="57"/>
        <v>2163.9623644999988</v>
      </c>
      <c r="BS29" s="31">
        <f t="shared" si="58"/>
        <v>0</v>
      </c>
      <c r="BT29" s="31">
        <f t="shared" si="59"/>
        <v>0</v>
      </c>
      <c r="BU29" s="27"/>
      <c r="BV29" s="37">
        <f t="shared" si="16"/>
        <v>-1</v>
      </c>
      <c r="BW29" s="36">
        <v>17607.50499999999</v>
      </c>
      <c r="BX29" s="31">
        <f t="shared" si="60"/>
        <v>15443.542635499991</v>
      </c>
      <c r="BY29" s="31">
        <f t="shared" si="61"/>
        <v>2163.9623644999988</v>
      </c>
      <c r="BZ29" s="31">
        <f t="shared" si="62"/>
        <v>0</v>
      </c>
      <c r="CA29" s="31">
        <f t="shared" si="63"/>
        <v>0</v>
      </c>
      <c r="CB29" s="27"/>
      <c r="CC29" s="37">
        <f t="shared" si="18"/>
        <v>-1</v>
      </c>
      <c r="CD29" s="36">
        <v>17607.50499999999</v>
      </c>
      <c r="CE29" s="31">
        <f t="shared" si="64"/>
        <v>15443.542635499991</v>
      </c>
      <c r="CF29" s="31">
        <f t="shared" si="65"/>
        <v>2163.9623644999988</v>
      </c>
      <c r="CG29" s="31">
        <f t="shared" si="66"/>
        <v>0</v>
      </c>
      <c r="CH29" s="31">
        <f t="shared" si="67"/>
        <v>0</v>
      </c>
      <c r="CI29" s="27"/>
      <c r="CJ29" s="37">
        <f t="shared" si="20"/>
        <v>-1</v>
      </c>
      <c r="CK29" s="36">
        <v>17607.50499999999</v>
      </c>
      <c r="CL29" s="31">
        <f t="shared" si="68"/>
        <v>15443.542635499991</v>
      </c>
      <c r="CM29" s="31">
        <f t="shared" si="69"/>
        <v>2163.9623644999988</v>
      </c>
      <c r="CN29" s="31">
        <f t="shared" si="70"/>
        <v>0</v>
      </c>
      <c r="CO29" s="31">
        <f t="shared" si="71"/>
        <v>0</v>
      </c>
      <c r="CP29" s="27"/>
      <c r="CQ29" s="37">
        <f t="shared" si="22"/>
        <v>-1</v>
      </c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F29" s="28"/>
    </row>
    <row r="30" spans="1:110" s="26" customFormat="1" ht="16" customHeight="1" x14ac:dyDescent="0.2">
      <c r="A30" s="29" t="s">
        <v>54</v>
      </c>
      <c r="B30" s="30">
        <f t="shared" si="0"/>
        <v>35096.000000000007</v>
      </c>
      <c r="C30" s="31">
        <f t="shared" si="0"/>
        <v>30782.7016</v>
      </c>
      <c r="D30" s="32">
        <f t="shared" si="0"/>
        <v>4313.2983999999988</v>
      </c>
      <c r="E30" s="30">
        <f t="shared" si="23"/>
        <v>11698.666666666666</v>
      </c>
      <c r="F30" s="33">
        <f t="shared" si="23"/>
        <v>10260.900533333333</v>
      </c>
      <c r="G30" s="34">
        <f t="shared" si="23"/>
        <v>1437.7661333333333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5">
        <f t="shared" si="2"/>
        <v>-1</v>
      </c>
      <c r="L30" s="36">
        <v>2924.6666666666665</v>
      </c>
      <c r="M30" s="31">
        <f t="shared" si="24"/>
        <v>2565.2251333333334</v>
      </c>
      <c r="N30" s="31">
        <f t="shared" si="25"/>
        <v>359.44153333333333</v>
      </c>
      <c r="O30" s="31">
        <f t="shared" si="26"/>
        <v>0</v>
      </c>
      <c r="P30" s="31">
        <f t="shared" si="27"/>
        <v>0</v>
      </c>
      <c r="Q30" s="33">
        <v>0</v>
      </c>
      <c r="R30" s="35">
        <f t="shared" si="3"/>
        <v>-1</v>
      </c>
      <c r="S30" s="36">
        <v>2924.6666666666665</v>
      </c>
      <c r="T30" s="31">
        <f t="shared" si="28"/>
        <v>2565.2251333333334</v>
      </c>
      <c r="U30" s="31">
        <f t="shared" si="29"/>
        <v>359.44153333333333</v>
      </c>
      <c r="V30" s="31">
        <f t="shared" si="30"/>
        <v>0</v>
      </c>
      <c r="W30" s="31">
        <f t="shared" si="31"/>
        <v>0</v>
      </c>
      <c r="X30" s="33">
        <v>0</v>
      </c>
      <c r="Y30" s="35">
        <f t="shared" si="4"/>
        <v>-1</v>
      </c>
      <c r="Z30" s="36">
        <v>2924.6666666666665</v>
      </c>
      <c r="AA30" s="31">
        <f t="shared" si="32"/>
        <v>2565.2251333333334</v>
      </c>
      <c r="AB30" s="31">
        <f t="shared" si="33"/>
        <v>359.44153333333333</v>
      </c>
      <c r="AC30" s="31">
        <f t="shared" si="34"/>
        <v>0</v>
      </c>
      <c r="AD30" s="31">
        <f t="shared" si="35"/>
        <v>0</v>
      </c>
      <c r="AE30" s="27">
        <v>0</v>
      </c>
      <c r="AF30" s="35">
        <f t="shared" si="5"/>
        <v>-1</v>
      </c>
      <c r="AG30" s="36">
        <v>2924.6666666666665</v>
      </c>
      <c r="AH30" s="31">
        <f t="shared" si="36"/>
        <v>2565.2251333333334</v>
      </c>
      <c r="AI30" s="31">
        <f t="shared" si="37"/>
        <v>359.44153333333333</v>
      </c>
      <c r="AJ30" s="31">
        <f t="shared" si="38"/>
        <v>0</v>
      </c>
      <c r="AK30" s="31">
        <f t="shared" si="39"/>
        <v>0</v>
      </c>
      <c r="AL30" s="27">
        <v>0</v>
      </c>
      <c r="AM30" s="35">
        <f t="shared" si="6"/>
        <v>-1</v>
      </c>
      <c r="AN30" s="36">
        <v>2924.6666666666665</v>
      </c>
      <c r="AO30" s="31">
        <f t="shared" si="40"/>
        <v>2565.2251333333334</v>
      </c>
      <c r="AP30" s="31">
        <f t="shared" si="41"/>
        <v>359.44153333333333</v>
      </c>
      <c r="AQ30" s="31">
        <f t="shared" si="42"/>
        <v>0</v>
      </c>
      <c r="AR30" s="31">
        <f t="shared" si="43"/>
        <v>0</v>
      </c>
      <c r="AS30" s="27">
        <f t="shared" ref="AS30:AS31" si="72">CW30*0.51</f>
        <v>0</v>
      </c>
      <c r="AT30" s="35">
        <f t="shared" si="8"/>
        <v>-1</v>
      </c>
      <c r="AU30" s="36">
        <v>2924.6666666666665</v>
      </c>
      <c r="AV30" s="31">
        <f t="shared" si="44"/>
        <v>2565.2251333333334</v>
      </c>
      <c r="AW30" s="31">
        <f t="shared" si="45"/>
        <v>359.44153333333333</v>
      </c>
      <c r="AX30" s="31">
        <f t="shared" si="46"/>
        <v>0</v>
      </c>
      <c r="AY30" s="31">
        <f t="shared" si="47"/>
        <v>0</v>
      </c>
      <c r="AZ30" s="27">
        <f t="shared" ref="AZ30:AZ31" si="73">CX30*0.51</f>
        <v>0</v>
      </c>
      <c r="BA30" s="35">
        <f t="shared" si="10"/>
        <v>-1</v>
      </c>
      <c r="BB30" s="36">
        <v>2924.6666666666665</v>
      </c>
      <c r="BC30" s="31">
        <f t="shared" si="48"/>
        <v>2565.2251333333334</v>
      </c>
      <c r="BD30" s="31">
        <f t="shared" si="49"/>
        <v>359.44153333333333</v>
      </c>
      <c r="BE30" s="31">
        <f t="shared" si="50"/>
        <v>0</v>
      </c>
      <c r="BF30" s="31">
        <f t="shared" si="51"/>
        <v>0</v>
      </c>
      <c r="BG30" s="27">
        <f t="shared" ref="BG30:BG31" si="74">CY30*0.51</f>
        <v>0</v>
      </c>
      <c r="BH30" s="35">
        <f t="shared" si="12"/>
        <v>-1</v>
      </c>
      <c r="BI30" s="36">
        <v>2924.6666666666665</v>
      </c>
      <c r="BJ30" s="31">
        <f t="shared" si="52"/>
        <v>2565.2251333333334</v>
      </c>
      <c r="BK30" s="31">
        <f t="shared" si="53"/>
        <v>359.44153333333333</v>
      </c>
      <c r="BL30" s="31">
        <f t="shared" si="54"/>
        <v>0</v>
      </c>
      <c r="BM30" s="31">
        <f t="shared" si="55"/>
        <v>0</v>
      </c>
      <c r="BN30" s="27">
        <f t="shared" ref="BN30:BN31" si="75">CZ30*0.51</f>
        <v>0</v>
      </c>
      <c r="BO30" s="37">
        <f t="shared" si="14"/>
        <v>-1</v>
      </c>
      <c r="BP30" s="36">
        <v>2924.6666666666665</v>
      </c>
      <c r="BQ30" s="31">
        <f t="shared" si="56"/>
        <v>2565.2251333333334</v>
      </c>
      <c r="BR30" s="31">
        <f t="shared" si="57"/>
        <v>359.44153333333333</v>
      </c>
      <c r="BS30" s="31">
        <f t="shared" si="58"/>
        <v>0</v>
      </c>
      <c r="BT30" s="31">
        <f t="shared" si="59"/>
        <v>0</v>
      </c>
      <c r="BU30" s="27">
        <f t="shared" ref="BU30:BU31" si="76">DA30*0.51</f>
        <v>0</v>
      </c>
      <c r="BV30" s="37">
        <f t="shared" si="16"/>
        <v>-1</v>
      </c>
      <c r="BW30" s="36">
        <v>2924.6666666666665</v>
      </c>
      <c r="BX30" s="31">
        <f t="shared" si="60"/>
        <v>2565.2251333333334</v>
      </c>
      <c r="BY30" s="31">
        <f t="shared" si="61"/>
        <v>359.44153333333333</v>
      </c>
      <c r="BZ30" s="31">
        <f t="shared" si="62"/>
        <v>0</v>
      </c>
      <c r="CA30" s="31">
        <f t="shared" si="63"/>
        <v>0</v>
      </c>
      <c r="CB30" s="27">
        <f t="shared" ref="CB30:CB31" si="77">DB30*0.51</f>
        <v>0</v>
      </c>
      <c r="CC30" s="37">
        <f t="shared" si="18"/>
        <v>-1</v>
      </c>
      <c r="CD30" s="36">
        <v>2924.6666666666665</v>
      </c>
      <c r="CE30" s="31">
        <f t="shared" si="64"/>
        <v>2565.2251333333334</v>
      </c>
      <c r="CF30" s="31">
        <f t="shared" si="65"/>
        <v>359.44153333333333</v>
      </c>
      <c r="CG30" s="31">
        <f t="shared" si="66"/>
        <v>0</v>
      </c>
      <c r="CH30" s="31">
        <f t="shared" si="67"/>
        <v>0</v>
      </c>
      <c r="CI30" s="27">
        <f t="shared" ref="CI30:CI31" si="78">DC30*0.51</f>
        <v>0</v>
      </c>
      <c r="CJ30" s="37">
        <f t="shared" si="20"/>
        <v>-1</v>
      </c>
      <c r="CK30" s="36">
        <v>2924.6666666666665</v>
      </c>
      <c r="CL30" s="31">
        <f t="shared" si="68"/>
        <v>2565.2251333333334</v>
      </c>
      <c r="CM30" s="31">
        <f t="shared" si="69"/>
        <v>359.44153333333333</v>
      </c>
      <c r="CN30" s="31">
        <f t="shared" si="70"/>
        <v>0</v>
      </c>
      <c r="CO30" s="31">
        <f t="shared" si="71"/>
        <v>0</v>
      </c>
      <c r="CP30" s="27">
        <f t="shared" ref="CP30:CP31" si="79">DD30*0.51</f>
        <v>0</v>
      </c>
      <c r="CQ30" s="37">
        <f t="shared" si="22"/>
        <v>-1</v>
      </c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F30" s="28"/>
    </row>
    <row r="31" spans="1:110" s="26" customFormat="1" ht="16" customHeight="1" x14ac:dyDescent="0.2">
      <c r="A31" s="38" t="s">
        <v>55</v>
      </c>
      <c r="B31" s="30">
        <f t="shared" si="0"/>
        <v>18864.099999999999</v>
      </c>
      <c r="C31" s="31">
        <f t="shared" si="0"/>
        <v>16545.702110000002</v>
      </c>
      <c r="D31" s="32">
        <f t="shared" si="0"/>
        <v>2318.3978899999993</v>
      </c>
      <c r="E31" s="30">
        <f t="shared" si="23"/>
        <v>6288.0333333333328</v>
      </c>
      <c r="F31" s="33">
        <f t="shared" si="23"/>
        <v>5515.2340366666667</v>
      </c>
      <c r="G31" s="34">
        <f t="shared" si="23"/>
        <v>772.79929666666658</v>
      </c>
      <c r="H31" s="31">
        <f t="shared" si="1"/>
        <v>3086.3247214287803</v>
      </c>
      <c r="I31" s="33">
        <f t="shared" si="1"/>
        <v>432.45845201641447</v>
      </c>
      <c r="J31" s="33">
        <f t="shared" si="1"/>
        <v>3518.7831734451952</v>
      </c>
      <c r="K31" s="35">
        <f t="shared" si="2"/>
        <v>-0.44040004451123638</v>
      </c>
      <c r="L31" s="36">
        <v>1572.0083333333332</v>
      </c>
      <c r="M31" s="31">
        <f t="shared" si="24"/>
        <v>1378.8085091666667</v>
      </c>
      <c r="N31" s="31">
        <f t="shared" si="25"/>
        <v>193.19982416666664</v>
      </c>
      <c r="O31" s="31">
        <f t="shared" si="26"/>
        <v>212.41209977291774</v>
      </c>
      <c r="P31" s="31">
        <f t="shared" si="27"/>
        <v>29.76336456742856</v>
      </c>
      <c r="Q31" s="33">
        <v>242.17546434034631</v>
      </c>
      <c r="R31" s="35">
        <f t="shared" si="3"/>
        <v>-0.84594517776707312</v>
      </c>
      <c r="S31" s="36">
        <v>1572.0083333333332</v>
      </c>
      <c r="T31" s="31">
        <f t="shared" si="28"/>
        <v>1378.8085091666667</v>
      </c>
      <c r="U31" s="31">
        <f t="shared" si="29"/>
        <v>193.19982416666664</v>
      </c>
      <c r="V31" s="31">
        <f t="shared" si="30"/>
        <v>2166.0646913437572</v>
      </c>
      <c r="W31" s="31">
        <f t="shared" si="31"/>
        <v>303.51083179357857</v>
      </c>
      <c r="X31" s="33">
        <v>2469.5755231373359</v>
      </c>
      <c r="Y31" s="35">
        <f t="shared" si="4"/>
        <v>0.57096846802381429</v>
      </c>
      <c r="Z31" s="36">
        <v>1572.0083333333332</v>
      </c>
      <c r="AA31" s="31">
        <f t="shared" si="32"/>
        <v>1378.8085091666667</v>
      </c>
      <c r="AB31" s="31">
        <f t="shared" si="33"/>
        <v>193.19982416666664</v>
      </c>
      <c r="AC31" s="31">
        <f t="shared" si="34"/>
        <v>493.31940563203</v>
      </c>
      <c r="AD31" s="31">
        <f t="shared" si="35"/>
        <v>69.12433582507866</v>
      </c>
      <c r="AE31" s="33">
        <v>562.44374145710867</v>
      </c>
      <c r="AF31" s="35">
        <f t="shared" si="5"/>
        <v>-0.64221325706048504</v>
      </c>
      <c r="AG31" s="36">
        <v>1572.0083333333332</v>
      </c>
      <c r="AH31" s="31">
        <f t="shared" si="36"/>
        <v>1378.8085091666667</v>
      </c>
      <c r="AI31" s="31">
        <f t="shared" si="37"/>
        <v>193.19982416666664</v>
      </c>
      <c r="AJ31" s="31">
        <f t="shared" si="38"/>
        <v>214.52852468007546</v>
      </c>
      <c r="AK31" s="31">
        <f t="shared" si="39"/>
        <v>30.059919830328663</v>
      </c>
      <c r="AL31" s="33">
        <v>244.58844451040412</v>
      </c>
      <c r="AM31" s="35">
        <f t="shared" si="6"/>
        <v>-0.84441021124120152</v>
      </c>
      <c r="AN31" s="36">
        <v>1572.0083333333332</v>
      </c>
      <c r="AO31" s="31">
        <f t="shared" si="40"/>
        <v>1378.8085091666667</v>
      </c>
      <c r="AP31" s="31">
        <f t="shared" si="41"/>
        <v>193.19982416666664</v>
      </c>
      <c r="AQ31" s="31">
        <f t="shared" si="42"/>
        <v>0</v>
      </c>
      <c r="AR31" s="31">
        <f t="shared" si="43"/>
        <v>0</v>
      </c>
      <c r="AS31" s="27">
        <f t="shared" si="72"/>
        <v>0</v>
      </c>
      <c r="AT31" s="35">
        <f t="shared" si="8"/>
        <v>-1</v>
      </c>
      <c r="AU31" s="36">
        <v>1572.0083333333332</v>
      </c>
      <c r="AV31" s="31">
        <f t="shared" si="44"/>
        <v>1378.8085091666667</v>
      </c>
      <c r="AW31" s="31">
        <f t="shared" si="45"/>
        <v>193.19982416666664</v>
      </c>
      <c r="AX31" s="31">
        <f t="shared" si="46"/>
        <v>0</v>
      </c>
      <c r="AY31" s="31">
        <f t="shared" si="47"/>
        <v>0</v>
      </c>
      <c r="AZ31" s="27">
        <f t="shared" si="73"/>
        <v>0</v>
      </c>
      <c r="BA31" s="35">
        <f t="shared" si="10"/>
        <v>-1</v>
      </c>
      <c r="BB31" s="36">
        <v>1572.0083333333332</v>
      </c>
      <c r="BC31" s="31">
        <f t="shared" si="48"/>
        <v>1378.8085091666667</v>
      </c>
      <c r="BD31" s="31">
        <f t="shared" si="49"/>
        <v>193.19982416666664</v>
      </c>
      <c r="BE31" s="31">
        <f t="shared" si="50"/>
        <v>0</v>
      </c>
      <c r="BF31" s="31">
        <f t="shared" si="51"/>
        <v>0</v>
      </c>
      <c r="BG31" s="27">
        <f t="shared" si="74"/>
        <v>0</v>
      </c>
      <c r="BH31" s="35">
        <f t="shared" si="12"/>
        <v>-1</v>
      </c>
      <c r="BI31" s="36">
        <v>1572.0083333333332</v>
      </c>
      <c r="BJ31" s="31">
        <f t="shared" si="52"/>
        <v>1378.8085091666667</v>
      </c>
      <c r="BK31" s="31">
        <f t="shared" si="53"/>
        <v>193.19982416666664</v>
      </c>
      <c r="BL31" s="31">
        <f t="shared" si="54"/>
        <v>0</v>
      </c>
      <c r="BM31" s="31">
        <f t="shared" si="55"/>
        <v>0</v>
      </c>
      <c r="BN31" s="27">
        <f t="shared" si="75"/>
        <v>0</v>
      </c>
      <c r="BO31" s="37">
        <f t="shared" si="14"/>
        <v>-1</v>
      </c>
      <c r="BP31" s="36">
        <v>1572.0083333333332</v>
      </c>
      <c r="BQ31" s="31">
        <f t="shared" si="56"/>
        <v>1378.8085091666667</v>
      </c>
      <c r="BR31" s="31">
        <f t="shared" si="57"/>
        <v>193.19982416666664</v>
      </c>
      <c r="BS31" s="31">
        <f t="shared" si="58"/>
        <v>0</v>
      </c>
      <c r="BT31" s="31">
        <f t="shared" si="59"/>
        <v>0</v>
      </c>
      <c r="BU31" s="27">
        <f t="shared" si="76"/>
        <v>0</v>
      </c>
      <c r="BV31" s="37">
        <f t="shared" si="16"/>
        <v>-1</v>
      </c>
      <c r="BW31" s="36">
        <v>1572.0083333333332</v>
      </c>
      <c r="BX31" s="31">
        <f t="shared" si="60"/>
        <v>1378.8085091666667</v>
      </c>
      <c r="BY31" s="31">
        <f t="shared" si="61"/>
        <v>193.19982416666664</v>
      </c>
      <c r="BZ31" s="31">
        <f t="shared" si="62"/>
        <v>0</v>
      </c>
      <c r="CA31" s="31">
        <f t="shared" si="63"/>
        <v>0</v>
      </c>
      <c r="CB31" s="27">
        <f t="shared" si="77"/>
        <v>0</v>
      </c>
      <c r="CC31" s="37">
        <f t="shared" si="18"/>
        <v>-1</v>
      </c>
      <c r="CD31" s="36">
        <v>1572.0083333333332</v>
      </c>
      <c r="CE31" s="31">
        <f t="shared" si="64"/>
        <v>1378.8085091666667</v>
      </c>
      <c r="CF31" s="31">
        <f t="shared" si="65"/>
        <v>193.19982416666664</v>
      </c>
      <c r="CG31" s="31">
        <f t="shared" si="66"/>
        <v>0</v>
      </c>
      <c r="CH31" s="31">
        <f t="shared" si="67"/>
        <v>0</v>
      </c>
      <c r="CI31" s="27">
        <f t="shared" si="78"/>
        <v>0</v>
      </c>
      <c r="CJ31" s="37">
        <f t="shared" si="20"/>
        <v>-1</v>
      </c>
      <c r="CK31" s="36">
        <v>1572.0083333333332</v>
      </c>
      <c r="CL31" s="31">
        <f t="shared" si="68"/>
        <v>1378.8085091666667</v>
      </c>
      <c r="CM31" s="31">
        <f t="shared" si="69"/>
        <v>193.19982416666664</v>
      </c>
      <c r="CN31" s="31">
        <f t="shared" si="70"/>
        <v>0</v>
      </c>
      <c r="CO31" s="31">
        <f t="shared" si="71"/>
        <v>0</v>
      </c>
      <c r="CP31" s="27">
        <f t="shared" si="79"/>
        <v>0</v>
      </c>
      <c r="CQ31" s="37">
        <f t="shared" si="22"/>
        <v>-1</v>
      </c>
      <c r="CS31" s="27">
        <f>552</f>
        <v>552</v>
      </c>
      <c r="CT31" s="27">
        <f>724+798+707+3400</f>
        <v>5629</v>
      </c>
      <c r="CU31" s="27">
        <f>1282</f>
        <v>1282</v>
      </c>
      <c r="CV31" s="27">
        <v>557.5</v>
      </c>
      <c r="CW31" s="27"/>
      <c r="CX31" s="27"/>
      <c r="CY31" s="27"/>
      <c r="CZ31" s="27"/>
      <c r="DA31" s="27"/>
      <c r="DB31" s="27"/>
      <c r="DC31" s="27"/>
      <c r="DD31" s="27"/>
      <c r="DF31" s="28"/>
    </row>
    <row r="32" spans="1:110" s="26" customFormat="1" ht="16" customHeight="1" x14ac:dyDescent="0.2">
      <c r="A32" s="29" t="s">
        <v>56</v>
      </c>
      <c r="B32" s="30">
        <f t="shared" si="0"/>
        <v>1832704.1158095999</v>
      </c>
      <c r="C32" s="31">
        <f t="shared" si="0"/>
        <v>1607464.7799766003</v>
      </c>
      <c r="D32" s="32">
        <f t="shared" si="0"/>
        <v>225239.33583299979</v>
      </c>
      <c r="E32" s="30">
        <f t="shared" si="23"/>
        <v>906828.79057760001</v>
      </c>
      <c r="F32" s="33">
        <f t="shared" si="23"/>
        <v>795379.53221561294</v>
      </c>
      <c r="G32" s="34">
        <f t="shared" si="23"/>
        <v>111449.25836198704</v>
      </c>
      <c r="H32" s="31">
        <f t="shared" si="1"/>
        <v>461812.15918656706</v>
      </c>
      <c r="I32" s="33">
        <f t="shared" si="1"/>
        <v>64709.513583432999</v>
      </c>
      <c r="J32" s="33">
        <f t="shared" si="1"/>
        <v>526521.67277000006</v>
      </c>
      <c r="K32" s="35">
        <f t="shared" si="2"/>
        <v>-0.41938138903305577</v>
      </c>
      <c r="L32" s="36">
        <v>222103.26110720003</v>
      </c>
      <c r="M32" s="31">
        <f t="shared" si="24"/>
        <v>194806.77031712513</v>
      </c>
      <c r="N32" s="31">
        <f t="shared" si="25"/>
        <v>27296.490790074884</v>
      </c>
      <c r="O32" s="31">
        <f t="shared" si="26"/>
        <v>43603.763476000022</v>
      </c>
      <c r="P32" s="31">
        <f t="shared" si="27"/>
        <v>6109.796524000003</v>
      </c>
      <c r="Q32" s="33">
        <f>(130782.96)+65465.77+5063.16-(151598.33)</f>
        <v>49713.560000000027</v>
      </c>
      <c r="R32" s="35">
        <f t="shared" si="3"/>
        <v>-0.77616915775043327</v>
      </c>
      <c r="S32" s="36">
        <v>222444.00974400001</v>
      </c>
      <c r="T32" s="31">
        <f t="shared" si="28"/>
        <v>195105.6409464624</v>
      </c>
      <c r="U32" s="31">
        <f t="shared" si="29"/>
        <v>27338.368797537601</v>
      </c>
      <c r="V32" s="31">
        <f t="shared" si="30"/>
        <v>106519.175112567</v>
      </c>
      <c r="W32" s="31">
        <f t="shared" si="31"/>
        <v>14925.557657432999</v>
      </c>
      <c r="X32" s="33">
        <f>115644.22+((11798.13+1227.28+317.4+10876.45)*0.2395)</f>
        <v>121444.73277</v>
      </c>
      <c r="Y32" s="35">
        <f t="shared" si="4"/>
        <v>-0.45404359097030822</v>
      </c>
      <c r="Z32" s="36">
        <v>222444.00974400001</v>
      </c>
      <c r="AA32" s="31">
        <f t="shared" si="32"/>
        <v>195105.6409464624</v>
      </c>
      <c r="AB32" s="31">
        <f t="shared" si="33"/>
        <v>27338.368797537601</v>
      </c>
      <c r="AC32" s="31">
        <f t="shared" si="34"/>
        <v>181289.930353</v>
      </c>
      <c r="AD32" s="31">
        <f t="shared" si="35"/>
        <v>25402.499646999997</v>
      </c>
      <c r="AE32" s="27">
        <f>198075.83+8616.6</f>
        <v>206692.43</v>
      </c>
      <c r="AF32" s="35">
        <f t="shared" si="5"/>
        <v>-7.0811435930002053E-2</v>
      </c>
      <c r="AG32" s="36">
        <v>239837.50998239999</v>
      </c>
      <c r="AH32" s="31">
        <f t="shared" si="36"/>
        <v>210361.48000556303</v>
      </c>
      <c r="AI32" s="31">
        <f t="shared" si="37"/>
        <v>29476.029976836959</v>
      </c>
      <c r="AJ32" s="31">
        <f t="shared" si="38"/>
        <v>130399.29024500001</v>
      </c>
      <c r="AK32" s="31">
        <f t="shared" si="39"/>
        <v>18271.659755000001</v>
      </c>
      <c r="AL32" s="27">
        <f>140573.2+8097.75</f>
        <v>148670.95000000001</v>
      </c>
      <c r="AM32" s="35">
        <f t="shared" si="6"/>
        <v>-0.38011802236059766</v>
      </c>
      <c r="AN32" s="36">
        <v>257231.01022079997</v>
      </c>
      <c r="AO32" s="31">
        <f t="shared" si="40"/>
        <v>225617.31906466366</v>
      </c>
      <c r="AP32" s="31">
        <f t="shared" si="41"/>
        <v>31613.691156136316</v>
      </c>
      <c r="AQ32" s="31">
        <f t="shared" si="42"/>
        <v>0</v>
      </c>
      <c r="AR32" s="31">
        <f t="shared" si="43"/>
        <v>0</v>
      </c>
      <c r="AS32" s="27"/>
      <c r="AT32" s="35">
        <f t="shared" si="8"/>
        <v>-1</v>
      </c>
      <c r="AU32" s="36">
        <v>243870.24974400003</v>
      </c>
      <c r="AV32" s="31">
        <f t="shared" si="44"/>
        <v>213898.59605046242</v>
      </c>
      <c r="AW32" s="31">
        <f t="shared" si="45"/>
        <v>29971.653693537603</v>
      </c>
      <c r="AX32" s="31">
        <f t="shared" si="46"/>
        <v>0</v>
      </c>
      <c r="AY32" s="31">
        <f t="shared" si="47"/>
        <v>0</v>
      </c>
      <c r="AZ32" s="27"/>
      <c r="BA32" s="35">
        <f t="shared" si="10"/>
        <v>-1</v>
      </c>
      <c r="BB32" s="36">
        <v>243008.12926720001</v>
      </c>
      <c r="BC32" s="31">
        <f t="shared" si="48"/>
        <v>213142.43018026114</v>
      </c>
      <c r="BD32" s="31">
        <f t="shared" si="49"/>
        <v>29865.699086938879</v>
      </c>
      <c r="BE32" s="31">
        <f t="shared" si="50"/>
        <v>0</v>
      </c>
      <c r="BF32" s="31">
        <f t="shared" si="51"/>
        <v>0</v>
      </c>
      <c r="BG32" s="27"/>
      <c r="BH32" s="35">
        <f t="shared" si="12"/>
        <v>-1</v>
      </c>
      <c r="BI32" s="36">
        <v>176052.272</v>
      </c>
      <c r="BJ32" s="31">
        <f t="shared" si="52"/>
        <v>154415.44777120001</v>
      </c>
      <c r="BK32" s="31">
        <f t="shared" si="53"/>
        <v>21636.8242288</v>
      </c>
      <c r="BL32" s="31">
        <f t="shared" si="54"/>
        <v>0</v>
      </c>
      <c r="BM32" s="31">
        <f t="shared" si="55"/>
        <v>0</v>
      </c>
      <c r="BN32" s="27"/>
      <c r="BO32" s="37">
        <f t="shared" si="14"/>
        <v>-1</v>
      </c>
      <c r="BP32" s="36">
        <v>2856.8319999999999</v>
      </c>
      <c r="BQ32" s="31">
        <f t="shared" si="56"/>
        <v>2505.7273471999997</v>
      </c>
      <c r="BR32" s="31">
        <f t="shared" si="57"/>
        <v>351.1046528</v>
      </c>
      <c r="BS32" s="31">
        <f t="shared" si="58"/>
        <v>0</v>
      </c>
      <c r="BT32" s="31">
        <f t="shared" si="59"/>
        <v>0</v>
      </c>
      <c r="BU32" s="27"/>
      <c r="BV32" s="37">
        <f t="shared" si="16"/>
        <v>-1</v>
      </c>
      <c r="BW32" s="36">
        <v>2856.8319999999999</v>
      </c>
      <c r="BX32" s="31">
        <f t="shared" si="60"/>
        <v>2505.7273471999997</v>
      </c>
      <c r="BY32" s="31">
        <f t="shared" si="61"/>
        <v>351.1046528</v>
      </c>
      <c r="BZ32" s="31">
        <f t="shared" si="62"/>
        <v>0</v>
      </c>
      <c r="CA32" s="31">
        <f t="shared" si="63"/>
        <v>0</v>
      </c>
      <c r="CB32" s="27"/>
      <c r="CC32" s="37">
        <f t="shared" si="18"/>
        <v>-1</v>
      </c>
      <c r="CD32" s="36">
        <v>0</v>
      </c>
      <c r="CE32" s="31">
        <f t="shared" si="64"/>
        <v>0</v>
      </c>
      <c r="CF32" s="31">
        <f t="shared" si="65"/>
        <v>0</v>
      </c>
      <c r="CG32" s="31">
        <f t="shared" si="66"/>
        <v>0</v>
      </c>
      <c r="CH32" s="31">
        <f t="shared" si="67"/>
        <v>0</v>
      </c>
      <c r="CI32" s="27"/>
      <c r="CJ32" s="37" t="str">
        <f t="shared" si="20"/>
        <v/>
      </c>
      <c r="CK32" s="36">
        <v>0</v>
      </c>
      <c r="CL32" s="31">
        <f t="shared" si="68"/>
        <v>0</v>
      </c>
      <c r="CM32" s="31">
        <f t="shared" si="69"/>
        <v>0</v>
      </c>
      <c r="CN32" s="31">
        <f t="shared" si="70"/>
        <v>0</v>
      </c>
      <c r="CO32" s="31">
        <f t="shared" si="71"/>
        <v>0</v>
      </c>
      <c r="CP32" s="27"/>
      <c r="CQ32" s="37" t="str">
        <f t="shared" si="22"/>
        <v/>
      </c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F32" s="28">
        <v>507076.12</v>
      </c>
    </row>
    <row r="33" spans="1:110" s="26" customFormat="1" ht="16" customHeight="1" x14ac:dyDescent="0.2">
      <c r="A33" s="29" t="s">
        <v>57</v>
      </c>
      <c r="B33" s="30">
        <f t="shared" si="0"/>
        <v>1142865.306122449</v>
      </c>
      <c r="C33" s="31">
        <f t="shared" si="0"/>
        <v>1002407.1599999999</v>
      </c>
      <c r="D33" s="32">
        <f t="shared" si="0"/>
        <v>140458.14612244899</v>
      </c>
      <c r="E33" s="30">
        <f t="shared" si="23"/>
        <v>645967.34693877562</v>
      </c>
      <c r="F33" s="33">
        <f t="shared" si="23"/>
        <v>566577.96</v>
      </c>
      <c r="G33" s="34">
        <f t="shared" si="23"/>
        <v>79389.386938775511</v>
      </c>
      <c r="H33" s="31">
        <f t="shared" si="1"/>
        <v>450079.74262999999</v>
      </c>
      <c r="I33" s="33">
        <f t="shared" si="1"/>
        <v>63065.557369999995</v>
      </c>
      <c r="J33" s="33">
        <f t="shared" si="1"/>
        <v>513145.3</v>
      </c>
      <c r="K33" s="35">
        <f t="shared" si="2"/>
        <v>-0.20561727704692234</v>
      </c>
      <c r="L33" s="36">
        <v>132506.12244897962</v>
      </c>
      <c r="M33" s="31">
        <f t="shared" si="24"/>
        <v>116221.12000000002</v>
      </c>
      <c r="N33" s="31">
        <f t="shared" si="25"/>
        <v>16285.002448979594</v>
      </c>
      <c r="O33" s="31">
        <f t="shared" si="26"/>
        <v>71296.643509000001</v>
      </c>
      <c r="P33" s="31">
        <f t="shared" si="27"/>
        <v>9990.1464910000013</v>
      </c>
      <c r="Q33" s="33">
        <f>(10811.69)+70475.1</f>
        <v>81286.790000000008</v>
      </c>
      <c r="R33" s="35">
        <f t="shared" si="3"/>
        <v>-0.38654313855347466</v>
      </c>
      <c r="S33" s="36">
        <v>165632.6530612245</v>
      </c>
      <c r="T33" s="31">
        <f t="shared" si="28"/>
        <v>145276.40000000002</v>
      </c>
      <c r="U33" s="31">
        <f t="shared" si="29"/>
        <v>20356.253061224488</v>
      </c>
      <c r="V33" s="31">
        <f t="shared" si="30"/>
        <v>120232.51716</v>
      </c>
      <c r="W33" s="31">
        <f t="shared" si="31"/>
        <v>16847.082839999999</v>
      </c>
      <c r="X33" s="33">
        <v>137079.6</v>
      </c>
      <c r="Y33" s="35">
        <f t="shared" si="4"/>
        <v>-0.17238782651552487</v>
      </c>
      <c r="Z33" s="36">
        <v>165632.6530612245</v>
      </c>
      <c r="AA33" s="31">
        <f t="shared" si="32"/>
        <v>145276.40000000002</v>
      </c>
      <c r="AB33" s="31">
        <f t="shared" si="33"/>
        <v>20356.253061224488</v>
      </c>
      <c r="AC33" s="31">
        <f t="shared" si="34"/>
        <v>162732.73972899999</v>
      </c>
      <c r="AD33" s="31">
        <f t="shared" si="35"/>
        <v>22802.250270999997</v>
      </c>
      <c r="AE33" s="27">
        <v>185534.99</v>
      </c>
      <c r="AF33" s="35">
        <f t="shared" si="5"/>
        <v>0.12015950098570705</v>
      </c>
      <c r="AG33" s="36">
        <v>182195.91836734692</v>
      </c>
      <c r="AH33" s="31">
        <f t="shared" si="36"/>
        <v>159804.03999999998</v>
      </c>
      <c r="AI33" s="31">
        <f t="shared" si="37"/>
        <v>22391.878367346937</v>
      </c>
      <c r="AJ33" s="31">
        <f t="shared" si="38"/>
        <v>95817.842231999995</v>
      </c>
      <c r="AK33" s="31">
        <f t="shared" si="39"/>
        <v>13426.077767999999</v>
      </c>
      <c r="AL33" s="27">
        <v>109243.92</v>
      </c>
      <c r="AM33" s="35">
        <f t="shared" si="6"/>
        <v>-0.40040413100945382</v>
      </c>
      <c r="AN33" s="36">
        <v>198759.18367346938</v>
      </c>
      <c r="AO33" s="31">
        <f t="shared" si="40"/>
        <v>174331.68</v>
      </c>
      <c r="AP33" s="31">
        <f t="shared" si="41"/>
        <v>24427.503673469386</v>
      </c>
      <c r="AQ33" s="31">
        <f t="shared" si="42"/>
        <v>0</v>
      </c>
      <c r="AR33" s="31">
        <f t="shared" si="43"/>
        <v>0</v>
      </c>
      <c r="AS33" s="27"/>
      <c r="AT33" s="35">
        <f t="shared" si="8"/>
        <v>-1</v>
      </c>
      <c r="AU33" s="36">
        <v>165632.6530612245</v>
      </c>
      <c r="AV33" s="31">
        <f t="shared" si="44"/>
        <v>145276.40000000002</v>
      </c>
      <c r="AW33" s="31">
        <f t="shared" si="45"/>
        <v>20356.253061224488</v>
      </c>
      <c r="AX33" s="31">
        <f t="shared" si="46"/>
        <v>0</v>
      </c>
      <c r="AY33" s="31">
        <f t="shared" si="47"/>
        <v>0</v>
      </c>
      <c r="AZ33" s="27"/>
      <c r="BA33" s="35">
        <f t="shared" si="10"/>
        <v>-1</v>
      </c>
      <c r="BB33" s="36">
        <v>132506.12244897962</v>
      </c>
      <c r="BC33" s="31">
        <f t="shared" si="48"/>
        <v>116221.12000000002</v>
      </c>
      <c r="BD33" s="31">
        <f t="shared" si="49"/>
        <v>16285.002448979594</v>
      </c>
      <c r="BE33" s="31">
        <f t="shared" si="50"/>
        <v>0</v>
      </c>
      <c r="BF33" s="31">
        <f t="shared" si="51"/>
        <v>0</v>
      </c>
      <c r="BG33" s="27"/>
      <c r="BH33" s="35">
        <f t="shared" si="12"/>
        <v>-1</v>
      </c>
      <c r="BI33" s="36">
        <v>0</v>
      </c>
      <c r="BJ33" s="31">
        <f t="shared" si="52"/>
        <v>0</v>
      </c>
      <c r="BK33" s="31">
        <f t="shared" si="53"/>
        <v>0</v>
      </c>
      <c r="BL33" s="31">
        <f t="shared" si="54"/>
        <v>0</v>
      </c>
      <c r="BM33" s="31">
        <f t="shared" si="55"/>
        <v>0</v>
      </c>
      <c r="BN33" s="27"/>
      <c r="BO33" s="37" t="str">
        <f t="shared" si="14"/>
        <v/>
      </c>
      <c r="BP33" s="36">
        <v>0</v>
      </c>
      <c r="BQ33" s="31">
        <f t="shared" si="56"/>
        <v>0</v>
      </c>
      <c r="BR33" s="31">
        <f t="shared" si="57"/>
        <v>0</v>
      </c>
      <c r="BS33" s="31">
        <f t="shared" si="58"/>
        <v>0</v>
      </c>
      <c r="BT33" s="31">
        <f t="shared" si="59"/>
        <v>0</v>
      </c>
      <c r="BU33" s="27"/>
      <c r="BV33" s="37" t="str">
        <f t="shared" si="16"/>
        <v/>
      </c>
      <c r="BW33" s="36">
        <v>0</v>
      </c>
      <c r="BX33" s="31">
        <f t="shared" si="60"/>
        <v>0</v>
      </c>
      <c r="BY33" s="31">
        <f t="shared" si="61"/>
        <v>0</v>
      </c>
      <c r="BZ33" s="31">
        <f t="shared" si="62"/>
        <v>0</v>
      </c>
      <c r="CA33" s="31">
        <f t="shared" si="63"/>
        <v>0</v>
      </c>
      <c r="CB33" s="27"/>
      <c r="CC33" s="37" t="str">
        <f t="shared" si="18"/>
        <v/>
      </c>
      <c r="CD33" s="36">
        <v>0</v>
      </c>
      <c r="CE33" s="31">
        <f t="shared" si="64"/>
        <v>0</v>
      </c>
      <c r="CF33" s="31">
        <f t="shared" si="65"/>
        <v>0</v>
      </c>
      <c r="CG33" s="31">
        <f t="shared" si="66"/>
        <v>0</v>
      </c>
      <c r="CH33" s="31">
        <f t="shared" si="67"/>
        <v>0</v>
      </c>
      <c r="CI33" s="27"/>
      <c r="CJ33" s="37" t="str">
        <f t="shared" si="20"/>
        <v/>
      </c>
      <c r="CK33" s="36">
        <v>0</v>
      </c>
      <c r="CL33" s="31">
        <f t="shared" si="68"/>
        <v>0</v>
      </c>
      <c r="CM33" s="31">
        <f t="shared" si="69"/>
        <v>0</v>
      </c>
      <c r="CN33" s="31">
        <f t="shared" si="70"/>
        <v>0</v>
      </c>
      <c r="CO33" s="31">
        <f t="shared" si="71"/>
        <v>0</v>
      </c>
      <c r="CP33" s="27"/>
      <c r="CQ33" s="37" t="str">
        <f t="shared" si="22"/>
        <v/>
      </c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F33" s="28"/>
    </row>
    <row r="34" spans="1:110" s="26" customFormat="1" ht="16" customHeight="1" x14ac:dyDescent="0.2">
      <c r="A34" s="29" t="s">
        <v>58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23"/>
        <v>0</v>
      </c>
      <c r="F34" s="33">
        <f t="shared" si="23"/>
        <v>0</v>
      </c>
      <c r="G34" s="34">
        <f t="shared" si="23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5" t="str">
        <f t="shared" si="2"/>
        <v/>
      </c>
      <c r="L34" s="36">
        <v>0</v>
      </c>
      <c r="M34" s="31">
        <f t="shared" si="24"/>
        <v>0</v>
      </c>
      <c r="N34" s="31">
        <f t="shared" si="25"/>
        <v>0</v>
      </c>
      <c r="O34" s="31">
        <f t="shared" si="26"/>
        <v>0</v>
      </c>
      <c r="P34" s="31">
        <f t="shared" si="27"/>
        <v>0</v>
      </c>
      <c r="Q34" s="33"/>
      <c r="R34" s="35" t="str">
        <f t="shared" si="3"/>
        <v/>
      </c>
      <c r="S34" s="36">
        <v>0</v>
      </c>
      <c r="T34" s="31">
        <f t="shared" si="28"/>
        <v>0</v>
      </c>
      <c r="U34" s="31">
        <f t="shared" si="29"/>
        <v>0</v>
      </c>
      <c r="V34" s="31">
        <f t="shared" si="30"/>
        <v>0</v>
      </c>
      <c r="W34" s="31">
        <f t="shared" si="31"/>
        <v>0</v>
      </c>
      <c r="X34" s="33"/>
      <c r="Y34" s="35" t="str">
        <f t="shared" si="4"/>
        <v/>
      </c>
      <c r="Z34" s="36">
        <v>0</v>
      </c>
      <c r="AA34" s="31">
        <f t="shared" si="32"/>
        <v>0</v>
      </c>
      <c r="AB34" s="31">
        <f t="shared" si="33"/>
        <v>0</v>
      </c>
      <c r="AC34" s="31">
        <f t="shared" si="34"/>
        <v>0</v>
      </c>
      <c r="AD34" s="31">
        <f t="shared" si="35"/>
        <v>0</v>
      </c>
      <c r="AE34" s="27"/>
      <c r="AF34" s="35" t="str">
        <f t="shared" si="5"/>
        <v/>
      </c>
      <c r="AG34" s="36">
        <v>0</v>
      </c>
      <c r="AH34" s="31">
        <f t="shared" si="36"/>
        <v>0</v>
      </c>
      <c r="AI34" s="31">
        <f t="shared" si="37"/>
        <v>0</v>
      </c>
      <c r="AJ34" s="31">
        <f t="shared" si="38"/>
        <v>0</v>
      </c>
      <c r="AK34" s="31">
        <f t="shared" si="39"/>
        <v>0</v>
      </c>
      <c r="AL34" s="27"/>
      <c r="AM34" s="35" t="str">
        <f t="shared" si="6"/>
        <v/>
      </c>
      <c r="AN34" s="36">
        <v>0</v>
      </c>
      <c r="AO34" s="31">
        <f t="shared" si="40"/>
        <v>0</v>
      </c>
      <c r="AP34" s="31">
        <f t="shared" si="41"/>
        <v>0</v>
      </c>
      <c r="AQ34" s="31">
        <f t="shared" si="42"/>
        <v>0</v>
      </c>
      <c r="AR34" s="31">
        <f t="shared" si="43"/>
        <v>0</v>
      </c>
      <c r="AS34" s="27"/>
      <c r="AT34" s="35" t="str">
        <f t="shared" si="8"/>
        <v/>
      </c>
      <c r="AU34" s="36">
        <v>0</v>
      </c>
      <c r="AV34" s="31">
        <f t="shared" si="44"/>
        <v>0</v>
      </c>
      <c r="AW34" s="31">
        <f t="shared" si="45"/>
        <v>0</v>
      </c>
      <c r="AX34" s="31">
        <f t="shared" si="46"/>
        <v>0</v>
      </c>
      <c r="AY34" s="31">
        <f t="shared" si="47"/>
        <v>0</v>
      </c>
      <c r="AZ34" s="27"/>
      <c r="BA34" s="35" t="str">
        <f t="shared" si="10"/>
        <v/>
      </c>
      <c r="BB34" s="36">
        <v>0</v>
      </c>
      <c r="BC34" s="31">
        <f t="shared" si="48"/>
        <v>0</v>
      </c>
      <c r="BD34" s="31">
        <f t="shared" si="49"/>
        <v>0</v>
      </c>
      <c r="BE34" s="31">
        <f t="shared" si="50"/>
        <v>0</v>
      </c>
      <c r="BF34" s="31">
        <f t="shared" si="51"/>
        <v>0</v>
      </c>
      <c r="BG34" s="27"/>
      <c r="BH34" s="35" t="str">
        <f t="shared" si="12"/>
        <v/>
      </c>
      <c r="BI34" s="36">
        <v>0</v>
      </c>
      <c r="BJ34" s="31">
        <f t="shared" si="52"/>
        <v>0</v>
      </c>
      <c r="BK34" s="31">
        <f t="shared" si="53"/>
        <v>0</v>
      </c>
      <c r="BL34" s="31">
        <f t="shared" si="54"/>
        <v>0</v>
      </c>
      <c r="BM34" s="31">
        <f t="shared" si="55"/>
        <v>0</v>
      </c>
      <c r="BN34" s="27"/>
      <c r="BO34" s="37" t="str">
        <f t="shared" si="14"/>
        <v/>
      </c>
      <c r="BP34" s="36">
        <v>0</v>
      </c>
      <c r="BQ34" s="31">
        <f t="shared" si="56"/>
        <v>0</v>
      </c>
      <c r="BR34" s="31">
        <f t="shared" si="57"/>
        <v>0</v>
      </c>
      <c r="BS34" s="31">
        <f t="shared" si="58"/>
        <v>0</v>
      </c>
      <c r="BT34" s="31">
        <f t="shared" si="59"/>
        <v>0</v>
      </c>
      <c r="BU34" s="27"/>
      <c r="BV34" s="37" t="str">
        <f t="shared" si="16"/>
        <v/>
      </c>
      <c r="BW34" s="36">
        <v>0</v>
      </c>
      <c r="BX34" s="31">
        <f t="shared" si="60"/>
        <v>0</v>
      </c>
      <c r="BY34" s="31">
        <f t="shared" si="61"/>
        <v>0</v>
      </c>
      <c r="BZ34" s="31">
        <f t="shared" si="62"/>
        <v>0</v>
      </c>
      <c r="CA34" s="31">
        <f t="shared" si="63"/>
        <v>0</v>
      </c>
      <c r="CB34" s="27"/>
      <c r="CC34" s="37" t="str">
        <f t="shared" si="18"/>
        <v/>
      </c>
      <c r="CD34" s="36">
        <v>0</v>
      </c>
      <c r="CE34" s="31">
        <f t="shared" si="64"/>
        <v>0</v>
      </c>
      <c r="CF34" s="31">
        <f t="shared" si="65"/>
        <v>0</v>
      </c>
      <c r="CG34" s="31">
        <f t="shared" si="66"/>
        <v>0</v>
      </c>
      <c r="CH34" s="31">
        <f t="shared" si="67"/>
        <v>0</v>
      </c>
      <c r="CI34" s="27"/>
      <c r="CJ34" s="37" t="str">
        <f t="shared" si="20"/>
        <v/>
      </c>
      <c r="CK34" s="36">
        <v>0</v>
      </c>
      <c r="CL34" s="31">
        <f t="shared" si="68"/>
        <v>0</v>
      </c>
      <c r="CM34" s="31">
        <f t="shared" si="69"/>
        <v>0</v>
      </c>
      <c r="CN34" s="31">
        <f t="shared" si="70"/>
        <v>0</v>
      </c>
      <c r="CO34" s="31">
        <f t="shared" si="71"/>
        <v>0</v>
      </c>
      <c r="CP34" s="27"/>
      <c r="CQ34" s="37" t="str">
        <f t="shared" si="22"/>
        <v/>
      </c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F34" s="28"/>
    </row>
    <row r="35" spans="1:110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23"/>
        <v>0</v>
      </c>
      <c r="F35" s="33">
        <f t="shared" si="23"/>
        <v>0</v>
      </c>
      <c r="G35" s="34">
        <f t="shared" si="23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5" t="str">
        <f t="shared" si="2"/>
        <v/>
      </c>
      <c r="L35" s="36">
        <v>0</v>
      </c>
      <c r="M35" s="31">
        <f t="shared" si="24"/>
        <v>0</v>
      </c>
      <c r="N35" s="31">
        <f t="shared" si="25"/>
        <v>0</v>
      </c>
      <c r="O35" s="31">
        <f t="shared" si="26"/>
        <v>0</v>
      </c>
      <c r="P35" s="31">
        <f t="shared" si="27"/>
        <v>0</v>
      </c>
      <c r="Q35" s="33"/>
      <c r="R35" s="35" t="str">
        <f t="shared" si="3"/>
        <v/>
      </c>
      <c r="S35" s="36">
        <v>0</v>
      </c>
      <c r="T35" s="31">
        <f t="shared" si="28"/>
        <v>0</v>
      </c>
      <c r="U35" s="31">
        <f t="shared" si="29"/>
        <v>0</v>
      </c>
      <c r="V35" s="31">
        <f t="shared" si="30"/>
        <v>0</v>
      </c>
      <c r="W35" s="31">
        <f t="shared" si="31"/>
        <v>0</v>
      </c>
      <c r="X35" s="33"/>
      <c r="Y35" s="35" t="str">
        <f t="shared" si="4"/>
        <v/>
      </c>
      <c r="Z35" s="36">
        <v>0</v>
      </c>
      <c r="AA35" s="31">
        <f t="shared" si="32"/>
        <v>0</v>
      </c>
      <c r="AB35" s="31">
        <f t="shared" si="33"/>
        <v>0</v>
      </c>
      <c r="AC35" s="31">
        <f t="shared" si="34"/>
        <v>0</v>
      </c>
      <c r="AD35" s="31">
        <f t="shared" si="35"/>
        <v>0</v>
      </c>
      <c r="AE35" s="27"/>
      <c r="AF35" s="35" t="str">
        <f t="shared" si="5"/>
        <v/>
      </c>
      <c r="AG35" s="36">
        <v>0</v>
      </c>
      <c r="AH35" s="31">
        <f t="shared" si="36"/>
        <v>0</v>
      </c>
      <c r="AI35" s="31">
        <f t="shared" si="37"/>
        <v>0</v>
      </c>
      <c r="AJ35" s="31">
        <f t="shared" si="38"/>
        <v>0</v>
      </c>
      <c r="AK35" s="31">
        <f t="shared" si="39"/>
        <v>0</v>
      </c>
      <c r="AL35" s="27"/>
      <c r="AM35" s="35" t="str">
        <f t="shared" si="6"/>
        <v/>
      </c>
      <c r="AN35" s="36">
        <v>0</v>
      </c>
      <c r="AO35" s="31">
        <f t="shared" si="40"/>
        <v>0</v>
      </c>
      <c r="AP35" s="31">
        <f t="shared" si="41"/>
        <v>0</v>
      </c>
      <c r="AQ35" s="31">
        <f t="shared" si="42"/>
        <v>0</v>
      </c>
      <c r="AR35" s="31">
        <f t="shared" si="43"/>
        <v>0</v>
      </c>
      <c r="AS35" s="27"/>
      <c r="AT35" s="35" t="str">
        <f t="shared" si="8"/>
        <v/>
      </c>
      <c r="AU35" s="36">
        <v>0</v>
      </c>
      <c r="AV35" s="31">
        <f t="shared" si="44"/>
        <v>0</v>
      </c>
      <c r="AW35" s="31">
        <f t="shared" si="45"/>
        <v>0</v>
      </c>
      <c r="AX35" s="31">
        <f t="shared" si="46"/>
        <v>0</v>
      </c>
      <c r="AY35" s="31">
        <f t="shared" si="47"/>
        <v>0</v>
      </c>
      <c r="AZ35" s="27"/>
      <c r="BA35" s="35" t="str">
        <f t="shared" si="10"/>
        <v/>
      </c>
      <c r="BB35" s="36">
        <v>0</v>
      </c>
      <c r="BC35" s="31">
        <f t="shared" si="48"/>
        <v>0</v>
      </c>
      <c r="BD35" s="31">
        <f t="shared" si="49"/>
        <v>0</v>
      </c>
      <c r="BE35" s="31">
        <f t="shared" si="50"/>
        <v>0</v>
      </c>
      <c r="BF35" s="31">
        <f t="shared" si="51"/>
        <v>0</v>
      </c>
      <c r="BG35" s="27"/>
      <c r="BH35" s="35" t="str">
        <f t="shared" si="12"/>
        <v/>
      </c>
      <c r="BI35" s="36">
        <v>0</v>
      </c>
      <c r="BJ35" s="31">
        <f t="shared" si="52"/>
        <v>0</v>
      </c>
      <c r="BK35" s="31">
        <f t="shared" si="53"/>
        <v>0</v>
      </c>
      <c r="BL35" s="31">
        <f t="shared" si="54"/>
        <v>0</v>
      </c>
      <c r="BM35" s="31">
        <f t="shared" si="55"/>
        <v>0</v>
      </c>
      <c r="BN35" s="27"/>
      <c r="BO35" s="37" t="str">
        <f t="shared" si="14"/>
        <v/>
      </c>
      <c r="BP35" s="36">
        <v>0</v>
      </c>
      <c r="BQ35" s="31">
        <f t="shared" si="56"/>
        <v>0</v>
      </c>
      <c r="BR35" s="31">
        <f t="shared" si="57"/>
        <v>0</v>
      </c>
      <c r="BS35" s="31">
        <f t="shared" si="58"/>
        <v>0</v>
      </c>
      <c r="BT35" s="31">
        <f t="shared" si="59"/>
        <v>0</v>
      </c>
      <c r="BU35" s="27"/>
      <c r="BV35" s="37" t="str">
        <f t="shared" si="16"/>
        <v/>
      </c>
      <c r="BW35" s="36">
        <v>0</v>
      </c>
      <c r="BX35" s="31">
        <f t="shared" si="60"/>
        <v>0</v>
      </c>
      <c r="BY35" s="31">
        <f t="shared" si="61"/>
        <v>0</v>
      </c>
      <c r="BZ35" s="31">
        <f t="shared" si="62"/>
        <v>0</v>
      </c>
      <c r="CA35" s="31">
        <f t="shared" si="63"/>
        <v>0</v>
      </c>
      <c r="CB35" s="27"/>
      <c r="CC35" s="37" t="str">
        <f t="shared" si="18"/>
        <v/>
      </c>
      <c r="CD35" s="36">
        <v>0</v>
      </c>
      <c r="CE35" s="31">
        <f t="shared" si="64"/>
        <v>0</v>
      </c>
      <c r="CF35" s="31">
        <f t="shared" si="65"/>
        <v>0</v>
      </c>
      <c r="CG35" s="31">
        <f t="shared" si="66"/>
        <v>0</v>
      </c>
      <c r="CH35" s="31">
        <f t="shared" si="67"/>
        <v>0</v>
      </c>
      <c r="CI35" s="27"/>
      <c r="CJ35" s="37" t="str">
        <f t="shared" si="20"/>
        <v/>
      </c>
      <c r="CK35" s="36">
        <v>0</v>
      </c>
      <c r="CL35" s="31">
        <f t="shared" si="68"/>
        <v>0</v>
      </c>
      <c r="CM35" s="31">
        <f t="shared" si="69"/>
        <v>0</v>
      </c>
      <c r="CN35" s="31">
        <f t="shared" si="70"/>
        <v>0</v>
      </c>
      <c r="CO35" s="31">
        <f t="shared" si="71"/>
        <v>0</v>
      </c>
      <c r="CP35" s="27"/>
      <c r="CQ35" s="37" t="str">
        <f t="shared" si="22"/>
        <v/>
      </c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F35" s="28"/>
    </row>
    <row r="36" spans="1:110" s="26" customFormat="1" ht="16" customHeight="1" x14ac:dyDescent="0.2">
      <c r="A36" s="38" t="s">
        <v>60</v>
      </c>
      <c r="B36" s="30">
        <f t="shared" ref="B36:D54" si="80">+L36+S36+Z36+AG36+AN36+AU36+BB36+BI36+BP36+BW36+CD36+CK36</f>
        <v>87740.000000000015</v>
      </c>
      <c r="C36" s="31">
        <f t="shared" si="80"/>
        <v>76956.753999999986</v>
      </c>
      <c r="D36" s="32">
        <f t="shared" si="80"/>
        <v>10783.245999999999</v>
      </c>
      <c r="E36" s="30">
        <f t="shared" si="23"/>
        <v>29246.666666666668</v>
      </c>
      <c r="F36" s="33">
        <f t="shared" si="23"/>
        <v>25652.251333333334</v>
      </c>
      <c r="G36" s="34">
        <f t="shared" si="23"/>
        <v>3594.4153333333334</v>
      </c>
      <c r="H36" s="31">
        <f t="shared" ref="H36:J54" si="81">+O36+V36+AC36+AJ36+AQ36+AX36+BE36+BL36+BS36+BZ36+CG36+CN36</f>
        <v>34626.362292527469</v>
      </c>
      <c r="I36" s="33">
        <f t="shared" si="81"/>
        <v>4851.8754141507534</v>
      </c>
      <c r="J36" s="33">
        <f t="shared" si="81"/>
        <v>39478.237706678221</v>
      </c>
      <c r="K36" s="35">
        <f t="shared" si="2"/>
        <v>0.3498371679967478</v>
      </c>
      <c r="L36" s="36">
        <v>7311.666666666667</v>
      </c>
      <c r="M36" s="31">
        <f t="shared" si="24"/>
        <v>6413.0628333333334</v>
      </c>
      <c r="N36" s="31">
        <f t="shared" si="25"/>
        <v>898.60383333333334</v>
      </c>
      <c r="O36" s="31">
        <f t="shared" si="26"/>
        <v>8059.8347482077916</v>
      </c>
      <c r="P36" s="31">
        <f t="shared" si="27"/>
        <v>1129.3509184297543</v>
      </c>
      <c r="Q36" s="33">
        <v>9189.1856666375461</v>
      </c>
      <c r="R36" s="35">
        <f t="shared" si="3"/>
        <v>0.25678399817244757</v>
      </c>
      <c r="S36" s="36">
        <v>7311.666666666667</v>
      </c>
      <c r="T36" s="31">
        <f t="shared" si="28"/>
        <v>6413.0628333333334</v>
      </c>
      <c r="U36" s="31">
        <f t="shared" si="29"/>
        <v>898.60383333333334</v>
      </c>
      <c r="V36" s="31">
        <f t="shared" si="30"/>
        <v>10589.262659793523</v>
      </c>
      <c r="W36" s="31">
        <f t="shared" si="31"/>
        <v>1483.776514523571</v>
      </c>
      <c r="X36" s="33">
        <v>12073.039174317095</v>
      </c>
      <c r="Y36" s="35">
        <f t="shared" si="4"/>
        <v>0.6512020753567942</v>
      </c>
      <c r="Z36" s="36">
        <v>7311.666666666667</v>
      </c>
      <c r="AA36" s="31">
        <f t="shared" si="32"/>
        <v>6413.0628333333334</v>
      </c>
      <c r="AB36" s="31">
        <f t="shared" si="33"/>
        <v>898.60383333333334</v>
      </c>
      <c r="AC36" s="31">
        <f t="shared" si="34"/>
        <v>8312.7090441602777</v>
      </c>
      <c r="AD36" s="31">
        <f t="shared" si="35"/>
        <v>1164.7838804324456</v>
      </c>
      <c r="AE36" s="33">
        <v>9477.4929245927233</v>
      </c>
      <c r="AF36" s="35">
        <f t="shared" si="5"/>
        <v>0.29621512531471028</v>
      </c>
      <c r="AG36" s="36">
        <v>7311.666666666667</v>
      </c>
      <c r="AH36" s="31">
        <f t="shared" si="36"/>
        <v>6413.0628333333334</v>
      </c>
      <c r="AI36" s="31">
        <f t="shared" si="37"/>
        <v>898.60383333333334</v>
      </c>
      <c r="AJ36" s="31">
        <f t="shared" si="38"/>
        <v>7664.5558403658779</v>
      </c>
      <c r="AK36" s="31">
        <f t="shared" si="39"/>
        <v>1073.9641007649827</v>
      </c>
      <c r="AL36" s="33">
        <v>8738.5199411308604</v>
      </c>
      <c r="AM36" s="35">
        <f t="shared" si="6"/>
        <v>0.19514747314303982</v>
      </c>
      <c r="AN36" s="36">
        <v>7311.666666666667</v>
      </c>
      <c r="AO36" s="31">
        <f t="shared" si="40"/>
        <v>6413.0628333333334</v>
      </c>
      <c r="AP36" s="31">
        <f t="shared" si="41"/>
        <v>898.60383333333334</v>
      </c>
      <c r="AQ36" s="31">
        <f t="shared" si="42"/>
        <v>0</v>
      </c>
      <c r="AR36" s="31">
        <f t="shared" si="43"/>
        <v>0</v>
      </c>
      <c r="AS36" s="27">
        <f t="shared" ref="AS36:AS40" si="82">CW36*0.51</f>
        <v>0</v>
      </c>
      <c r="AT36" s="35">
        <f t="shared" si="8"/>
        <v>-1</v>
      </c>
      <c r="AU36" s="36">
        <v>7311.666666666667</v>
      </c>
      <c r="AV36" s="31">
        <f t="shared" si="44"/>
        <v>6413.0628333333334</v>
      </c>
      <c r="AW36" s="31">
        <f t="shared" si="45"/>
        <v>898.60383333333334</v>
      </c>
      <c r="AX36" s="31">
        <f t="shared" si="46"/>
        <v>0</v>
      </c>
      <c r="AY36" s="31">
        <f t="shared" si="47"/>
        <v>0</v>
      </c>
      <c r="AZ36" s="27">
        <f t="shared" ref="AZ36:AZ40" si="83">CX36*0.51</f>
        <v>0</v>
      </c>
      <c r="BA36" s="35">
        <f t="shared" si="10"/>
        <v>-1</v>
      </c>
      <c r="BB36" s="36">
        <v>7311.666666666667</v>
      </c>
      <c r="BC36" s="31">
        <f t="shared" si="48"/>
        <v>6413.0628333333334</v>
      </c>
      <c r="BD36" s="31">
        <f t="shared" si="49"/>
        <v>898.60383333333334</v>
      </c>
      <c r="BE36" s="31">
        <f t="shared" si="50"/>
        <v>0</v>
      </c>
      <c r="BF36" s="31">
        <f t="shared" si="51"/>
        <v>0</v>
      </c>
      <c r="BG36" s="27">
        <f t="shared" ref="BG36:BG40" si="84">CY36*0.51</f>
        <v>0</v>
      </c>
      <c r="BH36" s="35">
        <f t="shared" si="12"/>
        <v>-1</v>
      </c>
      <c r="BI36" s="36">
        <v>7311.666666666667</v>
      </c>
      <c r="BJ36" s="31">
        <f t="shared" si="52"/>
        <v>6413.0628333333334</v>
      </c>
      <c r="BK36" s="31">
        <f t="shared" si="53"/>
        <v>898.60383333333334</v>
      </c>
      <c r="BL36" s="31">
        <f t="shared" si="54"/>
        <v>0</v>
      </c>
      <c r="BM36" s="31">
        <f t="shared" si="55"/>
        <v>0</v>
      </c>
      <c r="BN36" s="27">
        <f t="shared" ref="BN36:BN40" si="85">CZ36*0.51</f>
        <v>0</v>
      </c>
      <c r="BO36" s="37">
        <f t="shared" si="14"/>
        <v>-1</v>
      </c>
      <c r="BP36" s="36">
        <v>7311.666666666667</v>
      </c>
      <c r="BQ36" s="31">
        <f t="shared" si="56"/>
        <v>6413.0628333333334</v>
      </c>
      <c r="BR36" s="31">
        <f t="shared" si="57"/>
        <v>898.60383333333334</v>
      </c>
      <c r="BS36" s="31">
        <f t="shared" si="58"/>
        <v>0</v>
      </c>
      <c r="BT36" s="31">
        <f t="shared" si="59"/>
        <v>0</v>
      </c>
      <c r="BU36" s="27">
        <f t="shared" ref="BU36:BU40" si="86">DA36*0.51</f>
        <v>0</v>
      </c>
      <c r="BV36" s="37">
        <f t="shared" si="16"/>
        <v>-1</v>
      </c>
      <c r="BW36" s="36">
        <v>7311.666666666667</v>
      </c>
      <c r="BX36" s="31">
        <f t="shared" si="60"/>
        <v>6413.0628333333334</v>
      </c>
      <c r="BY36" s="31">
        <f t="shared" si="61"/>
        <v>898.60383333333334</v>
      </c>
      <c r="BZ36" s="31">
        <f t="shared" si="62"/>
        <v>0</v>
      </c>
      <c r="CA36" s="31">
        <f t="shared" si="63"/>
        <v>0</v>
      </c>
      <c r="CB36" s="27">
        <f t="shared" ref="CB36:CB40" si="87">DB36*0.51</f>
        <v>0</v>
      </c>
      <c r="CC36" s="37">
        <f t="shared" si="18"/>
        <v>-1</v>
      </c>
      <c r="CD36" s="36">
        <v>7311.666666666667</v>
      </c>
      <c r="CE36" s="31">
        <f t="shared" si="64"/>
        <v>6413.0628333333334</v>
      </c>
      <c r="CF36" s="31">
        <f t="shared" si="65"/>
        <v>898.60383333333334</v>
      </c>
      <c r="CG36" s="31">
        <f t="shared" si="66"/>
        <v>0</v>
      </c>
      <c r="CH36" s="31">
        <f t="shared" si="67"/>
        <v>0</v>
      </c>
      <c r="CI36" s="27">
        <f t="shared" ref="CI36:CI40" si="88">DC36*0.51</f>
        <v>0</v>
      </c>
      <c r="CJ36" s="37">
        <f t="shared" si="20"/>
        <v>-1</v>
      </c>
      <c r="CK36" s="36">
        <v>7311.666666666667</v>
      </c>
      <c r="CL36" s="31">
        <f t="shared" si="68"/>
        <v>6413.0628333333334</v>
      </c>
      <c r="CM36" s="31">
        <f t="shared" si="69"/>
        <v>898.60383333333334</v>
      </c>
      <c r="CN36" s="31">
        <f t="shared" si="70"/>
        <v>0</v>
      </c>
      <c r="CO36" s="31">
        <f t="shared" si="71"/>
        <v>0</v>
      </c>
      <c r="CP36" s="27">
        <f t="shared" ref="CP36:CP40" si="89">DD36*0.51</f>
        <v>0</v>
      </c>
      <c r="CQ36" s="37">
        <f t="shared" si="22"/>
        <v>-1</v>
      </c>
      <c r="CS36" s="27">
        <f>134.56+1300+534.13+15.85+182.9+1209.1+119.21+57.98+114.64+48.17+900+213.4+1200+340+510+12.76+130.64+5531.32+527.93+163.66+924.22+182.91+284.36+744.78+220.29+556.94+1839.97+900+113.04+103.5+129.01+900+800</f>
        <v>20945.27</v>
      </c>
      <c r="CT36" s="27">
        <f>41.17+539.54+1898.9+2327.49+145.32+100+480+960+81.65+6660+123.63+62.1+751.4+2250+2800+130+450+385+810+1000+270+855+1098+186+2860+253.35</f>
        <v>27518.549999999996</v>
      </c>
      <c r="CU36" s="27">
        <f>104.93+936.81+678.32+3205.76+775.61+882.79+775.61+882.79+600+104.06+750+138.13+107.69+11.45+11.76+80.02+120.84+62.87+58.79+15.78+4005+593.8+375+65.32+210+900+712.19+359.23+51.69+99.61+980+101.12+2736+109.45</f>
        <v>21602.42</v>
      </c>
      <c r="CV36" s="27">
        <f>303.33+487+723+650+168.15+50.72+5.71+50.59+92.68+39.62+750+775+30+4005+1860+940.46+680+800+19.6+95.1+85.59+152.16+226.65+740+95.1+990+74.71+430+1439.6+34.58+600+114.12+1520+889.58</f>
        <v>19918.05</v>
      </c>
      <c r="CW36" s="27"/>
      <c r="CX36" s="27"/>
      <c r="CY36" s="27"/>
      <c r="CZ36" s="27"/>
      <c r="DA36" s="27"/>
      <c r="DB36" s="27"/>
      <c r="DC36" s="27"/>
      <c r="DD36" s="27"/>
      <c r="DF36" s="28"/>
    </row>
    <row r="37" spans="1:110" s="26" customFormat="1" ht="16" customHeight="1" x14ac:dyDescent="0.2">
      <c r="A37" s="38" t="s">
        <v>61</v>
      </c>
      <c r="B37" s="30">
        <f t="shared" si="80"/>
        <v>131610</v>
      </c>
      <c r="C37" s="31">
        <f t="shared" si="80"/>
        <v>115435.13099999998</v>
      </c>
      <c r="D37" s="32">
        <f t="shared" si="80"/>
        <v>16174.868999999999</v>
      </c>
      <c r="E37" s="30">
        <f t="shared" ref="E37:G54" si="90">+L37+S37+Z37+AG37</f>
        <v>43870</v>
      </c>
      <c r="F37" s="33">
        <f t="shared" si="90"/>
        <v>38478.377</v>
      </c>
      <c r="G37" s="34">
        <f t="shared" si="90"/>
        <v>5391.6229999999996</v>
      </c>
      <c r="H37" s="31">
        <f t="shared" si="81"/>
        <v>74808.136019943762</v>
      </c>
      <c r="I37" s="33">
        <f t="shared" si="81"/>
        <v>10482.179816270764</v>
      </c>
      <c r="J37" s="33">
        <f t="shared" si="81"/>
        <v>85290.315836214519</v>
      </c>
      <c r="K37" s="35">
        <f t="shared" si="2"/>
        <v>0.94416037921619611</v>
      </c>
      <c r="L37" s="36">
        <v>10967.5</v>
      </c>
      <c r="M37" s="31">
        <f t="shared" si="24"/>
        <v>9619.5942500000001</v>
      </c>
      <c r="N37" s="31">
        <f t="shared" si="25"/>
        <v>1347.9057499999999</v>
      </c>
      <c r="O37" s="31">
        <f t="shared" si="26"/>
        <v>16813.114193223162</v>
      </c>
      <c r="P37" s="31">
        <f t="shared" si="27"/>
        <v>2355.8678991530342</v>
      </c>
      <c r="Q37" s="33">
        <v>19168.982092376194</v>
      </c>
      <c r="R37" s="35">
        <f t="shared" si="3"/>
        <v>0.7477986863347339</v>
      </c>
      <c r="S37" s="36">
        <v>10967.5</v>
      </c>
      <c r="T37" s="31">
        <f t="shared" si="28"/>
        <v>9619.5942500000001</v>
      </c>
      <c r="U37" s="31">
        <f t="shared" si="29"/>
        <v>1347.9057499999999</v>
      </c>
      <c r="V37" s="31">
        <f t="shared" si="30"/>
        <v>12630.073477086406</v>
      </c>
      <c r="W37" s="31">
        <f t="shared" si="31"/>
        <v>1769.7366666673347</v>
      </c>
      <c r="X37" s="33">
        <v>14399.810143753741</v>
      </c>
      <c r="Y37" s="35">
        <f t="shared" si="4"/>
        <v>0.31295282824287574</v>
      </c>
      <c r="Z37" s="36">
        <v>10967.5</v>
      </c>
      <c r="AA37" s="31">
        <f t="shared" si="32"/>
        <v>9619.5942500000001</v>
      </c>
      <c r="AB37" s="31">
        <f t="shared" si="33"/>
        <v>1347.9057499999999</v>
      </c>
      <c r="AC37" s="31">
        <f t="shared" si="34"/>
        <v>17759.348528986935</v>
      </c>
      <c r="AD37" s="31">
        <f t="shared" si="35"/>
        <v>2488.4550612387347</v>
      </c>
      <c r="AE37" s="33">
        <v>20247.803590225671</v>
      </c>
      <c r="AF37" s="35">
        <f t="shared" si="5"/>
        <v>0.84616399272629783</v>
      </c>
      <c r="AG37" s="36">
        <v>10967.5</v>
      </c>
      <c r="AH37" s="31">
        <f t="shared" si="36"/>
        <v>9619.5942500000001</v>
      </c>
      <c r="AI37" s="31">
        <f t="shared" si="37"/>
        <v>1347.9057499999999</v>
      </c>
      <c r="AJ37" s="31">
        <f t="shared" si="38"/>
        <v>27605.599820647254</v>
      </c>
      <c r="AK37" s="31">
        <f t="shared" si="39"/>
        <v>3868.1201892116601</v>
      </c>
      <c r="AL37" s="33">
        <v>31473.720009858913</v>
      </c>
      <c r="AM37" s="35">
        <f t="shared" si="6"/>
        <v>1.8697260095608765</v>
      </c>
      <c r="AN37" s="36">
        <v>10967.5</v>
      </c>
      <c r="AO37" s="31">
        <f t="shared" si="40"/>
        <v>9619.5942500000001</v>
      </c>
      <c r="AP37" s="31">
        <f t="shared" si="41"/>
        <v>1347.9057499999999</v>
      </c>
      <c r="AQ37" s="31">
        <f t="shared" si="42"/>
        <v>0</v>
      </c>
      <c r="AR37" s="31">
        <f t="shared" si="43"/>
        <v>0</v>
      </c>
      <c r="AS37" s="27">
        <f t="shared" si="82"/>
        <v>0</v>
      </c>
      <c r="AT37" s="35">
        <f t="shared" si="8"/>
        <v>-1</v>
      </c>
      <c r="AU37" s="36">
        <v>10967.5</v>
      </c>
      <c r="AV37" s="31">
        <f t="shared" si="44"/>
        <v>9619.5942500000001</v>
      </c>
      <c r="AW37" s="31">
        <f t="shared" si="45"/>
        <v>1347.9057499999999</v>
      </c>
      <c r="AX37" s="31">
        <f t="shared" si="46"/>
        <v>0</v>
      </c>
      <c r="AY37" s="31">
        <f t="shared" si="47"/>
        <v>0</v>
      </c>
      <c r="AZ37" s="27">
        <f t="shared" si="83"/>
        <v>0</v>
      </c>
      <c r="BA37" s="35">
        <f t="shared" si="10"/>
        <v>-1</v>
      </c>
      <c r="BB37" s="36">
        <v>10967.5</v>
      </c>
      <c r="BC37" s="31">
        <f t="shared" si="48"/>
        <v>9619.5942500000001</v>
      </c>
      <c r="BD37" s="31">
        <f t="shared" si="49"/>
        <v>1347.9057499999999</v>
      </c>
      <c r="BE37" s="31">
        <f t="shared" si="50"/>
        <v>0</v>
      </c>
      <c r="BF37" s="31">
        <f t="shared" si="51"/>
        <v>0</v>
      </c>
      <c r="BG37" s="27">
        <f t="shared" si="84"/>
        <v>0</v>
      </c>
      <c r="BH37" s="35">
        <f t="shared" si="12"/>
        <v>-1</v>
      </c>
      <c r="BI37" s="36">
        <v>10967.5</v>
      </c>
      <c r="BJ37" s="31">
        <f t="shared" si="52"/>
        <v>9619.5942500000001</v>
      </c>
      <c r="BK37" s="31">
        <f t="shared" si="53"/>
        <v>1347.9057499999999</v>
      </c>
      <c r="BL37" s="31">
        <f t="shared" si="54"/>
        <v>0</v>
      </c>
      <c r="BM37" s="31">
        <f t="shared" si="55"/>
        <v>0</v>
      </c>
      <c r="BN37" s="27">
        <f t="shared" si="85"/>
        <v>0</v>
      </c>
      <c r="BO37" s="37">
        <f t="shared" si="14"/>
        <v>-1</v>
      </c>
      <c r="BP37" s="36">
        <v>10967.5</v>
      </c>
      <c r="BQ37" s="31">
        <f t="shared" si="56"/>
        <v>9619.5942500000001</v>
      </c>
      <c r="BR37" s="31">
        <f t="shared" si="57"/>
        <v>1347.9057499999999</v>
      </c>
      <c r="BS37" s="31">
        <f t="shared" si="58"/>
        <v>0</v>
      </c>
      <c r="BT37" s="31">
        <f t="shared" si="59"/>
        <v>0</v>
      </c>
      <c r="BU37" s="27">
        <f t="shared" si="86"/>
        <v>0</v>
      </c>
      <c r="BV37" s="37">
        <f t="shared" si="16"/>
        <v>-1</v>
      </c>
      <c r="BW37" s="36">
        <v>10967.5</v>
      </c>
      <c r="BX37" s="31">
        <f t="shared" si="60"/>
        <v>9619.5942500000001</v>
      </c>
      <c r="BY37" s="31">
        <f t="shared" si="61"/>
        <v>1347.9057499999999</v>
      </c>
      <c r="BZ37" s="31">
        <f t="shared" si="62"/>
        <v>0</v>
      </c>
      <c r="CA37" s="31">
        <f t="shared" si="63"/>
        <v>0</v>
      </c>
      <c r="CB37" s="27">
        <f t="shared" si="87"/>
        <v>0</v>
      </c>
      <c r="CC37" s="37">
        <f t="shared" si="18"/>
        <v>-1</v>
      </c>
      <c r="CD37" s="36">
        <v>10967.5</v>
      </c>
      <c r="CE37" s="31">
        <f t="shared" si="64"/>
        <v>9619.5942500000001</v>
      </c>
      <c r="CF37" s="31">
        <f t="shared" si="65"/>
        <v>1347.9057499999999</v>
      </c>
      <c r="CG37" s="31">
        <f t="shared" si="66"/>
        <v>0</v>
      </c>
      <c r="CH37" s="31">
        <f t="shared" si="67"/>
        <v>0</v>
      </c>
      <c r="CI37" s="27">
        <f t="shared" si="88"/>
        <v>0</v>
      </c>
      <c r="CJ37" s="37">
        <f t="shared" si="20"/>
        <v>-1</v>
      </c>
      <c r="CK37" s="36">
        <v>10967.5</v>
      </c>
      <c r="CL37" s="31">
        <f t="shared" si="68"/>
        <v>9619.5942500000001</v>
      </c>
      <c r="CM37" s="31">
        <f t="shared" si="69"/>
        <v>1347.9057499999999</v>
      </c>
      <c r="CN37" s="31">
        <f t="shared" si="70"/>
        <v>0</v>
      </c>
      <c r="CO37" s="31">
        <f t="shared" si="71"/>
        <v>0</v>
      </c>
      <c r="CP37" s="27">
        <f t="shared" si="89"/>
        <v>0</v>
      </c>
      <c r="CQ37" s="37">
        <f t="shared" si="22"/>
        <v>-1</v>
      </c>
      <c r="CS37" s="27">
        <f>64637.88-CS36</f>
        <v>43692.61</v>
      </c>
      <c r="CT37" s="27">
        <f>(60087.25+253.35)-CT36</f>
        <v>32822.050000000003</v>
      </c>
      <c r="CU37" s="27">
        <f>67754.03-CU36</f>
        <v>46151.61</v>
      </c>
      <c r="CV37" s="27">
        <f>(91161.38+495.95)-CV36</f>
        <v>71739.28</v>
      </c>
      <c r="CW37" s="27"/>
      <c r="CX37" s="27"/>
      <c r="CY37" s="27"/>
      <c r="CZ37" s="27"/>
      <c r="DA37" s="27"/>
      <c r="DB37" s="27"/>
      <c r="DC37" s="27"/>
      <c r="DD37" s="27"/>
      <c r="DF37" s="28"/>
    </row>
    <row r="38" spans="1:110" s="26" customFormat="1" ht="16" customHeight="1" x14ac:dyDescent="0.2">
      <c r="A38" s="38" t="s">
        <v>62</v>
      </c>
      <c r="B38" s="30">
        <f t="shared" si="80"/>
        <v>8774.0000000000018</v>
      </c>
      <c r="C38" s="31">
        <f t="shared" si="80"/>
        <v>7695.6754000000001</v>
      </c>
      <c r="D38" s="32">
        <f t="shared" si="80"/>
        <v>1078.3245999999997</v>
      </c>
      <c r="E38" s="30">
        <f t="shared" si="90"/>
        <v>2924.6666666666665</v>
      </c>
      <c r="F38" s="33">
        <f t="shared" si="90"/>
        <v>2565.2251333333334</v>
      </c>
      <c r="G38" s="34">
        <f t="shared" si="90"/>
        <v>359.44153333333333</v>
      </c>
      <c r="H38" s="31">
        <f t="shared" si="81"/>
        <v>4347.2522006604777</v>
      </c>
      <c r="I38" s="33">
        <f t="shared" si="81"/>
        <v>609.14068573842519</v>
      </c>
      <c r="J38" s="33">
        <f t="shared" si="81"/>
        <v>4956.3928863989031</v>
      </c>
      <c r="K38" s="35">
        <f t="shared" si="2"/>
        <v>0.69468642115303281</v>
      </c>
      <c r="L38" s="36">
        <v>731.16666666666663</v>
      </c>
      <c r="M38" s="31">
        <f t="shared" si="24"/>
        <v>641.30628333333334</v>
      </c>
      <c r="N38" s="31">
        <f t="shared" si="25"/>
        <v>89.860383333333331</v>
      </c>
      <c r="O38" s="31">
        <f t="shared" si="26"/>
        <v>1502.9156550708224</v>
      </c>
      <c r="P38" s="31">
        <f t="shared" si="27"/>
        <v>210.58982329062141</v>
      </c>
      <c r="Q38" s="33">
        <v>1713.5054783614437</v>
      </c>
      <c r="R38" s="35">
        <f t="shared" si="3"/>
        <v>1.3435224231066019</v>
      </c>
      <c r="S38" s="36">
        <v>731.16666666666663</v>
      </c>
      <c r="T38" s="31">
        <f t="shared" si="28"/>
        <v>641.30628333333334</v>
      </c>
      <c r="U38" s="31">
        <f t="shared" si="29"/>
        <v>89.860383333333331</v>
      </c>
      <c r="V38" s="31">
        <f t="shared" si="30"/>
        <v>417.07808438563831</v>
      </c>
      <c r="W38" s="31">
        <f t="shared" si="31"/>
        <v>58.441336872642736</v>
      </c>
      <c r="X38" s="33">
        <v>475.51942125828106</v>
      </c>
      <c r="Y38" s="35">
        <f t="shared" si="4"/>
        <v>-0.34964291599049768</v>
      </c>
      <c r="Z38" s="36">
        <v>731.16666666666663</v>
      </c>
      <c r="AA38" s="31">
        <f t="shared" si="32"/>
        <v>641.30628333333334</v>
      </c>
      <c r="AB38" s="31">
        <f t="shared" si="33"/>
        <v>89.860383333333331</v>
      </c>
      <c r="AC38" s="31">
        <f t="shared" si="34"/>
        <v>1630.7130870555757</v>
      </c>
      <c r="AD38" s="31">
        <f t="shared" si="35"/>
        <v>228.49690844730389</v>
      </c>
      <c r="AE38" s="33">
        <v>1859.2099955028796</v>
      </c>
      <c r="AF38" s="35">
        <f t="shared" si="5"/>
        <v>1.5427991732430542</v>
      </c>
      <c r="AG38" s="36">
        <v>731.16666666666663</v>
      </c>
      <c r="AH38" s="31">
        <f t="shared" si="36"/>
        <v>641.30628333333334</v>
      </c>
      <c r="AI38" s="31">
        <f t="shared" si="37"/>
        <v>89.860383333333331</v>
      </c>
      <c r="AJ38" s="31">
        <f t="shared" si="38"/>
        <v>796.54537414844162</v>
      </c>
      <c r="AK38" s="31">
        <f t="shared" si="39"/>
        <v>111.61261712785711</v>
      </c>
      <c r="AL38" s="33">
        <v>908.15799127629873</v>
      </c>
      <c r="AM38" s="35">
        <f t="shared" si="6"/>
        <v>0.24206700425297312</v>
      </c>
      <c r="AN38" s="36">
        <v>731.16666666666663</v>
      </c>
      <c r="AO38" s="31">
        <f t="shared" si="40"/>
        <v>641.30628333333334</v>
      </c>
      <c r="AP38" s="31">
        <f t="shared" si="41"/>
        <v>89.860383333333331</v>
      </c>
      <c r="AQ38" s="31">
        <f t="shared" si="42"/>
        <v>0</v>
      </c>
      <c r="AR38" s="31">
        <f t="shared" si="43"/>
        <v>0</v>
      </c>
      <c r="AS38" s="27">
        <f t="shared" si="82"/>
        <v>0</v>
      </c>
      <c r="AT38" s="35">
        <f t="shared" si="8"/>
        <v>-1</v>
      </c>
      <c r="AU38" s="36">
        <v>731.16666666666663</v>
      </c>
      <c r="AV38" s="31">
        <f t="shared" si="44"/>
        <v>641.30628333333334</v>
      </c>
      <c r="AW38" s="31">
        <f t="shared" si="45"/>
        <v>89.860383333333331</v>
      </c>
      <c r="AX38" s="31">
        <f t="shared" si="46"/>
        <v>0</v>
      </c>
      <c r="AY38" s="31">
        <f t="shared" si="47"/>
        <v>0</v>
      </c>
      <c r="AZ38" s="27">
        <f t="shared" si="83"/>
        <v>0</v>
      </c>
      <c r="BA38" s="35">
        <f t="shared" si="10"/>
        <v>-1</v>
      </c>
      <c r="BB38" s="36">
        <v>731.16666666666663</v>
      </c>
      <c r="BC38" s="31">
        <f t="shared" si="48"/>
        <v>641.30628333333334</v>
      </c>
      <c r="BD38" s="31">
        <f t="shared" si="49"/>
        <v>89.860383333333331</v>
      </c>
      <c r="BE38" s="31">
        <f t="shared" si="50"/>
        <v>0</v>
      </c>
      <c r="BF38" s="31">
        <f t="shared" si="51"/>
        <v>0</v>
      </c>
      <c r="BG38" s="27">
        <f t="shared" si="84"/>
        <v>0</v>
      </c>
      <c r="BH38" s="35">
        <f t="shared" si="12"/>
        <v>-1</v>
      </c>
      <c r="BI38" s="36">
        <v>731.16666666666663</v>
      </c>
      <c r="BJ38" s="31">
        <f t="shared" si="52"/>
        <v>641.30628333333334</v>
      </c>
      <c r="BK38" s="31">
        <f t="shared" si="53"/>
        <v>89.860383333333331</v>
      </c>
      <c r="BL38" s="31">
        <f t="shared" si="54"/>
        <v>0</v>
      </c>
      <c r="BM38" s="31">
        <f t="shared" si="55"/>
        <v>0</v>
      </c>
      <c r="BN38" s="27">
        <f t="shared" si="85"/>
        <v>0</v>
      </c>
      <c r="BO38" s="37">
        <f t="shared" si="14"/>
        <v>-1</v>
      </c>
      <c r="BP38" s="36">
        <v>731.16666666666663</v>
      </c>
      <c r="BQ38" s="31">
        <f t="shared" si="56"/>
        <v>641.30628333333334</v>
      </c>
      <c r="BR38" s="31">
        <f t="shared" si="57"/>
        <v>89.860383333333331</v>
      </c>
      <c r="BS38" s="31">
        <f t="shared" si="58"/>
        <v>0</v>
      </c>
      <c r="BT38" s="31">
        <f t="shared" si="59"/>
        <v>0</v>
      </c>
      <c r="BU38" s="27">
        <f t="shared" si="86"/>
        <v>0</v>
      </c>
      <c r="BV38" s="37">
        <f t="shared" si="16"/>
        <v>-1</v>
      </c>
      <c r="BW38" s="36">
        <v>731.16666666666663</v>
      </c>
      <c r="BX38" s="31">
        <f t="shared" si="60"/>
        <v>641.30628333333334</v>
      </c>
      <c r="BY38" s="31">
        <f t="shared" si="61"/>
        <v>89.860383333333331</v>
      </c>
      <c r="BZ38" s="31">
        <f t="shared" si="62"/>
        <v>0</v>
      </c>
      <c r="CA38" s="31">
        <f t="shared" si="63"/>
        <v>0</v>
      </c>
      <c r="CB38" s="27">
        <f t="shared" si="87"/>
        <v>0</v>
      </c>
      <c r="CC38" s="37">
        <f t="shared" si="18"/>
        <v>-1</v>
      </c>
      <c r="CD38" s="36">
        <v>731.16666666666663</v>
      </c>
      <c r="CE38" s="31">
        <f t="shared" si="64"/>
        <v>641.30628333333334</v>
      </c>
      <c r="CF38" s="31">
        <f t="shared" si="65"/>
        <v>89.860383333333331</v>
      </c>
      <c r="CG38" s="31">
        <f t="shared" si="66"/>
        <v>0</v>
      </c>
      <c r="CH38" s="31">
        <f t="shared" si="67"/>
        <v>0</v>
      </c>
      <c r="CI38" s="27">
        <f t="shared" si="88"/>
        <v>0</v>
      </c>
      <c r="CJ38" s="37">
        <f t="shared" si="20"/>
        <v>-1</v>
      </c>
      <c r="CK38" s="36">
        <v>731.16666666666663</v>
      </c>
      <c r="CL38" s="31">
        <f t="shared" si="68"/>
        <v>641.30628333333334</v>
      </c>
      <c r="CM38" s="31">
        <f t="shared" si="69"/>
        <v>89.860383333333331</v>
      </c>
      <c r="CN38" s="31">
        <f t="shared" si="70"/>
        <v>0</v>
      </c>
      <c r="CO38" s="31">
        <f t="shared" si="71"/>
        <v>0</v>
      </c>
      <c r="CP38" s="27">
        <f t="shared" si="89"/>
        <v>0</v>
      </c>
      <c r="CQ38" s="37">
        <f t="shared" si="22"/>
        <v>-1</v>
      </c>
      <c r="CS38" s="27">
        <f>3905.66</f>
        <v>3905.66</v>
      </c>
      <c r="CT38" s="27">
        <f>1083.87</f>
        <v>1083.8699999999999</v>
      </c>
      <c r="CU38" s="27">
        <f>1342.87+2894.9</f>
        <v>4237.7700000000004</v>
      </c>
      <c r="CV38" s="27">
        <v>2070</v>
      </c>
      <c r="CW38" s="27"/>
      <c r="CX38" s="27"/>
      <c r="CY38" s="27"/>
      <c r="CZ38" s="27"/>
      <c r="DA38" s="27"/>
      <c r="DB38" s="27"/>
      <c r="DC38" s="27"/>
      <c r="DD38" s="27"/>
      <c r="DF38" s="28"/>
    </row>
    <row r="39" spans="1:110" s="26" customFormat="1" ht="16" customHeight="1" x14ac:dyDescent="0.2">
      <c r="A39" s="38" t="s">
        <v>63</v>
      </c>
      <c r="B39" s="30">
        <f t="shared" si="80"/>
        <v>26322</v>
      </c>
      <c r="C39" s="31">
        <f t="shared" si="80"/>
        <v>23087.026200000008</v>
      </c>
      <c r="D39" s="32">
        <f t="shared" si="80"/>
        <v>3234.9737999999998</v>
      </c>
      <c r="E39" s="30">
        <f t="shared" si="90"/>
        <v>8774</v>
      </c>
      <c r="F39" s="33">
        <f t="shared" si="90"/>
        <v>7695.6754000000001</v>
      </c>
      <c r="G39" s="34">
        <f t="shared" si="90"/>
        <v>1078.3245999999999</v>
      </c>
      <c r="H39" s="31">
        <f t="shared" si="81"/>
        <v>60846.227133145294</v>
      </c>
      <c r="I39" s="33">
        <f t="shared" si="81"/>
        <v>8525.8252361914911</v>
      </c>
      <c r="J39" s="33">
        <f t="shared" si="81"/>
        <v>69372.052369336772</v>
      </c>
      <c r="K39" s="35">
        <f t="shared" si="2"/>
        <v>6.9065480247705464</v>
      </c>
      <c r="L39" s="36">
        <v>2193.5</v>
      </c>
      <c r="M39" s="31">
        <f t="shared" si="24"/>
        <v>1923.91885</v>
      </c>
      <c r="N39" s="31">
        <f t="shared" si="25"/>
        <v>269.58114999999998</v>
      </c>
      <c r="O39" s="31">
        <f t="shared" si="26"/>
        <v>7978.2407959689335</v>
      </c>
      <c r="P39" s="31">
        <f t="shared" si="27"/>
        <v>1117.9179042578746</v>
      </c>
      <c r="Q39" s="33">
        <v>9096.1587002268079</v>
      </c>
      <c r="R39" s="35">
        <f t="shared" si="3"/>
        <v>3.1468697060527964</v>
      </c>
      <c r="S39" s="36">
        <v>2193.5</v>
      </c>
      <c r="T39" s="31">
        <f t="shared" si="28"/>
        <v>1923.91885</v>
      </c>
      <c r="U39" s="31">
        <f t="shared" si="29"/>
        <v>269.58114999999998</v>
      </c>
      <c r="V39" s="31">
        <f t="shared" si="30"/>
        <v>4117.0813718938643</v>
      </c>
      <c r="W39" s="31">
        <f t="shared" si="31"/>
        <v>576.88895291957124</v>
      </c>
      <c r="X39" s="33">
        <v>4693.9703248134356</v>
      </c>
      <c r="Y39" s="35">
        <f t="shared" si="4"/>
        <v>1.1399454409908527</v>
      </c>
      <c r="Z39" s="36">
        <v>2193.5</v>
      </c>
      <c r="AA39" s="31">
        <f t="shared" si="32"/>
        <v>1923.91885</v>
      </c>
      <c r="AB39" s="31">
        <f t="shared" si="33"/>
        <v>269.58114999999998</v>
      </c>
      <c r="AC39" s="31">
        <f t="shared" si="34"/>
        <v>45875.072169029052</v>
      </c>
      <c r="AD39" s="31">
        <f t="shared" si="35"/>
        <v>6428.0542350629003</v>
      </c>
      <c r="AE39" s="33">
        <v>52303.126404091949</v>
      </c>
      <c r="AF39" s="35">
        <f t="shared" si="5"/>
        <v>22.844598315063575</v>
      </c>
      <c r="AG39" s="36">
        <v>2193.5</v>
      </c>
      <c r="AH39" s="31">
        <f t="shared" si="36"/>
        <v>1923.91885</v>
      </c>
      <c r="AI39" s="31">
        <f t="shared" si="37"/>
        <v>269.58114999999998</v>
      </c>
      <c r="AJ39" s="31">
        <f t="shared" si="38"/>
        <v>2875.8327962534477</v>
      </c>
      <c r="AK39" s="31">
        <f t="shared" si="39"/>
        <v>402.96414395114431</v>
      </c>
      <c r="AL39" s="33">
        <v>3278.7969402045919</v>
      </c>
      <c r="AM39" s="35">
        <f t="shared" si="6"/>
        <v>0.49477863697496782</v>
      </c>
      <c r="AN39" s="36">
        <v>2193.5</v>
      </c>
      <c r="AO39" s="31">
        <f t="shared" si="40"/>
        <v>1923.91885</v>
      </c>
      <c r="AP39" s="31">
        <f t="shared" si="41"/>
        <v>269.58114999999998</v>
      </c>
      <c r="AQ39" s="31">
        <f t="shared" si="42"/>
        <v>0</v>
      </c>
      <c r="AR39" s="31">
        <f t="shared" si="43"/>
        <v>0</v>
      </c>
      <c r="AS39" s="27">
        <f t="shared" si="82"/>
        <v>0</v>
      </c>
      <c r="AT39" s="35">
        <f t="shared" si="8"/>
        <v>-1</v>
      </c>
      <c r="AU39" s="36">
        <v>2193.5</v>
      </c>
      <c r="AV39" s="31">
        <f t="shared" si="44"/>
        <v>1923.91885</v>
      </c>
      <c r="AW39" s="31">
        <f t="shared" si="45"/>
        <v>269.58114999999998</v>
      </c>
      <c r="AX39" s="31">
        <f t="shared" si="46"/>
        <v>0</v>
      </c>
      <c r="AY39" s="31">
        <f t="shared" si="47"/>
        <v>0</v>
      </c>
      <c r="AZ39" s="27">
        <f t="shared" si="83"/>
        <v>0</v>
      </c>
      <c r="BA39" s="35">
        <f t="shared" si="10"/>
        <v>-1</v>
      </c>
      <c r="BB39" s="36">
        <v>2193.5</v>
      </c>
      <c r="BC39" s="31">
        <f t="shared" si="48"/>
        <v>1923.91885</v>
      </c>
      <c r="BD39" s="31">
        <f t="shared" si="49"/>
        <v>269.58114999999998</v>
      </c>
      <c r="BE39" s="31">
        <f t="shared" si="50"/>
        <v>0</v>
      </c>
      <c r="BF39" s="31">
        <f t="shared" si="51"/>
        <v>0</v>
      </c>
      <c r="BG39" s="27">
        <f t="shared" si="84"/>
        <v>0</v>
      </c>
      <c r="BH39" s="35">
        <f t="shared" si="12"/>
        <v>-1</v>
      </c>
      <c r="BI39" s="36">
        <v>2193.5</v>
      </c>
      <c r="BJ39" s="31">
        <f t="shared" si="52"/>
        <v>1923.91885</v>
      </c>
      <c r="BK39" s="31">
        <f t="shared" si="53"/>
        <v>269.58114999999998</v>
      </c>
      <c r="BL39" s="31">
        <f t="shared" si="54"/>
        <v>0</v>
      </c>
      <c r="BM39" s="31">
        <f t="shared" si="55"/>
        <v>0</v>
      </c>
      <c r="BN39" s="27">
        <f t="shared" si="85"/>
        <v>0</v>
      </c>
      <c r="BO39" s="37">
        <f t="shared" si="14"/>
        <v>-1</v>
      </c>
      <c r="BP39" s="36">
        <v>2193.5</v>
      </c>
      <c r="BQ39" s="31">
        <f t="shared" si="56"/>
        <v>1923.91885</v>
      </c>
      <c r="BR39" s="31">
        <f t="shared" si="57"/>
        <v>269.58114999999998</v>
      </c>
      <c r="BS39" s="31">
        <f t="shared" si="58"/>
        <v>0</v>
      </c>
      <c r="BT39" s="31">
        <f t="shared" si="59"/>
        <v>0</v>
      </c>
      <c r="BU39" s="27">
        <f t="shared" si="86"/>
        <v>0</v>
      </c>
      <c r="BV39" s="37">
        <f t="shared" si="16"/>
        <v>-1</v>
      </c>
      <c r="BW39" s="36">
        <v>2193.5</v>
      </c>
      <c r="BX39" s="31">
        <f t="shared" si="60"/>
        <v>1923.91885</v>
      </c>
      <c r="BY39" s="31">
        <f t="shared" si="61"/>
        <v>269.58114999999998</v>
      </c>
      <c r="BZ39" s="31">
        <f t="shared" si="62"/>
        <v>0</v>
      </c>
      <c r="CA39" s="31">
        <f t="shared" si="63"/>
        <v>0</v>
      </c>
      <c r="CB39" s="27">
        <f t="shared" si="87"/>
        <v>0</v>
      </c>
      <c r="CC39" s="37">
        <f t="shared" si="18"/>
        <v>-1</v>
      </c>
      <c r="CD39" s="36">
        <v>2193.5</v>
      </c>
      <c r="CE39" s="31">
        <f t="shared" si="64"/>
        <v>1923.91885</v>
      </c>
      <c r="CF39" s="31">
        <f t="shared" si="65"/>
        <v>269.58114999999998</v>
      </c>
      <c r="CG39" s="31">
        <f t="shared" si="66"/>
        <v>0</v>
      </c>
      <c r="CH39" s="31">
        <f t="shared" si="67"/>
        <v>0</v>
      </c>
      <c r="CI39" s="27">
        <f t="shared" si="88"/>
        <v>0</v>
      </c>
      <c r="CJ39" s="37">
        <f t="shared" si="20"/>
        <v>-1</v>
      </c>
      <c r="CK39" s="36">
        <v>2193.5</v>
      </c>
      <c r="CL39" s="31">
        <f t="shared" si="68"/>
        <v>1923.91885</v>
      </c>
      <c r="CM39" s="31">
        <f t="shared" si="69"/>
        <v>269.58114999999998</v>
      </c>
      <c r="CN39" s="31">
        <f t="shared" si="70"/>
        <v>0</v>
      </c>
      <c r="CO39" s="31">
        <f t="shared" si="71"/>
        <v>0</v>
      </c>
      <c r="CP39" s="27">
        <f t="shared" si="89"/>
        <v>0</v>
      </c>
      <c r="CQ39" s="37">
        <f t="shared" si="22"/>
        <v>-1</v>
      </c>
      <c r="CS39" s="27">
        <f>20733.23</f>
        <v>20733.23</v>
      </c>
      <c r="CT39" s="27">
        <f>10699.15</f>
        <v>10699.15</v>
      </c>
      <c r="CU39" s="27">
        <f>119216.56</f>
        <v>119216.56</v>
      </c>
      <c r="CV39" s="27">
        <f>7473.49</f>
        <v>7473.49</v>
      </c>
      <c r="CW39" s="27"/>
      <c r="CX39" s="27"/>
      <c r="CY39" s="27"/>
      <c r="CZ39" s="27"/>
      <c r="DA39" s="27"/>
      <c r="DB39" s="27"/>
      <c r="DC39" s="27"/>
      <c r="DD39" s="27"/>
      <c r="DF39" s="28"/>
    </row>
    <row r="40" spans="1:110" s="26" customFormat="1" ht="16" customHeight="1" x14ac:dyDescent="0.2">
      <c r="A40" s="38" t="s">
        <v>64</v>
      </c>
      <c r="B40" s="30">
        <f t="shared" si="80"/>
        <v>57031.000000000007</v>
      </c>
      <c r="C40" s="31">
        <f t="shared" si="80"/>
        <v>50021.890099999997</v>
      </c>
      <c r="D40" s="32">
        <f t="shared" si="80"/>
        <v>7009.1098999999986</v>
      </c>
      <c r="E40" s="30">
        <f t="shared" si="90"/>
        <v>19010.333333333332</v>
      </c>
      <c r="F40" s="33">
        <f t="shared" si="90"/>
        <v>16673.963366666667</v>
      </c>
      <c r="G40" s="34">
        <f t="shared" si="90"/>
        <v>2336.3699666666666</v>
      </c>
      <c r="H40" s="31">
        <f t="shared" si="81"/>
        <v>10915.780846424528</v>
      </c>
      <c r="I40" s="33">
        <f t="shared" si="81"/>
        <v>1529.5285212924118</v>
      </c>
      <c r="J40" s="33">
        <f t="shared" si="81"/>
        <v>12445.30936771694</v>
      </c>
      <c r="K40" s="35">
        <f t="shared" si="2"/>
        <v>-0.3453397607765808</v>
      </c>
      <c r="L40" s="36">
        <v>4752.583333333333</v>
      </c>
      <c r="M40" s="31">
        <f t="shared" si="24"/>
        <v>4168.4908416666667</v>
      </c>
      <c r="N40" s="31">
        <f t="shared" si="25"/>
        <v>584.09249166666666</v>
      </c>
      <c r="O40" s="31">
        <f t="shared" si="26"/>
        <v>4092.3961613858337</v>
      </c>
      <c r="P40" s="31">
        <f t="shared" si="27"/>
        <v>573.43004017138173</v>
      </c>
      <c r="Q40" s="33">
        <v>4665.8262015572154</v>
      </c>
      <c r="R40" s="35">
        <f t="shared" si="3"/>
        <v>-1.8254731309523042E-2</v>
      </c>
      <c r="S40" s="36">
        <v>4752.583333333333</v>
      </c>
      <c r="T40" s="31">
        <f t="shared" si="28"/>
        <v>4168.4908416666667</v>
      </c>
      <c r="U40" s="31">
        <f t="shared" si="29"/>
        <v>584.09249166666666</v>
      </c>
      <c r="V40" s="31">
        <f t="shared" si="30"/>
        <v>1416.98880384022</v>
      </c>
      <c r="W40" s="31">
        <f t="shared" si="31"/>
        <v>198.54967961687726</v>
      </c>
      <c r="X40" s="33">
        <v>1615.5384834570973</v>
      </c>
      <c r="Y40" s="35">
        <f t="shared" si="4"/>
        <v>-0.66007150845180396</v>
      </c>
      <c r="Z40" s="36">
        <v>4752.583333333333</v>
      </c>
      <c r="AA40" s="31">
        <f t="shared" si="32"/>
        <v>4168.4908416666667</v>
      </c>
      <c r="AB40" s="31">
        <f t="shared" si="33"/>
        <v>584.09249166666666</v>
      </c>
      <c r="AC40" s="31">
        <f t="shared" si="34"/>
        <v>2251.0526195246389</v>
      </c>
      <c r="AD40" s="31">
        <f t="shared" si="35"/>
        <v>315.41941276887252</v>
      </c>
      <c r="AE40" s="33">
        <v>2566.4720322935113</v>
      </c>
      <c r="AF40" s="35">
        <f t="shared" si="5"/>
        <v>-0.45998379149020463</v>
      </c>
      <c r="AG40" s="36">
        <v>4752.583333333333</v>
      </c>
      <c r="AH40" s="31">
        <f t="shared" si="36"/>
        <v>4168.4908416666667</v>
      </c>
      <c r="AI40" s="31">
        <f t="shared" si="37"/>
        <v>584.09249166666666</v>
      </c>
      <c r="AJ40" s="31">
        <f t="shared" si="38"/>
        <v>3155.343261673836</v>
      </c>
      <c r="AK40" s="31">
        <f t="shared" si="39"/>
        <v>442.12938873528037</v>
      </c>
      <c r="AL40" s="33">
        <v>3597.4726504091163</v>
      </c>
      <c r="AM40" s="35">
        <f t="shared" si="6"/>
        <v>-0.24304901185479122</v>
      </c>
      <c r="AN40" s="36">
        <v>4752.583333333333</v>
      </c>
      <c r="AO40" s="31">
        <f t="shared" si="40"/>
        <v>4168.4908416666667</v>
      </c>
      <c r="AP40" s="31">
        <f t="shared" si="41"/>
        <v>584.09249166666666</v>
      </c>
      <c r="AQ40" s="31">
        <f t="shared" si="42"/>
        <v>0</v>
      </c>
      <c r="AR40" s="31">
        <f t="shared" si="43"/>
        <v>0</v>
      </c>
      <c r="AS40" s="27">
        <f t="shared" si="82"/>
        <v>0</v>
      </c>
      <c r="AT40" s="35">
        <f t="shared" si="8"/>
        <v>-1</v>
      </c>
      <c r="AU40" s="36">
        <v>4752.583333333333</v>
      </c>
      <c r="AV40" s="31">
        <f t="shared" si="44"/>
        <v>4168.4908416666667</v>
      </c>
      <c r="AW40" s="31">
        <f t="shared" si="45"/>
        <v>584.09249166666666</v>
      </c>
      <c r="AX40" s="31">
        <f t="shared" si="46"/>
        <v>0</v>
      </c>
      <c r="AY40" s="31">
        <f t="shared" si="47"/>
        <v>0</v>
      </c>
      <c r="AZ40" s="27">
        <f t="shared" si="83"/>
        <v>0</v>
      </c>
      <c r="BA40" s="35">
        <f t="shared" si="10"/>
        <v>-1</v>
      </c>
      <c r="BB40" s="36">
        <v>4752.583333333333</v>
      </c>
      <c r="BC40" s="31">
        <f t="shared" si="48"/>
        <v>4168.4908416666667</v>
      </c>
      <c r="BD40" s="31">
        <f t="shared" si="49"/>
        <v>584.09249166666666</v>
      </c>
      <c r="BE40" s="31">
        <f t="shared" si="50"/>
        <v>0</v>
      </c>
      <c r="BF40" s="31">
        <f t="shared" si="51"/>
        <v>0</v>
      </c>
      <c r="BG40" s="27">
        <f t="shared" si="84"/>
        <v>0</v>
      </c>
      <c r="BH40" s="35">
        <f t="shared" si="12"/>
        <v>-1</v>
      </c>
      <c r="BI40" s="36">
        <v>4752.583333333333</v>
      </c>
      <c r="BJ40" s="31">
        <f t="shared" si="52"/>
        <v>4168.4908416666667</v>
      </c>
      <c r="BK40" s="31">
        <f t="shared" si="53"/>
        <v>584.09249166666666</v>
      </c>
      <c r="BL40" s="31">
        <f t="shared" si="54"/>
        <v>0</v>
      </c>
      <c r="BM40" s="31">
        <f t="shared" si="55"/>
        <v>0</v>
      </c>
      <c r="BN40" s="27">
        <f t="shared" si="85"/>
        <v>0</v>
      </c>
      <c r="BO40" s="37">
        <f t="shared" si="14"/>
        <v>-1</v>
      </c>
      <c r="BP40" s="36">
        <v>4752.583333333333</v>
      </c>
      <c r="BQ40" s="31">
        <f t="shared" si="56"/>
        <v>4168.4908416666667</v>
      </c>
      <c r="BR40" s="31">
        <f t="shared" si="57"/>
        <v>584.09249166666666</v>
      </c>
      <c r="BS40" s="31">
        <f t="shared" si="58"/>
        <v>0</v>
      </c>
      <c r="BT40" s="31">
        <f t="shared" si="59"/>
        <v>0</v>
      </c>
      <c r="BU40" s="27">
        <f t="shared" si="86"/>
        <v>0</v>
      </c>
      <c r="BV40" s="37">
        <f t="shared" si="16"/>
        <v>-1</v>
      </c>
      <c r="BW40" s="36">
        <v>4752.583333333333</v>
      </c>
      <c r="BX40" s="31">
        <f t="shared" si="60"/>
        <v>4168.4908416666667</v>
      </c>
      <c r="BY40" s="31">
        <f t="shared" si="61"/>
        <v>584.09249166666666</v>
      </c>
      <c r="BZ40" s="31">
        <f t="shared" si="62"/>
        <v>0</v>
      </c>
      <c r="CA40" s="31">
        <f t="shared" si="63"/>
        <v>0</v>
      </c>
      <c r="CB40" s="27">
        <f t="shared" si="87"/>
        <v>0</v>
      </c>
      <c r="CC40" s="37">
        <f t="shared" si="18"/>
        <v>-1</v>
      </c>
      <c r="CD40" s="36">
        <v>4752.583333333333</v>
      </c>
      <c r="CE40" s="31">
        <f t="shared" si="64"/>
        <v>4168.4908416666667</v>
      </c>
      <c r="CF40" s="31">
        <f t="shared" si="65"/>
        <v>584.09249166666666</v>
      </c>
      <c r="CG40" s="31">
        <f t="shared" si="66"/>
        <v>0</v>
      </c>
      <c r="CH40" s="31">
        <f t="shared" si="67"/>
        <v>0</v>
      </c>
      <c r="CI40" s="27">
        <f t="shared" si="88"/>
        <v>0</v>
      </c>
      <c r="CJ40" s="37">
        <f t="shared" si="20"/>
        <v>-1</v>
      </c>
      <c r="CK40" s="36">
        <v>4752.583333333333</v>
      </c>
      <c r="CL40" s="31">
        <f t="shared" si="68"/>
        <v>4168.4908416666667</v>
      </c>
      <c r="CM40" s="31">
        <f t="shared" si="69"/>
        <v>584.09249166666666</v>
      </c>
      <c r="CN40" s="31">
        <f t="shared" si="70"/>
        <v>0</v>
      </c>
      <c r="CO40" s="31">
        <f t="shared" si="71"/>
        <v>0</v>
      </c>
      <c r="CP40" s="27">
        <f t="shared" si="89"/>
        <v>0</v>
      </c>
      <c r="CQ40" s="37">
        <f t="shared" si="22"/>
        <v>-1</v>
      </c>
      <c r="CS40" s="27">
        <f>10635</f>
        <v>10635</v>
      </c>
      <c r="CT40" s="27">
        <f>3682.36</f>
        <v>3682.36</v>
      </c>
      <c r="CU40" s="27">
        <f>5849.86</f>
        <v>5849.86</v>
      </c>
      <c r="CV40" s="27">
        <f>8199.86</f>
        <v>8199.86</v>
      </c>
      <c r="CW40" s="27"/>
      <c r="CX40" s="27"/>
      <c r="CY40" s="27"/>
      <c r="CZ40" s="27"/>
      <c r="DA40" s="27"/>
      <c r="DB40" s="27"/>
      <c r="DC40" s="27"/>
      <c r="DD40" s="27"/>
      <c r="DF40" s="28"/>
    </row>
    <row r="41" spans="1:110" s="26" customFormat="1" ht="16" customHeight="1" x14ac:dyDescent="0.2">
      <c r="A41" s="29" t="s">
        <v>65</v>
      </c>
      <c r="B41" s="30">
        <f t="shared" si="80"/>
        <v>375965.90000000014</v>
      </c>
      <c r="C41" s="31">
        <f t="shared" si="80"/>
        <v>329759.69088999997</v>
      </c>
      <c r="D41" s="32">
        <f t="shared" si="80"/>
        <v>46206.209110000018</v>
      </c>
      <c r="E41" s="30">
        <f t="shared" si="90"/>
        <v>125321.96666666667</v>
      </c>
      <c r="F41" s="33">
        <f t="shared" si="90"/>
        <v>109919.89696333333</v>
      </c>
      <c r="G41" s="34">
        <f t="shared" si="90"/>
        <v>15402.069703333334</v>
      </c>
      <c r="H41" s="31">
        <f t="shared" si="81"/>
        <v>109919.89696333333</v>
      </c>
      <c r="I41" s="33">
        <f t="shared" si="81"/>
        <v>15402.069703333334</v>
      </c>
      <c r="J41" s="33">
        <f t="shared" si="81"/>
        <v>125321.96666666667</v>
      </c>
      <c r="K41" s="35">
        <f t="shared" si="2"/>
        <v>0</v>
      </c>
      <c r="L41" s="43">
        <v>31330.491666666669</v>
      </c>
      <c r="M41" s="44">
        <f t="shared" si="24"/>
        <v>27479.974240833333</v>
      </c>
      <c r="N41" s="44">
        <f t="shared" si="25"/>
        <v>3850.5174258333336</v>
      </c>
      <c r="O41" s="44">
        <f t="shared" si="26"/>
        <v>27479.974240833333</v>
      </c>
      <c r="P41" s="44">
        <f t="shared" si="27"/>
        <v>3850.5174258333336</v>
      </c>
      <c r="Q41" s="45">
        <v>31330.491666666669</v>
      </c>
      <c r="R41" s="35">
        <f t="shared" si="3"/>
        <v>0</v>
      </c>
      <c r="S41" s="46">
        <v>31330.491666666669</v>
      </c>
      <c r="T41" s="47">
        <f t="shared" si="28"/>
        <v>27479.974240833333</v>
      </c>
      <c r="U41" s="47">
        <f t="shared" si="29"/>
        <v>3850.5174258333336</v>
      </c>
      <c r="V41" s="47">
        <f t="shared" si="30"/>
        <v>27479.974240833333</v>
      </c>
      <c r="W41" s="44">
        <f t="shared" si="31"/>
        <v>3850.5174258333336</v>
      </c>
      <c r="X41" s="45">
        <v>31330.491666666669</v>
      </c>
      <c r="Y41" s="35">
        <f t="shared" si="4"/>
        <v>0</v>
      </c>
      <c r="Z41" s="46">
        <v>31330.491666666669</v>
      </c>
      <c r="AA41" s="47">
        <f t="shared" si="32"/>
        <v>27479.974240833333</v>
      </c>
      <c r="AB41" s="47">
        <f t="shared" si="33"/>
        <v>3850.5174258333336</v>
      </c>
      <c r="AC41" s="47">
        <f t="shared" si="34"/>
        <v>27479.974240833333</v>
      </c>
      <c r="AD41" s="44">
        <f t="shared" si="35"/>
        <v>3850.5174258333336</v>
      </c>
      <c r="AE41" s="46">
        <v>31330.491666666669</v>
      </c>
      <c r="AF41" s="35">
        <f t="shared" si="5"/>
        <v>0</v>
      </c>
      <c r="AG41" s="46">
        <v>31330.491666666669</v>
      </c>
      <c r="AH41" s="47">
        <f t="shared" si="36"/>
        <v>27479.974240833333</v>
      </c>
      <c r="AI41" s="47">
        <f t="shared" si="37"/>
        <v>3850.5174258333336</v>
      </c>
      <c r="AJ41" s="47">
        <f t="shared" si="38"/>
        <v>27479.974240833333</v>
      </c>
      <c r="AK41" s="44">
        <f t="shared" si="39"/>
        <v>3850.5174258333336</v>
      </c>
      <c r="AL41" s="45">
        <v>31330.491666666669</v>
      </c>
      <c r="AM41" s="35">
        <f t="shared" si="6"/>
        <v>0</v>
      </c>
      <c r="AN41" s="46">
        <v>31330.491666666669</v>
      </c>
      <c r="AO41" s="47">
        <f t="shared" si="40"/>
        <v>27479.974240833333</v>
      </c>
      <c r="AP41" s="47">
        <f t="shared" si="41"/>
        <v>3850.5174258333336</v>
      </c>
      <c r="AQ41" s="47">
        <f t="shared" si="42"/>
        <v>0</v>
      </c>
      <c r="AR41" s="44">
        <f t="shared" si="43"/>
        <v>0</v>
      </c>
      <c r="AS41" s="48"/>
      <c r="AT41" s="35">
        <f t="shared" si="8"/>
        <v>-1</v>
      </c>
      <c r="AU41" s="46">
        <v>31330.491666666669</v>
      </c>
      <c r="AV41" s="47">
        <f t="shared" si="44"/>
        <v>27479.974240833333</v>
      </c>
      <c r="AW41" s="47">
        <f t="shared" si="45"/>
        <v>3850.5174258333336</v>
      </c>
      <c r="AX41" s="47">
        <f t="shared" si="46"/>
        <v>0</v>
      </c>
      <c r="AY41" s="44">
        <f t="shared" si="47"/>
        <v>0</v>
      </c>
      <c r="AZ41" s="48"/>
      <c r="BA41" s="35">
        <f t="shared" si="10"/>
        <v>-1</v>
      </c>
      <c r="BB41" s="46">
        <v>31330.491666666669</v>
      </c>
      <c r="BC41" s="47">
        <f t="shared" si="48"/>
        <v>27479.974240833333</v>
      </c>
      <c r="BD41" s="47">
        <f t="shared" si="49"/>
        <v>3850.5174258333336</v>
      </c>
      <c r="BE41" s="47">
        <f t="shared" si="50"/>
        <v>0</v>
      </c>
      <c r="BF41" s="44">
        <f t="shared" si="51"/>
        <v>0</v>
      </c>
      <c r="BG41" s="48"/>
      <c r="BH41" s="35">
        <f t="shared" si="12"/>
        <v>-1</v>
      </c>
      <c r="BI41" s="46">
        <v>31330.491666666669</v>
      </c>
      <c r="BJ41" s="47">
        <f t="shared" si="52"/>
        <v>27479.974240833333</v>
      </c>
      <c r="BK41" s="47">
        <f t="shared" si="53"/>
        <v>3850.5174258333336</v>
      </c>
      <c r="BL41" s="47">
        <f t="shared" si="54"/>
        <v>0</v>
      </c>
      <c r="BM41" s="44">
        <f t="shared" si="55"/>
        <v>0</v>
      </c>
      <c r="BN41" s="48"/>
      <c r="BO41" s="37">
        <f t="shared" si="14"/>
        <v>-1</v>
      </c>
      <c r="BP41" s="46">
        <v>31330.491666666669</v>
      </c>
      <c r="BQ41" s="47">
        <f t="shared" si="56"/>
        <v>27479.974240833333</v>
      </c>
      <c r="BR41" s="47">
        <f t="shared" si="57"/>
        <v>3850.5174258333336</v>
      </c>
      <c r="BS41" s="47">
        <f t="shared" si="58"/>
        <v>0</v>
      </c>
      <c r="BT41" s="44">
        <f t="shared" si="59"/>
        <v>0</v>
      </c>
      <c r="BU41" s="48"/>
      <c r="BV41" s="37">
        <f t="shared" si="16"/>
        <v>-1</v>
      </c>
      <c r="BW41" s="46">
        <v>31330.491666666669</v>
      </c>
      <c r="BX41" s="47">
        <f t="shared" si="60"/>
        <v>27479.974240833333</v>
      </c>
      <c r="BY41" s="47">
        <f t="shared" si="61"/>
        <v>3850.5174258333336</v>
      </c>
      <c r="BZ41" s="47">
        <f t="shared" si="62"/>
        <v>0</v>
      </c>
      <c r="CA41" s="44">
        <f t="shared" si="63"/>
        <v>0</v>
      </c>
      <c r="CB41" s="48"/>
      <c r="CC41" s="37">
        <f t="shared" si="18"/>
        <v>-1</v>
      </c>
      <c r="CD41" s="46">
        <v>31330.491666666669</v>
      </c>
      <c r="CE41" s="47">
        <f t="shared" si="64"/>
        <v>27479.974240833333</v>
      </c>
      <c r="CF41" s="47">
        <f t="shared" si="65"/>
        <v>3850.5174258333336</v>
      </c>
      <c r="CG41" s="47">
        <f t="shared" si="66"/>
        <v>0</v>
      </c>
      <c r="CH41" s="44">
        <f t="shared" si="67"/>
        <v>0</v>
      </c>
      <c r="CI41" s="48"/>
      <c r="CJ41" s="37">
        <f t="shared" si="20"/>
        <v>-1</v>
      </c>
      <c r="CK41" s="46">
        <v>31330.491666666669</v>
      </c>
      <c r="CL41" s="47">
        <f t="shared" si="68"/>
        <v>27479.974240833333</v>
      </c>
      <c r="CM41" s="47">
        <f t="shared" si="69"/>
        <v>3850.5174258333336</v>
      </c>
      <c r="CN41" s="47">
        <f t="shared" si="70"/>
        <v>0</v>
      </c>
      <c r="CO41" s="44">
        <f t="shared" si="71"/>
        <v>0</v>
      </c>
      <c r="CP41" s="49"/>
      <c r="CQ41" s="37">
        <f t="shared" si="22"/>
        <v>-1</v>
      </c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F41" s="28"/>
    </row>
    <row r="42" spans="1:110" s="26" customFormat="1" ht="16" customHeight="1" x14ac:dyDescent="0.2">
      <c r="A42" s="29" t="s">
        <v>66</v>
      </c>
      <c r="B42" s="30">
        <f t="shared" si="80"/>
        <v>0</v>
      </c>
      <c r="C42" s="31">
        <f t="shared" si="80"/>
        <v>0</v>
      </c>
      <c r="D42" s="32">
        <f t="shared" si="80"/>
        <v>0</v>
      </c>
      <c r="E42" s="30">
        <f t="shared" si="90"/>
        <v>0</v>
      </c>
      <c r="F42" s="33">
        <f t="shared" si="90"/>
        <v>0</v>
      </c>
      <c r="G42" s="34">
        <f t="shared" si="90"/>
        <v>0</v>
      </c>
      <c r="H42" s="31">
        <f t="shared" si="81"/>
        <v>0</v>
      </c>
      <c r="I42" s="33">
        <f t="shared" si="81"/>
        <v>0</v>
      </c>
      <c r="J42" s="33">
        <f t="shared" si="81"/>
        <v>0</v>
      </c>
      <c r="K42" s="35" t="str">
        <f t="shared" si="2"/>
        <v/>
      </c>
      <c r="L42" s="36">
        <v>0</v>
      </c>
      <c r="M42" s="31">
        <f t="shared" si="24"/>
        <v>0</v>
      </c>
      <c r="N42" s="31">
        <f t="shared" si="25"/>
        <v>0</v>
      </c>
      <c r="O42" s="31">
        <f t="shared" si="26"/>
        <v>0</v>
      </c>
      <c r="P42" s="31">
        <f t="shared" si="27"/>
        <v>0</v>
      </c>
      <c r="Q42" s="33"/>
      <c r="R42" s="35" t="str">
        <f t="shared" si="3"/>
        <v/>
      </c>
      <c r="S42" s="36">
        <v>0</v>
      </c>
      <c r="T42" s="31">
        <f t="shared" si="28"/>
        <v>0</v>
      </c>
      <c r="U42" s="31">
        <f t="shared" si="29"/>
        <v>0</v>
      </c>
      <c r="V42" s="31">
        <f t="shared" si="30"/>
        <v>0</v>
      </c>
      <c r="W42" s="31">
        <f t="shared" si="31"/>
        <v>0</v>
      </c>
      <c r="X42" s="33"/>
      <c r="Y42" s="35" t="str">
        <f t="shared" si="4"/>
        <v/>
      </c>
      <c r="Z42" s="36">
        <v>0</v>
      </c>
      <c r="AA42" s="31">
        <f t="shared" si="32"/>
        <v>0</v>
      </c>
      <c r="AB42" s="31">
        <f t="shared" si="33"/>
        <v>0</v>
      </c>
      <c r="AC42" s="31">
        <f t="shared" si="34"/>
        <v>0</v>
      </c>
      <c r="AD42" s="31">
        <f t="shared" si="35"/>
        <v>0</v>
      </c>
      <c r="AE42" s="27"/>
      <c r="AF42" s="35" t="str">
        <f t="shared" si="5"/>
        <v/>
      </c>
      <c r="AG42" s="36">
        <v>0</v>
      </c>
      <c r="AH42" s="31">
        <f t="shared" si="36"/>
        <v>0</v>
      </c>
      <c r="AI42" s="31">
        <f t="shared" si="37"/>
        <v>0</v>
      </c>
      <c r="AJ42" s="31">
        <f t="shared" si="38"/>
        <v>0</v>
      </c>
      <c r="AK42" s="31">
        <f t="shared" si="39"/>
        <v>0</v>
      </c>
      <c r="AL42" s="27"/>
      <c r="AM42" s="35" t="str">
        <f t="shared" si="6"/>
        <v/>
      </c>
      <c r="AN42" s="36">
        <v>0</v>
      </c>
      <c r="AO42" s="31">
        <f t="shared" si="40"/>
        <v>0</v>
      </c>
      <c r="AP42" s="31">
        <f t="shared" si="41"/>
        <v>0</v>
      </c>
      <c r="AQ42" s="31">
        <f t="shared" si="42"/>
        <v>0</v>
      </c>
      <c r="AR42" s="31">
        <f t="shared" si="43"/>
        <v>0</v>
      </c>
      <c r="AS42" s="27"/>
      <c r="AT42" s="35" t="str">
        <f t="shared" si="8"/>
        <v/>
      </c>
      <c r="AU42" s="36">
        <v>0</v>
      </c>
      <c r="AV42" s="31">
        <f t="shared" si="44"/>
        <v>0</v>
      </c>
      <c r="AW42" s="31">
        <f t="shared" si="45"/>
        <v>0</v>
      </c>
      <c r="AX42" s="31">
        <f t="shared" si="46"/>
        <v>0</v>
      </c>
      <c r="AY42" s="31">
        <f t="shared" si="47"/>
        <v>0</v>
      </c>
      <c r="AZ42" s="27"/>
      <c r="BA42" s="35" t="str">
        <f t="shared" si="10"/>
        <v/>
      </c>
      <c r="BB42" s="36">
        <v>0</v>
      </c>
      <c r="BC42" s="31">
        <f t="shared" si="48"/>
        <v>0</v>
      </c>
      <c r="BD42" s="31">
        <f t="shared" si="49"/>
        <v>0</v>
      </c>
      <c r="BE42" s="31">
        <f t="shared" si="50"/>
        <v>0</v>
      </c>
      <c r="BF42" s="31">
        <f t="shared" si="51"/>
        <v>0</v>
      </c>
      <c r="BG42" s="27"/>
      <c r="BH42" s="35" t="str">
        <f t="shared" si="12"/>
        <v/>
      </c>
      <c r="BI42" s="36">
        <v>0</v>
      </c>
      <c r="BJ42" s="31">
        <f t="shared" si="52"/>
        <v>0</v>
      </c>
      <c r="BK42" s="31">
        <f t="shared" si="53"/>
        <v>0</v>
      </c>
      <c r="BL42" s="31">
        <f t="shared" si="54"/>
        <v>0</v>
      </c>
      <c r="BM42" s="31">
        <f t="shared" si="55"/>
        <v>0</v>
      </c>
      <c r="BN42" s="27"/>
      <c r="BO42" s="37" t="str">
        <f t="shared" si="14"/>
        <v/>
      </c>
      <c r="BP42" s="36">
        <v>0</v>
      </c>
      <c r="BQ42" s="31">
        <f t="shared" si="56"/>
        <v>0</v>
      </c>
      <c r="BR42" s="31">
        <f t="shared" si="57"/>
        <v>0</v>
      </c>
      <c r="BS42" s="31">
        <f t="shared" si="58"/>
        <v>0</v>
      </c>
      <c r="BT42" s="31">
        <f t="shared" si="59"/>
        <v>0</v>
      </c>
      <c r="BU42" s="27"/>
      <c r="BV42" s="37" t="str">
        <f t="shared" si="16"/>
        <v/>
      </c>
      <c r="BW42" s="36">
        <v>0</v>
      </c>
      <c r="BX42" s="31">
        <f t="shared" si="60"/>
        <v>0</v>
      </c>
      <c r="BY42" s="31">
        <f t="shared" si="61"/>
        <v>0</v>
      </c>
      <c r="BZ42" s="31">
        <f t="shared" si="62"/>
        <v>0</v>
      </c>
      <c r="CA42" s="31">
        <f t="shared" si="63"/>
        <v>0</v>
      </c>
      <c r="CB42" s="27"/>
      <c r="CC42" s="37" t="str">
        <f t="shared" si="18"/>
        <v/>
      </c>
      <c r="CD42" s="36">
        <v>0</v>
      </c>
      <c r="CE42" s="31">
        <f t="shared" si="64"/>
        <v>0</v>
      </c>
      <c r="CF42" s="31">
        <f t="shared" si="65"/>
        <v>0</v>
      </c>
      <c r="CG42" s="31">
        <f t="shared" si="66"/>
        <v>0</v>
      </c>
      <c r="CH42" s="31">
        <f t="shared" si="67"/>
        <v>0</v>
      </c>
      <c r="CI42" s="27"/>
      <c r="CJ42" s="37" t="str">
        <f t="shared" si="20"/>
        <v/>
      </c>
      <c r="CK42" s="36">
        <v>0</v>
      </c>
      <c r="CL42" s="31">
        <f t="shared" si="68"/>
        <v>0</v>
      </c>
      <c r="CM42" s="31">
        <f t="shared" si="69"/>
        <v>0</v>
      </c>
      <c r="CN42" s="31">
        <f t="shared" si="70"/>
        <v>0</v>
      </c>
      <c r="CO42" s="31">
        <f t="shared" si="71"/>
        <v>0</v>
      </c>
      <c r="CP42" s="27"/>
      <c r="CQ42" s="37" t="str">
        <f t="shared" si="22"/>
        <v/>
      </c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F42" s="28"/>
    </row>
    <row r="43" spans="1:110" s="26" customFormat="1" ht="16" customHeight="1" x14ac:dyDescent="0.2">
      <c r="A43" s="38" t="s">
        <v>67</v>
      </c>
      <c r="B43" s="30">
        <f t="shared" si="80"/>
        <v>60709.060800000007</v>
      </c>
      <c r="C43" s="31">
        <f t="shared" si="80"/>
        <v>53247.917227680016</v>
      </c>
      <c r="D43" s="32">
        <f t="shared" si="80"/>
        <v>7461.1435723200011</v>
      </c>
      <c r="E43" s="30">
        <f t="shared" si="90"/>
        <v>20236.353600000002</v>
      </c>
      <c r="F43" s="33">
        <f t="shared" si="90"/>
        <v>17749.305742560002</v>
      </c>
      <c r="G43" s="34">
        <f t="shared" si="90"/>
        <v>2487.0478574400004</v>
      </c>
      <c r="H43" s="31">
        <f t="shared" si="81"/>
        <v>19867.096094025284</v>
      </c>
      <c r="I43" s="33">
        <f t="shared" si="81"/>
        <v>2783.7944475609474</v>
      </c>
      <c r="J43" s="33">
        <f t="shared" si="81"/>
        <v>22650.890541586232</v>
      </c>
      <c r="K43" s="35">
        <f t="shared" si="2"/>
        <v>0.11931679932624961</v>
      </c>
      <c r="L43" s="36">
        <v>5059.0884000000005</v>
      </c>
      <c r="M43" s="31">
        <f t="shared" si="24"/>
        <v>4437.3264356400005</v>
      </c>
      <c r="N43" s="31">
        <f t="shared" si="25"/>
        <v>621.76196436000009</v>
      </c>
      <c r="O43" s="31">
        <f t="shared" si="26"/>
        <v>5343.0301194781732</v>
      </c>
      <c r="P43" s="31">
        <f t="shared" si="27"/>
        <v>748.66993693292375</v>
      </c>
      <c r="Q43" s="33">
        <v>6091.7000564110967</v>
      </c>
      <c r="R43" s="35">
        <f t="shared" si="3"/>
        <v>0.20411022199396567</v>
      </c>
      <c r="S43" s="36">
        <v>5059.0884000000005</v>
      </c>
      <c r="T43" s="31">
        <f t="shared" si="28"/>
        <v>4437.3264356400005</v>
      </c>
      <c r="U43" s="31">
        <f t="shared" si="29"/>
        <v>621.76196436000009</v>
      </c>
      <c r="V43" s="31">
        <f t="shared" si="30"/>
        <v>4561.8115097028385</v>
      </c>
      <c r="W43" s="31">
        <f t="shared" si="31"/>
        <v>639.20491909985049</v>
      </c>
      <c r="X43" s="33">
        <v>5201.016428802689</v>
      </c>
      <c r="Y43" s="35">
        <f t="shared" si="4"/>
        <v>2.805407171827401E-2</v>
      </c>
      <c r="Z43" s="36">
        <v>5059.0884000000005</v>
      </c>
      <c r="AA43" s="31">
        <f t="shared" si="32"/>
        <v>4437.3264356400005</v>
      </c>
      <c r="AB43" s="31">
        <f t="shared" si="33"/>
        <v>621.76196436000009</v>
      </c>
      <c r="AC43" s="31">
        <f t="shared" si="34"/>
        <v>4777.7522670027811</v>
      </c>
      <c r="AD43" s="31">
        <f t="shared" si="35"/>
        <v>669.4627221692416</v>
      </c>
      <c r="AE43" s="33">
        <v>5447.2149891720228</v>
      </c>
      <c r="AF43" s="35">
        <f t="shared" si="5"/>
        <v>7.671868101218049E-2</v>
      </c>
      <c r="AG43" s="36">
        <v>5059.0884000000005</v>
      </c>
      <c r="AH43" s="31">
        <f t="shared" si="36"/>
        <v>4437.3264356400005</v>
      </c>
      <c r="AI43" s="31">
        <f t="shared" si="37"/>
        <v>621.76196436000009</v>
      </c>
      <c r="AJ43" s="31">
        <f t="shared" si="38"/>
        <v>5184.5021978414907</v>
      </c>
      <c r="AK43" s="31">
        <f t="shared" si="39"/>
        <v>726.45686935893184</v>
      </c>
      <c r="AL43" s="33">
        <v>5910.9590672004224</v>
      </c>
      <c r="AM43" s="35">
        <f t="shared" si="6"/>
        <v>0.16838422258057828</v>
      </c>
      <c r="AN43" s="36">
        <v>5059.0884000000005</v>
      </c>
      <c r="AO43" s="31">
        <f t="shared" si="40"/>
        <v>4437.3264356400005</v>
      </c>
      <c r="AP43" s="31">
        <f t="shared" si="41"/>
        <v>621.76196436000009</v>
      </c>
      <c r="AQ43" s="31">
        <f t="shared" si="42"/>
        <v>0</v>
      </c>
      <c r="AR43" s="31">
        <f t="shared" si="43"/>
        <v>0</v>
      </c>
      <c r="AS43" s="27">
        <f t="shared" ref="AS43:AS54" si="91">CW43*0.51</f>
        <v>0</v>
      </c>
      <c r="AT43" s="35">
        <f t="shared" si="8"/>
        <v>-1</v>
      </c>
      <c r="AU43" s="36">
        <v>5059.0884000000005</v>
      </c>
      <c r="AV43" s="31">
        <f t="shared" si="44"/>
        <v>4437.3264356400005</v>
      </c>
      <c r="AW43" s="31">
        <f t="shared" si="45"/>
        <v>621.76196436000009</v>
      </c>
      <c r="AX43" s="31">
        <f t="shared" si="46"/>
        <v>0</v>
      </c>
      <c r="AY43" s="31">
        <f t="shared" si="47"/>
        <v>0</v>
      </c>
      <c r="AZ43" s="27">
        <f t="shared" ref="AZ43:AZ54" si="92">CX43*0.51</f>
        <v>0</v>
      </c>
      <c r="BA43" s="35">
        <f t="shared" si="10"/>
        <v>-1</v>
      </c>
      <c r="BB43" s="36">
        <v>5059.0884000000005</v>
      </c>
      <c r="BC43" s="31">
        <f t="shared" si="48"/>
        <v>4437.3264356400005</v>
      </c>
      <c r="BD43" s="31">
        <f t="shared" si="49"/>
        <v>621.76196436000009</v>
      </c>
      <c r="BE43" s="31">
        <f t="shared" si="50"/>
        <v>0</v>
      </c>
      <c r="BF43" s="31">
        <f t="shared" si="51"/>
        <v>0</v>
      </c>
      <c r="BG43" s="27">
        <f t="shared" ref="BG43:BG54" si="93">CY43*0.51</f>
        <v>0</v>
      </c>
      <c r="BH43" s="35">
        <f t="shared" si="12"/>
        <v>-1</v>
      </c>
      <c r="BI43" s="36">
        <v>5059.0884000000005</v>
      </c>
      <c r="BJ43" s="31">
        <f t="shared" si="52"/>
        <v>4437.3264356400005</v>
      </c>
      <c r="BK43" s="31">
        <f t="shared" si="53"/>
        <v>621.76196436000009</v>
      </c>
      <c r="BL43" s="31">
        <f t="shared" si="54"/>
        <v>0</v>
      </c>
      <c r="BM43" s="31">
        <f t="shared" si="55"/>
        <v>0</v>
      </c>
      <c r="BN43" s="27">
        <f t="shared" ref="BN43:BN54" si="94">CZ43*0.51</f>
        <v>0</v>
      </c>
      <c r="BO43" s="37">
        <f t="shared" si="14"/>
        <v>-1</v>
      </c>
      <c r="BP43" s="36">
        <v>5059.0884000000005</v>
      </c>
      <c r="BQ43" s="31">
        <f t="shared" si="56"/>
        <v>4437.3264356400005</v>
      </c>
      <c r="BR43" s="31">
        <f t="shared" si="57"/>
        <v>621.76196436000009</v>
      </c>
      <c r="BS43" s="31">
        <f t="shared" si="58"/>
        <v>0</v>
      </c>
      <c r="BT43" s="31">
        <f t="shared" si="59"/>
        <v>0</v>
      </c>
      <c r="BU43" s="27">
        <f t="shared" ref="BU43:BU54" si="95">DA43*0.51</f>
        <v>0</v>
      </c>
      <c r="BV43" s="37">
        <f t="shared" si="16"/>
        <v>-1</v>
      </c>
      <c r="BW43" s="36">
        <v>5059.0884000000005</v>
      </c>
      <c r="BX43" s="31">
        <f t="shared" si="60"/>
        <v>4437.3264356400005</v>
      </c>
      <c r="BY43" s="31">
        <f t="shared" si="61"/>
        <v>621.76196436000009</v>
      </c>
      <c r="BZ43" s="31">
        <f t="shared" si="62"/>
        <v>0</v>
      </c>
      <c r="CA43" s="31">
        <f t="shared" si="63"/>
        <v>0</v>
      </c>
      <c r="CB43" s="27">
        <f t="shared" ref="CB43:CB54" si="96">DB43*0.51</f>
        <v>0</v>
      </c>
      <c r="CC43" s="37">
        <f t="shared" si="18"/>
        <v>-1</v>
      </c>
      <c r="CD43" s="36">
        <v>5059.0884000000005</v>
      </c>
      <c r="CE43" s="31">
        <f t="shared" si="64"/>
        <v>4437.3264356400005</v>
      </c>
      <c r="CF43" s="31">
        <f t="shared" si="65"/>
        <v>621.76196436000009</v>
      </c>
      <c r="CG43" s="31">
        <f t="shared" si="66"/>
        <v>0</v>
      </c>
      <c r="CH43" s="31">
        <f t="shared" si="67"/>
        <v>0</v>
      </c>
      <c r="CI43" s="27">
        <f t="shared" ref="CI43:CI54" si="97">DC43*0.51</f>
        <v>0</v>
      </c>
      <c r="CJ43" s="37">
        <f t="shared" si="20"/>
        <v>-1</v>
      </c>
      <c r="CK43" s="36">
        <v>5059.0884000000005</v>
      </c>
      <c r="CL43" s="31">
        <f t="shared" si="68"/>
        <v>4437.3264356400005</v>
      </c>
      <c r="CM43" s="31">
        <f t="shared" si="69"/>
        <v>621.76196436000009</v>
      </c>
      <c r="CN43" s="31">
        <f t="shared" si="70"/>
        <v>0</v>
      </c>
      <c r="CO43" s="31">
        <f t="shared" si="71"/>
        <v>0</v>
      </c>
      <c r="CP43" s="27">
        <f t="shared" ref="CP43:CP54" si="98">DD43*0.51</f>
        <v>0</v>
      </c>
      <c r="CQ43" s="37">
        <f t="shared" si="22"/>
        <v>-1</v>
      </c>
      <c r="CS43" s="27">
        <f>13885.05</f>
        <v>13885.05</v>
      </c>
      <c r="CT43" s="27">
        <f>11854.88</f>
        <v>11854.88</v>
      </c>
      <c r="CU43" s="27">
        <f>12416.05</f>
        <v>12416.05</v>
      </c>
      <c r="CV43" s="27">
        <f>13473.08</f>
        <v>13473.08</v>
      </c>
      <c r="CW43" s="27"/>
      <c r="CX43" s="27"/>
      <c r="CY43" s="27"/>
      <c r="CZ43" s="27"/>
      <c r="DA43" s="27"/>
      <c r="DB43" s="27"/>
      <c r="DC43" s="27"/>
      <c r="DD43" s="27"/>
      <c r="DF43" s="28"/>
    </row>
    <row r="44" spans="1:110" s="26" customFormat="1" ht="16" customHeight="1" x14ac:dyDescent="0.2">
      <c r="A44" s="29" t="s">
        <v>68</v>
      </c>
      <c r="B44" s="30">
        <f t="shared" si="80"/>
        <v>0</v>
      </c>
      <c r="C44" s="31">
        <f t="shared" si="80"/>
        <v>0</v>
      </c>
      <c r="D44" s="32">
        <f t="shared" si="80"/>
        <v>0</v>
      </c>
      <c r="E44" s="30">
        <f t="shared" si="90"/>
        <v>0</v>
      </c>
      <c r="F44" s="33">
        <f t="shared" si="90"/>
        <v>0</v>
      </c>
      <c r="G44" s="34">
        <f t="shared" si="90"/>
        <v>0</v>
      </c>
      <c r="H44" s="31">
        <f t="shared" si="81"/>
        <v>0</v>
      </c>
      <c r="I44" s="33">
        <f t="shared" si="81"/>
        <v>0</v>
      </c>
      <c r="J44" s="33">
        <f t="shared" si="81"/>
        <v>0</v>
      </c>
      <c r="K44" s="35" t="str">
        <f t="shared" si="2"/>
        <v/>
      </c>
      <c r="L44" s="36">
        <v>0</v>
      </c>
      <c r="M44" s="31">
        <f t="shared" si="24"/>
        <v>0</v>
      </c>
      <c r="N44" s="31">
        <f t="shared" si="25"/>
        <v>0</v>
      </c>
      <c r="O44" s="31">
        <f t="shared" si="26"/>
        <v>0</v>
      </c>
      <c r="P44" s="31">
        <f t="shared" si="27"/>
        <v>0</v>
      </c>
      <c r="Q44" s="33">
        <v>0</v>
      </c>
      <c r="R44" s="35" t="str">
        <f t="shared" si="3"/>
        <v/>
      </c>
      <c r="S44" s="36">
        <v>0</v>
      </c>
      <c r="T44" s="31">
        <f t="shared" si="28"/>
        <v>0</v>
      </c>
      <c r="U44" s="31">
        <f t="shared" si="29"/>
        <v>0</v>
      </c>
      <c r="V44" s="31">
        <f t="shared" si="30"/>
        <v>0</v>
      </c>
      <c r="W44" s="31">
        <f t="shared" si="31"/>
        <v>0</v>
      </c>
      <c r="X44" s="33">
        <v>0</v>
      </c>
      <c r="Y44" s="35" t="str">
        <f t="shared" si="4"/>
        <v/>
      </c>
      <c r="Z44" s="36">
        <v>0</v>
      </c>
      <c r="AA44" s="31">
        <f t="shared" si="32"/>
        <v>0</v>
      </c>
      <c r="AB44" s="31">
        <f t="shared" si="33"/>
        <v>0</v>
      </c>
      <c r="AC44" s="31">
        <f t="shared" si="34"/>
        <v>0</v>
      </c>
      <c r="AD44" s="31">
        <f t="shared" si="35"/>
        <v>0</v>
      </c>
      <c r="AE44" s="27">
        <v>0</v>
      </c>
      <c r="AF44" s="35" t="str">
        <f t="shared" si="5"/>
        <v/>
      </c>
      <c r="AG44" s="36">
        <v>0</v>
      </c>
      <c r="AH44" s="31">
        <f t="shared" si="36"/>
        <v>0</v>
      </c>
      <c r="AI44" s="31">
        <f t="shared" si="37"/>
        <v>0</v>
      </c>
      <c r="AJ44" s="31">
        <f t="shared" si="38"/>
        <v>0</v>
      </c>
      <c r="AK44" s="31">
        <f t="shared" si="39"/>
        <v>0</v>
      </c>
      <c r="AL44" s="27">
        <v>0</v>
      </c>
      <c r="AM44" s="35" t="str">
        <f t="shared" si="6"/>
        <v/>
      </c>
      <c r="AN44" s="36">
        <v>0</v>
      </c>
      <c r="AO44" s="31">
        <f t="shared" si="40"/>
        <v>0</v>
      </c>
      <c r="AP44" s="31">
        <f t="shared" si="41"/>
        <v>0</v>
      </c>
      <c r="AQ44" s="31">
        <f t="shared" si="42"/>
        <v>0</v>
      </c>
      <c r="AR44" s="31">
        <f t="shared" si="43"/>
        <v>0</v>
      </c>
      <c r="AS44" s="27">
        <f t="shared" si="91"/>
        <v>0</v>
      </c>
      <c r="AT44" s="35" t="str">
        <f t="shared" si="8"/>
        <v/>
      </c>
      <c r="AU44" s="36">
        <v>0</v>
      </c>
      <c r="AV44" s="31">
        <f t="shared" si="44"/>
        <v>0</v>
      </c>
      <c r="AW44" s="31">
        <f t="shared" si="45"/>
        <v>0</v>
      </c>
      <c r="AX44" s="31">
        <f t="shared" si="46"/>
        <v>0</v>
      </c>
      <c r="AY44" s="31">
        <f t="shared" si="47"/>
        <v>0</v>
      </c>
      <c r="AZ44" s="27">
        <f t="shared" si="92"/>
        <v>0</v>
      </c>
      <c r="BA44" s="35" t="str">
        <f t="shared" si="10"/>
        <v/>
      </c>
      <c r="BB44" s="36">
        <v>0</v>
      </c>
      <c r="BC44" s="31">
        <f t="shared" si="48"/>
        <v>0</v>
      </c>
      <c r="BD44" s="31">
        <f t="shared" si="49"/>
        <v>0</v>
      </c>
      <c r="BE44" s="31">
        <f t="shared" si="50"/>
        <v>0</v>
      </c>
      <c r="BF44" s="31">
        <f t="shared" si="51"/>
        <v>0</v>
      </c>
      <c r="BG44" s="27">
        <f t="shared" si="93"/>
        <v>0</v>
      </c>
      <c r="BH44" s="35" t="str">
        <f t="shared" si="12"/>
        <v/>
      </c>
      <c r="BI44" s="36">
        <v>0</v>
      </c>
      <c r="BJ44" s="31">
        <f t="shared" si="52"/>
        <v>0</v>
      </c>
      <c r="BK44" s="31">
        <f t="shared" si="53"/>
        <v>0</v>
      </c>
      <c r="BL44" s="31">
        <f t="shared" si="54"/>
        <v>0</v>
      </c>
      <c r="BM44" s="31">
        <f t="shared" si="55"/>
        <v>0</v>
      </c>
      <c r="BN44" s="27">
        <f t="shared" si="94"/>
        <v>0</v>
      </c>
      <c r="BO44" s="37" t="str">
        <f t="shared" si="14"/>
        <v/>
      </c>
      <c r="BP44" s="36">
        <v>0</v>
      </c>
      <c r="BQ44" s="31">
        <f t="shared" si="56"/>
        <v>0</v>
      </c>
      <c r="BR44" s="31">
        <f t="shared" si="57"/>
        <v>0</v>
      </c>
      <c r="BS44" s="31">
        <f t="shared" si="58"/>
        <v>0</v>
      </c>
      <c r="BT44" s="31">
        <f t="shared" si="59"/>
        <v>0</v>
      </c>
      <c r="BU44" s="27">
        <f t="shared" si="95"/>
        <v>0</v>
      </c>
      <c r="BV44" s="37" t="str">
        <f t="shared" si="16"/>
        <v/>
      </c>
      <c r="BW44" s="36">
        <v>0</v>
      </c>
      <c r="BX44" s="31">
        <f t="shared" si="60"/>
        <v>0</v>
      </c>
      <c r="BY44" s="31">
        <f t="shared" si="61"/>
        <v>0</v>
      </c>
      <c r="BZ44" s="31">
        <f t="shared" si="62"/>
        <v>0</v>
      </c>
      <c r="CA44" s="31">
        <f t="shared" si="63"/>
        <v>0</v>
      </c>
      <c r="CB44" s="27">
        <f t="shared" si="96"/>
        <v>0</v>
      </c>
      <c r="CC44" s="37" t="str">
        <f t="shared" si="18"/>
        <v/>
      </c>
      <c r="CD44" s="36">
        <v>0</v>
      </c>
      <c r="CE44" s="31">
        <f t="shared" si="64"/>
        <v>0</v>
      </c>
      <c r="CF44" s="31">
        <f t="shared" si="65"/>
        <v>0</v>
      </c>
      <c r="CG44" s="31">
        <f t="shared" si="66"/>
        <v>0</v>
      </c>
      <c r="CH44" s="31">
        <f t="shared" si="67"/>
        <v>0</v>
      </c>
      <c r="CI44" s="27">
        <f t="shared" si="97"/>
        <v>0</v>
      </c>
      <c r="CJ44" s="37" t="str">
        <f t="shared" si="20"/>
        <v/>
      </c>
      <c r="CK44" s="36">
        <v>0</v>
      </c>
      <c r="CL44" s="31">
        <f t="shared" si="68"/>
        <v>0</v>
      </c>
      <c r="CM44" s="31">
        <f t="shared" si="69"/>
        <v>0</v>
      </c>
      <c r="CN44" s="31">
        <f t="shared" si="70"/>
        <v>0</v>
      </c>
      <c r="CO44" s="31">
        <f t="shared" si="71"/>
        <v>0</v>
      </c>
      <c r="CP44" s="27">
        <f t="shared" si="98"/>
        <v>0</v>
      </c>
      <c r="CQ44" s="37" t="str">
        <f t="shared" si="22"/>
        <v/>
      </c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F44" s="28"/>
    </row>
    <row r="45" spans="1:110" s="26" customFormat="1" ht="16" customHeight="1" x14ac:dyDescent="0.2">
      <c r="A45" s="39" t="s">
        <v>69</v>
      </c>
      <c r="B45" s="30">
        <f t="shared" si="80"/>
        <v>0</v>
      </c>
      <c r="C45" s="31">
        <f t="shared" si="80"/>
        <v>0</v>
      </c>
      <c r="D45" s="32">
        <f t="shared" si="80"/>
        <v>0</v>
      </c>
      <c r="E45" s="30">
        <f t="shared" si="90"/>
        <v>0</v>
      </c>
      <c r="F45" s="33">
        <f t="shared" si="90"/>
        <v>0</v>
      </c>
      <c r="G45" s="34">
        <f t="shared" si="90"/>
        <v>0</v>
      </c>
      <c r="H45" s="31">
        <f t="shared" si="81"/>
        <v>0</v>
      </c>
      <c r="I45" s="33">
        <f t="shared" si="81"/>
        <v>0</v>
      </c>
      <c r="J45" s="33">
        <f t="shared" si="81"/>
        <v>0</v>
      </c>
      <c r="K45" s="35" t="str">
        <f t="shared" si="2"/>
        <v/>
      </c>
      <c r="L45" s="36">
        <v>0</v>
      </c>
      <c r="M45" s="31">
        <f t="shared" si="24"/>
        <v>0</v>
      </c>
      <c r="N45" s="31">
        <f t="shared" si="25"/>
        <v>0</v>
      </c>
      <c r="O45" s="31">
        <f t="shared" si="26"/>
        <v>0</v>
      </c>
      <c r="P45" s="31">
        <f t="shared" si="27"/>
        <v>0</v>
      </c>
      <c r="Q45" s="33">
        <v>0</v>
      </c>
      <c r="R45" s="35" t="str">
        <f t="shared" si="3"/>
        <v/>
      </c>
      <c r="S45" s="36">
        <v>0</v>
      </c>
      <c r="T45" s="31">
        <f t="shared" si="28"/>
        <v>0</v>
      </c>
      <c r="U45" s="31">
        <f t="shared" si="29"/>
        <v>0</v>
      </c>
      <c r="V45" s="31">
        <f t="shared" si="30"/>
        <v>0</v>
      </c>
      <c r="W45" s="31">
        <f t="shared" si="31"/>
        <v>0</v>
      </c>
      <c r="X45" s="33">
        <v>0</v>
      </c>
      <c r="Y45" s="35" t="str">
        <f t="shared" si="4"/>
        <v/>
      </c>
      <c r="Z45" s="36">
        <v>0</v>
      </c>
      <c r="AA45" s="31">
        <f t="shared" si="32"/>
        <v>0</v>
      </c>
      <c r="AB45" s="31">
        <f t="shared" si="33"/>
        <v>0</v>
      </c>
      <c r="AC45" s="31">
        <f t="shared" si="34"/>
        <v>0</v>
      </c>
      <c r="AD45" s="31">
        <f t="shared" si="35"/>
        <v>0</v>
      </c>
      <c r="AE45" s="27">
        <v>0</v>
      </c>
      <c r="AF45" s="35" t="str">
        <f t="shared" si="5"/>
        <v/>
      </c>
      <c r="AG45" s="36">
        <v>0</v>
      </c>
      <c r="AH45" s="31">
        <f t="shared" si="36"/>
        <v>0</v>
      </c>
      <c r="AI45" s="31">
        <f t="shared" si="37"/>
        <v>0</v>
      </c>
      <c r="AJ45" s="31">
        <f t="shared" si="38"/>
        <v>0</v>
      </c>
      <c r="AK45" s="31">
        <f t="shared" si="39"/>
        <v>0</v>
      </c>
      <c r="AL45" s="27">
        <v>0</v>
      </c>
      <c r="AM45" s="35" t="str">
        <f t="shared" si="6"/>
        <v/>
      </c>
      <c r="AN45" s="36">
        <v>0</v>
      </c>
      <c r="AO45" s="31">
        <f t="shared" si="40"/>
        <v>0</v>
      </c>
      <c r="AP45" s="31">
        <f t="shared" si="41"/>
        <v>0</v>
      </c>
      <c r="AQ45" s="31">
        <f t="shared" si="42"/>
        <v>0</v>
      </c>
      <c r="AR45" s="31">
        <f t="shared" si="43"/>
        <v>0</v>
      </c>
      <c r="AS45" s="27">
        <f t="shared" si="91"/>
        <v>0</v>
      </c>
      <c r="AT45" s="35" t="str">
        <f t="shared" si="8"/>
        <v/>
      </c>
      <c r="AU45" s="36">
        <v>0</v>
      </c>
      <c r="AV45" s="31">
        <f t="shared" si="44"/>
        <v>0</v>
      </c>
      <c r="AW45" s="31">
        <f t="shared" si="45"/>
        <v>0</v>
      </c>
      <c r="AX45" s="31">
        <f t="shared" si="46"/>
        <v>0</v>
      </c>
      <c r="AY45" s="31">
        <f t="shared" si="47"/>
        <v>0</v>
      </c>
      <c r="AZ45" s="27">
        <f t="shared" si="92"/>
        <v>0</v>
      </c>
      <c r="BA45" s="35" t="str">
        <f t="shared" si="10"/>
        <v/>
      </c>
      <c r="BB45" s="36">
        <v>0</v>
      </c>
      <c r="BC45" s="31">
        <f t="shared" si="48"/>
        <v>0</v>
      </c>
      <c r="BD45" s="31">
        <f t="shared" si="49"/>
        <v>0</v>
      </c>
      <c r="BE45" s="31">
        <f t="shared" si="50"/>
        <v>0</v>
      </c>
      <c r="BF45" s="31">
        <f t="shared" si="51"/>
        <v>0</v>
      </c>
      <c r="BG45" s="27">
        <f t="shared" si="93"/>
        <v>0</v>
      </c>
      <c r="BH45" s="35" t="str">
        <f t="shared" si="12"/>
        <v/>
      </c>
      <c r="BI45" s="36">
        <v>0</v>
      </c>
      <c r="BJ45" s="31">
        <f t="shared" si="52"/>
        <v>0</v>
      </c>
      <c r="BK45" s="31">
        <f t="shared" si="53"/>
        <v>0</v>
      </c>
      <c r="BL45" s="31">
        <f t="shared" si="54"/>
        <v>0</v>
      </c>
      <c r="BM45" s="31">
        <f t="shared" si="55"/>
        <v>0</v>
      </c>
      <c r="BN45" s="27">
        <f t="shared" si="94"/>
        <v>0</v>
      </c>
      <c r="BO45" s="37" t="str">
        <f t="shared" si="14"/>
        <v/>
      </c>
      <c r="BP45" s="36">
        <v>0</v>
      </c>
      <c r="BQ45" s="31">
        <f t="shared" si="56"/>
        <v>0</v>
      </c>
      <c r="BR45" s="31">
        <f t="shared" si="57"/>
        <v>0</v>
      </c>
      <c r="BS45" s="31">
        <f t="shared" si="58"/>
        <v>0</v>
      </c>
      <c r="BT45" s="31">
        <f t="shared" si="59"/>
        <v>0</v>
      </c>
      <c r="BU45" s="27">
        <f t="shared" si="95"/>
        <v>0</v>
      </c>
      <c r="BV45" s="37" t="str">
        <f t="shared" si="16"/>
        <v/>
      </c>
      <c r="BW45" s="36">
        <v>0</v>
      </c>
      <c r="BX45" s="31">
        <f t="shared" si="60"/>
        <v>0</v>
      </c>
      <c r="BY45" s="31">
        <f t="shared" si="61"/>
        <v>0</v>
      </c>
      <c r="BZ45" s="31">
        <f t="shared" si="62"/>
        <v>0</v>
      </c>
      <c r="CA45" s="31">
        <f t="shared" si="63"/>
        <v>0</v>
      </c>
      <c r="CB45" s="27">
        <f t="shared" si="96"/>
        <v>0</v>
      </c>
      <c r="CC45" s="37" t="str">
        <f t="shared" si="18"/>
        <v/>
      </c>
      <c r="CD45" s="36">
        <v>0</v>
      </c>
      <c r="CE45" s="31">
        <f t="shared" si="64"/>
        <v>0</v>
      </c>
      <c r="CF45" s="31">
        <f t="shared" si="65"/>
        <v>0</v>
      </c>
      <c r="CG45" s="31">
        <f t="shared" si="66"/>
        <v>0</v>
      </c>
      <c r="CH45" s="31">
        <f t="shared" si="67"/>
        <v>0</v>
      </c>
      <c r="CI45" s="27">
        <f t="shared" si="97"/>
        <v>0</v>
      </c>
      <c r="CJ45" s="37" t="str">
        <f t="shared" si="20"/>
        <v/>
      </c>
      <c r="CK45" s="36">
        <v>0</v>
      </c>
      <c r="CL45" s="31">
        <f t="shared" si="68"/>
        <v>0</v>
      </c>
      <c r="CM45" s="31">
        <f t="shared" si="69"/>
        <v>0</v>
      </c>
      <c r="CN45" s="31">
        <f t="shared" si="70"/>
        <v>0</v>
      </c>
      <c r="CO45" s="31">
        <f t="shared" si="71"/>
        <v>0</v>
      </c>
      <c r="CP45" s="27">
        <f t="shared" si="98"/>
        <v>0</v>
      </c>
      <c r="CQ45" s="37" t="str">
        <f t="shared" si="22"/>
        <v/>
      </c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F45" s="28"/>
    </row>
    <row r="46" spans="1:110" s="26" customFormat="1" ht="16" customHeight="1" x14ac:dyDescent="0.2">
      <c r="A46" s="38" t="s">
        <v>70</v>
      </c>
      <c r="B46" s="30">
        <f t="shared" si="80"/>
        <v>0</v>
      </c>
      <c r="C46" s="31">
        <f t="shared" si="80"/>
        <v>0</v>
      </c>
      <c r="D46" s="32">
        <f t="shared" si="80"/>
        <v>0</v>
      </c>
      <c r="E46" s="30">
        <f t="shared" si="90"/>
        <v>0</v>
      </c>
      <c r="F46" s="33">
        <f t="shared" si="90"/>
        <v>0</v>
      </c>
      <c r="G46" s="34">
        <f t="shared" si="90"/>
        <v>0</v>
      </c>
      <c r="H46" s="31">
        <f t="shared" si="81"/>
        <v>0</v>
      </c>
      <c r="I46" s="33">
        <f t="shared" si="81"/>
        <v>0</v>
      </c>
      <c r="J46" s="33">
        <f t="shared" si="81"/>
        <v>0</v>
      </c>
      <c r="K46" s="35" t="str">
        <f t="shared" si="2"/>
        <v/>
      </c>
      <c r="L46" s="36">
        <v>0</v>
      </c>
      <c r="M46" s="31">
        <f t="shared" si="24"/>
        <v>0</v>
      </c>
      <c r="N46" s="31">
        <f t="shared" si="25"/>
        <v>0</v>
      </c>
      <c r="O46" s="31">
        <f t="shared" si="26"/>
        <v>0</v>
      </c>
      <c r="P46" s="31">
        <f t="shared" si="27"/>
        <v>0</v>
      </c>
      <c r="Q46" s="33">
        <v>0</v>
      </c>
      <c r="R46" s="35" t="str">
        <f t="shared" si="3"/>
        <v/>
      </c>
      <c r="S46" s="36">
        <v>0</v>
      </c>
      <c r="T46" s="31">
        <f t="shared" si="28"/>
        <v>0</v>
      </c>
      <c r="U46" s="31">
        <f t="shared" si="29"/>
        <v>0</v>
      </c>
      <c r="V46" s="31">
        <f t="shared" si="30"/>
        <v>0</v>
      </c>
      <c r="W46" s="31">
        <f t="shared" si="31"/>
        <v>0</v>
      </c>
      <c r="X46" s="33">
        <v>0</v>
      </c>
      <c r="Y46" s="35" t="str">
        <f t="shared" si="4"/>
        <v/>
      </c>
      <c r="Z46" s="36">
        <v>0</v>
      </c>
      <c r="AA46" s="31">
        <f t="shared" si="32"/>
        <v>0</v>
      </c>
      <c r="AB46" s="31">
        <f t="shared" si="33"/>
        <v>0</v>
      </c>
      <c r="AC46" s="31">
        <f t="shared" si="34"/>
        <v>0</v>
      </c>
      <c r="AD46" s="31">
        <f t="shared" si="35"/>
        <v>0</v>
      </c>
      <c r="AE46" s="27">
        <v>0</v>
      </c>
      <c r="AF46" s="35" t="str">
        <f t="shared" si="5"/>
        <v/>
      </c>
      <c r="AG46" s="36">
        <v>0</v>
      </c>
      <c r="AH46" s="31">
        <f t="shared" si="36"/>
        <v>0</v>
      </c>
      <c r="AI46" s="31">
        <f t="shared" si="37"/>
        <v>0</v>
      </c>
      <c r="AJ46" s="31">
        <f t="shared" si="38"/>
        <v>0</v>
      </c>
      <c r="AK46" s="31">
        <f t="shared" si="39"/>
        <v>0</v>
      </c>
      <c r="AL46" s="27">
        <v>0</v>
      </c>
      <c r="AM46" s="35" t="str">
        <f t="shared" si="6"/>
        <v/>
      </c>
      <c r="AN46" s="36">
        <v>0</v>
      </c>
      <c r="AO46" s="31">
        <f t="shared" si="40"/>
        <v>0</v>
      </c>
      <c r="AP46" s="31">
        <f t="shared" si="41"/>
        <v>0</v>
      </c>
      <c r="AQ46" s="31">
        <f t="shared" si="42"/>
        <v>0</v>
      </c>
      <c r="AR46" s="31">
        <f t="shared" si="43"/>
        <v>0</v>
      </c>
      <c r="AS46" s="27">
        <f t="shared" si="91"/>
        <v>0</v>
      </c>
      <c r="AT46" s="35" t="str">
        <f t="shared" si="8"/>
        <v/>
      </c>
      <c r="AU46" s="36">
        <v>0</v>
      </c>
      <c r="AV46" s="31">
        <f t="shared" si="44"/>
        <v>0</v>
      </c>
      <c r="AW46" s="31">
        <f t="shared" si="45"/>
        <v>0</v>
      </c>
      <c r="AX46" s="31">
        <f t="shared" si="46"/>
        <v>0</v>
      </c>
      <c r="AY46" s="31">
        <f t="shared" si="47"/>
        <v>0</v>
      </c>
      <c r="AZ46" s="27">
        <f t="shared" si="92"/>
        <v>0</v>
      </c>
      <c r="BA46" s="35" t="str">
        <f t="shared" si="10"/>
        <v/>
      </c>
      <c r="BB46" s="36">
        <v>0</v>
      </c>
      <c r="BC46" s="31">
        <f t="shared" si="48"/>
        <v>0</v>
      </c>
      <c r="BD46" s="31">
        <f t="shared" si="49"/>
        <v>0</v>
      </c>
      <c r="BE46" s="31">
        <f t="shared" si="50"/>
        <v>0</v>
      </c>
      <c r="BF46" s="31">
        <f t="shared" si="51"/>
        <v>0</v>
      </c>
      <c r="BG46" s="27">
        <f t="shared" si="93"/>
        <v>0</v>
      </c>
      <c r="BH46" s="35" t="str">
        <f t="shared" si="12"/>
        <v/>
      </c>
      <c r="BI46" s="36">
        <v>0</v>
      </c>
      <c r="BJ46" s="31">
        <f t="shared" si="52"/>
        <v>0</v>
      </c>
      <c r="BK46" s="31">
        <f t="shared" si="53"/>
        <v>0</v>
      </c>
      <c r="BL46" s="31">
        <f t="shared" si="54"/>
        <v>0</v>
      </c>
      <c r="BM46" s="31">
        <f t="shared" si="55"/>
        <v>0</v>
      </c>
      <c r="BN46" s="27">
        <f t="shared" si="94"/>
        <v>0</v>
      </c>
      <c r="BO46" s="37" t="str">
        <f t="shared" si="14"/>
        <v/>
      </c>
      <c r="BP46" s="36">
        <v>0</v>
      </c>
      <c r="BQ46" s="31">
        <f t="shared" si="56"/>
        <v>0</v>
      </c>
      <c r="BR46" s="31">
        <f t="shared" si="57"/>
        <v>0</v>
      </c>
      <c r="BS46" s="31">
        <f t="shared" si="58"/>
        <v>0</v>
      </c>
      <c r="BT46" s="31">
        <f t="shared" si="59"/>
        <v>0</v>
      </c>
      <c r="BU46" s="27">
        <f t="shared" si="95"/>
        <v>0</v>
      </c>
      <c r="BV46" s="37" t="str">
        <f t="shared" si="16"/>
        <v/>
      </c>
      <c r="BW46" s="36">
        <v>0</v>
      </c>
      <c r="BX46" s="31">
        <f t="shared" si="60"/>
        <v>0</v>
      </c>
      <c r="BY46" s="31">
        <f t="shared" si="61"/>
        <v>0</v>
      </c>
      <c r="BZ46" s="31">
        <f t="shared" si="62"/>
        <v>0</v>
      </c>
      <c r="CA46" s="31">
        <f t="shared" si="63"/>
        <v>0</v>
      </c>
      <c r="CB46" s="27">
        <f t="shared" si="96"/>
        <v>0</v>
      </c>
      <c r="CC46" s="37" t="str">
        <f t="shared" si="18"/>
        <v/>
      </c>
      <c r="CD46" s="36">
        <v>0</v>
      </c>
      <c r="CE46" s="31">
        <f t="shared" si="64"/>
        <v>0</v>
      </c>
      <c r="CF46" s="31">
        <f t="shared" si="65"/>
        <v>0</v>
      </c>
      <c r="CG46" s="31">
        <f t="shared" si="66"/>
        <v>0</v>
      </c>
      <c r="CH46" s="31">
        <f t="shared" si="67"/>
        <v>0</v>
      </c>
      <c r="CI46" s="27">
        <f t="shared" si="97"/>
        <v>0</v>
      </c>
      <c r="CJ46" s="37" t="str">
        <f t="shared" si="20"/>
        <v/>
      </c>
      <c r="CK46" s="36">
        <v>0</v>
      </c>
      <c r="CL46" s="31">
        <f t="shared" si="68"/>
        <v>0</v>
      </c>
      <c r="CM46" s="31">
        <f t="shared" si="69"/>
        <v>0</v>
      </c>
      <c r="CN46" s="31">
        <f t="shared" si="70"/>
        <v>0</v>
      </c>
      <c r="CO46" s="31">
        <f t="shared" si="71"/>
        <v>0</v>
      </c>
      <c r="CP46" s="27">
        <f t="shared" si="98"/>
        <v>0</v>
      </c>
      <c r="CQ46" s="37" t="str">
        <f t="shared" si="22"/>
        <v/>
      </c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F46" s="28"/>
    </row>
    <row r="47" spans="1:110" s="26" customFormat="1" ht="16" customHeight="1" x14ac:dyDescent="0.2">
      <c r="A47" s="29" t="s">
        <v>71</v>
      </c>
      <c r="B47" s="30">
        <f t="shared" si="80"/>
        <v>0</v>
      </c>
      <c r="C47" s="31">
        <f t="shared" si="80"/>
        <v>0</v>
      </c>
      <c r="D47" s="32">
        <f t="shared" si="80"/>
        <v>0</v>
      </c>
      <c r="E47" s="30">
        <f t="shared" si="90"/>
        <v>0</v>
      </c>
      <c r="F47" s="33">
        <f t="shared" si="90"/>
        <v>0</v>
      </c>
      <c r="G47" s="34">
        <f t="shared" si="90"/>
        <v>0</v>
      </c>
      <c r="H47" s="31">
        <f t="shared" si="81"/>
        <v>0</v>
      </c>
      <c r="I47" s="33">
        <f t="shared" si="81"/>
        <v>0</v>
      </c>
      <c r="J47" s="33">
        <f t="shared" si="81"/>
        <v>0</v>
      </c>
      <c r="K47" s="35" t="str">
        <f t="shared" si="2"/>
        <v/>
      </c>
      <c r="L47" s="36">
        <v>0</v>
      </c>
      <c r="M47" s="31">
        <f t="shared" si="24"/>
        <v>0</v>
      </c>
      <c r="N47" s="31">
        <f t="shared" si="25"/>
        <v>0</v>
      </c>
      <c r="O47" s="31">
        <f t="shared" si="26"/>
        <v>0</v>
      </c>
      <c r="P47" s="31">
        <f t="shared" si="27"/>
        <v>0</v>
      </c>
      <c r="Q47" s="33">
        <v>0</v>
      </c>
      <c r="R47" s="35" t="str">
        <f t="shared" si="3"/>
        <v/>
      </c>
      <c r="S47" s="36">
        <v>0</v>
      </c>
      <c r="T47" s="31">
        <f t="shared" si="28"/>
        <v>0</v>
      </c>
      <c r="U47" s="31">
        <f t="shared" si="29"/>
        <v>0</v>
      </c>
      <c r="V47" s="31">
        <f t="shared" si="30"/>
        <v>0</v>
      </c>
      <c r="W47" s="31">
        <f t="shared" si="31"/>
        <v>0</v>
      </c>
      <c r="X47" s="33">
        <v>0</v>
      </c>
      <c r="Y47" s="35" t="str">
        <f t="shared" si="4"/>
        <v/>
      </c>
      <c r="Z47" s="36">
        <v>0</v>
      </c>
      <c r="AA47" s="31">
        <f t="shared" si="32"/>
        <v>0</v>
      </c>
      <c r="AB47" s="31">
        <f t="shared" si="33"/>
        <v>0</v>
      </c>
      <c r="AC47" s="31">
        <f t="shared" si="34"/>
        <v>0</v>
      </c>
      <c r="AD47" s="31">
        <f t="shared" si="35"/>
        <v>0</v>
      </c>
      <c r="AE47" s="27">
        <v>0</v>
      </c>
      <c r="AF47" s="35" t="str">
        <f t="shared" si="5"/>
        <v/>
      </c>
      <c r="AG47" s="36">
        <v>0</v>
      </c>
      <c r="AH47" s="31">
        <f t="shared" si="36"/>
        <v>0</v>
      </c>
      <c r="AI47" s="31">
        <f t="shared" si="37"/>
        <v>0</v>
      </c>
      <c r="AJ47" s="31">
        <f t="shared" si="38"/>
        <v>0</v>
      </c>
      <c r="AK47" s="31">
        <f t="shared" si="39"/>
        <v>0</v>
      </c>
      <c r="AL47" s="27">
        <v>0</v>
      </c>
      <c r="AM47" s="35" t="str">
        <f t="shared" si="6"/>
        <v/>
      </c>
      <c r="AN47" s="36">
        <v>0</v>
      </c>
      <c r="AO47" s="31">
        <f t="shared" si="40"/>
        <v>0</v>
      </c>
      <c r="AP47" s="31">
        <f t="shared" si="41"/>
        <v>0</v>
      </c>
      <c r="AQ47" s="31">
        <f t="shared" si="42"/>
        <v>0</v>
      </c>
      <c r="AR47" s="31">
        <f t="shared" si="43"/>
        <v>0</v>
      </c>
      <c r="AS47" s="27">
        <f t="shared" si="91"/>
        <v>0</v>
      </c>
      <c r="AT47" s="35" t="str">
        <f t="shared" si="8"/>
        <v/>
      </c>
      <c r="AU47" s="36">
        <v>0</v>
      </c>
      <c r="AV47" s="31">
        <f t="shared" si="44"/>
        <v>0</v>
      </c>
      <c r="AW47" s="31">
        <f t="shared" si="45"/>
        <v>0</v>
      </c>
      <c r="AX47" s="31">
        <f t="shared" si="46"/>
        <v>0</v>
      </c>
      <c r="AY47" s="31">
        <f t="shared" si="47"/>
        <v>0</v>
      </c>
      <c r="AZ47" s="27">
        <f t="shared" si="92"/>
        <v>0</v>
      </c>
      <c r="BA47" s="35" t="str">
        <f t="shared" si="10"/>
        <v/>
      </c>
      <c r="BB47" s="36">
        <v>0</v>
      </c>
      <c r="BC47" s="31">
        <f t="shared" si="48"/>
        <v>0</v>
      </c>
      <c r="BD47" s="31">
        <f t="shared" si="49"/>
        <v>0</v>
      </c>
      <c r="BE47" s="31">
        <f t="shared" si="50"/>
        <v>0</v>
      </c>
      <c r="BF47" s="31">
        <f t="shared" si="51"/>
        <v>0</v>
      </c>
      <c r="BG47" s="27">
        <f t="shared" si="93"/>
        <v>0</v>
      </c>
      <c r="BH47" s="35" t="str">
        <f t="shared" si="12"/>
        <v/>
      </c>
      <c r="BI47" s="36">
        <v>0</v>
      </c>
      <c r="BJ47" s="31">
        <f t="shared" si="52"/>
        <v>0</v>
      </c>
      <c r="BK47" s="31">
        <f t="shared" si="53"/>
        <v>0</v>
      </c>
      <c r="BL47" s="31">
        <f t="shared" si="54"/>
        <v>0</v>
      </c>
      <c r="BM47" s="31">
        <f t="shared" si="55"/>
        <v>0</v>
      </c>
      <c r="BN47" s="27">
        <f t="shared" si="94"/>
        <v>0</v>
      </c>
      <c r="BO47" s="37" t="str">
        <f t="shared" si="14"/>
        <v/>
      </c>
      <c r="BP47" s="36">
        <v>0</v>
      </c>
      <c r="BQ47" s="31">
        <f t="shared" si="56"/>
        <v>0</v>
      </c>
      <c r="BR47" s="31">
        <f t="shared" si="57"/>
        <v>0</v>
      </c>
      <c r="BS47" s="31">
        <f t="shared" si="58"/>
        <v>0</v>
      </c>
      <c r="BT47" s="31">
        <f t="shared" si="59"/>
        <v>0</v>
      </c>
      <c r="BU47" s="27">
        <f t="shared" si="95"/>
        <v>0</v>
      </c>
      <c r="BV47" s="37" t="str">
        <f t="shared" si="16"/>
        <v/>
      </c>
      <c r="BW47" s="36">
        <v>0</v>
      </c>
      <c r="BX47" s="31">
        <f t="shared" si="60"/>
        <v>0</v>
      </c>
      <c r="BY47" s="31">
        <f t="shared" si="61"/>
        <v>0</v>
      </c>
      <c r="BZ47" s="31">
        <f t="shared" si="62"/>
        <v>0</v>
      </c>
      <c r="CA47" s="31">
        <f t="shared" si="63"/>
        <v>0</v>
      </c>
      <c r="CB47" s="27">
        <f t="shared" si="96"/>
        <v>0</v>
      </c>
      <c r="CC47" s="37" t="str">
        <f t="shared" si="18"/>
        <v/>
      </c>
      <c r="CD47" s="36">
        <v>0</v>
      </c>
      <c r="CE47" s="31">
        <f t="shared" si="64"/>
        <v>0</v>
      </c>
      <c r="CF47" s="31">
        <f t="shared" si="65"/>
        <v>0</v>
      </c>
      <c r="CG47" s="31">
        <f t="shared" si="66"/>
        <v>0</v>
      </c>
      <c r="CH47" s="31">
        <f t="shared" si="67"/>
        <v>0</v>
      </c>
      <c r="CI47" s="27">
        <f t="shared" si="97"/>
        <v>0</v>
      </c>
      <c r="CJ47" s="37" t="str">
        <f t="shared" si="20"/>
        <v/>
      </c>
      <c r="CK47" s="36">
        <v>0</v>
      </c>
      <c r="CL47" s="31">
        <f t="shared" si="68"/>
        <v>0</v>
      </c>
      <c r="CM47" s="31">
        <f t="shared" si="69"/>
        <v>0</v>
      </c>
      <c r="CN47" s="31">
        <f t="shared" si="70"/>
        <v>0</v>
      </c>
      <c r="CO47" s="31">
        <f t="shared" si="71"/>
        <v>0</v>
      </c>
      <c r="CP47" s="27">
        <f t="shared" si="98"/>
        <v>0</v>
      </c>
      <c r="CQ47" s="37" t="str">
        <f t="shared" si="22"/>
        <v/>
      </c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F47" s="28"/>
    </row>
    <row r="48" spans="1:110" s="26" customFormat="1" ht="16" customHeight="1" x14ac:dyDescent="0.2">
      <c r="A48" s="38" t="s">
        <v>72</v>
      </c>
      <c r="B48" s="30">
        <f t="shared" si="80"/>
        <v>43870.000000000007</v>
      </c>
      <c r="C48" s="31">
        <f t="shared" si="80"/>
        <v>38478.376999999993</v>
      </c>
      <c r="D48" s="32">
        <f t="shared" si="80"/>
        <v>5391.6229999999996</v>
      </c>
      <c r="E48" s="30">
        <f t="shared" si="90"/>
        <v>14623.333333333334</v>
      </c>
      <c r="F48" s="33">
        <f t="shared" si="90"/>
        <v>12826.125666666667</v>
      </c>
      <c r="G48" s="34">
        <f t="shared" si="90"/>
        <v>1797.2076666666667</v>
      </c>
      <c r="H48" s="31">
        <f t="shared" si="81"/>
        <v>8691.3643963677914</v>
      </c>
      <c r="I48" s="33">
        <f t="shared" si="81"/>
        <v>1217.841391304984</v>
      </c>
      <c r="J48" s="33">
        <f t="shared" si="81"/>
        <v>9909.205787672774</v>
      </c>
      <c r="K48" s="35">
        <f t="shared" si="2"/>
        <v>-0.32237024474542242</v>
      </c>
      <c r="L48" s="36">
        <v>3655.8333333333335</v>
      </c>
      <c r="M48" s="31">
        <f t="shared" si="24"/>
        <v>3206.5314166666667</v>
      </c>
      <c r="N48" s="31">
        <f t="shared" si="25"/>
        <v>449.30191666666667</v>
      </c>
      <c r="O48" s="31">
        <f t="shared" si="26"/>
        <v>3245.76847784347</v>
      </c>
      <c r="P48" s="31">
        <f t="shared" si="27"/>
        <v>454.7998471405341</v>
      </c>
      <c r="Q48" s="33">
        <v>3700.568324984004</v>
      </c>
      <c r="R48" s="35">
        <f t="shared" si="3"/>
        <v>1.2236605876636553E-2</v>
      </c>
      <c r="S48" s="36">
        <v>3655.8333333333335</v>
      </c>
      <c r="T48" s="31">
        <f t="shared" si="28"/>
        <v>3206.5314166666667</v>
      </c>
      <c r="U48" s="31">
        <f t="shared" si="29"/>
        <v>449.30191666666667</v>
      </c>
      <c r="V48" s="31">
        <f t="shared" si="30"/>
        <v>745.67421547094204</v>
      </c>
      <c r="W48" s="31">
        <f t="shared" si="31"/>
        <v>104.4845069905128</v>
      </c>
      <c r="X48" s="33">
        <v>850.15872246145489</v>
      </c>
      <c r="Y48" s="35">
        <f t="shared" si="4"/>
        <v>-0.76745145499116807</v>
      </c>
      <c r="Z48" s="36">
        <v>3655.8333333333335</v>
      </c>
      <c r="AA48" s="31">
        <f t="shared" si="32"/>
        <v>3206.5314166666667</v>
      </c>
      <c r="AB48" s="31">
        <f t="shared" si="33"/>
        <v>449.30191666666667</v>
      </c>
      <c r="AC48" s="31">
        <f t="shared" si="34"/>
        <v>566.68238900468725</v>
      </c>
      <c r="AD48" s="31">
        <f t="shared" si="35"/>
        <v>79.404019619970427</v>
      </c>
      <c r="AE48" s="33">
        <v>646.08640862465768</v>
      </c>
      <c r="AF48" s="35">
        <f t="shared" si="5"/>
        <v>-0.82327246629824724</v>
      </c>
      <c r="AG48" s="36">
        <v>3655.8333333333335</v>
      </c>
      <c r="AH48" s="31">
        <f t="shared" si="36"/>
        <v>3206.5314166666667</v>
      </c>
      <c r="AI48" s="31">
        <f t="shared" si="37"/>
        <v>449.30191666666667</v>
      </c>
      <c r="AJ48" s="31">
        <f t="shared" si="38"/>
        <v>4133.239314048692</v>
      </c>
      <c r="AK48" s="31">
        <f t="shared" si="39"/>
        <v>579.15301755396672</v>
      </c>
      <c r="AL48" s="33">
        <v>4712.3923316026585</v>
      </c>
      <c r="AM48" s="35">
        <f t="shared" si="6"/>
        <v>0.28900633643108953</v>
      </c>
      <c r="AN48" s="36">
        <v>3655.8333333333335</v>
      </c>
      <c r="AO48" s="31">
        <f t="shared" si="40"/>
        <v>3206.5314166666667</v>
      </c>
      <c r="AP48" s="31">
        <f t="shared" si="41"/>
        <v>449.30191666666667</v>
      </c>
      <c r="AQ48" s="31">
        <f t="shared" si="42"/>
        <v>0</v>
      </c>
      <c r="AR48" s="31">
        <f t="shared" si="43"/>
        <v>0</v>
      </c>
      <c r="AS48" s="27">
        <f t="shared" si="91"/>
        <v>0</v>
      </c>
      <c r="AT48" s="35">
        <f t="shared" si="8"/>
        <v>-1</v>
      </c>
      <c r="AU48" s="36">
        <v>3655.8333333333335</v>
      </c>
      <c r="AV48" s="31">
        <f t="shared" si="44"/>
        <v>3206.5314166666667</v>
      </c>
      <c r="AW48" s="31">
        <f t="shared" si="45"/>
        <v>449.30191666666667</v>
      </c>
      <c r="AX48" s="31">
        <f t="shared" si="46"/>
        <v>0</v>
      </c>
      <c r="AY48" s="31">
        <f t="shared" si="47"/>
        <v>0</v>
      </c>
      <c r="AZ48" s="27">
        <f t="shared" si="92"/>
        <v>0</v>
      </c>
      <c r="BA48" s="35">
        <f t="shared" si="10"/>
        <v>-1</v>
      </c>
      <c r="BB48" s="36">
        <v>3655.8333333333335</v>
      </c>
      <c r="BC48" s="31">
        <f t="shared" si="48"/>
        <v>3206.5314166666667</v>
      </c>
      <c r="BD48" s="31">
        <f t="shared" si="49"/>
        <v>449.30191666666667</v>
      </c>
      <c r="BE48" s="31">
        <f t="shared" si="50"/>
        <v>0</v>
      </c>
      <c r="BF48" s="31">
        <f t="shared" si="51"/>
        <v>0</v>
      </c>
      <c r="BG48" s="27">
        <f t="shared" si="93"/>
        <v>0</v>
      </c>
      <c r="BH48" s="35">
        <f t="shared" si="12"/>
        <v>-1</v>
      </c>
      <c r="BI48" s="36">
        <v>3655.8333333333335</v>
      </c>
      <c r="BJ48" s="31">
        <f t="shared" si="52"/>
        <v>3206.5314166666667</v>
      </c>
      <c r="BK48" s="31">
        <f t="shared" si="53"/>
        <v>449.30191666666667</v>
      </c>
      <c r="BL48" s="31">
        <f t="shared" si="54"/>
        <v>0</v>
      </c>
      <c r="BM48" s="31">
        <f t="shared" si="55"/>
        <v>0</v>
      </c>
      <c r="BN48" s="27">
        <f t="shared" si="94"/>
        <v>0</v>
      </c>
      <c r="BO48" s="37">
        <f t="shared" si="14"/>
        <v>-1</v>
      </c>
      <c r="BP48" s="36">
        <v>3655.8333333333335</v>
      </c>
      <c r="BQ48" s="31">
        <f t="shared" si="56"/>
        <v>3206.5314166666667</v>
      </c>
      <c r="BR48" s="31">
        <f t="shared" si="57"/>
        <v>449.30191666666667</v>
      </c>
      <c r="BS48" s="31">
        <f t="shared" si="58"/>
        <v>0</v>
      </c>
      <c r="BT48" s="31">
        <f t="shared" si="59"/>
        <v>0</v>
      </c>
      <c r="BU48" s="27">
        <f t="shared" si="95"/>
        <v>0</v>
      </c>
      <c r="BV48" s="37">
        <f t="shared" si="16"/>
        <v>-1</v>
      </c>
      <c r="BW48" s="36">
        <v>3655.8333333333335</v>
      </c>
      <c r="BX48" s="31">
        <f t="shared" si="60"/>
        <v>3206.5314166666667</v>
      </c>
      <c r="BY48" s="31">
        <f t="shared" si="61"/>
        <v>449.30191666666667</v>
      </c>
      <c r="BZ48" s="31">
        <f t="shared" si="62"/>
        <v>0</v>
      </c>
      <c r="CA48" s="31">
        <f t="shared" si="63"/>
        <v>0</v>
      </c>
      <c r="CB48" s="27">
        <f t="shared" si="96"/>
        <v>0</v>
      </c>
      <c r="CC48" s="37">
        <f t="shared" si="18"/>
        <v>-1</v>
      </c>
      <c r="CD48" s="36">
        <v>3655.8333333333335</v>
      </c>
      <c r="CE48" s="31">
        <f t="shared" si="64"/>
        <v>3206.5314166666667</v>
      </c>
      <c r="CF48" s="31">
        <f t="shared" si="65"/>
        <v>449.30191666666667</v>
      </c>
      <c r="CG48" s="31">
        <f t="shared" si="66"/>
        <v>0</v>
      </c>
      <c r="CH48" s="31">
        <f t="shared" si="67"/>
        <v>0</v>
      </c>
      <c r="CI48" s="27">
        <f t="shared" si="97"/>
        <v>0</v>
      </c>
      <c r="CJ48" s="37">
        <f t="shared" si="20"/>
        <v>-1</v>
      </c>
      <c r="CK48" s="36">
        <v>3655.8333333333335</v>
      </c>
      <c r="CL48" s="31">
        <f t="shared" si="68"/>
        <v>3206.5314166666667</v>
      </c>
      <c r="CM48" s="31">
        <f t="shared" si="69"/>
        <v>449.30191666666667</v>
      </c>
      <c r="CN48" s="31">
        <f t="shared" si="70"/>
        <v>0</v>
      </c>
      <c r="CO48" s="31">
        <f t="shared" si="71"/>
        <v>0</v>
      </c>
      <c r="CP48" s="27">
        <f t="shared" si="98"/>
        <v>0</v>
      </c>
      <c r="CQ48" s="37">
        <f t="shared" si="22"/>
        <v>-1</v>
      </c>
      <c r="CS48" s="27">
        <f>8434.85</f>
        <v>8434.85</v>
      </c>
      <c r="CT48" s="27">
        <f>1937.8</f>
        <v>1937.8</v>
      </c>
      <c r="CU48" s="27">
        <f>3453.65-1738-243</f>
        <v>1472.65</v>
      </c>
      <c r="CV48" s="27">
        <f>10741.14</f>
        <v>10741.14</v>
      </c>
      <c r="CW48" s="27"/>
      <c r="CX48" s="27"/>
      <c r="CY48" s="27"/>
      <c r="CZ48" s="27"/>
      <c r="DA48" s="27"/>
      <c r="DB48" s="27"/>
      <c r="DC48" s="27"/>
      <c r="DD48" s="27"/>
      <c r="DF48" s="28"/>
    </row>
    <row r="49" spans="1:110" s="26" customFormat="1" ht="16" customHeight="1" x14ac:dyDescent="0.2">
      <c r="A49" s="29" t="s">
        <v>73</v>
      </c>
      <c r="B49" s="30">
        <f t="shared" si="80"/>
        <v>71508.099999999991</v>
      </c>
      <c r="C49" s="31">
        <f t="shared" si="80"/>
        <v>62719.754510000006</v>
      </c>
      <c r="D49" s="32">
        <f t="shared" si="80"/>
        <v>8788.3454900000015</v>
      </c>
      <c r="E49" s="30">
        <f t="shared" si="90"/>
        <v>23836.033333333333</v>
      </c>
      <c r="F49" s="33">
        <f t="shared" si="90"/>
        <v>20906.584836666665</v>
      </c>
      <c r="G49" s="34">
        <f t="shared" si="90"/>
        <v>2929.4484966666664</v>
      </c>
      <c r="H49" s="31">
        <f t="shared" si="81"/>
        <v>32635.091210243227</v>
      </c>
      <c r="I49" s="33">
        <f t="shared" si="81"/>
        <v>4572.856811924401</v>
      </c>
      <c r="J49" s="33">
        <f t="shared" si="81"/>
        <v>37207.948022167628</v>
      </c>
      <c r="K49" s="35">
        <f t="shared" si="2"/>
        <v>0.56099580420264128</v>
      </c>
      <c r="L49" s="36">
        <v>5959.0083333333332</v>
      </c>
      <c r="M49" s="31">
        <f t="shared" si="24"/>
        <v>5226.6462091666663</v>
      </c>
      <c r="N49" s="31">
        <f t="shared" si="25"/>
        <v>732.3621241666666</v>
      </c>
      <c r="O49" s="31">
        <f t="shared" si="26"/>
        <v>9353.0473273868593</v>
      </c>
      <c r="P49" s="31">
        <f t="shared" si="27"/>
        <v>1310.5569678894594</v>
      </c>
      <c r="Q49" s="33">
        <v>10663.604295276318</v>
      </c>
      <c r="R49" s="35">
        <f t="shared" si="3"/>
        <v>0.78949309998889383</v>
      </c>
      <c r="S49" s="36">
        <v>5959.0083333333332</v>
      </c>
      <c r="T49" s="31">
        <f t="shared" si="28"/>
        <v>5226.6462091666663</v>
      </c>
      <c r="U49" s="31">
        <f t="shared" si="29"/>
        <v>732.3621241666666</v>
      </c>
      <c r="V49" s="31">
        <f t="shared" si="30"/>
        <v>6605.8546850357407</v>
      </c>
      <c r="W49" s="31">
        <f t="shared" si="31"/>
        <v>925.61799200877044</v>
      </c>
      <c r="X49" s="33">
        <v>7531.4726770445113</v>
      </c>
      <c r="Y49" s="35">
        <f t="shared" si="4"/>
        <v>0.26388020552264901</v>
      </c>
      <c r="Z49" s="36">
        <v>5959.0083333333332</v>
      </c>
      <c r="AA49" s="31">
        <f t="shared" si="32"/>
        <v>5226.6462091666663</v>
      </c>
      <c r="AB49" s="31">
        <f t="shared" si="33"/>
        <v>732.3621241666666</v>
      </c>
      <c r="AC49" s="31">
        <f t="shared" si="34"/>
        <v>12400.695345648652</v>
      </c>
      <c r="AD49" s="31">
        <f t="shared" si="35"/>
        <v>1737.5960072742212</v>
      </c>
      <c r="AE49" s="27">
        <v>14138.291352922874</v>
      </c>
      <c r="AF49" s="35">
        <f t="shared" si="5"/>
        <v>1.3725913041330209</v>
      </c>
      <c r="AG49" s="36">
        <v>5959.0083333333332</v>
      </c>
      <c r="AH49" s="31">
        <f t="shared" si="36"/>
        <v>5226.6462091666663</v>
      </c>
      <c r="AI49" s="31">
        <f t="shared" si="37"/>
        <v>732.3621241666666</v>
      </c>
      <c r="AJ49" s="31">
        <f t="shared" si="38"/>
        <v>4275.493852171976</v>
      </c>
      <c r="AK49" s="31">
        <f t="shared" si="39"/>
        <v>599.0858447519505</v>
      </c>
      <c r="AL49" s="27">
        <v>4874.5796969239263</v>
      </c>
      <c r="AM49" s="35">
        <f t="shared" si="6"/>
        <v>-0.18198139283399895</v>
      </c>
      <c r="AN49" s="36">
        <v>5959.0083333333332</v>
      </c>
      <c r="AO49" s="31">
        <f t="shared" si="40"/>
        <v>5226.6462091666663</v>
      </c>
      <c r="AP49" s="31">
        <f t="shared" si="41"/>
        <v>732.3621241666666</v>
      </c>
      <c r="AQ49" s="31">
        <f t="shared" si="42"/>
        <v>0</v>
      </c>
      <c r="AR49" s="31">
        <f t="shared" si="43"/>
        <v>0</v>
      </c>
      <c r="AS49" s="27">
        <f t="shared" si="91"/>
        <v>0</v>
      </c>
      <c r="AT49" s="35">
        <f t="shared" si="8"/>
        <v>-1</v>
      </c>
      <c r="AU49" s="36">
        <v>5959.0083333333332</v>
      </c>
      <c r="AV49" s="31">
        <f t="shared" si="44"/>
        <v>5226.6462091666663</v>
      </c>
      <c r="AW49" s="31">
        <f t="shared" si="45"/>
        <v>732.3621241666666</v>
      </c>
      <c r="AX49" s="31">
        <f t="shared" si="46"/>
        <v>0</v>
      </c>
      <c r="AY49" s="31">
        <f t="shared" si="47"/>
        <v>0</v>
      </c>
      <c r="AZ49" s="27">
        <f t="shared" si="92"/>
        <v>0</v>
      </c>
      <c r="BA49" s="35">
        <f t="shared" si="10"/>
        <v>-1</v>
      </c>
      <c r="BB49" s="36">
        <v>5959.0083333333332</v>
      </c>
      <c r="BC49" s="31">
        <f t="shared" si="48"/>
        <v>5226.6462091666663</v>
      </c>
      <c r="BD49" s="31">
        <f t="shared" si="49"/>
        <v>732.3621241666666</v>
      </c>
      <c r="BE49" s="31">
        <f t="shared" si="50"/>
        <v>0</v>
      </c>
      <c r="BF49" s="31">
        <f t="shared" si="51"/>
        <v>0</v>
      </c>
      <c r="BG49" s="27">
        <f t="shared" si="93"/>
        <v>0</v>
      </c>
      <c r="BH49" s="35">
        <f t="shared" si="12"/>
        <v>-1</v>
      </c>
      <c r="BI49" s="36">
        <v>5959.0083333333332</v>
      </c>
      <c r="BJ49" s="31">
        <f t="shared" si="52"/>
        <v>5226.6462091666663</v>
      </c>
      <c r="BK49" s="31">
        <f t="shared" si="53"/>
        <v>732.3621241666666</v>
      </c>
      <c r="BL49" s="31">
        <f t="shared" si="54"/>
        <v>0</v>
      </c>
      <c r="BM49" s="31">
        <f t="shared" si="55"/>
        <v>0</v>
      </c>
      <c r="BN49" s="27">
        <f t="shared" si="94"/>
        <v>0</v>
      </c>
      <c r="BO49" s="37">
        <f t="shared" si="14"/>
        <v>-1</v>
      </c>
      <c r="BP49" s="36">
        <v>5959.0083333333332</v>
      </c>
      <c r="BQ49" s="31">
        <f t="shared" si="56"/>
        <v>5226.6462091666663</v>
      </c>
      <c r="BR49" s="31">
        <f t="shared" si="57"/>
        <v>732.3621241666666</v>
      </c>
      <c r="BS49" s="31">
        <f t="shared" si="58"/>
        <v>0</v>
      </c>
      <c r="BT49" s="31">
        <f t="shared" si="59"/>
        <v>0</v>
      </c>
      <c r="BU49" s="27">
        <f t="shared" si="95"/>
        <v>0</v>
      </c>
      <c r="BV49" s="37">
        <f t="shared" si="16"/>
        <v>-1</v>
      </c>
      <c r="BW49" s="36">
        <v>5959.0083333333332</v>
      </c>
      <c r="BX49" s="31">
        <f t="shared" si="60"/>
        <v>5226.6462091666663</v>
      </c>
      <c r="BY49" s="31">
        <f t="shared" si="61"/>
        <v>732.3621241666666</v>
      </c>
      <c r="BZ49" s="31">
        <f t="shared" si="62"/>
        <v>0</v>
      </c>
      <c r="CA49" s="31">
        <f t="shared" si="63"/>
        <v>0</v>
      </c>
      <c r="CB49" s="27">
        <f t="shared" si="96"/>
        <v>0</v>
      </c>
      <c r="CC49" s="37">
        <f t="shared" si="18"/>
        <v>-1</v>
      </c>
      <c r="CD49" s="36">
        <v>5959.0083333333332</v>
      </c>
      <c r="CE49" s="31">
        <f t="shared" si="64"/>
        <v>5226.6462091666663</v>
      </c>
      <c r="CF49" s="31">
        <f t="shared" si="65"/>
        <v>732.3621241666666</v>
      </c>
      <c r="CG49" s="31">
        <f t="shared" si="66"/>
        <v>0</v>
      </c>
      <c r="CH49" s="31">
        <f t="shared" si="67"/>
        <v>0</v>
      </c>
      <c r="CI49" s="27">
        <f t="shared" si="97"/>
        <v>0</v>
      </c>
      <c r="CJ49" s="37">
        <f t="shared" si="20"/>
        <v>-1</v>
      </c>
      <c r="CK49" s="36">
        <v>5959.0083333333332</v>
      </c>
      <c r="CL49" s="31">
        <f t="shared" si="68"/>
        <v>5226.6462091666663</v>
      </c>
      <c r="CM49" s="31">
        <f t="shared" si="69"/>
        <v>732.3621241666666</v>
      </c>
      <c r="CN49" s="31">
        <f t="shared" si="70"/>
        <v>0</v>
      </c>
      <c r="CO49" s="31">
        <f t="shared" si="71"/>
        <v>0</v>
      </c>
      <c r="CP49" s="27">
        <f t="shared" si="98"/>
        <v>0</v>
      </c>
      <c r="CQ49" s="37">
        <f t="shared" si="22"/>
        <v>-1</v>
      </c>
      <c r="CS49" s="27">
        <f>R82</f>
        <v>24305.97</v>
      </c>
      <c r="CT49" s="27">
        <f>Y82</f>
        <v>17166.78</v>
      </c>
      <c r="CU49" s="27">
        <f>AF82</f>
        <v>32225.96</v>
      </c>
      <c r="CV49" s="27">
        <f>AM82</f>
        <v>11110.820000000003</v>
      </c>
      <c r="CW49" s="27"/>
      <c r="CX49" s="27"/>
      <c r="CY49" s="27"/>
      <c r="CZ49" s="27"/>
      <c r="DA49" s="27"/>
      <c r="DB49" s="27"/>
      <c r="DC49" s="27"/>
      <c r="DD49" s="27"/>
      <c r="DF49" s="28"/>
    </row>
    <row r="50" spans="1:110" s="26" customFormat="1" ht="16" customHeight="1" x14ac:dyDescent="0.2">
      <c r="A50" s="29" t="s">
        <v>74</v>
      </c>
      <c r="B50" s="30">
        <f t="shared" si="80"/>
        <v>7226.4418799999994</v>
      </c>
      <c r="C50" s="31">
        <f t="shared" si="80"/>
        <v>6338.3121729479999</v>
      </c>
      <c r="D50" s="32">
        <f t="shared" si="80"/>
        <v>888.12970705200007</v>
      </c>
      <c r="E50" s="30">
        <f t="shared" si="90"/>
        <v>2408.81396</v>
      </c>
      <c r="F50" s="33">
        <f t="shared" si="90"/>
        <v>2112.7707243159998</v>
      </c>
      <c r="G50" s="34">
        <f t="shared" si="90"/>
        <v>296.04323568399997</v>
      </c>
      <c r="H50" s="31">
        <f t="shared" si="81"/>
        <v>2519.3267927106626</v>
      </c>
      <c r="I50" s="33">
        <f t="shared" si="81"/>
        <v>353.0102187027025</v>
      </c>
      <c r="J50" s="33">
        <f t="shared" si="81"/>
        <v>2872.3370114133654</v>
      </c>
      <c r="K50" s="35">
        <f t="shared" si="2"/>
        <v>0.19242791643957657</v>
      </c>
      <c r="L50" s="36">
        <v>602.20348999999999</v>
      </c>
      <c r="M50" s="31">
        <f t="shared" si="24"/>
        <v>528.19268107899995</v>
      </c>
      <c r="N50" s="31">
        <f t="shared" si="25"/>
        <v>74.010808920999992</v>
      </c>
      <c r="O50" s="31">
        <f t="shared" si="26"/>
        <v>493.64648948131799</v>
      </c>
      <c r="P50" s="31">
        <f t="shared" si="27"/>
        <v>69.170167092981387</v>
      </c>
      <c r="Q50" s="33">
        <v>562.81665657429937</v>
      </c>
      <c r="R50" s="35">
        <f t="shared" si="3"/>
        <v>-6.540452534690655E-2</v>
      </c>
      <c r="S50" s="36">
        <v>602.20348999999999</v>
      </c>
      <c r="T50" s="31">
        <f t="shared" si="28"/>
        <v>528.19268107899995</v>
      </c>
      <c r="U50" s="31">
        <f t="shared" si="29"/>
        <v>74.010808920999992</v>
      </c>
      <c r="V50" s="31">
        <f t="shared" si="30"/>
        <v>550.47827030643077</v>
      </c>
      <c r="W50" s="31">
        <f t="shared" si="31"/>
        <v>77.133484688929812</v>
      </c>
      <c r="X50" s="33">
        <v>627.61175499536057</v>
      </c>
      <c r="Y50" s="35">
        <f t="shared" si="4"/>
        <v>4.2192158327346352E-2</v>
      </c>
      <c r="Z50" s="36">
        <v>602.20348999999999</v>
      </c>
      <c r="AA50" s="31">
        <f t="shared" si="32"/>
        <v>528.19268107899995</v>
      </c>
      <c r="AB50" s="31">
        <f t="shared" si="33"/>
        <v>74.010808920999992</v>
      </c>
      <c r="AC50" s="31">
        <f t="shared" si="34"/>
        <v>1008.368722992641</v>
      </c>
      <c r="AD50" s="31">
        <f t="shared" si="35"/>
        <v>141.29348541306072</v>
      </c>
      <c r="AE50" s="33">
        <v>1149.6622084057017</v>
      </c>
      <c r="AF50" s="35">
        <f t="shared" si="5"/>
        <v>0.90909257003094046</v>
      </c>
      <c r="AG50" s="36">
        <v>602.20348999999999</v>
      </c>
      <c r="AH50" s="31">
        <f t="shared" si="36"/>
        <v>528.19268107899995</v>
      </c>
      <c r="AI50" s="31">
        <f t="shared" si="37"/>
        <v>74.010808920999992</v>
      </c>
      <c r="AJ50" s="31">
        <f t="shared" si="38"/>
        <v>466.83330993027295</v>
      </c>
      <c r="AK50" s="31">
        <f t="shared" si="39"/>
        <v>65.413081507730638</v>
      </c>
      <c r="AL50" s="33">
        <v>532.24639143800357</v>
      </c>
      <c r="AM50" s="35">
        <f t="shared" si="6"/>
        <v>-0.11616853725307441</v>
      </c>
      <c r="AN50" s="36">
        <v>602.20348999999999</v>
      </c>
      <c r="AO50" s="31">
        <f t="shared" si="40"/>
        <v>528.19268107899995</v>
      </c>
      <c r="AP50" s="31">
        <f t="shared" si="41"/>
        <v>74.010808920999992</v>
      </c>
      <c r="AQ50" s="31">
        <f t="shared" si="42"/>
        <v>0</v>
      </c>
      <c r="AR50" s="31">
        <f t="shared" si="43"/>
        <v>0</v>
      </c>
      <c r="AS50" s="27">
        <f t="shared" si="91"/>
        <v>0</v>
      </c>
      <c r="AT50" s="35">
        <f t="shared" si="8"/>
        <v>-1</v>
      </c>
      <c r="AU50" s="36">
        <v>602.20348999999999</v>
      </c>
      <c r="AV50" s="31">
        <f t="shared" si="44"/>
        <v>528.19268107899995</v>
      </c>
      <c r="AW50" s="31">
        <f t="shared" si="45"/>
        <v>74.010808920999992</v>
      </c>
      <c r="AX50" s="31">
        <f t="shared" si="46"/>
        <v>0</v>
      </c>
      <c r="AY50" s="31">
        <f t="shared" si="47"/>
        <v>0</v>
      </c>
      <c r="AZ50" s="27">
        <f t="shared" si="92"/>
        <v>0</v>
      </c>
      <c r="BA50" s="35">
        <f t="shared" si="10"/>
        <v>-1</v>
      </c>
      <c r="BB50" s="36">
        <v>602.20348999999999</v>
      </c>
      <c r="BC50" s="31">
        <f t="shared" si="48"/>
        <v>528.19268107899995</v>
      </c>
      <c r="BD50" s="31">
        <f t="shared" si="49"/>
        <v>74.010808920999992</v>
      </c>
      <c r="BE50" s="31">
        <f t="shared" si="50"/>
        <v>0</v>
      </c>
      <c r="BF50" s="31">
        <f t="shared" si="51"/>
        <v>0</v>
      </c>
      <c r="BG50" s="27">
        <f t="shared" si="93"/>
        <v>0</v>
      </c>
      <c r="BH50" s="35">
        <f t="shared" si="12"/>
        <v>-1</v>
      </c>
      <c r="BI50" s="36">
        <v>602.20348999999999</v>
      </c>
      <c r="BJ50" s="31">
        <f t="shared" si="52"/>
        <v>528.19268107899995</v>
      </c>
      <c r="BK50" s="31">
        <f t="shared" si="53"/>
        <v>74.010808920999992</v>
      </c>
      <c r="BL50" s="31">
        <f t="shared" si="54"/>
        <v>0</v>
      </c>
      <c r="BM50" s="31">
        <f t="shared" si="55"/>
        <v>0</v>
      </c>
      <c r="BN50" s="27">
        <f t="shared" si="94"/>
        <v>0</v>
      </c>
      <c r="BO50" s="37">
        <f t="shared" si="14"/>
        <v>-1</v>
      </c>
      <c r="BP50" s="36">
        <v>602.20348999999999</v>
      </c>
      <c r="BQ50" s="31">
        <f t="shared" si="56"/>
        <v>528.19268107899995</v>
      </c>
      <c r="BR50" s="31">
        <f t="shared" si="57"/>
        <v>74.010808920999992</v>
      </c>
      <c r="BS50" s="31">
        <f t="shared" si="58"/>
        <v>0</v>
      </c>
      <c r="BT50" s="31">
        <f t="shared" si="59"/>
        <v>0</v>
      </c>
      <c r="BU50" s="27">
        <f t="shared" si="95"/>
        <v>0</v>
      </c>
      <c r="BV50" s="37">
        <f t="shared" si="16"/>
        <v>-1</v>
      </c>
      <c r="BW50" s="36">
        <v>602.20348999999999</v>
      </c>
      <c r="BX50" s="31">
        <f t="shared" si="60"/>
        <v>528.19268107899995</v>
      </c>
      <c r="BY50" s="31">
        <f t="shared" si="61"/>
        <v>74.010808920999992</v>
      </c>
      <c r="BZ50" s="31">
        <f t="shared" si="62"/>
        <v>0</v>
      </c>
      <c r="CA50" s="31">
        <f t="shared" si="63"/>
        <v>0</v>
      </c>
      <c r="CB50" s="27">
        <f t="shared" si="96"/>
        <v>0</v>
      </c>
      <c r="CC50" s="37">
        <f t="shared" si="18"/>
        <v>-1</v>
      </c>
      <c r="CD50" s="36">
        <v>602.20348999999999</v>
      </c>
      <c r="CE50" s="31">
        <f t="shared" si="64"/>
        <v>528.19268107899995</v>
      </c>
      <c r="CF50" s="31">
        <f t="shared" si="65"/>
        <v>74.010808920999992</v>
      </c>
      <c r="CG50" s="31">
        <f t="shared" si="66"/>
        <v>0</v>
      </c>
      <c r="CH50" s="31">
        <f t="shared" si="67"/>
        <v>0</v>
      </c>
      <c r="CI50" s="27">
        <f t="shared" si="97"/>
        <v>0</v>
      </c>
      <c r="CJ50" s="37">
        <f t="shared" si="20"/>
        <v>-1</v>
      </c>
      <c r="CK50" s="36">
        <v>602.20348999999999</v>
      </c>
      <c r="CL50" s="31">
        <f t="shared" si="68"/>
        <v>528.19268107899995</v>
      </c>
      <c r="CM50" s="31">
        <f t="shared" si="69"/>
        <v>74.010808920999992</v>
      </c>
      <c r="CN50" s="31">
        <f t="shared" si="70"/>
        <v>0</v>
      </c>
      <c r="CO50" s="31">
        <f t="shared" si="71"/>
        <v>0</v>
      </c>
      <c r="CP50" s="27">
        <f t="shared" si="98"/>
        <v>0</v>
      </c>
      <c r="CQ50" s="37">
        <f t="shared" si="22"/>
        <v>-1</v>
      </c>
      <c r="CS50" s="27">
        <f>1282.85</f>
        <v>1282.8499999999999</v>
      </c>
      <c r="CT50" s="27">
        <f>1430.54</f>
        <v>1430.54</v>
      </c>
      <c r="CU50" s="27">
        <f>2620.47</f>
        <v>2620.4699999999998</v>
      </c>
      <c r="CV50" s="27">
        <f>1213.17</f>
        <v>1213.17</v>
      </c>
      <c r="CW50" s="27"/>
      <c r="CX50" s="27"/>
      <c r="CY50" s="27"/>
      <c r="CZ50" s="27"/>
      <c r="DA50" s="27"/>
      <c r="DB50" s="27"/>
      <c r="DC50" s="27"/>
      <c r="DD50" s="27"/>
      <c r="DF50" s="28"/>
    </row>
    <row r="51" spans="1:110" s="26" customFormat="1" ht="16" customHeight="1" x14ac:dyDescent="0.2">
      <c r="A51" s="29" t="s">
        <v>75</v>
      </c>
      <c r="B51" s="30">
        <f t="shared" si="80"/>
        <v>5431.4891605799976</v>
      </c>
      <c r="C51" s="31">
        <f t="shared" si="80"/>
        <v>4763.9591427447176</v>
      </c>
      <c r="D51" s="32">
        <f t="shared" si="80"/>
        <v>667.5300178352818</v>
      </c>
      <c r="E51" s="30">
        <f t="shared" si="90"/>
        <v>1810.4963868599996</v>
      </c>
      <c r="F51" s="33">
        <f t="shared" si="90"/>
        <v>1587.9863809149056</v>
      </c>
      <c r="G51" s="34">
        <f t="shared" si="90"/>
        <v>222.51000594509395</v>
      </c>
      <c r="H51" s="31">
        <f t="shared" si="81"/>
        <v>1606.4280732572624</v>
      </c>
      <c r="I51" s="33">
        <f t="shared" si="81"/>
        <v>225.09407160337196</v>
      </c>
      <c r="J51" s="33">
        <f t="shared" si="81"/>
        <v>1831.5221448606344</v>
      </c>
      <c r="K51" s="35">
        <f t="shared" si="2"/>
        <v>1.161325598506191E-2</v>
      </c>
      <c r="L51" s="36">
        <v>452.62409671499989</v>
      </c>
      <c r="M51" s="31">
        <f t="shared" si="24"/>
        <v>396.99659522872639</v>
      </c>
      <c r="N51" s="31">
        <f t="shared" si="25"/>
        <v>55.627501486273488</v>
      </c>
      <c r="O51" s="31">
        <f t="shared" si="26"/>
        <v>392.97008067046932</v>
      </c>
      <c r="P51" s="31">
        <f t="shared" si="27"/>
        <v>55.063302832517017</v>
      </c>
      <c r="Q51" s="33">
        <v>448.03338350298634</v>
      </c>
      <c r="R51" s="35">
        <f t="shared" si="3"/>
        <v>-1.0142441035135952E-2</v>
      </c>
      <c r="S51" s="36">
        <v>452.62409671499989</v>
      </c>
      <c r="T51" s="31">
        <f t="shared" si="28"/>
        <v>396.99659522872639</v>
      </c>
      <c r="U51" s="31">
        <f t="shared" si="29"/>
        <v>55.627501486273488</v>
      </c>
      <c r="V51" s="31">
        <f t="shared" si="30"/>
        <v>382.73428021039757</v>
      </c>
      <c r="W51" s="31">
        <f t="shared" si="31"/>
        <v>53.629053742854701</v>
      </c>
      <c r="X51" s="33">
        <v>436.36333395325227</v>
      </c>
      <c r="Y51" s="35">
        <f t="shared" si="4"/>
        <v>-3.5925534852790708E-2</v>
      </c>
      <c r="Z51" s="36">
        <v>452.62409671499989</v>
      </c>
      <c r="AA51" s="31">
        <f t="shared" si="32"/>
        <v>396.99659522872639</v>
      </c>
      <c r="AB51" s="31">
        <f t="shared" si="33"/>
        <v>55.627501486273488</v>
      </c>
      <c r="AC51" s="31">
        <f t="shared" si="34"/>
        <v>355.97882133863857</v>
      </c>
      <c r="AD51" s="31">
        <f t="shared" si="35"/>
        <v>49.880056028410308</v>
      </c>
      <c r="AE51" s="33">
        <v>405.85887736704888</v>
      </c>
      <c r="AF51" s="35">
        <f t="shared" si="5"/>
        <v>-0.10332021579796113</v>
      </c>
      <c r="AG51" s="36">
        <v>452.62409671499989</v>
      </c>
      <c r="AH51" s="31">
        <f t="shared" si="36"/>
        <v>396.99659522872639</v>
      </c>
      <c r="AI51" s="31">
        <f t="shared" si="37"/>
        <v>55.627501486273488</v>
      </c>
      <c r="AJ51" s="31">
        <f t="shared" si="38"/>
        <v>474.74489103775693</v>
      </c>
      <c r="AK51" s="31">
        <f t="shared" si="39"/>
        <v>66.521658999589931</v>
      </c>
      <c r="AL51" s="33">
        <v>541.26655003734686</v>
      </c>
      <c r="AM51" s="35">
        <f t="shared" si="6"/>
        <v>0.1958412156261351</v>
      </c>
      <c r="AN51" s="36">
        <v>452.62409671499989</v>
      </c>
      <c r="AO51" s="31">
        <f t="shared" si="40"/>
        <v>396.99659522872639</v>
      </c>
      <c r="AP51" s="31">
        <f t="shared" si="41"/>
        <v>55.627501486273488</v>
      </c>
      <c r="AQ51" s="31">
        <f t="shared" si="42"/>
        <v>0</v>
      </c>
      <c r="AR51" s="31">
        <f t="shared" si="43"/>
        <v>0</v>
      </c>
      <c r="AS51" s="27">
        <f t="shared" si="91"/>
        <v>0</v>
      </c>
      <c r="AT51" s="35">
        <f t="shared" si="8"/>
        <v>-1</v>
      </c>
      <c r="AU51" s="36">
        <v>452.62409671499989</v>
      </c>
      <c r="AV51" s="31">
        <f t="shared" si="44"/>
        <v>396.99659522872639</v>
      </c>
      <c r="AW51" s="31">
        <f t="shared" si="45"/>
        <v>55.627501486273488</v>
      </c>
      <c r="AX51" s="31">
        <f t="shared" si="46"/>
        <v>0</v>
      </c>
      <c r="AY51" s="31">
        <f t="shared" si="47"/>
        <v>0</v>
      </c>
      <c r="AZ51" s="27">
        <f t="shared" si="92"/>
        <v>0</v>
      </c>
      <c r="BA51" s="35">
        <f t="shared" si="10"/>
        <v>-1</v>
      </c>
      <c r="BB51" s="36">
        <v>452.62409671499989</v>
      </c>
      <c r="BC51" s="31">
        <f t="shared" si="48"/>
        <v>396.99659522872639</v>
      </c>
      <c r="BD51" s="31">
        <f t="shared" si="49"/>
        <v>55.627501486273488</v>
      </c>
      <c r="BE51" s="31">
        <f t="shared" si="50"/>
        <v>0</v>
      </c>
      <c r="BF51" s="31">
        <f t="shared" si="51"/>
        <v>0</v>
      </c>
      <c r="BG51" s="27">
        <f t="shared" si="93"/>
        <v>0</v>
      </c>
      <c r="BH51" s="35">
        <f t="shared" si="12"/>
        <v>-1</v>
      </c>
      <c r="BI51" s="36">
        <v>452.62409671499989</v>
      </c>
      <c r="BJ51" s="31">
        <f t="shared" si="52"/>
        <v>396.99659522872639</v>
      </c>
      <c r="BK51" s="31">
        <f t="shared" si="53"/>
        <v>55.627501486273488</v>
      </c>
      <c r="BL51" s="31">
        <f t="shared" si="54"/>
        <v>0</v>
      </c>
      <c r="BM51" s="31">
        <f t="shared" si="55"/>
        <v>0</v>
      </c>
      <c r="BN51" s="27">
        <f t="shared" si="94"/>
        <v>0</v>
      </c>
      <c r="BO51" s="37">
        <f t="shared" si="14"/>
        <v>-1</v>
      </c>
      <c r="BP51" s="36">
        <v>452.62409671499989</v>
      </c>
      <c r="BQ51" s="31">
        <f t="shared" si="56"/>
        <v>396.99659522872639</v>
      </c>
      <c r="BR51" s="31">
        <f t="shared" si="57"/>
        <v>55.627501486273488</v>
      </c>
      <c r="BS51" s="31">
        <f t="shared" si="58"/>
        <v>0</v>
      </c>
      <c r="BT51" s="31">
        <f t="shared" si="59"/>
        <v>0</v>
      </c>
      <c r="BU51" s="27">
        <f t="shared" si="95"/>
        <v>0</v>
      </c>
      <c r="BV51" s="37">
        <f t="shared" si="16"/>
        <v>-1</v>
      </c>
      <c r="BW51" s="36">
        <v>452.62409671499989</v>
      </c>
      <c r="BX51" s="31">
        <f t="shared" si="60"/>
        <v>396.99659522872639</v>
      </c>
      <c r="BY51" s="31">
        <f t="shared" si="61"/>
        <v>55.627501486273488</v>
      </c>
      <c r="BZ51" s="31">
        <f t="shared" si="62"/>
        <v>0</v>
      </c>
      <c r="CA51" s="31">
        <f t="shared" si="63"/>
        <v>0</v>
      </c>
      <c r="CB51" s="27">
        <f t="shared" si="96"/>
        <v>0</v>
      </c>
      <c r="CC51" s="37">
        <f t="shared" si="18"/>
        <v>-1</v>
      </c>
      <c r="CD51" s="36">
        <v>452.62409671499989</v>
      </c>
      <c r="CE51" s="31">
        <f t="shared" si="64"/>
        <v>396.99659522872639</v>
      </c>
      <c r="CF51" s="31">
        <f t="shared" si="65"/>
        <v>55.627501486273488</v>
      </c>
      <c r="CG51" s="31">
        <f t="shared" si="66"/>
        <v>0</v>
      </c>
      <c r="CH51" s="31">
        <f t="shared" si="67"/>
        <v>0</v>
      </c>
      <c r="CI51" s="27">
        <f t="shared" si="97"/>
        <v>0</v>
      </c>
      <c r="CJ51" s="37">
        <f t="shared" si="20"/>
        <v>-1</v>
      </c>
      <c r="CK51" s="36">
        <v>452.62409671499989</v>
      </c>
      <c r="CL51" s="31">
        <f t="shared" si="68"/>
        <v>396.99659522872639</v>
      </c>
      <c r="CM51" s="31">
        <f t="shared" si="69"/>
        <v>55.627501486273488</v>
      </c>
      <c r="CN51" s="31">
        <f t="shared" si="70"/>
        <v>0</v>
      </c>
      <c r="CO51" s="31">
        <f t="shared" si="71"/>
        <v>0</v>
      </c>
      <c r="CP51" s="27">
        <f t="shared" si="98"/>
        <v>0</v>
      </c>
      <c r="CQ51" s="37">
        <f t="shared" si="22"/>
        <v>-1</v>
      </c>
      <c r="CS51" s="27">
        <f>1021.22</f>
        <v>1021.22</v>
      </c>
      <c r="CT51" s="27">
        <f>994.62</f>
        <v>994.62</v>
      </c>
      <c r="CU51" s="27">
        <f>925.09</f>
        <v>925.09</v>
      </c>
      <c r="CV51" s="27">
        <f>1233.73</f>
        <v>1233.73</v>
      </c>
      <c r="CW51" s="27"/>
      <c r="CX51" s="27"/>
      <c r="CY51" s="27"/>
      <c r="CZ51" s="27"/>
      <c r="DA51" s="27"/>
      <c r="DB51" s="27"/>
      <c r="DC51" s="27"/>
      <c r="DD51" s="27"/>
      <c r="DF51" s="28"/>
    </row>
    <row r="52" spans="1:110" s="26" customFormat="1" ht="16" customHeight="1" x14ac:dyDescent="0.2">
      <c r="A52" s="29" t="s">
        <v>76</v>
      </c>
      <c r="B52" s="30">
        <f t="shared" si="80"/>
        <v>17548.000000000004</v>
      </c>
      <c r="C52" s="31">
        <f t="shared" si="80"/>
        <v>15391.3508</v>
      </c>
      <c r="D52" s="32">
        <f t="shared" si="80"/>
        <v>2156.6491999999994</v>
      </c>
      <c r="E52" s="30">
        <f t="shared" si="90"/>
        <v>5849.333333333333</v>
      </c>
      <c r="F52" s="33">
        <f t="shared" si="90"/>
        <v>5130.4502666666667</v>
      </c>
      <c r="G52" s="34">
        <f t="shared" si="90"/>
        <v>718.88306666666665</v>
      </c>
      <c r="H52" s="31">
        <f t="shared" si="81"/>
        <v>5385.3239852137558</v>
      </c>
      <c r="I52" s="33">
        <f t="shared" si="81"/>
        <v>754.59618946844216</v>
      </c>
      <c r="J52" s="33">
        <f t="shared" si="81"/>
        <v>6139.9201746821973</v>
      </c>
      <c r="K52" s="35">
        <f t="shared" si="2"/>
        <v>4.9678625714987046E-2</v>
      </c>
      <c r="L52" s="36">
        <v>1462.3333333333333</v>
      </c>
      <c r="M52" s="31">
        <f t="shared" si="24"/>
        <v>1282.6125666666667</v>
      </c>
      <c r="N52" s="31">
        <f t="shared" si="25"/>
        <v>179.72076666666666</v>
      </c>
      <c r="O52" s="31">
        <f t="shared" si="26"/>
        <v>798.69643146317105</v>
      </c>
      <c r="P52" s="31">
        <f t="shared" si="27"/>
        <v>111.91402511324104</v>
      </c>
      <c r="Q52" s="33">
        <v>910.61045657641205</v>
      </c>
      <c r="R52" s="35">
        <f t="shared" si="3"/>
        <v>-0.37728940740158734</v>
      </c>
      <c r="S52" s="36">
        <v>1462.3333333333333</v>
      </c>
      <c r="T52" s="31">
        <f t="shared" si="28"/>
        <v>1282.6125666666667</v>
      </c>
      <c r="U52" s="31">
        <f t="shared" si="29"/>
        <v>179.72076666666666</v>
      </c>
      <c r="V52" s="31">
        <f t="shared" si="30"/>
        <v>534.22797506474535</v>
      </c>
      <c r="W52" s="31">
        <f t="shared" si="31"/>
        <v>74.856479461244106</v>
      </c>
      <c r="X52" s="33">
        <v>609.08445452598949</v>
      </c>
      <c r="Y52" s="35">
        <f t="shared" si="4"/>
        <v>-0.58348453075496498</v>
      </c>
      <c r="Z52" s="36">
        <v>1462.3333333333333</v>
      </c>
      <c r="AA52" s="31">
        <f t="shared" si="32"/>
        <v>1282.6125666666667</v>
      </c>
      <c r="AB52" s="31">
        <f t="shared" si="33"/>
        <v>179.72076666666666</v>
      </c>
      <c r="AC52" s="31">
        <f t="shared" si="34"/>
        <v>2453.1019333430554</v>
      </c>
      <c r="AD52" s="31">
        <f t="shared" si="35"/>
        <v>343.7307349308648</v>
      </c>
      <c r="AE52" s="33">
        <v>2796.8326682739203</v>
      </c>
      <c r="AF52" s="35">
        <f t="shared" si="5"/>
        <v>0.91258217570589495</v>
      </c>
      <c r="AG52" s="36">
        <v>1462.3333333333333</v>
      </c>
      <c r="AH52" s="31">
        <f t="shared" si="36"/>
        <v>1282.6125666666667</v>
      </c>
      <c r="AI52" s="31">
        <f t="shared" si="37"/>
        <v>179.72076666666666</v>
      </c>
      <c r="AJ52" s="31">
        <f t="shared" si="38"/>
        <v>1599.2976453427839</v>
      </c>
      <c r="AK52" s="31">
        <f t="shared" si="39"/>
        <v>224.09494996309215</v>
      </c>
      <c r="AL52" s="33">
        <v>1823.3925953058761</v>
      </c>
      <c r="AM52" s="35">
        <f t="shared" si="6"/>
        <v>0.246906265310606</v>
      </c>
      <c r="AN52" s="36">
        <v>1462.3333333333333</v>
      </c>
      <c r="AO52" s="31">
        <f t="shared" si="40"/>
        <v>1282.6125666666667</v>
      </c>
      <c r="AP52" s="31">
        <f t="shared" si="41"/>
        <v>179.72076666666666</v>
      </c>
      <c r="AQ52" s="31">
        <f t="shared" si="42"/>
        <v>0</v>
      </c>
      <c r="AR52" s="31">
        <f t="shared" si="43"/>
        <v>0</v>
      </c>
      <c r="AS52" s="27">
        <f t="shared" si="91"/>
        <v>0</v>
      </c>
      <c r="AT52" s="35">
        <f t="shared" si="8"/>
        <v>-1</v>
      </c>
      <c r="AU52" s="36">
        <v>1462.3333333333333</v>
      </c>
      <c r="AV52" s="31">
        <f t="shared" si="44"/>
        <v>1282.6125666666667</v>
      </c>
      <c r="AW52" s="31">
        <f t="shared" si="45"/>
        <v>179.72076666666666</v>
      </c>
      <c r="AX52" s="31">
        <f t="shared" si="46"/>
        <v>0</v>
      </c>
      <c r="AY52" s="31">
        <f t="shared" si="47"/>
        <v>0</v>
      </c>
      <c r="AZ52" s="27">
        <f t="shared" si="92"/>
        <v>0</v>
      </c>
      <c r="BA52" s="35">
        <f t="shared" si="10"/>
        <v>-1</v>
      </c>
      <c r="BB52" s="36">
        <v>1462.3333333333333</v>
      </c>
      <c r="BC52" s="31">
        <f t="shared" si="48"/>
        <v>1282.6125666666667</v>
      </c>
      <c r="BD52" s="31">
        <f t="shared" si="49"/>
        <v>179.72076666666666</v>
      </c>
      <c r="BE52" s="31">
        <f t="shared" si="50"/>
        <v>0</v>
      </c>
      <c r="BF52" s="31">
        <f t="shared" si="51"/>
        <v>0</v>
      </c>
      <c r="BG52" s="27">
        <f t="shared" si="93"/>
        <v>0</v>
      </c>
      <c r="BH52" s="35">
        <f t="shared" si="12"/>
        <v>-1</v>
      </c>
      <c r="BI52" s="36">
        <v>1462.3333333333333</v>
      </c>
      <c r="BJ52" s="31">
        <f t="shared" si="52"/>
        <v>1282.6125666666667</v>
      </c>
      <c r="BK52" s="31">
        <f t="shared" si="53"/>
        <v>179.72076666666666</v>
      </c>
      <c r="BL52" s="31">
        <f t="shared" si="54"/>
        <v>0</v>
      </c>
      <c r="BM52" s="31">
        <f t="shared" si="55"/>
        <v>0</v>
      </c>
      <c r="BN52" s="27">
        <f t="shared" si="94"/>
        <v>0</v>
      </c>
      <c r="BO52" s="37">
        <f t="shared" si="14"/>
        <v>-1</v>
      </c>
      <c r="BP52" s="36">
        <v>1462.3333333333333</v>
      </c>
      <c r="BQ52" s="31">
        <f t="shared" si="56"/>
        <v>1282.6125666666667</v>
      </c>
      <c r="BR52" s="31">
        <f t="shared" si="57"/>
        <v>179.72076666666666</v>
      </c>
      <c r="BS52" s="31">
        <f t="shared" si="58"/>
        <v>0</v>
      </c>
      <c r="BT52" s="31">
        <f t="shared" si="59"/>
        <v>0</v>
      </c>
      <c r="BU52" s="27">
        <f t="shared" si="95"/>
        <v>0</v>
      </c>
      <c r="BV52" s="37">
        <f t="shared" si="16"/>
        <v>-1</v>
      </c>
      <c r="BW52" s="36">
        <v>1462.3333333333333</v>
      </c>
      <c r="BX52" s="31">
        <f t="shared" si="60"/>
        <v>1282.6125666666667</v>
      </c>
      <c r="BY52" s="31">
        <f t="shared" si="61"/>
        <v>179.72076666666666</v>
      </c>
      <c r="BZ52" s="31">
        <f t="shared" si="62"/>
        <v>0</v>
      </c>
      <c r="CA52" s="31">
        <f t="shared" si="63"/>
        <v>0</v>
      </c>
      <c r="CB52" s="27">
        <f t="shared" si="96"/>
        <v>0</v>
      </c>
      <c r="CC52" s="37">
        <f t="shared" si="18"/>
        <v>-1</v>
      </c>
      <c r="CD52" s="36">
        <v>1462.3333333333333</v>
      </c>
      <c r="CE52" s="31">
        <f t="shared" si="64"/>
        <v>1282.6125666666667</v>
      </c>
      <c r="CF52" s="31">
        <f t="shared" si="65"/>
        <v>179.72076666666666</v>
      </c>
      <c r="CG52" s="31">
        <f t="shared" si="66"/>
        <v>0</v>
      </c>
      <c r="CH52" s="31">
        <f t="shared" si="67"/>
        <v>0</v>
      </c>
      <c r="CI52" s="27">
        <f t="shared" si="97"/>
        <v>0</v>
      </c>
      <c r="CJ52" s="37">
        <f t="shared" si="20"/>
        <v>-1</v>
      </c>
      <c r="CK52" s="36">
        <v>1462.3333333333333</v>
      </c>
      <c r="CL52" s="31">
        <f t="shared" si="68"/>
        <v>1282.6125666666667</v>
      </c>
      <c r="CM52" s="31">
        <f t="shared" si="69"/>
        <v>179.72076666666666</v>
      </c>
      <c r="CN52" s="31">
        <f t="shared" si="70"/>
        <v>0</v>
      </c>
      <c r="CO52" s="31">
        <f t="shared" si="71"/>
        <v>0</v>
      </c>
      <c r="CP52" s="27">
        <f t="shared" si="98"/>
        <v>0</v>
      </c>
      <c r="CQ52" s="37">
        <f t="shared" si="22"/>
        <v>-1</v>
      </c>
      <c r="CS52" s="27">
        <f>2075.59</f>
        <v>2075.59</v>
      </c>
      <c r="CT52" s="27">
        <f>1388.31</f>
        <v>1388.31</v>
      </c>
      <c r="CU52" s="27">
        <f>6374.93</f>
        <v>6374.93</v>
      </c>
      <c r="CV52" s="27">
        <f>4156.13</f>
        <v>4156.13</v>
      </c>
      <c r="CW52" s="27"/>
      <c r="CX52" s="27"/>
      <c r="CY52" s="27"/>
      <c r="CZ52" s="27"/>
      <c r="DA52" s="27"/>
      <c r="DB52" s="27"/>
      <c r="DC52" s="27"/>
      <c r="DD52" s="27"/>
      <c r="DF52" s="28"/>
    </row>
    <row r="53" spans="1:110" s="26" customFormat="1" ht="16" customHeight="1" x14ac:dyDescent="0.2">
      <c r="A53" s="38" t="s">
        <v>77</v>
      </c>
      <c r="B53" s="30">
        <f t="shared" si="80"/>
        <v>15354.499999999995</v>
      </c>
      <c r="C53" s="31">
        <f t="shared" si="80"/>
        <v>13467.43195</v>
      </c>
      <c r="D53" s="32">
        <f t="shared" si="80"/>
        <v>1887.0680500000001</v>
      </c>
      <c r="E53" s="30">
        <f t="shared" si="90"/>
        <v>5118.1666666666661</v>
      </c>
      <c r="F53" s="33">
        <f t="shared" si="90"/>
        <v>4489.1439833333325</v>
      </c>
      <c r="G53" s="34">
        <f t="shared" si="90"/>
        <v>629.02268333333325</v>
      </c>
      <c r="H53" s="31">
        <f t="shared" si="81"/>
        <v>210.80746488876366</v>
      </c>
      <c r="I53" s="33">
        <f t="shared" si="81"/>
        <v>29.538521759011573</v>
      </c>
      <c r="J53" s="33">
        <f t="shared" si="81"/>
        <v>240.34598664777522</v>
      </c>
      <c r="K53" s="35">
        <f t="shared" si="2"/>
        <v>-0.9530406095969699</v>
      </c>
      <c r="L53" s="36">
        <v>1279.5416666666665</v>
      </c>
      <c r="M53" s="31">
        <f t="shared" si="24"/>
        <v>1122.2859958333331</v>
      </c>
      <c r="N53" s="31">
        <f t="shared" si="25"/>
        <v>157.25567083333331</v>
      </c>
      <c r="O53" s="31">
        <f t="shared" si="26"/>
        <v>0</v>
      </c>
      <c r="P53" s="31">
        <f t="shared" si="27"/>
        <v>0</v>
      </c>
      <c r="Q53" s="33">
        <v>0</v>
      </c>
      <c r="R53" s="35">
        <f t="shared" si="3"/>
        <v>-1</v>
      </c>
      <c r="S53" s="36">
        <v>1279.5416666666665</v>
      </c>
      <c r="T53" s="31">
        <f t="shared" si="28"/>
        <v>1122.2859958333331</v>
      </c>
      <c r="U53" s="31">
        <f t="shared" si="29"/>
        <v>157.25567083333331</v>
      </c>
      <c r="V53" s="31">
        <f t="shared" si="30"/>
        <v>41.493472316148043</v>
      </c>
      <c r="W53" s="31">
        <f t="shared" si="31"/>
        <v>5.8141007270033001</v>
      </c>
      <c r="X53" s="33">
        <v>47.307573043151343</v>
      </c>
      <c r="Y53" s="35">
        <f t="shared" si="4"/>
        <v>-0.96302771978782664</v>
      </c>
      <c r="Z53" s="36">
        <v>1279.5416666666665</v>
      </c>
      <c r="AA53" s="31">
        <f t="shared" si="32"/>
        <v>1122.2859958333331</v>
      </c>
      <c r="AB53" s="31">
        <f t="shared" si="33"/>
        <v>157.25567083333331</v>
      </c>
      <c r="AC53" s="31">
        <f t="shared" si="34"/>
        <v>169.3139925726156</v>
      </c>
      <c r="AD53" s="31">
        <f t="shared" si="35"/>
        <v>23.724421032008273</v>
      </c>
      <c r="AE53" s="33">
        <v>193.03841360462388</v>
      </c>
      <c r="AF53" s="35">
        <f t="shared" si="5"/>
        <v>-0.84913471860005296</v>
      </c>
      <c r="AG53" s="36">
        <v>1279.5416666666665</v>
      </c>
      <c r="AH53" s="31">
        <f t="shared" si="36"/>
        <v>1122.2859958333331</v>
      </c>
      <c r="AI53" s="31">
        <f t="shared" si="37"/>
        <v>157.25567083333331</v>
      </c>
      <c r="AJ53" s="31">
        <f t="shared" si="38"/>
        <v>0</v>
      </c>
      <c r="AK53" s="31">
        <f t="shared" si="39"/>
        <v>0</v>
      </c>
      <c r="AL53" s="27">
        <v>0</v>
      </c>
      <c r="AM53" s="35">
        <f t="shared" si="6"/>
        <v>-1</v>
      </c>
      <c r="AN53" s="36">
        <v>1279.5416666666665</v>
      </c>
      <c r="AO53" s="31">
        <f t="shared" si="40"/>
        <v>1122.2859958333331</v>
      </c>
      <c r="AP53" s="31">
        <f t="shared" si="41"/>
        <v>157.25567083333331</v>
      </c>
      <c r="AQ53" s="31">
        <f t="shared" si="42"/>
        <v>0</v>
      </c>
      <c r="AR53" s="31">
        <f t="shared" si="43"/>
        <v>0</v>
      </c>
      <c r="AS53" s="27">
        <f t="shared" si="91"/>
        <v>0</v>
      </c>
      <c r="AT53" s="35">
        <f t="shared" si="8"/>
        <v>-1</v>
      </c>
      <c r="AU53" s="36">
        <v>1279.5416666666665</v>
      </c>
      <c r="AV53" s="31">
        <f t="shared" si="44"/>
        <v>1122.2859958333331</v>
      </c>
      <c r="AW53" s="31">
        <f t="shared" si="45"/>
        <v>157.25567083333331</v>
      </c>
      <c r="AX53" s="31">
        <f t="shared" si="46"/>
        <v>0</v>
      </c>
      <c r="AY53" s="31">
        <f t="shared" si="47"/>
        <v>0</v>
      </c>
      <c r="AZ53" s="27">
        <f t="shared" si="92"/>
        <v>0</v>
      </c>
      <c r="BA53" s="35">
        <f t="shared" si="10"/>
        <v>-1</v>
      </c>
      <c r="BB53" s="36">
        <v>1279.5416666666665</v>
      </c>
      <c r="BC53" s="31">
        <f t="shared" si="48"/>
        <v>1122.2859958333331</v>
      </c>
      <c r="BD53" s="31">
        <f t="shared" si="49"/>
        <v>157.25567083333331</v>
      </c>
      <c r="BE53" s="31">
        <f t="shared" si="50"/>
        <v>0</v>
      </c>
      <c r="BF53" s="31">
        <f t="shared" si="51"/>
        <v>0</v>
      </c>
      <c r="BG53" s="27">
        <f t="shared" si="93"/>
        <v>0</v>
      </c>
      <c r="BH53" s="35">
        <f t="shared" si="12"/>
        <v>-1</v>
      </c>
      <c r="BI53" s="36">
        <v>1279.5416666666665</v>
      </c>
      <c r="BJ53" s="31">
        <f t="shared" si="52"/>
        <v>1122.2859958333331</v>
      </c>
      <c r="BK53" s="31">
        <f t="shared" si="53"/>
        <v>157.25567083333331</v>
      </c>
      <c r="BL53" s="31">
        <f t="shared" si="54"/>
        <v>0</v>
      </c>
      <c r="BM53" s="31">
        <f t="shared" si="55"/>
        <v>0</v>
      </c>
      <c r="BN53" s="27">
        <f t="shared" si="94"/>
        <v>0</v>
      </c>
      <c r="BO53" s="37">
        <f t="shared" si="14"/>
        <v>-1</v>
      </c>
      <c r="BP53" s="36">
        <v>1279.5416666666665</v>
      </c>
      <c r="BQ53" s="31">
        <f t="shared" si="56"/>
        <v>1122.2859958333331</v>
      </c>
      <c r="BR53" s="31">
        <f t="shared" si="57"/>
        <v>157.25567083333331</v>
      </c>
      <c r="BS53" s="31">
        <f t="shared" si="58"/>
        <v>0</v>
      </c>
      <c r="BT53" s="31">
        <f t="shared" si="59"/>
        <v>0</v>
      </c>
      <c r="BU53" s="27">
        <f t="shared" si="95"/>
        <v>0</v>
      </c>
      <c r="BV53" s="37">
        <f t="shared" si="16"/>
        <v>-1</v>
      </c>
      <c r="BW53" s="36">
        <v>1279.5416666666665</v>
      </c>
      <c r="BX53" s="31">
        <f t="shared" si="60"/>
        <v>1122.2859958333331</v>
      </c>
      <c r="BY53" s="31">
        <f t="shared" si="61"/>
        <v>157.25567083333331</v>
      </c>
      <c r="BZ53" s="31">
        <f t="shared" si="62"/>
        <v>0</v>
      </c>
      <c r="CA53" s="31">
        <f t="shared" si="63"/>
        <v>0</v>
      </c>
      <c r="CB53" s="27">
        <f t="shared" si="96"/>
        <v>0</v>
      </c>
      <c r="CC53" s="37">
        <f t="shared" si="18"/>
        <v>-1</v>
      </c>
      <c r="CD53" s="36">
        <v>1279.5416666666665</v>
      </c>
      <c r="CE53" s="31">
        <f t="shared" si="64"/>
        <v>1122.2859958333331</v>
      </c>
      <c r="CF53" s="31">
        <f t="shared" si="65"/>
        <v>157.25567083333331</v>
      </c>
      <c r="CG53" s="31">
        <f t="shared" si="66"/>
        <v>0</v>
      </c>
      <c r="CH53" s="31">
        <f t="shared" si="67"/>
        <v>0</v>
      </c>
      <c r="CI53" s="27">
        <f t="shared" si="97"/>
        <v>0</v>
      </c>
      <c r="CJ53" s="37">
        <f t="shared" si="20"/>
        <v>-1</v>
      </c>
      <c r="CK53" s="36">
        <v>1279.5416666666665</v>
      </c>
      <c r="CL53" s="31">
        <f t="shared" si="68"/>
        <v>1122.2859958333331</v>
      </c>
      <c r="CM53" s="31">
        <f t="shared" si="69"/>
        <v>157.25567083333331</v>
      </c>
      <c r="CN53" s="31">
        <f t="shared" si="70"/>
        <v>0</v>
      </c>
      <c r="CO53" s="31">
        <f t="shared" si="71"/>
        <v>0</v>
      </c>
      <c r="CP53" s="27">
        <f t="shared" si="98"/>
        <v>0</v>
      </c>
      <c r="CQ53" s="37">
        <f t="shared" si="22"/>
        <v>-1</v>
      </c>
      <c r="CS53" s="27"/>
      <c r="CT53" s="27">
        <f>107.83</f>
        <v>107.83</v>
      </c>
      <c r="CU53" s="27">
        <f>440</f>
        <v>440</v>
      </c>
      <c r="CV53" s="27"/>
      <c r="CW53" s="27"/>
      <c r="CX53" s="27"/>
      <c r="CY53" s="27"/>
      <c r="CZ53" s="27"/>
      <c r="DA53" s="27"/>
      <c r="DB53" s="27"/>
      <c r="DC53" s="27"/>
      <c r="DD53" s="27"/>
      <c r="DF53" s="28"/>
    </row>
    <row r="54" spans="1:110" s="26" customFormat="1" ht="16" customHeight="1" thickBot="1" x14ac:dyDescent="0.25">
      <c r="A54" s="39" t="s">
        <v>78</v>
      </c>
      <c r="B54" s="50">
        <f t="shared" si="80"/>
        <v>153675.25188602487</v>
      </c>
      <c r="C54" s="40">
        <f t="shared" si="80"/>
        <v>134788.5634292324</v>
      </c>
      <c r="D54" s="51">
        <f t="shared" si="80"/>
        <v>18886.688456792454</v>
      </c>
      <c r="E54" s="52">
        <f t="shared" si="90"/>
        <v>87814.429649157057</v>
      </c>
      <c r="F54" s="53">
        <f t="shared" si="90"/>
        <v>77022.036245275653</v>
      </c>
      <c r="G54" s="54">
        <f t="shared" si="90"/>
        <v>10792.393403881402</v>
      </c>
      <c r="H54" s="40">
        <f t="shared" si="81"/>
        <v>39068.591721988938</v>
      </c>
      <c r="I54" s="53">
        <f t="shared" si="81"/>
        <v>5474.3243901863407</v>
      </c>
      <c r="J54" s="53">
        <f t="shared" si="81"/>
        <v>44542.916112175277</v>
      </c>
      <c r="K54" s="55">
        <f t="shared" si="2"/>
        <v>-0.4927608561584178</v>
      </c>
      <c r="L54" s="56">
        <v>21953.607412289264</v>
      </c>
      <c r="M54" s="57">
        <f t="shared" si="24"/>
        <v>19255.509061318913</v>
      </c>
      <c r="N54" s="57">
        <f t="shared" si="25"/>
        <v>2698.0983509703506</v>
      </c>
      <c r="O54" s="57">
        <f t="shared" si="26"/>
        <v>0</v>
      </c>
      <c r="P54" s="57">
        <f t="shared" si="27"/>
        <v>0</v>
      </c>
      <c r="Q54" s="58">
        <v>0</v>
      </c>
      <c r="R54" s="55">
        <f t="shared" si="3"/>
        <v>-1</v>
      </c>
      <c r="S54" s="56">
        <v>21953.607412289264</v>
      </c>
      <c r="T54" s="57">
        <f t="shared" si="28"/>
        <v>19255.509061318913</v>
      </c>
      <c r="U54" s="57">
        <f t="shared" si="29"/>
        <v>2698.0983509703506</v>
      </c>
      <c r="V54" s="57">
        <f t="shared" si="30"/>
        <v>20623.464027345301</v>
      </c>
      <c r="W54" s="57">
        <f t="shared" si="31"/>
        <v>2889.7773674161867</v>
      </c>
      <c r="X54" s="58">
        <v>23513.241394761488</v>
      </c>
      <c r="Y54" s="55">
        <f t="shared" si="4"/>
        <v>7.1042264407040756E-2</v>
      </c>
      <c r="Z54" s="56">
        <v>21953.607412289264</v>
      </c>
      <c r="AA54" s="57">
        <f t="shared" si="32"/>
        <v>19255.509061318913</v>
      </c>
      <c r="AB54" s="57">
        <f t="shared" si="33"/>
        <v>2698.0983509703506</v>
      </c>
      <c r="AC54" s="57">
        <f t="shared" si="34"/>
        <v>18445.127694643634</v>
      </c>
      <c r="AD54" s="57">
        <f t="shared" si="35"/>
        <v>2584.5470227701544</v>
      </c>
      <c r="AE54" s="59">
        <v>21029.674717413789</v>
      </c>
      <c r="AF54" s="55">
        <f t="shared" si="5"/>
        <v>-4.2085689040711971E-2</v>
      </c>
      <c r="AG54" s="56">
        <v>21953.607412289264</v>
      </c>
      <c r="AH54" s="57">
        <f t="shared" si="36"/>
        <v>19255.509061318913</v>
      </c>
      <c r="AI54" s="57">
        <f t="shared" si="37"/>
        <v>2698.0983509703506</v>
      </c>
      <c r="AJ54" s="57">
        <f t="shared" si="38"/>
        <v>0</v>
      </c>
      <c r="AK54" s="57">
        <f t="shared" si="39"/>
        <v>0</v>
      </c>
      <c r="AL54" s="59">
        <v>0</v>
      </c>
      <c r="AM54" s="55">
        <f t="shared" si="6"/>
        <v>-1</v>
      </c>
      <c r="AN54" s="56">
        <v>21953.607412289264</v>
      </c>
      <c r="AO54" s="57">
        <f t="shared" si="40"/>
        <v>19255.509061318913</v>
      </c>
      <c r="AP54" s="57">
        <f t="shared" si="41"/>
        <v>2698.0983509703506</v>
      </c>
      <c r="AQ54" s="57">
        <f t="shared" si="42"/>
        <v>0</v>
      </c>
      <c r="AR54" s="57">
        <f t="shared" si="43"/>
        <v>0</v>
      </c>
      <c r="AS54" s="59">
        <f t="shared" si="91"/>
        <v>0</v>
      </c>
      <c r="AT54" s="55">
        <f t="shared" si="8"/>
        <v>-1</v>
      </c>
      <c r="AU54" s="56">
        <v>21953.607412289264</v>
      </c>
      <c r="AV54" s="57">
        <f t="shared" si="44"/>
        <v>19255.509061318913</v>
      </c>
      <c r="AW54" s="57">
        <f t="shared" si="45"/>
        <v>2698.0983509703506</v>
      </c>
      <c r="AX54" s="57">
        <f t="shared" si="46"/>
        <v>0</v>
      </c>
      <c r="AY54" s="57">
        <f t="shared" si="47"/>
        <v>0</v>
      </c>
      <c r="AZ54" s="59">
        <f t="shared" si="92"/>
        <v>0</v>
      </c>
      <c r="BA54" s="55">
        <f t="shared" si="10"/>
        <v>-1</v>
      </c>
      <c r="BB54" s="56">
        <v>21953.607412289264</v>
      </c>
      <c r="BC54" s="57">
        <f t="shared" si="48"/>
        <v>19255.509061318913</v>
      </c>
      <c r="BD54" s="57">
        <f t="shared" si="49"/>
        <v>2698.0983509703506</v>
      </c>
      <c r="BE54" s="57">
        <f t="shared" si="50"/>
        <v>0</v>
      </c>
      <c r="BF54" s="57">
        <f t="shared" si="51"/>
        <v>0</v>
      </c>
      <c r="BG54" s="59">
        <f t="shared" si="93"/>
        <v>0</v>
      </c>
      <c r="BH54" s="55">
        <f t="shared" si="12"/>
        <v>-1</v>
      </c>
      <c r="BI54" s="56">
        <v>0</v>
      </c>
      <c r="BJ54" s="57">
        <f t="shared" si="52"/>
        <v>0</v>
      </c>
      <c r="BK54" s="57">
        <f t="shared" si="53"/>
        <v>0</v>
      </c>
      <c r="BL54" s="57">
        <f t="shared" si="54"/>
        <v>0</v>
      </c>
      <c r="BM54" s="57">
        <f t="shared" si="55"/>
        <v>0</v>
      </c>
      <c r="BN54" s="59">
        <f t="shared" si="94"/>
        <v>0</v>
      </c>
      <c r="BO54" s="60" t="str">
        <f t="shared" si="14"/>
        <v/>
      </c>
      <c r="BP54" s="56">
        <v>0</v>
      </c>
      <c r="BQ54" s="57">
        <f t="shared" si="56"/>
        <v>0</v>
      </c>
      <c r="BR54" s="57">
        <f t="shared" si="57"/>
        <v>0</v>
      </c>
      <c r="BS54" s="57">
        <f t="shared" si="58"/>
        <v>0</v>
      </c>
      <c r="BT54" s="57">
        <f t="shared" si="59"/>
        <v>0</v>
      </c>
      <c r="BU54" s="59">
        <f t="shared" si="95"/>
        <v>0</v>
      </c>
      <c r="BV54" s="60" t="str">
        <f t="shared" si="16"/>
        <v/>
      </c>
      <c r="BW54" s="56">
        <v>0</v>
      </c>
      <c r="BX54" s="57">
        <f t="shared" si="60"/>
        <v>0</v>
      </c>
      <c r="BY54" s="57">
        <f t="shared" si="61"/>
        <v>0</v>
      </c>
      <c r="BZ54" s="57">
        <f t="shared" si="62"/>
        <v>0</v>
      </c>
      <c r="CA54" s="57">
        <f t="shared" si="63"/>
        <v>0</v>
      </c>
      <c r="CB54" s="61">
        <f t="shared" si="96"/>
        <v>0</v>
      </c>
      <c r="CC54" s="60" t="str">
        <f t="shared" si="18"/>
        <v/>
      </c>
      <c r="CD54" s="56">
        <v>0</v>
      </c>
      <c r="CE54" s="57">
        <f t="shared" si="64"/>
        <v>0</v>
      </c>
      <c r="CF54" s="57">
        <f t="shared" si="65"/>
        <v>0</v>
      </c>
      <c r="CG54" s="57">
        <f t="shared" si="66"/>
        <v>0</v>
      </c>
      <c r="CH54" s="57">
        <f t="shared" si="67"/>
        <v>0</v>
      </c>
      <c r="CI54" s="61">
        <f t="shared" si="97"/>
        <v>0</v>
      </c>
      <c r="CJ54" s="60" t="str">
        <f t="shared" si="20"/>
        <v/>
      </c>
      <c r="CK54" s="56">
        <v>0</v>
      </c>
      <c r="CL54" s="57">
        <f t="shared" si="68"/>
        <v>0</v>
      </c>
      <c r="CM54" s="57">
        <f t="shared" si="69"/>
        <v>0</v>
      </c>
      <c r="CN54" s="57">
        <f t="shared" si="70"/>
        <v>0</v>
      </c>
      <c r="CO54" s="57">
        <f t="shared" si="71"/>
        <v>0</v>
      </c>
      <c r="CP54" s="61">
        <f t="shared" si="98"/>
        <v>0</v>
      </c>
      <c r="CQ54" s="60" t="str">
        <f t="shared" si="22"/>
        <v/>
      </c>
      <c r="CS54" s="27"/>
      <c r="CT54" s="27">
        <f>1.86+39972.31+13620.48</f>
        <v>53594.649999999994</v>
      </c>
      <c r="CU54" s="27">
        <v>47933.759415439097</v>
      </c>
      <c r="CV54" s="27"/>
      <c r="CW54" s="27"/>
      <c r="CX54" s="27"/>
      <c r="CY54" s="27"/>
      <c r="CZ54" s="27"/>
      <c r="DA54" s="27"/>
      <c r="DB54" s="27"/>
      <c r="DC54" s="27"/>
      <c r="DD54" s="27"/>
      <c r="DF54" s="28"/>
    </row>
    <row r="55" spans="1:110" s="26" customFormat="1" ht="16" customHeight="1" thickBot="1" x14ac:dyDescent="0.25">
      <c r="A55" s="62" t="s">
        <v>79</v>
      </c>
      <c r="B55" s="63">
        <f t="shared" ref="B55:J55" si="99">SUM(B4:B54)</f>
        <v>9943700.9437515326</v>
      </c>
      <c r="C55" s="64">
        <f t="shared" ref="C55:D55" si="100">SUM(C4:C54)</f>
        <v>8721620.0977644697</v>
      </c>
      <c r="D55" s="65">
        <f t="shared" si="100"/>
        <v>1222080.8459870631</v>
      </c>
      <c r="E55" s="63">
        <f t="shared" si="99"/>
        <v>3889215.5024326043</v>
      </c>
      <c r="F55" s="66">
        <f t="shared" si="99"/>
        <v>3411230.9171836367</v>
      </c>
      <c r="G55" s="67">
        <f t="shared" si="99"/>
        <v>477984.58524896693</v>
      </c>
      <c r="H55" s="64">
        <f t="shared" si="99"/>
        <v>2992663.046857656</v>
      </c>
      <c r="I55" s="66">
        <f t="shared" si="99"/>
        <v>419334.49829985865</v>
      </c>
      <c r="J55" s="66">
        <f t="shared" si="99"/>
        <v>3411997.5451575136</v>
      </c>
      <c r="K55" s="68">
        <f>+J55/E55-1</f>
        <v>-0.12270288364751281</v>
      </c>
      <c r="L55" s="69">
        <f t="shared" ref="L55:Q55" si="101">SUM(L4:L54)</f>
        <v>787893.57246446551</v>
      </c>
      <c r="M55" s="64">
        <f t="shared" si="101"/>
        <v>691061.45240858267</v>
      </c>
      <c r="N55" s="64">
        <f t="shared" si="101"/>
        <v>96832.120055882784</v>
      </c>
      <c r="O55" s="64">
        <f t="shared" si="101"/>
        <v>524868.77033981821</v>
      </c>
      <c r="P55" s="64">
        <f t="shared" si="101"/>
        <v>73545.059713560186</v>
      </c>
      <c r="Q55" s="66">
        <f t="shared" si="101"/>
        <v>598413.83005337848</v>
      </c>
      <c r="R55" s="68">
        <f>+Q55/L55-1</f>
        <v>-0.2404890064255889</v>
      </c>
      <c r="S55" s="69">
        <f t="shared" ref="S55:X55" si="102">SUM(S4:S54)</f>
        <v>857674.5813735103</v>
      </c>
      <c r="T55" s="64">
        <f t="shared" si="102"/>
        <v>752266.37532270595</v>
      </c>
      <c r="U55" s="64">
        <f t="shared" si="102"/>
        <v>105408.20605080439</v>
      </c>
      <c r="V55" s="64">
        <f t="shared" si="102"/>
        <v>645892.81443889823</v>
      </c>
      <c r="W55" s="64">
        <f t="shared" si="102"/>
        <v>90503.051983286496</v>
      </c>
      <c r="X55" s="66">
        <f t="shared" si="102"/>
        <v>736395.86642218451</v>
      </c>
      <c r="Y55" s="68">
        <f>+X55/S55-1</f>
        <v>-0.14140411478337833</v>
      </c>
      <c r="Z55" s="69">
        <f t="shared" ref="Z55:AE55" si="103">SUM(Z4:Z54)</f>
        <v>1245921.6570221952</v>
      </c>
      <c r="AA55" s="64">
        <f t="shared" si="103"/>
        <v>1092797.8853741675</v>
      </c>
      <c r="AB55" s="64">
        <f t="shared" si="103"/>
        <v>153123.77164802779</v>
      </c>
      <c r="AC55" s="64">
        <f t="shared" si="103"/>
        <v>836761.49454730237</v>
      </c>
      <c r="AD55" s="64">
        <f t="shared" si="103"/>
        <v>117247.73421487104</v>
      </c>
      <c r="AE55" s="70">
        <f t="shared" si="103"/>
        <v>954009.22876217321</v>
      </c>
      <c r="AF55" s="68">
        <f>+AE55/Z55-1</f>
        <v>-0.23429436884314614</v>
      </c>
      <c r="AG55" s="69">
        <f t="shared" ref="AG55:AL55" si="104">SUM(AG4:AG54)</f>
        <v>997725.69157243264</v>
      </c>
      <c r="AH55" s="64">
        <f t="shared" si="104"/>
        <v>875105.20407818072</v>
      </c>
      <c r="AI55" s="64">
        <f t="shared" si="104"/>
        <v>122620.48749425195</v>
      </c>
      <c r="AJ55" s="64">
        <f t="shared" si="104"/>
        <v>985139.96753163799</v>
      </c>
      <c r="AK55" s="64">
        <f t="shared" si="104"/>
        <v>138038.65238814076</v>
      </c>
      <c r="AL55" s="70">
        <f t="shared" si="104"/>
        <v>1123178.6199197788</v>
      </c>
      <c r="AM55" s="68">
        <f>+AL55/AG55-1</f>
        <v>0.12573889738133359</v>
      </c>
      <c r="AN55" s="69">
        <f t="shared" ref="AN55:AS55" si="105">SUM(AN4:AN54)</f>
        <v>1054951.6891425552</v>
      </c>
      <c r="AO55" s="64">
        <f t="shared" si="105"/>
        <v>925298.12654693495</v>
      </c>
      <c r="AP55" s="64">
        <f t="shared" si="105"/>
        <v>129653.56259561999</v>
      </c>
      <c r="AQ55" s="64">
        <f t="shared" si="105"/>
        <v>0</v>
      </c>
      <c r="AR55" s="64">
        <f t="shared" si="105"/>
        <v>0</v>
      </c>
      <c r="AS55" s="70">
        <f t="shared" si="105"/>
        <v>0</v>
      </c>
      <c r="AT55" s="68">
        <f>+AS55/AN55-1</f>
        <v>-1</v>
      </c>
      <c r="AU55" s="69">
        <f t="shared" ref="AU55:AZ55" si="106">SUM(AU4:AU54)</f>
        <v>969942.42490791017</v>
      </c>
      <c r="AV55" s="64">
        <f t="shared" si="106"/>
        <v>850736.50088672806</v>
      </c>
      <c r="AW55" s="64">
        <f t="shared" si="106"/>
        <v>119205.92402118213</v>
      </c>
      <c r="AX55" s="64">
        <f t="shared" si="106"/>
        <v>0</v>
      </c>
      <c r="AY55" s="64">
        <f t="shared" si="106"/>
        <v>0</v>
      </c>
      <c r="AZ55" s="70">
        <f t="shared" si="106"/>
        <v>0</v>
      </c>
      <c r="BA55" s="68">
        <f>+AZ55/AU55-1</f>
        <v>-1</v>
      </c>
      <c r="BB55" s="69">
        <f t="shared" ref="BB55:BG55" si="107">SUM(BB4:BB54)</f>
        <v>1054148.0395452429</v>
      </c>
      <c r="BC55" s="64">
        <f t="shared" si="107"/>
        <v>924593.24548513244</v>
      </c>
      <c r="BD55" s="64">
        <f t="shared" si="107"/>
        <v>129554.79406011035</v>
      </c>
      <c r="BE55" s="64">
        <f t="shared" si="107"/>
        <v>0</v>
      </c>
      <c r="BF55" s="64">
        <f t="shared" si="107"/>
        <v>0</v>
      </c>
      <c r="BG55" s="70">
        <f t="shared" si="107"/>
        <v>0</v>
      </c>
      <c r="BH55" s="68">
        <f>+BG55/BB55-1</f>
        <v>-1</v>
      </c>
      <c r="BI55" s="69">
        <f t="shared" ref="BI55:BN55" si="108">SUM(BI4:BI54)</f>
        <v>713592.68526973703</v>
      </c>
      <c r="BJ55" s="64">
        <f t="shared" si="108"/>
        <v>625892.14425008639</v>
      </c>
      <c r="BK55" s="64">
        <f t="shared" si="108"/>
        <v>87700.541019650642</v>
      </c>
      <c r="BL55" s="64">
        <f t="shared" si="108"/>
        <v>0</v>
      </c>
      <c r="BM55" s="64">
        <f t="shared" si="108"/>
        <v>0</v>
      </c>
      <c r="BN55" s="70">
        <f t="shared" si="108"/>
        <v>0</v>
      </c>
      <c r="BO55" s="71">
        <f>+BN55/BI55-1</f>
        <v>-1</v>
      </c>
      <c r="BP55" s="69">
        <f t="shared" ref="BP55:BU55" si="109">SUM(BP4:BP54)</f>
        <v>721213.7675125713</v>
      </c>
      <c r="BQ55" s="64">
        <f t="shared" si="109"/>
        <v>632576.59548527631</v>
      </c>
      <c r="BR55" s="64">
        <f t="shared" si="109"/>
        <v>88637.17202729499</v>
      </c>
      <c r="BS55" s="64">
        <f t="shared" si="109"/>
        <v>0</v>
      </c>
      <c r="BT55" s="64">
        <f t="shared" si="109"/>
        <v>0</v>
      </c>
      <c r="BU55" s="70">
        <f t="shared" si="109"/>
        <v>0</v>
      </c>
      <c r="BV55" s="71">
        <f>+BU55/BP55-1</f>
        <v>-1</v>
      </c>
      <c r="BW55" s="69">
        <f t="shared" ref="BW55:CB55" si="110">SUM(BW4:BW54)</f>
        <v>568309.27409017133</v>
      </c>
      <c r="BX55" s="64">
        <f t="shared" si="110"/>
        <v>498464.06430448929</v>
      </c>
      <c r="BY55" s="64">
        <f t="shared" si="110"/>
        <v>69845.209785682047</v>
      </c>
      <c r="BZ55" s="64">
        <f t="shared" si="110"/>
        <v>0</v>
      </c>
      <c r="CA55" s="64">
        <f t="shared" si="110"/>
        <v>0</v>
      </c>
      <c r="CB55" s="70">
        <f t="shared" si="110"/>
        <v>0</v>
      </c>
      <c r="CC55" s="71">
        <f>+CB55/BW55-1</f>
        <v>-1</v>
      </c>
      <c r="CD55" s="69">
        <f t="shared" ref="CD55:CI55" si="111">SUM(CD4:CD54)</f>
        <v>488229.67001257138</v>
      </c>
      <c r="CE55" s="64">
        <f t="shared" si="111"/>
        <v>428226.24356802634</v>
      </c>
      <c r="CF55" s="64">
        <f t="shared" si="111"/>
        <v>60003.426444545003</v>
      </c>
      <c r="CG55" s="64">
        <f t="shared" si="111"/>
        <v>0</v>
      </c>
      <c r="CH55" s="64">
        <f t="shared" si="111"/>
        <v>0</v>
      </c>
      <c r="CI55" s="70">
        <f t="shared" si="111"/>
        <v>0</v>
      </c>
      <c r="CJ55" s="71">
        <f>+CI55/CD55-1</f>
        <v>-1</v>
      </c>
      <c r="CK55" s="69">
        <f t="shared" ref="CK55:CP55" si="112">SUM(CK4:CK54)</f>
        <v>484097.89083817136</v>
      </c>
      <c r="CL55" s="64">
        <f t="shared" si="112"/>
        <v>424602.26005416014</v>
      </c>
      <c r="CM55" s="64">
        <f t="shared" si="112"/>
        <v>59495.630784011249</v>
      </c>
      <c r="CN55" s="64">
        <f t="shared" si="112"/>
        <v>0</v>
      </c>
      <c r="CO55" s="64">
        <f t="shared" si="112"/>
        <v>0</v>
      </c>
      <c r="CP55" s="70">
        <f t="shared" si="112"/>
        <v>0</v>
      </c>
      <c r="CQ55" s="71">
        <f>+CP55/CK55-1</f>
        <v>-1</v>
      </c>
      <c r="CR55" s="72"/>
      <c r="CS55" s="73"/>
      <c r="CT55" s="73"/>
      <c r="CU55" s="73"/>
      <c r="CV55" s="73"/>
      <c r="CW55" s="73"/>
      <c r="CX55" s="73"/>
      <c r="CY55" s="73"/>
      <c r="CZ55" s="73"/>
      <c r="DA55" s="73"/>
      <c r="DB55" s="73"/>
      <c r="DC55" s="73"/>
      <c r="DD55" s="73"/>
      <c r="DE55" s="72"/>
      <c r="DF55" s="28"/>
    </row>
    <row r="56" spans="1:110" s="26" customFormat="1" ht="16" customHeight="1" x14ac:dyDescent="0.2">
      <c r="A56" s="74" t="s">
        <v>80</v>
      </c>
      <c r="B56" s="75">
        <f>+L56+S56+Z56+AG56+AN56+AU56+BB56+BI56+BP56+BW56+CD56+CK56</f>
        <v>-168749.74998269897</v>
      </c>
      <c r="C56" s="76">
        <f t="shared" ref="C56:D57" si="113">+M56+T56+AA56+AH56+AO56+AV56+BC56+BJ56+BQ56+BX56+CE56+CL56</f>
        <v>-148010.40570982525</v>
      </c>
      <c r="D56" s="77">
        <f t="shared" si="113"/>
        <v>-20739.344272873699</v>
      </c>
      <c r="E56" s="75">
        <f>+L56+S56+Z56+AG56</f>
        <v>-56249.916660899653</v>
      </c>
      <c r="F56" s="78">
        <f t="shared" ref="F56:G57" si="114">+M56+T56+AA56+AH56</f>
        <v>-49336.801903275089</v>
      </c>
      <c r="G56" s="79">
        <f t="shared" si="114"/>
        <v>-6913.1147576245667</v>
      </c>
      <c r="H56" s="76">
        <f t="shared" ref="H56:J57" si="115">+O56+V56+AC56+AJ56+AQ56+AX56+BE56+BL56+BS56+BZ56+CG56+CN56</f>
        <v>-114109.10372558972</v>
      </c>
      <c r="I56" s="78">
        <f t="shared" si="115"/>
        <v>-15989.064927459782</v>
      </c>
      <c r="J56" s="78">
        <f t="shared" si="115"/>
        <v>-130098.16865304951</v>
      </c>
      <c r="K56" s="80">
        <f t="shared" ref="K56:K57" si="116">IF(E56=0,"",(+J56/E56-1))</f>
        <v>1.3128597583057955</v>
      </c>
      <c r="L56" s="81">
        <v>-14062.479165224913</v>
      </c>
      <c r="M56" s="76">
        <f t="shared" ref="M56:M57" si="117">L56-N56</f>
        <v>-12334.200475818772</v>
      </c>
      <c r="N56" s="76">
        <f t="shared" ref="N56:N57" si="118">+L56*12.29%</f>
        <v>-1728.2786894061417</v>
      </c>
      <c r="O56" s="76">
        <f t="shared" ref="O56:O57" si="119">+Q56-P56</f>
        <v>0</v>
      </c>
      <c r="P56" s="76">
        <f t="shared" ref="P56:P57" si="120">+Q56*12.29%</f>
        <v>0</v>
      </c>
      <c r="Q56" s="78">
        <v>0</v>
      </c>
      <c r="R56" s="80">
        <f t="shared" ref="R56:R57" si="121">IF(L56=0,"",(+Q56/L56-1))</f>
        <v>-1</v>
      </c>
      <c r="S56" s="81">
        <v>-14062.479165224913</v>
      </c>
      <c r="T56" s="76">
        <f t="shared" ref="T56:T57" si="122">S56-U56</f>
        <v>-12334.200475818772</v>
      </c>
      <c r="U56" s="76">
        <f t="shared" ref="U56:U57" si="123">+S56*12.29%</f>
        <v>-1728.2786894061417</v>
      </c>
      <c r="V56" s="76">
        <f t="shared" ref="V56:V57" si="124">+X56-W56</f>
        <v>-44849.548860152572</v>
      </c>
      <c r="W56" s="76">
        <f t="shared" ref="W56:W57" si="125">+X56*12.29%</f>
        <v>-6284.3570344461878</v>
      </c>
      <c r="X56" s="78">
        <v>-51133.905894598764</v>
      </c>
      <c r="Y56" s="80">
        <f>IF(S56=0,"",(+X56/S56-1))</f>
        <v>2.6361942509431575</v>
      </c>
      <c r="Z56" s="81">
        <v>-14062.479165224913</v>
      </c>
      <c r="AA56" s="76">
        <f t="shared" ref="AA56:AA57" si="126">Z56-AB56</f>
        <v>-12334.200475818772</v>
      </c>
      <c r="AB56" s="76">
        <f t="shared" ref="AB56:AB57" si="127">+Z56*12.29%</f>
        <v>-1728.2786894061417</v>
      </c>
      <c r="AC56" s="76">
        <f t="shared" ref="AC56:AC57" si="128">+AE56-AD56</f>
        <v>6185.7520370555094</v>
      </c>
      <c r="AD56" s="76">
        <f t="shared" ref="AD56:AD57" si="129">+AE56*12.29%</f>
        <v>866.75285070587404</v>
      </c>
      <c r="AE56" s="78">
        <v>7052.5048877613835</v>
      </c>
      <c r="AF56" s="80">
        <f t="shared" ref="AF56:AF57" si="130">IF(Z56=0,"",(+AE56/Z56-1))</f>
        <v>-1.5015122017177109</v>
      </c>
      <c r="AG56" s="81">
        <v>-14062.479165224913</v>
      </c>
      <c r="AH56" s="76">
        <f t="shared" ref="AH56:AH57" si="131">AG56-AI56</f>
        <v>-12334.200475818772</v>
      </c>
      <c r="AI56" s="76">
        <f t="shared" ref="AI56:AI57" si="132">+AG56*12.29%</f>
        <v>-1728.2786894061417</v>
      </c>
      <c r="AJ56" s="76">
        <f t="shared" ref="AJ56:AJ57" si="133">+AL56-AK56</f>
        <v>-75445.306902492652</v>
      </c>
      <c r="AK56" s="76">
        <f t="shared" ref="AK56:AK57" si="134">+AL56*12.29%</f>
        <v>-10571.460743719468</v>
      </c>
      <c r="AL56" s="78">
        <v>-86016.767646212116</v>
      </c>
      <c r="AM56" s="80">
        <f t="shared" ref="AM56:AM57" si="135">IF(AG56=0,"",(+AL56/AG56-1))</f>
        <v>5.1167569839977345</v>
      </c>
      <c r="AN56" s="81">
        <v>-14062.479165224913</v>
      </c>
      <c r="AO56" s="76">
        <f t="shared" ref="AO56:AO57" si="136">AN56-AP56</f>
        <v>-12334.200475818772</v>
      </c>
      <c r="AP56" s="76">
        <f t="shared" ref="AP56:AP57" si="137">+AN56*12.29%</f>
        <v>-1728.2786894061417</v>
      </c>
      <c r="AQ56" s="76">
        <f t="shared" ref="AQ56:AQ57" si="138">+AS56-AR56</f>
        <v>0</v>
      </c>
      <c r="AR56" s="76">
        <f t="shared" ref="AR56:AR57" si="139">+AS56*12.29%</f>
        <v>0</v>
      </c>
      <c r="AS56" s="82">
        <f t="shared" ref="AS56:AS57" si="140">CW56*0.51</f>
        <v>0</v>
      </c>
      <c r="AT56" s="80">
        <f t="shared" ref="AT56:AT57" si="141">IF(AN56=0,"",(+AS56/AN56-1))</f>
        <v>-1</v>
      </c>
      <c r="AU56" s="81">
        <v>-14062.479165224913</v>
      </c>
      <c r="AV56" s="76">
        <f t="shared" ref="AV56:AV57" si="142">AU56-AW56</f>
        <v>-12334.200475818772</v>
      </c>
      <c r="AW56" s="76">
        <f t="shared" ref="AW56:AW57" si="143">+AU56*12.29%</f>
        <v>-1728.2786894061417</v>
      </c>
      <c r="AX56" s="76">
        <f t="shared" ref="AX56:AX57" si="144">+AZ56-AY56</f>
        <v>0</v>
      </c>
      <c r="AY56" s="76">
        <f t="shared" ref="AY56:AY57" si="145">+AZ56*12.29%</f>
        <v>0</v>
      </c>
      <c r="AZ56" s="82">
        <f t="shared" ref="AZ56:AZ57" si="146">CX56*0.51</f>
        <v>0</v>
      </c>
      <c r="BA56" s="80">
        <f t="shared" ref="BA56:BA57" si="147">IF(AU56=0,"",(+AZ56/AU56-1))</f>
        <v>-1</v>
      </c>
      <c r="BB56" s="81">
        <v>-14062.479165224913</v>
      </c>
      <c r="BC56" s="76">
        <f t="shared" ref="BC56:BC57" si="148">BB56-BD56</f>
        <v>-12334.200475818772</v>
      </c>
      <c r="BD56" s="76">
        <f t="shared" ref="BD56:BD57" si="149">+BB56*12.29%</f>
        <v>-1728.2786894061417</v>
      </c>
      <c r="BE56" s="76">
        <f t="shared" ref="BE56:BE57" si="150">+BG56-BF56</f>
        <v>0</v>
      </c>
      <c r="BF56" s="76">
        <f t="shared" ref="BF56:BF57" si="151">+BG56*12.29%</f>
        <v>0</v>
      </c>
      <c r="BG56" s="82">
        <f t="shared" ref="BG56:BG57" si="152">CY56*0.51</f>
        <v>0</v>
      </c>
      <c r="BH56" s="80">
        <f t="shared" ref="BH56:BH57" si="153">IF(BB56=0,"",(+BG56/BB56-1))</f>
        <v>-1</v>
      </c>
      <c r="BI56" s="81">
        <v>-14062.479165224913</v>
      </c>
      <c r="BJ56" s="76">
        <f t="shared" ref="BJ56:BJ57" si="154">BI56-BK56</f>
        <v>-12334.200475818772</v>
      </c>
      <c r="BK56" s="76">
        <f t="shared" ref="BK56:BK57" si="155">+BI56*12.29%</f>
        <v>-1728.2786894061417</v>
      </c>
      <c r="BL56" s="76">
        <f t="shared" ref="BL56:BL57" si="156">+BN56-BM56</f>
        <v>0</v>
      </c>
      <c r="BM56" s="76">
        <f t="shared" ref="BM56:BM57" si="157">+BN56*12.29%</f>
        <v>0</v>
      </c>
      <c r="BN56" s="82">
        <f t="shared" ref="BN56:BN57" si="158">CZ56*0.51</f>
        <v>0</v>
      </c>
      <c r="BO56" s="83">
        <f t="shared" ref="BO56:BO57" si="159">IF(BI56=0,"",(+BN56/BI56-1))</f>
        <v>-1</v>
      </c>
      <c r="BP56" s="81">
        <v>-14062.479165224913</v>
      </c>
      <c r="BQ56" s="76">
        <f t="shared" ref="BQ56:BQ57" si="160">BP56-BR56</f>
        <v>-12334.200475818772</v>
      </c>
      <c r="BR56" s="76">
        <f t="shared" ref="BR56:BR57" si="161">+BP56*12.29%</f>
        <v>-1728.2786894061417</v>
      </c>
      <c r="BS56" s="76">
        <f t="shared" ref="BS56:BS57" si="162">+BU56-BT56</f>
        <v>0</v>
      </c>
      <c r="BT56" s="76">
        <f t="shared" ref="BT56:BT57" si="163">+BU56*12.29%</f>
        <v>0</v>
      </c>
      <c r="BU56" s="82">
        <f t="shared" ref="BU56:BU57" si="164">DA56*0.51</f>
        <v>0</v>
      </c>
      <c r="BV56" s="83">
        <f t="shared" ref="BV56:BV57" si="165">IF(BP56=0,"",(+BU56/BP56-1))</f>
        <v>-1</v>
      </c>
      <c r="BW56" s="81">
        <v>-14062.479165224913</v>
      </c>
      <c r="BX56" s="76">
        <f t="shared" ref="BX56:BX57" si="166">BW56-BY56</f>
        <v>-12334.200475818772</v>
      </c>
      <c r="BY56" s="76">
        <f t="shared" ref="BY56:BY57" si="167">+BW56*12.29%</f>
        <v>-1728.2786894061417</v>
      </c>
      <c r="BZ56" s="76">
        <f t="shared" ref="BZ56:BZ57" si="168">+CB56-CA56</f>
        <v>0</v>
      </c>
      <c r="CA56" s="76">
        <f t="shared" ref="CA56:CA57" si="169">+CB56*12.29%</f>
        <v>0</v>
      </c>
      <c r="CB56" s="82">
        <f t="shared" ref="CB56:CB57" si="170">DB56*0.51</f>
        <v>0</v>
      </c>
      <c r="CC56" s="83">
        <f t="shared" ref="CC56:CC57" si="171">IF(BW56=0,"",(+CB56/BW56-1))</f>
        <v>-1</v>
      </c>
      <c r="CD56" s="81">
        <v>-14062.479165224913</v>
      </c>
      <c r="CE56" s="76">
        <f t="shared" ref="CE56:CE57" si="172">CD56-CF56</f>
        <v>-12334.200475818772</v>
      </c>
      <c r="CF56" s="76">
        <f t="shared" ref="CF56:CF57" si="173">+CD56*12.29%</f>
        <v>-1728.2786894061417</v>
      </c>
      <c r="CG56" s="76">
        <f t="shared" ref="CG56:CG57" si="174">+CI56-CH56</f>
        <v>0</v>
      </c>
      <c r="CH56" s="76">
        <f t="shared" ref="CH56:CH57" si="175">+CI56*12.29%</f>
        <v>0</v>
      </c>
      <c r="CI56" s="82">
        <f t="shared" ref="CI56:CI57" si="176">DC56*0.51</f>
        <v>0</v>
      </c>
      <c r="CJ56" s="83">
        <f t="shared" ref="CJ56:CJ57" si="177">IF(CD56=0,"",(+CI56/CD56-1))</f>
        <v>-1</v>
      </c>
      <c r="CK56" s="81">
        <v>-14062.479165224913</v>
      </c>
      <c r="CL56" s="76">
        <f t="shared" ref="CL56:CL57" si="178">CK56-CM56</f>
        <v>-12334.200475818772</v>
      </c>
      <c r="CM56" s="76">
        <f t="shared" ref="CM56:CM57" si="179">+CK56*12.29%</f>
        <v>-1728.2786894061417</v>
      </c>
      <c r="CN56" s="76">
        <f t="shared" ref="CN56:CN57" si="180">+CP56-CO56</f>
        <v>0</v>
      </c>
      <c r="CO56" s="76">
        <f t="shared" ref="CO56:CO57" si="181">+CP56*12.29%</f>
        <v>0</v>
      </c>
      <c r="CP56" s="82">
        <f t="shared" ref="CP56:CP57" si="182">DD56*0.51</f>
        <v>0</v>
      </c>
      <c r="CQ56" s="83">
        <f t="shared" ref="CQ56:CQ57" si="183">IF(CK56=0,"",(+CP56/CK56-1))</f>
        <v>-1</v>
      </c>
      <c r="CS56" s="27"/>
      <c r="CT56" s="27">
        <v>-116551.51</v>
      </c>
      <c r="CU56" s="27">
        <v>16075.05</v>
      </c>
      <c r="CV56" s="27">
        <f>-214980.25+18918.87</f>
        <v>-196061.38</v>
      </c>
      <c r="CW56" s="27"/>
      <c r="CX56" s="27"/>
      <c r="CY56" s="27"/>
      <c r="CZ56" s="27"/>
      <c r="DA56" s="27"/>
      <c r="DB56" s="27"/>
      <c r="DC56" s="27"/>
      <c r="DD56" s="27"/>
      <c r="DF56" s="28"/>
    </row>
    <row r="57" spans="1:110" s="26" customFormat="1" ht="16" customHeight="1" thickBot="1" x14ac:dyDescent="0.25">
      <c r="A57" s="84" t="s">
        <v>81</v>
      </c>
      <c r="B57" s="52">
        <f>+L57+S57+Z57+AG57+AN57+AU57+BB57+BI57+BP57+BW57+CD57+CK57</f>
        <v>-56249.916660899646</v>
      </c>
      <c r="C57" s="40">
        <f t="shared" si="113"/>
        <v>-49336.801903275096</v>
      </c>
      <c r="D57" s="51">
        <f t="shared" si="113"/>
        <v>-6913.1147576245648</v>
      </c>
      <c r="E57" s="50">
        <f>+L57+S57+Z57+AG57</f>
        <v>-18749.972220299882</v>
      </c>
      <c r="F57" s="58">
        <f t="shared" si="114"/>
        <v>-16445.600634425027</v>
      </c>
      <c r="G57" s="85">
        <f t="shared" si="114"/>
        <v>-2304.3715858748556</v>
      </c>
      <c r="H57" s="57">
        <f t="shared" si="115"/>
        <v>-29138.380155180712</v>
      </c>
      <c r="I57" s="58">
        <f t="shared" si="115"/>
        <v>-4082.8946768574956</v>
      </c>
      <c r="J57" s="58">
        <f t="shared" si="115"/>
        <v>-33221.274832038209</v>
      </c>
      <c r="K57" s="86">
        <f t="shared" si="116"/>
        <v>0.771803949451765</v>
      </c>
      <c r="L57" s="87">
        <v>-4687.4930550749705</v>
      </c>
      <c r="M57" s="40">
        <f t="shared" si="117"/>
        <v>-4111.4001586062568</v>
      </c>
      <c r="N57" s="40">
        <f t="shared" si="118"/>
        <v>-576.09289646871389</v>
      </c>
      <c r="O57" s="40">
        <f t="shared" si="119"/>
        <v>-16211.722435741085</v>
      </c>
      <c r="P57" s="40">
        <f t="shared" si="120"/>
        <v>-2271.6003732215022</v>
      </c>
      <c r="Q57" s="53">
        <v>-18483.322808962588</v>
      </c>
      <c r="R57" s="55">
        <f t="shared" si="121"/>
        <v>2.9431147079677054</v>
      </c>
      <c r="S57" s="87">
        <v>-4687.4930550749705</v>
      </c>
      <c r="T57" s="40">
        <f t="shared" si="122"/>
        <v>-4111.4001586062568</v>
      </c>
      <c r="U57" s="40">
        <f t="shared" si="123"/>
        <v>-576.09289646871389</v>
      </c>
      <c r="V57" s="40">
        <f t="shared" si="124"/>
        <v>-2395.300445105936</v>
      </c>
      <c r="W57" s="40">
        <f t="shared" si="125"/>
        <v>-335.63154110536942</v>
      </c>
      <c r="X57" s="53">
        <v>-2730.9319862113052</v>
      </c>
      <c r="Y57" s="55">
        <f>IF(S57=0,"",(+X57/S57-1))</f>
        <v>-0.4174003131045434</v>
      </c>
      <c r="Z57" s="87">
        <v>-4687.4930550749705</v>
      </c>
      <c r="AA57" s="40">
        <f t="shared" si="126"/>
        <v>-4111.4001586062568</v>
      </c>
      <c r="AB57" s="40">
        <f t="shared" si="127"/>
        <v>-576.09289646871389</v>
      </c>
      <c r="AC57" s="40">
        <f t="shared" si="128"/>
        <v>-10531.35727433369</v>
      </c>
      <c r="AD57" s="40">
        <f t="shared" si="129"/>
        <v>-1475.6627625306241</v>
      </c>
      <c r="AE57" s="61">
        <v>-12007.020036864315</v>
      </c>
      <c r="AF57" s="55">
        <f t="shared" si="130"/>
        <v>1.5615014029438976</v>
      </c>
      <c r="AG57" s="87">
        <v>-4687.4930550749705</v>
      </c>
      <c r="AH57" s="40">
        <f t="shared" si="131"/>
        <v>-4111.4001586062568</v>
      </c>
      <c r="AI57" s="40">
        <f t="shared" si="132"/>
        <v>-576.09289646871389</v>
      </c>
      <c r="AJ57" s="40">
        <f t="shared" si="133"/>
        <v>0</v>
      </c>
      <c r="AK57" s="40">
        <f t="shared" si="134"/>
        <v>0</v>
      </c>
      <c r="AL57" s="61">
        <v>0</v>
      </c>
      <c r="AM57" s="55">
        <f t="shared" si="135"/>
        <v>-1</v>
      </c>
      <c r="AN57" s="87">
        <v>-4687.4930550749705</v>
      </c>
      <c r="AO57" s="40">
        <f t="shared" si="136"/>
        <v>-4111.4001586062568</v>
      </c>
      <c r="AP57" s="40">
        <f t="shared" si="137"/>
        <v>-576.09289646871389</v>
      </c>
      <c r="AQ57" s="40">
        <f t="shared" si="138"/>
        <v>0</v>
      </c>
      <c r="AR57" s="40">
        <f t="shared" si="139"/>
        <v>0</v>
      </c>
      <c r="AS57" s="61">
        <f t="shared" si="140"/>
        <v>0</v>
      </c>
      <c r="AT57" s="55">
        <f t="shared" si="141"/>
        <v>-1</v>
      </c>
      <c r="AU57" s="87">
        <v>-4687.4930550749705</v>
      </c>
      <c r="AV57" s="40">
        <f t="shared" si="142"/>
        <v>-4111.4001586062568</v>
      </c>
      <c r="AW57" s="40">
        <f t="shared" si="143"/>
        <v>-576.09289646871389</v>
      </c>
      <c r="AX57" s="40">
        <f t="shared" si="144"/>
        <v>0</v>
      </c>
      <c r="AY57" s="40">
        <f t="shared" si="145"/>
        <v>0</v>
      </c>
      <c r="AZ57" s="61">
        <f t="shared" si="146"/>
        <v>0</v>
      </c>
      <c r="BA57" s="55">
        <f t="shared" si="147"/>
        <v>-1</v>
      </c>
      <c r="BB57" s="87">
        <v>-4687.4930550749705</v>
      </c>
      <c r="BC57" s="40">
        <f t="shared" si="148"/>
        <v>-4111.4001586062568</v>
      </c>
      <c r="BD57" s="40">
        <f t="shared" si="149"/>
        <v>-576.09289646871389</v>
      </c>
      <c r="BE57" s="40">
        <f t="shared" si="150"/>
        <v>0</v>
      </c>
      <c r="BF57" s="40">
        <f t="shared" si="151"/>
        <v>0</v>
      </c>
      <c r="BG57" s="61">
        <f t="shared" si="152"/>
        <v>0</v>
      </c>
      <c r="BH57" s="55">
        <f t="shared" si="153"/>
        <v>-1</v>
      </c>
      <c r="BI57" s="87">
        <v>-4687.4930550749705</v>
      </c>
      <c r="BJ57" s="40">
        <f t="shared" si="154"/>
        <v>-4111.4001586062568</v>
      </c>
      <c r="BK57" s="40">
        <f t="shared" si="155"/>
        <v>-576.09289646871389</v>
      </c>
      <c r="BL57" s="40">
        <f t="shared" si="156"/>
        <v>0</v>
      </c>
      <c r="BM57" s="40">
        <f t="shared" si="157"/>
        <v>0</v>
      </c>
      <c r="BN57" s="61">
        <f t="shared" si="158"/>
        <v>0</v>
      </c>
      <c r="BO57" s="60">
        <f t="shared" si="159"/>
        <v>-1</v>
      </c>
      <c r="BP57" s="87">
        <v>-4687.4930550749705</v>
      </c>
      <c r="BQ57" s="40">
        <f t="shared" si="160"/>
        <v>-4111.4001586062568</v>
      </c>
      <c r="BR57" s="40">
        <f t="shared" si="161"/>
        <v>-576.09289646871389</v>
      </c>
      <c r="BS57" s="40">
        <f t="shared" si="162"/>
        <v>0</v>
      </c>
      <c r="BT57" s="40">
        <f t="shared" si="163"/>
        <v>0</v>
      </c>
      <c r="BU57" s="61">
        <f t="shared" si="164"/>
        <v>0</v>
      </c>
      <c r="BV57" s="60">
        <f t="shared" si="165"/>
        <v>-1</v>
      </c>
      <c r="BW57" s="87">
        <v>-4687.4930550749705</v>
      </c>
      <c r="BX57" s="40">
        <f t="shared" si="166"/>
        <v>-4111.4001586062568</v>
      </c>
      <c r="BY57" s="40">
        <f t="shared" si="167"/>
        <v>-576.09289646871389</v>
      </c>
      <c r="BZ57" s="40">
        <f t="shared" si="168"/>
        <v>0</v>
      </c>
      <c r="CA57" s="40">
        <f t="shared" si="169"/>
        <v>0</v>
      </c>
      <c r="CB57" s="61">
        <f t="shared" si="170"/>
        <v>0</v>
      </c>
      <c r="CC57" s="60">
        <f t="shared" si="171"/>
        <v>-1</v>
      </c>
      <c r="CD57" s="87">
        <v>-4687.4930550749705</v>
      </c>
      <c r="CE57" s="40">
        <f t="shared" si="172"/>
        <v>-4111.4001586062568</v>
      </c>
      <c r="CF57" s="40">
        <f t="shared" si="173"/>
        <v>-576.09289646871389</v>
      </c>
      <c r="CG57" s="40">
        <f t="shared" si="174"/>
        <v>0</v>
      </c>
      <c r="CH57" s="40">
        <f t="shared" si="175"/>
        <v>0</v>
      </c>
      <c r="CI57" s="61">
        <f t="shared" si="176"/>
        <v>0</v>
      </c>
      <c r="CJ57" s="60">
        <f t="shared" si="177"/>
        <v>-1</v>
      </c>
      <c r="CK57" s="87">
        <v>-4687.4930550749705</v>
      </c>
      <c r="CL57" s="40">
        <f t="shared" si="178"/>
        <v>-4111.4001586062568</v>
      </c>
      <c r="CM57" s="40">
        <f t="shared" si="179"/>
        <v>-576.09289646871389</v>
      </c>
      <c r="CN57" s="40">
        <f t="shared" si="180"/>
        <v>0</v>
      </c>
      <c r="CO57" s="40">
        <f t="shared" si="181"/>
        <v>0</v>
      </c>
      <c r="CP57" s="61">
        <f t="shared" si="182"/>
        <v>0</v>
      </c>
      <c r="CQ57" s="60">
        <f t="shared" si="183"/>
        <v>-1</v>
      </c>
      <c r="CS57" s="27">
        <v>-42129.760000000002</v>
      </c>
      <c r="CT57" s="27">
        <v>-6224.72</v>
      </c>
      <c r="CU57" s="27">
        <v>-27368.07</v>
      </c>
      <c r="CV57" s="27"/>
      <c r="CW57" s="27"/>
      <c r="CX57" s="27"/>
      <c r="CY57" s="27"/>
      <c r="CZ57" s="27"/>
      <c r="DA57" s="27"/>
      <c r="DB57" s="27"/>
      <c r="DC57" s="27"/>
      <c r="DD57" s="27"/>
      <c r="DF57" s="28"/>
    </row>
    <row r="58" spans="1:110" s="26" customFormat="1" ht="16" customHeight="1" thickBot="1" x14ac:dyDescent="0.25">
      <c r="A58" s="88" t="s">
        <v>82</v>
      </c>
      <c r="B58" s="89">
        <f>+B55+B56+B57</f>
        <v>9718701.2771079335</v>
      </c>
      <c r="C58" s="90">
        <f t="shared" ref="C58:D58" si="184">+C55+C56+C57</f>
        <v>8524272.8901513685</v>
      </c>
      <c r="D58" s="91">
        <f t="shared" si="184"/>
        <v>1194428.3869565651</v>
      </c>
      <c r="E58" s="92">
        <f t="shared" ref="E58:J58" si="185">SUM(E55:E57)</f>
        <v>3814215.6135514048</v>
      </c>
      <c r="F58" s="93">
        <f t="shared" si="185"/>
        <v>3345448.5146459364</v>
      </c>
      <c r="G58" s="94">
        <f t="shared" si="185"/>
        <v>468767.09890546749</v>
      </c>
      <c r="H58" s="95">
        <f t="shared" si="185"/>
        <v>2849415.5629768856</v>
      </c>
      <c r="I58" s="96">
        <f t="shared" si="185"/>
        <v>399262.53869554133</v>
      </c>
      <c r="J58" s="96">
        <f t="shared" si="185"/>
        <v>3248678.1016724259</v>
      </c>
      <c r="K58" s="97">
        <f>+J58/E55-1</f>
        <v>-0.16469578514215499</v>
      </c>
      <c r="L58" s="98">
        <f>+L55+L56+L57</f>
        <v>769143.60024416563</v>
      </c>
      <c r="M58" s="99">
        <f t="shared" ref="M58:P58" si="186">+M55+M56+M57</f>
        <v>674615.85177415761</v>
      </c>
      <c r="N58" s="99">
        <f t="shared" si="186"/>
        <v>94527.748470007922</v>
      </c>
      <c r="O58" s="99">
        <f t="shared" si="186"/>
        <v>508657.0479040771</v>
      </c>
      <c r="P58" s="99">
        <f t="shared" si="186"/>
        <v>71273.459340338683</v>
      </c>
      <c r="Q58" s="100">
        <f>SUM(Q55:Q57)</f>
        <v>579930.50724441593</v>
      </c>
      <c r="R58" s="101">
        <f>+Q58/L55-1</f>
        <v>-0.26394816823997991</v>
      </c>
      <c r="S58" s="98">
        <f>+S55+S56+S57</f>
        <v>838924.60915321042</v>
      </c>
      <c r="T58" s="99">
        <f t="shared" ref="T58:W58" si="187">+T55+T56+T57</f>
        <v>735820.77468828089</v>
      </c>
      <c r="U58" s="99">
        <f t="shared" si="187"/>
        <v>103103.83446492953</v>
      </c>
      <c r="V58" s="99">
        <f t="shared" si="187"/>
        <v>598647.96513363975</v>
      </c>
      <c r="W58" s="99">
        <f t="shared" si="187"/>
        <v>83883.063407734939</v>
      </c>
      <c r="X58" s="100">
        <f>SUM(X55:X57)</f>
        <v>682531.02854137437</v>
      </c>
      <c r="Y58" s="101">
        <f>+X58/S55-1</f>
        <v>-0.20420746590350725</v>
      </c>
      <c r="Z58" s="98">
        <f>+Z55+Z56+Z57</f>
        <v>1227171.6848018954</v>
      </c>
      <c r="AA58" s="99">
        <f t="shared" ref="AA58:AD58" si="188">+AA55+AA56+AA57</f>
        <v>1076352.2847397425</v>
      </c>
      <c r="AB58" s="99">
        <f t="shared" si="188"/>
        <v>150819.40006215294</v>
      </c>
      <c r="AC58" s="99">
        <f t="shared" si="188"/>
        <v>832415.88931002421</v>
      </c>
      <c r="AD58" s="99">
        <f t="shared" si="188"/>
        <v>116638.82430304629</v>
      </c>
      <c r="AE58" s="102">
        <f>SUM(AE55:AE57)</f>
        <v>949054.71361307031</v>
      </c>
      <c r="AF58" s="101">
        <f>+AE58/Z55-1</f>
        <v>-0.23827095526908915</v>
      </c>
      <c r="AG58" s="98">
        <f>+AG55+AG56+AG57</f>
        <v>978975.71935213276</v>
      </c>
      <c r="AH58" s="99">
        <f t="shared" ref="AH58:AK58" si="189">+AH55+AH56+AH57</f>
        <v>858659.60344375565</v>
      </c>
      <c r="AI58" s="99">
        <f t="shared" si="189"/>
        <v>120316.11590837709</v>
      </c>
      <c r="AJ58" s="99">
        <f t="shared" si="189"/>
        <v>909694.66062914534</v>
      </c>
      <c r="AK58" s="99">
        <f t="shared" si="189"/>
        <v>127467.1916444213</v>
      </c>
      <c r="AL58" s="102">
        <f>SUM(AL55:AL57)</f>
        <v>1037161.8522735666</v>
      </c>
      <c r="AM58" s="101">
        <f>+AL58/AG55-1</f>
        <v>3.9526055141450689E-2</v>
      </c>
      <c r="AN58" s="98">
        <f>+AN55+AN56+AN57</f>
        <v>1036201.7169222553</v>
      </c>
      <c r="AO58" s="99">
        <f t="shared" ref="AO58:AR58" si="190">+AO55+AO56+AO57</f>
        <v>908852.52591250988</v>
      </c>
      <c r="AP58" s="99">
        <f t="shared" si="190"/>
        <v>127349.19100974513</v>
      </c>
      <c r="AQ58" s="99">
        <f t="shared" si="190"/>
        <v>0</v>
      </c>
      <c r="AR58" s="99">
        <f t="shared" si="190"/>
        <v>0</v>
      </c>
      <c r="AS58" s="102">
        <f>SUM(AS55:AS57)</f>
        <v>0</v>
      </c>
      <c r="AT58" s="101">
        <f>+AS58/AN55-1</f>
        <v>-1</v>
      </c>
      <c r="AU58" s="98">
        <f>+AU55+AU56+AU57</f>
        <v>951192.45268761029</v>
      </c>
      <c r="AV58" s="99">
        <f t="shared" ref="AV58:AY58" si="191">+AV55+AV56+AV57</f>
        <v>834290.90025230299</v>
      </c>
      <c r="AW58" s="99">
        <f t="shared" si="191"/>
        <v>116901.55243530727</v>
      </c>
      <c r="AX58" s="99">
        <f t="shared" si="191"/>
        <v>0</v>
      </c>
      <c r="AY58" s="99">
        <f t="shared" si="191"/>
        <v>0</v>
      </c>
      <c r="AZ58" s="102">
        <f>SUM(AZ55:AZ57)</f>
        <v>0</v>
      </c>
      <c r="BA58" s="101">
        <f>+AZ58/AU55-1</f>
        <v>-1</v>
      </c>
      <c r="BB58" s="98">
        <f>+BB55+BB56+BB57</f>
        <v>1035398.067324943</v>
      </c>
      <c r="BC58" s="99">
        <f t="shared" ref="BC58:BF58" si="192">+BC55+BC56+BC57</f>
        <v>908147.64485070738</v>
      </c>
      <c r="BD58" s="99">
        <f t="shared" si="192"/>
        <v>127250.42247423549</v>
      </c>
      <c r="BE58" s="99">
        <f t="shared" si="192"/>
        <v>0</v>
      </c>
      <c r="BF58" s="99">
        <f t="shared" si="192"/>
        <v>0</v>
      </c>
      <c r="BG58" s="102">
        <f>SUM(BG55:BG57)</f>
        <v>0</v>
      </c>
      <c r="BH58" s="101">
        <f>+BG58/BB55-1</f>
        <v>-1</v>
      </c>
      <c r="BI58" s="98">
        <f>+BI55+BI56+BI57</f>
        <v>694842.71304943715</v>
      </c>
      <c r="BJ58" s="99">
        <f t="shared" ref="BJ58:BM58" si="193">+BJ55+BJ56+BJ57</f>
        <v>609446.54361566133</v>
      </c>
      <c r="BK58" s="99">
        <f t="shared" si="193"/>
        <v>85396.16943377578</v>
      </c>
      <c r="BL58" s="99">
        <f t="shared" si="193"/>
        <v>0</v>
      </c>
      <c r="BM58" s="99">
        <f t="shared" si="193"/>
        <v>0</v>
      </c>
      <c r="BN58" s="102">
        <f>SUM(BN55:BN57)</f>
        <v>0</v>
      </c>
      <c r="BO58" s="103">
        <f>+BN58/BI55-1</f>
        <v>-1</v>
      </c>
      <c r="BP58" s="98">
        <f>+BP55+BP56+BP57</f>
        <v>702463.79529227142</v>
      </c>
      <c r="BQ58" s="99">
        <f t="shared" ref="BQ58:BT58" si="194">+BQ55+BQ56+BQ57</f>
        <v>616130.99485085125</v>
      </c>
      <c r="BR58" s="99">
        <f t="shared" si="194"/>
        <v>86332.800441420128</v>
      </c>
      <c r="BS58" s="99">
        <f t="shared" si="194"/>
        <v>0</v>
      </c>
      <c r="BT58" s="99">
        <f t="shared" si="194"/>
        <v>0</v>
      </c>
      <c r="BU58" s="102">
        <f>SUM(BU55:BU57)</f>
        <v>0</v>
      </c>
      <c r="BV58" s="103">
        <f>+BU58/BP55-1</f>
        <v>-1</v>
      </c>
      <c r="BW58" s="98">
        <f>+BW55+BW56+BW57</f>
        <v>549559.30186987144</v>
      </c>
      <c r="BX58" s="99">
        <f t="shared" ref="BX58:CA58" si="195">+BX55+BX56+BX57</f>
        <v>482018.46367006429</v>
      </c>
      <c r="BY58" s="99">
        <f t="shared" si="195"/>
        <v>67540.838199807185</v>
      </c>
      <c r="BZ58" s="99">
        <f t="shared" si="195"/>
        <v>0</v>
      </c>
      <c r="CA58" s="99">
        <f t="shared" si="195"/>
        <v>0</v>
      </c>
      <c r="CB58" s="102">
        <f>SUM(CB55:CB57)</f>
        <v>0</v>
      </c>
      <c r="CC58" s="103">
        <f>+CB58/BW55-1</f>
        <v>-1</v>
      </c>
      <c r="CD58" s="98">
        <f>+CD55+CD56+CD57</f>
        <v>469479.6977922715</v>
      </c>
      <c r="CE58" s="99">
        <f t="shared" ref="CE58:CH58" si="196">+CE55+CE56+CE57</f>
        <v>411780.64293360134</v>
      </c>
      <c r="CF58" s="99">
        <f t="shared" si="196"/>
        <v>57699.054858670148</v>
      </c>
      <c r="CG58" s="99">
        <f t="shared" si="196"/>
        <v>0</v>
      </c>
      <c r="CH58" s="99">
        <f t="shared" si="196"/>
        <v>0</v>
      </c>
      <c r="CI58" s="102">
        <f>SUM(CI55:CI57)</f>
        <v>0</v>
      </c>
      <c r="CJ58" s="103">
        <f>+CI58/CD55-1</f>
        <v>-1</v>
      </c>
      <c r="CK58" s="98">
        <f>+CK55+CK56+CK57</f>
        <v>465347.91861787147</v>
      </c>
      <c r="CL58" s="99">
        <f t="shared" ref="CL58:CO58" si="197">+CL55+CL56+CL57</f>
        <v>408156.65941973514</v>
      </c>
      <c r="CM58" s="99">
        <f t="shared" si="197"/>
        <v>57191.259198136395</v>
      </c>
      <c r="CN58" s="99">
        <f t="shared" si="197"/>
        <v>0</v>
      </c>
      <c r="CO58" s="99">
        <f t="shared" si="197"/>
        <v>0</v>
      </c>
      <c r="CP58" s="102">
        <f>SUM(CP55:CP57)</f>
        <v>0</v>
      </c>
      <c r="CQ58" s="103">
        <f>+CP58/CK55-1</f>
        <v>-1</v>
      </c>
      <c r="DF58" s="28"/>
    </row>
    <row r="59" spans="1:110" ht="14.25" customHeight="1" x14ac:dyDescent="0.2">
      <c r="B59" s="104"/>
      <c r="C59" s="104"/>
      <c r="D59" s="104"/>
      <c r="E59" s="105"/>
      <c r="F59" s="105"/>
      <c r="G59" s="105"/>
      <c r="H59" s="105"/>
      <c r="I59" s="105"/>
      <c r="J59" s="104"/>
      <c r="K59" s="104"/>
      <c r="L59" s="104"/>
      <c r="M59" s="104"/>
      <c r="N59" s="104"/>
      <c r="O59" s="104"/>
      <c r="P59" s="104"/>
      <c r="Q59" s="104">
        <v>0</v>
      </c>
      <c r="R59" s="104"/>
      <c r="S59" s="104"/>
      <c r="T59" s="104"/>
      <c r="U59" s="104"/>
      <c r="V59" s="104"/>
      <c r="W59" s="104"/>
      <c r="X59" s="104">
        <v>0</v>
      </c>
      <c r="Y59" s="104"/>
      <c r="Z59" s="104"/>
      <c r="AA59" s="104"/>
      <c r="AB59" s="104"/>
      <c r="AC59" s="104"/>
      <c r="AD59" s="104"/>
      <c r="AE59" s="104">
        <v>0</v>
      </c>
      <c r="AF59" s="104"/>
      <c r="AG59" s="104"/>
      <c r="AH59" s="104"/>
      <c r="AI59" s="104"/>
      <c r="AJ59" s="104"/>
      <c r="AK59" s="104"/>
      <c r="AL59" s="104">
        <v>0</v>
      </c>
      <c r="AM59" s="104"/>
      <c r="AN59" s="104"/>
      <c r="AO59" s="104"/>
      <c r="AP59" s="104"/>
      <c r="AQ59" s="104"/>
      <c r="AR59" s="104"/>
      <c r="AS59" s="104">
        <v>0</v>
      </c>
      <c r="AT59" s="104"/>
      <c r="AU59" s="104"/>
      <c r="AV59" s="104"/>
      <c r="AW59" s="104"/>
      <c r="AX59" s="104"/>
      <c r="AY59" s="104"/>
      <c r="AZ59" s="104">
        <v>0</v>
      </c>
      <c r="BA59" s="104"/>
      <c r="BB59" s="104"/>
      <c r="BC59" s="104"/>
      <c r="BD59" s="104"/>
      <c r="BE59" s="104"/>
      <c r="BF59" s="104"/>
      <c r="BG59" s="104">
        <v>0</v>
      </c>
      <c r="BH59" s="104"/>
      <c r="BI59" s="104"/>
      <c r="BJ59" s="104"/>
      <c r="BK59" s="104"/>
      <c r="BL59" s="104"/>
      <c r="BM59" s="104"/>
      <c r="BN59" s="104">
        <v>0</v>
      </c>
      <c r="BO59" s="104"/>
      <c r="BP59" s="104"/>
      <c r="BQ59" s="104"/>
      <c r="BR59" s="104"/>
      <c r="BS59" s="104"/>
      <c r="BT59" s="104"/>
      <c r="BU59" s="104">
        <v>0</v>
      </c>
      <c r="BV59" s="105"/>
      <c r="BW59" s="105"/>
      <c r="BX59" s="105"/>
      <c r="BY59" s="105"/>
      <c r="BZ59" s="105"/>
      <c r="CA59" s="105"/>
      <c r="CB59" s="104">
        <v>0</v>
      </c>
      <c r="CC59" s="105"/>
      <c r="CD59" s="105"/>
      <c r="CE59" s="105"/>
      <c r="CF59" s="105"/>
      <c r="CG59" s="105"/>
      <c r="CH59" s="105"/>
      <c r="CI59" s="104">
        <v>0</v>
      </c>
      <c r="CJ59" s="105"/>
      <c r="CK59" s="105"/>
      <c r="CL59" s="105"/>
      <c r="CM59" s="105"/>
      <c r="CN59" s="105"/>
      <c r="CO59" s="105"/>
      <c r="CP59" s="104">
        <v>0</v>
      </c>
      <c r="CQ59" s="105"/>
    </row>
    <row r="60" spans="1:110" ht="14.25" customHeight="1" x14ac:dyDescent="0.2">
      <c r="H60" s="143"/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110" ht="14.25" customHeight="1" x14ac:dyDescent="0.2">
      <c r="J61" s="106"/>
      <c r="L61" s="107" t="s">
        <v>84</v>
      </c>
      <c r="M61" s="108"/>
      <c r="N61" s="108"/>
      <c r="O61" s="108"/>
      <c r="P61" s="108"/>
      <c r="Q61" s="109"/>
      <c r="R61" s="110">
        <f>336.69+2064.02+119.61+10.35+192.98+7.83+1863.26+548.42+292.49+979.32+116.21+19.59+16.71+106.57+1214.16+147.62+2.78+2064.02+17.17+1863.92+9.87</f>
        <v>11993.59</v>
      </c>
      <c r="S61" s="107" t="s">
        <v>84</v>
      </c>
      <c r="T61" s="108"/>
      <c r="U61" s="108"/>
      <c r="V61" s="108"/>
      <c r="W61" s="108"/>
      <c r="X61" s="109"/>
      <c r="Y61" s="110">
        <f>47.01+36.09+57.46+192.98+43.74+39.17+2005.92+125.88+985.2+189.77+13.09+70.51+2064.02+235.04+10.35+68.62+7.83+20.89+979.32+19.59</f>
        <v>7212.4800000000005</v>
      </c>
      <c r="Z61" s="107" t="s">
        <v>84</v>
      </c>
      <c r="AA61" s="108"/>
      <c r="AB61" s="108"/>
      <c r="AC61" s="108"/>
      <c r="AD61" s="108"/>
      <c r="AE61" s="109"/>
      <c r="AF61" s="110">
        <f>48.31+10.35+52.13+7.83+313.38+979.32+19.59+102.15+2064.02+28.73+106.86+845.39+99.45+147.77</f>
        <v>4825.2800000000007</v>
      </c>
      <c r="AG61" s="107" t="s">
        <v>84</v>
      </c>
      <c r="AH61" s="108"/>
      <c r="AI61" s="108"/>
      <c r="AJ61" s="108"/>
      <c r="AK61" s="108"/>
      <c r="AL61" s="109"/>
      <c r="AM61" s="110">
        <f>19.59+96.82+131.01+31.6+10.35+548.42+75.62+13.6+7.83+1904.45+979.32+438.73+86.17+1108.51+2064.02+48.31</f>
        <v>7564.3500000000013</v>
      </c>
      <c r="AN61" s="107"/>
      <c r="AO61" s="108"/>
      <c r="AP61" s="108"/>
      <c r="AQ61" s="108"/>
      <c r="AR61" s="108"/>
      <c r="AS61" s="109"/>
      <c r="AT61" s="110"/>
      <c r="AU61" s="107"/>
      <c r="AV61" s="108"/>
      <c r="AW61" s="108"/>
      <c r="AX61" s="108"/>
      <c r="AY61" s="108"/>
      <c r="AZ61" s="109"/>
      <c r="BA61" s="110"/>
      <c r="BB61" s="107"/>
      <c r="BC61" s="108"/>
      <c r="BD61" s="108"/>
      <c r="BE61" s="108"/>
      <c r="BF61" s="108"/>
      <c r="BG61" s="109"/>
      <c r="BH61" s="110"/>
      <c r="BI61" s="107"/>
      <c r="BJ61" s="108"/>
      <c r="BK61" s="108"/>
      <c r="BL61" s="108"/>
      <c r="BM61" s="108"/>
      <c r="BN61" s="109"/>
      <c r="BO61" s="110"/>
      <c r="BP61" s="107"/>
      <c r="BQ61" s="108"/>
      <c r="BR61" s="108"/>
      <c r="BS61" s="108"/>
      <c r="BT61" s="108"/>
      <c r="BU61" s="109"/>
      <c r="BV61" s="110"/>
      <c r="BW61" s="107"/>
      <c r="BX61" s="108"/>
      <c r="BY61" s="108"/>
      <c r="BZ61" s="108"/>
      <c r="CA61" s="108"/>
      <c r="CB61" s="109"/>
      <c r="CC61" s="110"/>
      <c r="CD61" s="107"/>
      <c r="CE61" s="108"/>
      <c r="CF61" s="108"/>
      <c r="CG61" s="108"/>
      <c r="CH61" s="108"/>
      <c r="CI61" s="109"/>
      <c r="CJ61" s="110"/>
      <c r="CK61" s="107"/>
      <c r="CL61" s="108"/>
      <c r="CM61" s="108"/>
      <c r="CN61" s="108"/>
      <c r="CO61" s="108"/>
      <c r="CP61" s="109"/>
      <c r="CQ61" s="110"/>
      <c r="DA61" s="111"/>
    </row>
    <row r="62" spans="1:110" ht="14.25" customHeight="1" x14ac:dyDescent="0.2">
      <c r="J62" s="112"/>
      <c r="L62" s="107" t="s">
        <v>85</v>
      </c>
      <c r="M62" s="108"/>
      <c r="N62" s="108"/>
      <c r="O62" s="108"/>
      <c r="P62" s="108"/>
      <c r="Q62" s="109"/>
      <c r="R62" s="110">
        <f>21.5</f>
        <v>21.5</v>
      </c>
      <c r="S62" s="107" t="s">
        <v>85</v>
      </c>
      <c r="T62" s="108"/>
      <c r="U62" s="108"/>
      <c r="V62" s="108"/>
      <c r="W62" s="108"/>
      <c r="X62" s="109"/>
      <c r="Y62" s="110"/>
      <c r="Z62" s="107" t="s">
        <v>85</v>
      </c>
      <c r="AA62" s="108"/>
      <c r="AB62" s="108"/>
      <c r="AC62" s="108"/>
      <c r="AD62" s="108"/>
      <c r="AE62" s="109"/>
      <c r="AF62" s="110"/>
      <c r="AG62" s="107" t="s">
        <v>85</v>
      </c>
      <c r="AH62" s="108"/>
      <c r="AI62" s="108"/>
      <c r="AJ62" s="108"/>
      <c r="AK62" s="108"/>
      <c r="AL62" s="109"/>
      <c r="AM62" s="110"/>
      <c r="AN62" s="107"/>
      <c r="AO62" s="108"/>
      <c r="AP62" s="108"/>
      <c r="AQ62" s="108"/>
      <c r="AR62" s="108"/>
      <c r="AS62" s="109"/>
      <c r="AT62" s="110"/>
      <c r="AU62" s="107"/>
      <c r="AV62" s="108"/>
      <c r="AW62" s="108"/>
      <c r="AX62" s="108"/>
      <c r="AY62" s="108"/>
      <c r="AZ62" s="109"/>
      <c r="BA62" s="110"/>
      <c r="BB62" s="107"/>
      <c r="BC62" s="108"/>
      <c r="BD62" s="108"/>
      <c r="BE62" s="108"/>
      <c r="BF62" s="108"/>
      <c r="BG62" s="109"/>
      <c r="BH62" s="110"/>
      <c r="BI62" s="107"/>
      <c r="BJ62" s="108"/>
      <c r="BK62" s="108"/>
      <c r="BL62" s="108"/>
      <c r="BM62" s="108"/>
      <c r="BN62" s="109"/>
      <c r="BO62" s="110"/>
      <c r="BP62" s="107"/>
      <c r="BQ62" s="108"/>
      <c r="BR62" s="108"/>
      <c r="BS62" s="108"/>
      <c r="BT62" s="108"/>
      <c r="BU62" s="109"/>
      <c r="BV62" s="110"/>
      <c r="BW62" s="107"/>
      <c r="BX62" s="108"/>
      <c r="BY62" s="108"/>
      <c r="BZ62" s="108"/>
      <c r="CA62" s="108"/>
      <c r="CB62" s="109"/>
      <c r="CC62" s="110"/>
      <c r="CD62" s="107"/>
      <c r="CE62" s="108"/>
      <c r="CF62" s="108"/>
      <c r="CG62" s="108"/>
      <c r="CH62" s="108"/>
      <c r="CI62" s="109"/>
      <c r="CJ62" s="110"/>
      <c r="CK62" s="107"/>
      <c r="CL62" s="108"/>
      <c r="CM62" s="108"/>
      <c r="CN62" s="108"/>
      <c r="CO62" s="108"/>
      <c r="CP62" s="109"/>
      <c r="CQ62" s="110"/>
      <c r="DA62" s="111"/>
    </row>
    <row r="63" spans="1:110" ht="14.25" customHeight="1" x14ac:dyDescent="0.2">
      <c r="J63" s="106"/>
      <c r="L63" s="107" t="s">
        <v>86</v>
      </c>
      <c r="M63" s="108"/>
      <c r="N63" s="108"/>
      <c r="O63" s="108"/>
      <c r="P63" s="108"/>
      <c r="Q63" s="109"/>
      <c r="R63" s="110">
        <f>1691.32</f>
        <v>1691.32</v>
      </c>
      <c r="S63" s="107" t="s">
        <v>86</v>
      </c>
      <c r="T63" s="108"/>
      <c r="U63" s="108"/>
      <c r="V63" s="108"/>
      <c r="W63" s="108"/>
      <c r="X63" s="109"/>
      <c r="Y63" s="110">
        <f>924.24</f>
        <v>924.24</v>
      </c>
      <c r="Z63" s="107" t="s">
        <v>86</v>
      </c>
      <c r="AA63" s="108"/>
      <c r="AB63" s="108"/>
      <c r="AC63" s="108"/>
      <c r="AD63" s="108"/>
      <c r="AE63" s="109"/>
      <c r="AF63" s="110">
        <f>1197.43</f>
        <v>1197.43</v>
      </c>
      <c r="AG63" s="107" t="s">
        <v>86</v>
      </c>
      <c r="AH63" s="108"/>
      <c r="AI63" s="108"/>
      <c r="AJ63" s="108"/>
      <c r="AK63" s="108"/>
      <c r="AL63" s="109"/>
      <c r="AM63" s="110">
        <f>117.54</f>
        <v>117.54</v>
      </c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10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10"/>
      <c r="CD63" s="107"/>
      <c r="CE63" s="108"/>
      <c r="CF63" s="108"/>
      <c r="CG63" s="108"/>
      <c r="CH63" s="108"/>
      <c r="CI63" s="109"/>
      <c r="CJ63" s="110"/>
      <c r="CK63" s="107"/>
      <c r="CL63" s="108"/>
      <c r="CM63" s="108"/>
      <c r="CN63" s="108"/>
      <c r="CO63" s="108"/>
      <c r="CP63" s="109"/>
      <c r="CQ63" s="110"/>
      <c r="DA63" s="104"/>
    </row>
    <row r="64" spans="1:110" ht="14.25" customHeight="1" x14ac:dyDescent="0.2">
      <c r="L64" s="107" t="s">
        <v>87</v>
      </c>
      <c r="M64" s="108"/>
      <c r="N64" s="108"/>
      <c r="O64" s="108"/>
      <c r="P64" s="108"/>
      <c r="Q64" s="109"/>
      <c r="R64" s="110">
        <f>701.3</f>
        <v>701.3</v>
      </c>
      <c r="S64" s="107" t="s">
        <v>87</v>
      </c>
      <c r="T64" s="108"/>
      <c r="U64" s="108"/>
      <c r="V64" s="108"/>
      <c r="W64" s="108"/>
      <c r="X64" s="109"/>
      <c r="Y64" s="110">
        <f>4419.67</f>
        <v>4419.67</v>
      </c>
      <c r="Z64" s="107" t="s">
        <v>87</v>
      </c>
      <c r="AA64" s="108"/>
      <c r="AB64" s="108"/>
      <c r="AC64" s="108"/>
      <c r="AD64" s="108"/>
      <c r="AE64" s="109"/>
      <c r="AF64" s="110">
        <f>1080.65</f>
        <v>1080.6500000000001</v>
      </c>
      <c r="AG64" s="107" t="s">
        <v>87</v>
      </c>
      <c r="AH64" s="108"/>
      <c r="AI64" s="108"/>
      <c r="AJ64" s="108"/>
      <c r="AK64" s="108"/>
      <c r="AL64" s="109"/>
      <c r="AM64" s="110">
        <f>529.96+120</f>
        <v>649.96</v>
      </c>
      <c r="AN64" s="107"/>
      <c r="AO64" s="108"/>
      <c r="AP64" s="108"/>
      <c r="AQ64" s="108"/>
      <c r="AR64" s="108"/>
      <c r="AS64" s="109"/>
      <c r="AT64" s="110"/>
      <c r="AU64" s="107"/>
      <c r="AV64" s="108"/>
      <c r="AW64" s="108"/>
      <c r="AX64" s="108"/>
      <c r="AY64" s="108"/>
      <c r="AZ64" s="109"/>
      <c r="BA64" s="110"/>
      <c r="BB64" s="107"/>
      <c r="BC64" s="108"/>
      <c r="BD64" s="108"/>
      <c r="BE64" s="108"/>
      <c r="BF64" s="108"/>
      <c r="BG64" s="109"/>
      <c r="BH64" s="110"/>
      <c r="BI64" s="107"/>
      <c r="BJ64" s="108"/>
      <c r="BK64" s="108"/>
      <c r="BL64" s="108"/>
      <c r="BM64" s="108"/>
      <c r="BN64" s="109"/>
      <c r="BO64" s="110"/>
      <c r="BP64" s="107"/>
      <c r="BQ64" s="108"/>
      <c r="BR64" s="108"/>
      <c r="BS64" s="108"/>
      <c r="BT64" s="108"/>
      <c r="BU64" s="109"/>
      <c r="BV64" s="110"/>
      <c r="BW64" s="107"/>
      <c r="BX64" s="108"/>
      <c r="BY64" s="108"/>
      <c r="BZ64" s="108"/>
      <c r="CA64" s="108"/>
      <c r="CB64" s="109"/>
      <c r="CC64" s="110"/>
      <c r="CD64" s="107"/>
      <c r="CE64" s="108"/>
      <c r="CF64" s="108"/>
      <c r="CG64" s="108"/>
      <c r="CH64" s="108"/>
      <c r="CI64" s="109"/>
      <c r="CJ64" s="110"/>
      <c r="CK64" s="107"/>
      <c r="CL64" s="108"/>
      <c r="CM64" s="108"/>
      <c r="CN64" s="108"/>
      <c r="CO64" s="108"/>
      <c r="CP64" s="109"/>
      <c r="CQ64" s="110"/>
      <c r="DA64" s="104"/>
    </row>
    <row r="65" spans="10:105" ht="14.25" customHeight="1" x14ac:dyDescent="0.2">
      <c r="J65" s="113"/>
      <c r="L65" s="107" t="s">
        <v>88</v>
      </c>
      <c r="M65" s="108"/>
      <c r="N65" s="108"/>
      <c r="O65" s="108"/>
      <c r="P65" s="108"/>
      <c r="Q65" s="109"/>
      <c r="R65" s="110">
        <f>120+220.5</f>
        <v>340.5</v>
      </c>
      <c r="S65" s="107" t="s">
        <v>88</v>
      </c>
      <c r="T65" s="108"/>
      <c r="U65" s="108"/>
      <c r="V65" s="108"/>
      <c r="W65" s="108"/>
      <c r="X65" s="109"/>
      <c r="Y65" s="110"/>
      <c r="Z65" s="107" t="s">
        <v>88</v>
      </c>
      <c r="AA65" s="108"/>
      <c r="AB65" s="108"/>
      <c r="AC65" s="108"/>
      <c r="AD65" s="108"/>
      <c r="AE65" s="109"/>
      <c r="AF65" s="110">
        <v>250</v>
      </c>
      <c r="AG65" s="107" t="s">
        <v>88</v>
      </c>
      <c r="AH65" s="108"/>
      <c r="AI65" s="108"/>
      <c r="AJ65" s="108"/>
      <c r="AK65" s="108"/>
      <c r="AL65" s="109"/>
      <c r="AM65" s="110"/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10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10"/>
      <c r="CD65" s="107"/>
      <c r="CE65" s="108"/>
      <c r="CF65" s="108"/>
      <c r="CG65" s="108"/>
      <c r="CH65" s="108"/>
      <c r="CI65" s="109"/>
      <c r="CJ65" s="110"/>
      <c r="CK65" s="107"/>
      <c r="CL65" s="108"/>
      <c r="CM65" s="108"/>
      <c r="CN65" s="108"/>
      <c r="CO65" s="108"/>
      <c r="CP65" s="109"/>
      <c r="CQ65" s="110"/>
      <c r="DA65" s="104"/>
    </row>
    <row r="66" spans="10:105" ht="14.25" customHeight="1" x14ac:dyDescent="0.2">
      <c r="L66" s="107" t="s">
        <v>89</v>
      </c>
      <c r="M66" s="108"/>
      <c r="N66" s="108"/>
      <c r="O66" s="108"/>
      <c r="P66" s="108"/>
      <c r="Q66" s="109"/>
      <c r="R66" s="110">
        <f>290.55</f>
        <v>290.55</v>
      </c>
      <c r="S66" s="107" t="s">
        <v>89</v>
      </c>
      <c r="T66" s="108"/>
      <c r="U66" s="108"/>
      <c r="V66" s="108"/>
      <c r="W66" s="108"/>
      <c r="X66" s="109"/>
      <c r="Y66" s="110">
        <f>502.71+317.74+290.04</f>
        <v>1110.49</v>
      </c>
      <c r="Z66" s="107" t="s">
        <v>89</v>
      </c>
      <c r="AA66" s="108"/>
      <c r="AB66" s="108"/>
      <c r="AC66" s="108"/>
      <c r="AD66" s="108"/>
      <c r="AE66" s="109"/>
      <c r="AF66" s="110">
        <f>324.46</f>
        <v>324.45999999999998</v>
      </c>
      <c r="AG66" s="107" t="s">
        <v>89</v>
      </c>
      <c r="AH66" s="108"/>
      <c r="AI66" s="108"/>
      <c r="AJ66" s="108"/>
      <c r="AK66" s="108"/>
      <c r="AL66" s="109"/>
      <c r="AM66" s="110"/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10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10"/>
      <c r="CD66" s="107"/>
      <c r="CE66" s="108"/>
      <c r="CF66" s="108"/>
      <c r="CG66" s="108"/>
      <c r="CH66" s="108"/>
      <c r="CI66" s="109"/>
      <c r="CJ66" s="110"/>
      <c r="CK66" s="107"/>
      <c r="CL66" s="108"/>
      <c r="CM66" s="108"/>
      <c r="CN66" s="108"/>
      <c r="CO66" s="108"/>
      <c r="CP66" s="109"/>
      <c r="CQ66" s="110"/>
      <c r="DA66" s="104"/>
    </row>
    <row r="67" spans="10:105" ht="14.25" customHeight="1" x14ac:dyDescent="0.2">
      <c r="L67" s="107" t="s">
        <v>90</v>
      </c>
      <c r="M67" s="108"/>
      <c r="N67" s="108"/>
      <c r="O67" s="108"/>
      <c r="P67" s="108"/>
      <c r="Q67" s="109"/>
      <c r="R67" s="110">
        <f>4112.5+580</f>
        <v>4692.5</v>
      </c>
      <c r="S67" s="107" t="s">
        <v>90</v>
      </c>
      <c r="T67" s="108"/>
      <c r="U67" s="108"/>
      <c r="V67" s="108"/>
      <c r="W67" s="108"/>
      <c r="X67" s="109"/>
      <c r="Y67" s="110">
        <f>75</f>
        <v>75</v>
      </c>
      <c r="Z67" s="107" t="s">
        <v>90</v>
      </c>
      <c r="AA67" s="108"/>
      <c r="AB67" s="108"/>
      <c r="AC67" s="108"/>
      <c r="AD67" s="108"/>
      <c r="AE67" s="109"/>
      <c r="AF67" s="110">
        <f>1738+243</f>
        <v>1981</v>
      </c>
      <c r="AG67" s="107" t="s">
        <v>90</v>
      </c>
      <c r="AH67" s="108"/>
      <c r="AI67" s="108"/>
      <c r="AJ67" s="108"/>
      <c r="AK67" s="108"/>
      <c r="AL67" s="109"/>
      <c r="AM67" s="110">
        <f>119+310</f>
        <v>429</v>
      </c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10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10"/>
      <c r="CD67" s="107"/>
      <c r="CE67" s="108"/>
      <c r="CF67" s="108"/>
      <c r="CG67" s="108"/>
      <c r="CH67" s="108"/>
      <c r="CI67" s="109"/>
      <c r="CJ67" s="110"/>
      <c r="CK67" s="107"/>
      <c r="CL67" s="108"/>
      <c r="CM67" s="108"/>
      <c r="CN67" s="108"/>
      <c r="CO67" s="108"/>
      <c r="CP67" s="109"/>
      <c r="CQ67" s="110"/>
      <c r="DA67" s="104"/>
    </row>
    <row r="68" spans="10:105" ht="14.25" customHeight="1" x14ac:dyDescent="0.2">
      <c r="L68" s="107" t="s">
        <v>91</v>
      </c>
      <c r="M68" s="108"/>
      <c r="N68" s="108"/>
      <c r="O68" s="108"/>
      <c r="P68" s="108"/>
      <c r="Q68" s="109"/>
      <c r="R68" s="110">
        <f>1250+910</f>
        <v>2160</v>
      </c>
      <c r="S68" s="107" t="s">
        <v>91</v>
      </c>
      <c r="T68" s="108"/>
      <c r="U68" s="108"/>
      <c r="V68" s="108"/>
      <c r="W68" s="108"/>
      <c r="X68" s="109"/>
      <c r="Y68" s="110"/>
      <c r="Z68" s="107" t="s">
        <v>92</v>
      </c>
      <c r="AA68" s="108"/>
      <c r="AB68" s="108"/>
      <c r="AC68" s="108"/>
      <c r="AD68" s="108"/>
      <c r="AE68" s="109"/>
      <c r="AF68" s="110">
        <v>20400</v>
      </c>
      <c r="AG68" s="107" t="s">
        <v>92</v>
      </c>
      <c r="AH68" s="108"/>
      <c r="AI68" s="108"/>
      <c r="AJ68" s="108"/>
      <c r="AK68" s="108"/>
      <c r="AL68" s="109"/>
      <c r="AM68" s="110">
        <f>380</f>
        <v>380</v>
      </c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10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10"/>
      <c r="CD68" s="107"/>
      <c r="CE68" s="108"/>
      <c r="CF68" s="108"/>
      <c r="CG68" s="108"/>
      <c r="CH68" s="108"/>
      <c r="CI68" s="109"/>
      <c r="CJ68" s="110"/>
      <c r="CK68" s="107"/>
      <c r="CL68" s="108"/>
      <c r="CM68" s="108"/>
      <c r="CN68" s="108"/>
      <c r="CO68" s="108"/>
      <c r="CP68" s="109"/>
      <c r="CQ68" s="110"/>
      <c r="DA68" s="104"/>
    </row>
    <row r="69" spans="10:105" ht="14.25" customHeight="1" x14ac:dyDescent="0.2">
      <c r="L69" s="107" t="s">
        <v>93</v>
      </c>
      <c r="M69" s="108"/>
      <c r="N69" s="108"/>
      <c r="O69" s="108"/>
      <c r="P69" s="108"/>
      <c r="Q69" s="109"/>
      <c r="R69" s="110">
        <f>30+30</f>
        <v>60</v>
      </c>
      <c r="S69" s="107" t="s">
        <v>93</v>
      </c>
      <c r="T69" s="108"/>
      <c r="U69" s="108"/>
      <c r="V69" s="108"/>
      <c r="W69" s="108"/>
      <c r="X69" s="109"/>
      <c r="Y69" s="110">
        <f>100</f>
        <v>100</v>
      </c>
      <c r="Z69" s="107" t="s">
        <v>93</v>
      </c>
      <c r="AA69" s="108"/>
      <c r="AB69" s="108"/>
      <c r="AC69" s="108"/>
      <c r="AD69" s="108"/>
      <c r="AE69" s="109"/>
      <c r="AF69" s="110">
        <f>310</f>
        <v>310</v>
      </c>
      <c r="AG69" s="107" t="s">
        <v>93</v>
      </c>
      <c r="AH69" s="108"/>
      <c r="AI69" s="108"/>
      <c r="AJ69" s="108"/>
      <c r="AK69" s="108"/>
      <c r="AL69" s="109"/>
      <c r="AM69" s="110">
        <f>60</f>
        <v>60</v>
      </c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10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10"/>
      <c r="CD69" s="107"/>
      <c r="CE69" s="108"/>
      <c r="CF69" s="108"/>
      <c r="CG69" s="108"/>
      <c r="CH69" s="108"/>
      <c r="CI69" s="109"/>
      <c r="CJ69" s="110"/>
      <c r="CK69" s="107"/>
      <c r="CL69" s="108"/>
      <c r="CM69" s="108"/>
      <c r="CN69" s="108"/>
      <c r="CO69" s="108"/>
      <c r="CP69" s="109"/>
      <c r="CQ69" s="110"/>
      <c r="DA69" s="104"/>
    </row>
    <row r="70" spans="10:105" ht="14.25" customHeight="1" x14ac:dyDescent="0.2">
      <c r="L70" s="107" t="s">
        <v>94</v>
      </c>
      <c r="M70" s="108"/>
      <c r="N70" s="108"/>
      <c r="O70" s="108"/>
      <c r="P70" s="108"/>
      <c r="Q70" s="109"/>
      <c r="R70" s="110">
        <f>43.18+363.13</f>
        <v>406.31</v>
      </c>
      <c r="S70" s="107" t="s">
        <v>94</v>
      </c>
      <c r="T70" s="108"/>
      <c r="U70" s="108"/>
      <c r="V70" s="108"/>
      <c r="W70" s="108"/>
      <c r="X70" s="109"/>
      <c r="Y70" s="110"/>
      <c r="Z70" s="107" t="s">
        <v>94</v>
      </c>
      <c r="AA70" s="108"/>
      <c r="AB70" s="108"/>
      <c r="AC70" s="108"/>
      <c r="AD70" s="108"/>
      <c r="AE70" s="109"/>
      <c r="AF70" s="110"/>
      <c r="AG70" s="107" t="s">
        <v>94</v>
      </c>
      <c r="AH70" s="108"/>
      <c r="AI70" s="108"/>
      <c r="AJ70" s="108"/>
      <c r="AK70" s="108"/>
      <c r="AL70" s="109"/>
      <c r="AM70" s="110"/>
      <c r="AN70" s="107"/>
      <c r="AO70" s="108"/>
      <c r="AP70" s="108"/>
      <c r="AQ70" s="108"/>
      <c r="AR70" s="108"/>
      <c r="AS70" s="109"/>
      <c r="AT70" s="110"/>
      <c r="AU70" s="107"/>
      <c r="AV70" s="108"/>
      <c r="AW70" s="108"/>
      <c r="AX70" s="108"/>
      <c r="AY70" s="108"/>
      <c r="AZ70" s="109"/>
      <c r="BA70" s="110"/>
      <c r="BB70" s="107"/>
      <c r="BC70" s="108"/>
      <c r="BD70" s="108"/>
      <c r="BE70" s="108"/>
      <c r="BF70" s="108"/>
      <c r="BG70" s="109"/>
      <c r="BH70" s="110"/>
      <c r="BI70" s="107"/>
      <c r="BJ70" s="108"/>
      <c r="BK70" s="108"/>
      <c r="BL70" s="108"/>
      <c r="BM70" s="108"/>
      <c r="BN70" s="109"/>
      <c r="BO70" s="110"/>
      <c r="BP70" s="107"/>
      <c r="BQ70" s="108"/>
      <c r="BR70" s="108"/>
      <c r="BS70" s="108"/>
      <c r="BT70" s="108"/>
      <c r="BU70" s="109"/>
      <c r="BV70" s="110"/>
      <c r="BW70" s="107"/>
      <c r="BX70" s="108"/>
      <c r="BY70" s="108"/>
      <c r="BZ70" s="108"/>
      <c r="CA70" s="108"/>
      <c r="CB70" s="109"/>
      <c r="CC70" s="110"/>
      <c r="CD70" s="107"/>
      <c r="CE70" s="108"/>
      <c r="CF70" s="108"/>
      <c r="CG70" s="108"/>
      <c r="CH70" s="108"/>
      <c r="CI70" s="109"/>
      <c r="CJ70" s="110"/>
      <c r="CK70" s="107"/>
      <c r="CL70" s="108"/>
      <c r="CM70" s="108"/>
      <c r="CN70" s="108"/>
      <c r="CO70" s="108"/>
      <c r="CP70" s="109"/>
      <c r="CQ70" s="110"/>
      <c r="DA70" s="104"/>
    </row>
    <row r="71" spans="10:105" ht="14.25" customHeight="1" x14ac:dyDescent="0.2">
      <c r="L71" s="107" t="s">
        <v>95</v>
      </c>
      <c r="M71" s="108"/>
      <c r="N71" s="108"/>
      <c r="O71" s="108"/>
      <c r="P71" s="108"/>
      <c r="Q71" s="109"/>
      <c r="R71" s="110">
        <f>67.5+202.5</f>
        <v>270</v>
      </c>
      <c r="S71" s="107" t="s">
        <v>95</v>
      </c>
      <c r="T71" s="108"/>
      <c r="U71" s="108"/>
      <c r="V71" s="108"/>
      <c r="W71" s="108"/>
      <c r="X71" s="109"/>
      <c r="Y71" s="110"/>
      <c r="Z71" s="107" t="s">
        <v>95</v>
      </c>
      <c r="AA71" s="108"/>
      <c r="AB71" s="108"/>
      <c r="AC71" s="108"/>
      <c r="AD71" s="108"/>
      <c r="AE71" s="109"/>
      <c r="AF71" s="110">
        <f>90+180</f>
        <v>270</v>
      </c>
      <c r="AG71" s="107" t="s">
        <v>95</v>
      </c>
      <c r="AH71" s="108"/>
      <c r="AI71" s="108"/>
      <c r="AJ71" s="108"/>
      <c r="AK71" s="108"/>
      <c r="AL71" s="109"/>
      <c r="AM71" s="110">
        <f>90+180</f>
        <v>270</v>
      </c>
      <c r="AN71" s="107"/>
      <c r="AO71" s="108"/>
      <c r="AP71" s="108"/>
      <c r="AQ71" s="108"/>
      <c r="AR71" s="108"/>
      <c r="AS71" s="109"/>
      <c r="AT71" s="110"/>
      <c r="AU71" s="107"/>
      <c r="AV71" s="108"/>
      <c r="AW71" s="108"/>
      <c r="AX71" s="108"/>
      <c r="AY71" s="108"/>
      <c r="AZ71" s="109"/>
      <c r="BA71" s="110"/>
      <c r="BB71" s="107"/>
      <c r="BC71" s="108"/>
      <c r="BD71" s="108"/>
      <c r="BE71" s="108"/>
      <c r="BF71" s="108"/>
      <c r="BG71" s="109"/>
      <c r="BH71" s="110"/>
      <c r="BI71" s="107"/>
      <c r="BJ71" s="108"/>
      <c r="BK71" s="108"/>
      <c r="BL71" s="108"/>
      <c r="BM71" s="108"/>
      <c r="BN71" s="109"/>
      <c r="BO71" s="110"/>
      <c r="BP71" s="107"/>
      <c r="BQ71" s="108"/>
      <c r="BR71" s="108"/>
      <c r="BS71" s="108"/>
      <c r="BT71" s="108"/>
      <c r="BU71" s="109"/>
      <c r="BV71" s="110"/>
      <c r="BW71" s="107"/>
      <c r="BX71" s="108"/>
      <c r="BY71" s="108"/>
      <c r="BZ71" s="108"/>
      <c r="CA71" s="108"/>
      <c r="CB71" s="109"/>
      <c r="CC71" s="110"/>
      <c r="CD71" s="107"/>
      <c r="CE71" s="108"/>
      <c r="CF71" s="108"/>
      <c r="CG71" s="108"/>
      <c r="CH71" s="108"/>
      <c r="CI71" s="109"/>
      <c r="CJ71" s="110"/>
      <c r="CK71" s="107"/>
      <c r="CL71" s="108"/>
      <c r="CM71" s="108"/>
      <c r="CN71" s="108"/>
      <c r="CO71" s="108"/>
      <c r="CP71" s="109"/>
      <c r="CQ71" s="110"/>
      <c r="DA71" s="104"/>
    </row>
    <row r="72" spans="10:105" ht="14.25" customHeight="1" x14ac:dyDescent="0.2">
      <c r="L72" s="107" t="s">
        <v>96</v>
      </c>
      <c r="M72" s="108"/>
      <c r="N72" s="108"/>
      <c r="O72" s="108"/>
      <c r="P72" s="108"/>
      <c r="Q72" s="109"/>
      <c r="R72" s="110">
        <f>702</f>
        <v>702</v>
      </c>
      <c r="S72" s="107" t="s">
        <v>96</v>
      </c>
      <c r="T72" s="108"/>
      <c r="U72" s="108"/>
      <c r="V72" s="108"/>
      <c r="W72" s="108"/>
      <c r="X72" s="109"/>
      <c r="Y72" s="110"/>
      <c r="Z72" s="107" t="s">
        <v>96</v>
      </c>
      <c r="AA72" s="108"/>
      <c r="AB72" s="108"/>
      <c r="AC72" s="108"/>
      <c r="AD72" s="108"/>
      <c r="AE72" s="109"/>
      <c r="AF72" s="110"/>
      <c r="AG72" s="107" t="s">
        <v>96</v>
      </c>
      <c r="AH72" s="108"/>
      <c r="AI72" s="108"/>
      <c r="AJ72" s="108"/>
      <c r="AK72" s="108"/>
      <c r="AL72" s="109"/>
      <c r="AM72" s="110"/>
      <c r="AN72" s="107"/>
      <c r="AO72" s="108"/>
      <c r="AP72" s="108"/>
      <c r="AQ72" s="108"/>
      <c r="AR72" s="108"/>
      <c r="AS72" s="109"/>
      <c r="AT72" s="110"/>
      <c r="AU72" s="107"/>
      <c r="AV72" s="108"/>
      <c r="AW72" s="108"/>
      <c r="AX72" s="108"/>
      <c r="AY72" s="108"/>
      <c r="AZ72" s="109"/>
      <c r="BA72" s="110"/>
      <c r="BB72" s="107"/>
      <c r="BC72" s="108"/>
      <c r="BD72" s="108"/>
      <c r="BE72" s="108"/>
      <c r="BF72" s="108"/>
      <c r="BG72" s="109"/>
      <c r="BH72" s="110"/>
      <c r="BI72" s="107"/>
      <c r="BJ72" s="108"/>
      <c r="BK72" s="108"/>
      <c r="BL72" s="108"/>
      <c r="BM72" s="108"/>
      <c r="BN72" s="109"/>
      <c r="BO72" s="110"/>
      <c r="BP72" s="107"/>
      <c r="BQ72" s="108"/>
      <c r="BR72" s="108"/>
      <c r="BS72" s="108"/>
      <c r="BT72" s="108"/>
      <c r="BU72" s="109"/>
      <c r="BV72" s="110"/>
      <c r="BW72" s="107"/>
      <c r="BX72" s="108"/>
      <c r="BY72" s="108"/>
      <c r="BZ72" s="108"/>
      <c r="CA72" s="108"/>
      <c r="CB72" s="109"/>
      <c r="CC72" s="110"/>
      <c r="CD72" s="107"/>
      <c r="CE72" s="108"/>
      <c r="CF72" s="108"/>
      <c r="CG72" s="108"/>
      <c r="CH72" s="108"/>
      <c r="CI72" s="109"/>
      <c r="CJ72" s="110"/>
      <c r="CK72" s="107"/>
      <c r="CL72" s="108"/>
      <c r="CM72" s="108"/>
      <c r="CN72" s="108"/>
      <c r="CO72" s="108"/>
      <c r="CP72" s="109"/>
      <c r="CQ72" s="110"/>
      <c r="DA72" s="104"/>
    </row>
    <row r="73" spans="10:105" ht="14.25" customHeight="1" x14ac:dyDescent="0.2">
      <c r="L73" s="107" t="s">
        <v>97</v>
      </c>
      <c r="M73" s="108"/>
      <c r="N73" s="108"/>
      <c r="O73" s="108"/>
      <c r="P73" s="108"/>
      <c r="Q73" s="109"/>
      <c r="R73" s="110">
        <v>929.25</v>
      </c>
      <c r="S73" s="107" t="s">
        <v>97</v>
      </c>
      <c r="T73" s="108"/>
      <c r="U73" s="108"/>
      <c r="V73" s="108"/>
      <c r="W73" s="108"/>
      <c r="X73" s="109"/>
      <c r="Y73" s="110">
        <f>885</f>
        <v>885</v>
      </c>
      <c r="Z73" s="107" t="s">
        <v>97</v>
      </c>
      <c r="AA73" s="108"/>
      <c r="AB73" s="108"/>
      <c r="AC73" s="108"/>
      <c r="AD73" s="108"/>
      <c r="AE73" s="109"/>
      <c r="AF73" s="110">
        <f>973.5</f>
        <v>973.5</v>
      </c>
      <c r="AG73" s="107" t="s">
        <v>97</v>
      </c>
      <c r="AH73" s="108"/>
      <c r="AI73" s="108"/>
      <c r="AJ73" s="108"/>
      <c r="AK73" s="108"/>
      <c r="AL73" s="109"/>
      <c r="AM73" s="110">
        <f>973.5</f>
        <v>973.5</v>
      </c>
      <c r="AN73" s="107"/>
      <c r="AO73" s="108"/>
      <c r="AP73" s="108"/>
      <c r="AQ73" s="108"/>
      <c r="AR73" s="108"/>
      <c r="AS73" s="109"/>
      <c r="AT73" s="110"/>
      <c r="AU73" s="107"/>
      <c r="AV73" s="108"/>
      <c r="AW73" s="108"/>
      <c r="AX73" s="108"/>
      <c r="AY73" s="108"/>
      <c r="AZ73" s="109"/>
      <c r="BA73" s="110"/>
      <c r="BB73" s="107"/>
      <c r="BC73" s="108"/>
      <c r="BD73" s="108"/>
      <c r="BE73" s="108"/>
      <c r="BF73" s="108"/>
      <c r="BG73" s="109"/>
      <c r="BH73" s="110"/>
      <c r="BI73" s="107"/>
      <c r="BJ73" s="108"/>
      <c r="BK73" s="108"/>
      <c r="BL73" s="108"/>
      <c r="BM73" s="108"/>
      <c r="BN73" s="109"/>
      <c r="BO73" s="110"/>
      <c r="BP73" s="107"/>
      <c r="BQ73" s="108"/>
      <c r="BR73" s="108"/>
      <c r="BS73" s="108"/>
      <c r="BT73" s="108"/>
      <c r="BU73" s="109"/>
      <c r="BV73" s="110"/>
      <c r="BW73" s="107"/>
      <c r="BX73" s="108"/>
      <c r="BY73" s="108"/>
      <c r="BZ73" s="108"/>
      <c r="CA73" s="108"/>
      <c r="CB73" s="109"/>
      <c r="CC73" s="110"/>
      <c r="CD73" s="107"/>
      <c r="CE73" s="108"/>
      <c r="CF73" s="108"/>
      <c r="CG73" s="108"/>
      <c r="CH73" s="108"/>
      <c r="CI73" s="109"/>
      <c r="CJ73" s="110"/>
      <c r="CK73" s="107"/>
      <c r="CL73" s="108"/>
      <c r="CM73" s="108"/>
      <c r="CN73" s="108"/>
      <c r="CO73" s="108"/>
      <c r="CP73" s="109"/>
      <c r="CQ73" s="110"/>
      <c r="DA73" s="104"/>
    </row>
    <row r="74" spans="10:105" ht="14.25" customHeight="1" x14ac:dyDescent="0.2">
      <c r="L74" s="107" t="s">
        <v>98</v>
      </c>
      <c r="M74" s="108"/>
      <c r="N74" s="108"/>
      <c r="O74" s="108"/>
      <c r="P74" s="108"/>
      <c r="Q74" s="109"/>
      <c r="R74" s="110">
        <f>47.15</f>
        <v>47.15</v>
      </c>
      <c r="S74" s="107" t="s">
        <v>98</v>
      </c>
      <c r="T74" s="108"/>
      <c r="U74" s="108"/>
      <c r="V74" s="108"/>
      <c r="W74" s="108"/>
      <c r="X74" s="109"/>
      <c r="Y74" s="110">
        <f>46.8</f>
        <v>46.8</v>
      </c>
      <c r="Z74" s="107" t="s">
        <v>98</v>
      </c>
      <c r="AA74" s="108"/>
      <c r="AB74" s="108"/>
      <c r="AC74" s="108"/>
      <c r="AD74" s="108"/>
      <c r="AE74" s="109"/>
      <c r="AF74" s="110">
        <f>93.28</f>
        <v>93.28</v>
      </c>
      <c r="AG74" s="107" t="s">
        <v>98</v>
      </c>
      <c r="AH74" s="108"/>
      <c r="AI74" s="108"/>
      <c r="AJ74" s="108"/>
      <c r="AK74" s="108"/>
      <c r="AL74" s="109"/>
      <c r="AM74" s="114">
        <f>46.11</f>
        <v>46.11</v>
      </c>
      <c r="AN74" s="107"/>
      <c r="AO74" s="108"/>
      <c r="AP74" s="108"/>
      <c r="AQ74" s="108"/>
      <c r="AR74" s="108"/>
      <c r="AS74" s="109"/>
      <c r="AT74" s="110"/>
      <c r="AU74" s="107"/>
      <c r="AV74" s="108"/>
      <c r="AW74" s="108"/>
      <c r="AX74" s="108"/>
      <c r="AY74" s="108"/>
      <c r="AZ74" s="109"/>
      <c r="BA74" s="110"/>
      <c r="BB74" s="107"/>
      <c r="BC74" s="108"/>
      <c r="BD74" s="108"/>
      <c r="BE74" s="108"/>
      <c r="BF74" s="108"/>
      <c r="BG74" s="109"/>
      <c r="BH74" s="110"/>
      <c r="BI74" s="107"/>
      <c r="BJ74" s="108"/>
      <c r="BK74" s="108"/>
      <c r="BL74" s="108"/>
      <c r="BM74" s="108"/>
      <c r="BN74" s="109"/>
      <c r="BO74" s="110"/>
      <c r="BP74" s="107"/>
      <c r="BQ74" s="108"/>
      <c r="BR74" s="108"/>
      <c r="BS74" s="108"/>
      <c r="BT74" s="108"/>
      <c r="BU74" s="109"/>
      <c r="BV74" s="110"/>
      <c r="BW74" s="107"/>
      <c r="BX74" s="108"/>
      <c r="BY74" s="108"/>
      <c r="BZ74" s="108"/>
      <c r="CA74" s="108"/>
      <c r="CB74" s="109"/>
      <c r="CC74" s="110"/>
      <c r="CD74" s="107"/>
      <c r="CE74" s="108"/>
      <c r="CF74" s="108"/>
      <c r="CG74" s="108"/>
      <c r="CH74" s="108"/>
      <c r="CI74" s="109"/>
      <c r="CJ74" s="110"/>
      <c r="CK74" s="107"/>
      <c r="CL74" s="108"/>
      <c r="CM74" s="108"/>
      <c r="CN74" s="108"/>
      <c r="CO74" s="108"/>
      <c r="CP74" s="109"/>
      <c r="CQ74" s="110"/>
      <c r="DA74" s="104"/>
    </row>
    <row r="75" spans="10:105" ht="14.25" customHeight="1" x14ac:dyDescent="0.2">
      <c r="L75" s="107"/>
      <c r="M75" s="108"/>
      <c r="N75" s="108"/>
      <c r="O75" s="108"/>
      <c r="P75" s="108"/>
      <c r="Q75" s="108"/>
      <c r="R75" s="110"/>
      <c r="S75" s="107" t="s">
        <v>99</v>
      </c>
      <c r="T75" s="108"/>
      <c r="U75" s="108"/>
      <c r="V75" s="108"/>
      <c r="W75" s="108"/>
      <c r="X75" s="108"/>
      <c r="Y75" s="110">
        <f>390+62.5</f>
        <v>452.5</v>
      </c>
      <c r="Z75" s="107" t="s">
        <v>99</v>
      </c>
      <c r="AA75" s="108"/>
      <c r="AB75" s="108"/>
      <c r="AC75" s="108"/>
      <c r="AD75" s="108"/>
      <c r="AE75" s="108"/>
      <c r="AF75" s="110">
        <f>160</f>
        <v>160</v>
      </c>
      <c r="AG75" s="107" t="s">
        <v>99</v>
      </c>
      <c r="AH75" s="108"/>
      <c r="AI75" s="108"/>
      <c r="AJ75" s="108"/>
      <c r="AK75" s="108"/>
      <c r="AL75" s="108"/>
      <c r="AM75" s="110"/>
      <c r="AN75" s="107"/>
      <c r="AO75" s="108"/>
      <c r="AP75" s="108"/>
      <c r="AQ75" s="108"/>
      <c r="AR75" s="108"/>
      <c r="AS75" s="108"/>
      <c r="AT75" s="110"/>
      <c r="AU75" s="107"/>
      <c r="AV75" s="108"/>
      <c r="AW75" s="108"/>
      <c r="AX75" s="108"/>
      <c r="AY75" s="108"/>
      <c r="AZ75" s="108"/>
      <c r="BA75" s="110"/>
      <c r="BB75" s="107"/>
      <c r="BC75" s="108"/>
      <c r="BD75" s="108"/>
      <c r="BE75" s="108"/>
      <c r="BF75" s="108"/>
      <c r="BG75" s="108"/>
      <c r="BH75" s="110"/>
      <c r="BI75" s="107"/>
      <c r="BJ75" s="108"/>
      <c r="BK75" s="108"/>
      <c r="BL75" s="108"/>
      <c r="BM75" s="108"/>
      <c r="BN75" s="108"/>
      <c r="BO75" s="110"/>
      <c r="BP75" s="107"/>
      <c r="BQ75" s="108"/>
      <c r="BR75" s="108"/>
      <c r="BS75" s="108"/>
      <c r="BT75" s="108"/>
      <c r="BU75" s="108"/>
      <c r="BV75" s="110"/>
      <c r="BW75" s="107"/>
      <c r="BX75" s="108"/>
      <c r="BY75" s="108"/>
      <c r="BZ75" s="108"/>
      <c r="CA75" s="108"/>
      <c r="CB75" s="108"/>
      <c r="CC75" s="110"/>
      <c r="CD75" s="107"/>
      <c r="CE75" s="108"/>
      <c r="CF75" s="108"/>
      <c r="CG75" s="108"/>
      <c r="CH75" s="108"/>
      <c r="CI75" s="108"/>
      <c r="CJ75" s="110"/>
      <c r="CK75" s="107"/>
      <c r="CL75" s="108"/>
      <c r="CM75" s="108"/>
      <c r="CN75" s="108"/>
      <c r="CO75" s="108"/>
      <c r="CP75" s="108"/>
      <c r="CQ75" s="110"/>
      <c r="DA75" s="104"/>
    </row>
    <row r="76" spans="10:105" ht="14.25" customHeight="1" x14ac:dyDescent="0.2">
      <c r="L76" s="107"/>
      <c r="M76" s="108"/>
      <c r="N76" s="108"/>
      <c r="O76" s="108"/>
      <c r="P76" s="108"/>
      <c r="Q76" s="108"/>
      <c r="R76" s="110"/>
      <c r="S76" s="107" t="s">
        <v>100</v>
      </c>
      <c r="T76" s="108"/>
      <c r="U76" s="108"/>
      <c r="V76" s="108"/>
      <c r="W76" s="108"/>
      <c r="X76" s="108"/>
      <c r="Y76" s="110">
        <f>253.35</f>
        <v>253.35</v>
      </c>
      <c r="Z76" s="107" t="s">
        <v>100</v>
      </c>
      <c r="AA76" s="108"/>
      <c r="AB76" s="108"/>
      <c r="AC76" s="108"/>
      <c r="AD76" s="108"/>
      <c r="AE76" s="108"/>
      <c r="AF76" s="110"/>
      <c r="AG76" s="107" t="s">
        <v>100</v>
      </c>
      <c r="AH76" s="108"/>
      <c r="AI76" s="108"/>
      <c r="AJ76" s="108"/>
      <c r="AK76" s="108"/>
      <c r="AL76" s="108"/>
      <c r="AM76" s="110">
        <f>260</f>
        <v>260</v>
      </c>
      <c r="AN76" s="107"/>
      <c r="AO76" s="108"/>
      <c r="AP76" s="108"/>
      <c r="AQ76" s="108"/>
      <c r="AR76" s="108"/>
      <c r="AS76" s="108"/>
      <c r="AT76" s="110"/>
      <c r="AU76" s="107"/>
      <c r="AV76" s="108"/>
      <c r="AW76" s="108"/>
      <c r="AX76" s="108"/>
      <c r="AY76" s="108"/>
      <c r="AZ76" s="108"/>
      <c r="BA76" s="110"/>
      <c r="BB76" s="107"/>
      <c r="BC76" s="108"/>
      <c r="BD76" s="108"/>
      <c r="BE76" s="108"/>
      <c r="BF76" s="108"/>
      <c r="BG76" s="108"/>
      <c r="BH76" s="110"/>
      <c r="BI76" s="107"/>
      <c r="BJ76" s="108"/>
      <c r="BK76" s="108"/>
      <c r="BL76" s="108"/>
      <c r="BM76" s="108"/>
      <c r="BN76" s="108"/>
      <c r="BO76" s="110"/>
      <c r="BP76" s="107"/>
      <c r="BQ76" s="108"/>
      <c r="BR76" s="108"/>
      <c r="BS76" s="108"/>
      <c r="BT76" s="108"/>
      <c r="BU76" s="108"/>
      <c r="BV76" s="110"/>
      <c r="BW76" s="107"/>
      <c r="BX76" s="108"/>
      <c r="BY76" s="108"/>
      <c r="BZ76" s="108"/>
      <c r="CA76" s="108"/>
      <c r="CB76" s="108"/>
      <c r="CC76" s="110"/>
      <c r="CD76" s="107"/>
      <c r="CE76" s="108"/>
      <c r="CF76" s="108"/>
      <c r="CG76" s="108"/>
      <c r="CH76" s="108"/>
      <c r="CI76" s="108"/>
      <c r="CJ76" s="110"/>
      <c r="CK76" s="107"/>
      <c r="CL76" s="108"/>
      <c r="CM76" s="108"/>
      <c r="CN76" s="108"/>
      <c r="CO76" s="108"/>
      <c r="CP76" s="108"/>
      <c r="CQ76" s="110"/>
      <c r="DA76" s="104"/>
    </row>
    <row r="77" spans="10:105" ht="14.25" customHeight="1" x14ac:dyDescent="0.2">
      <c r="L77" s="107"/>
      <c r="M77" s="108"/>
      <c r="N77" s="108"/>
      <c r="O77" s="108"/>
      <c r="P77" s="108"/>
      <c r="Q77" s="108"/>
      <c r="R77" s="110"/>
      <c r="S77" s="107" t="s">
        <v>101</v>
      </c>
      <c r="T77" s="108"/>
      <c r="U77" s="108"/>
      <c r="V77" s="108"/>
      <c r="W77" s="108"/>
      <c r="X77" s="108"/>
      <c r="Y77" s="110">
        <f>360.36+360.36</f>
        <v>720.72</v>
      </c>
      <c r="Z77" s="107" t="s">
        <v>101</v>
      </c>
      <c r="AA77" s="108"/>
      <c r="AB77" s="108"/>
      <c r="AC77" s="108"/>
      <c r="AD77" s="108"/>
      <c r="AE77" s="108"/>
      <c r="AF77" s="110">
        <f>360.36</f>
        <v>360.36</v>
      </c>
      <c r="AG77" s="107" t="s">
        <v>101</v>
      </c>
      <c r="AH77" s="108"/>
      <c r="AI77" s="108"/>
      <c r="AJ77" s="108"/>
      <c r="AK77" s="108"/>
      <c r="AL77" s="108"/>
      <c r="AM77" s="110">
        <f>360.36</f>
        <v>360.36</v>
      </c>
      <c r="AN77" s="107"/>
      <c r="AO77" s="108"/>
      <c r="AP77" s="108"/>
      <c r="AQ77" s="108"/>
      <c r="AR77" s="108"/>
      <c r="AS77" s="108"/>
      <c r="AT77" s="110"/>
      <c r="AU77" s="107"/>
      <c r="AV77" s="108"/>
      <c r="AW77" s="108"/>
      <c r="AX77" s="108"/>
      <c r="AY77" s="108"/>
      <c r="AZ77" s="108"/>
      <c r="BA77" s="110"/>
      <c r="BB77" s="107"/>
      <c r="BC77" s="108"/>
      <c r="BD77" s="108"/>
      <c r="BE77" s="108"/>
      <c r="BF77" s="108"/>
      <c r="BG77" s="108"/>
      <c r="BH77" s="110"/>
      <c r="BI77" s="107"/>
      <c r="BJ77" s="108"/>
      <c r="BK77" s="108"/>
      <c r="BL77" s="108"/>
      <c r="BM77" s="108"/>
      <c r="BN77" s="108"/>
      <c r="BO77" s="110"/>
      <c r="BP77" s="107"/>
      <c r="BQ77" s="108"/>
      <c r="BR77" s="108"/>
      <c r="BS77" s="108"/>
      <c r="BT77" s="108"/>
      <c r="BU77" s="108"/>
      <c r="BV77" s="110"/>
      <c r="BW77" s="107"/>
      <c r="BX77" s="108"/>
      <c r="BY77" s="108"/>
      <c r="BZ77" s="108"/>
      <c r="CA77" s="108"/>
      <c r="CB77" s="108"/>
      <c r="CC77" s="110"/>
      <c r="CD77" s="107"/>
      <c r="CE77" s="108"/>
      <c r="CF77" s="108"/>
      <c r="CG77" s="108"/>
      <c r="CH77" s="108"/>
      <c r="CI77" s="108"/>
      <c r="CJ77" s="110"/>
      <c r="CK77" s="107"/>
      <c r="CL77" s="108"/>
      <c r="CM77" s="108"/>
      <c r="CN77" s="108"/>
      <c r="CO77" s="108"/>
      <c r="CP77" s="108"/>
      <c r="CQ77" s="110"/>
    </row>
    <row r="78" spans="10:105" ht="14.25" customHeight="1" x14ac:dyDescent="0.2">
      <c r="L78" s="107"/>
      <c r="M78" s="108"/>
      <c r="N78" s="108"/>
      <c r="O78" s="108"/>
      <c r="P78" s="108"/>
      <c r="Q78" s="108"/>
      <c r="R78" s="110"/>
      <c r="S78" s="107" t="s">
        <v>102</v>
      </c>
      <c r="T78" s="108"/>
      <c r="U78" s="108"/>
      <c r="V78" s="108"/>
      <c r="W78" s="108"/>
      <c r="X78" s="108"/>
      <c r="Y78" s="110">
        <f>966.53</f>
        <v>966.53</v>
      </c>
      <c r="Z78" s="107" t="s">
        <v>102</v>
      </c>
      <c r="AA78" s="108"/>
      <c r="AB78" s="108"/>
      <c r="AC78" s="108"/>
      <c r="AD78" s="108"/>
      <c r="AE78" s="108"/>
      <c r="AF78" s="110"/>
      <c r="AG78" s="107" t="s">
        <v>102</v>
      </c>
      <c r="AH78" s="108"/>
      <c r="AI78" s="108"/>
      <c r="AJ78" s="108"/>
      <c r="AK78" s="108"/>
      <c r="AL78" s="108"/>
      <c r="AM78" s="110"/>
      <c r="AN78" s="107"/>
      <c r="AO78" s="108"/>
      <c r="AP78" s="108"/>
      <c r="AQ78" s="108"/>
      <c r="AR78" s="108"/>
      <c r="AS78" s="108"/>
      <c r="AT78" s="110"/>
      <c r="AU78" s="107"/>
      <c r="AV78" s="108"/>
      <c r="AW78" s="108"/>
      <c r="AX78" s="108"/>
      <c r="AY78" s="108"/>
      <c r="AZ78" s="108"/>
      <c r="BA78" s="110"/>
      <c r="BB78" s="107"/>
      <c r="BC78" s="108"/>
      <c r="BD78" s="108"/>
      <c r="BE78" s="108"/>
      <c r="BF78" s="108"/>
      <c r="BG78" s="108"/>
      <c r="BH78" s="110"/>
      <c r="BI78" s="107"/>
      <c r="BJ78" s="108"/>
      <c r="BK78" s="108"/>
      <c r="BL78" s="108"/>
      <c r="BM78" s="108"/>
      <c r="BN78" s="108"/>
      <c r="BO78" s="110"/>
      <c r="BP78" s="107"/>
      <c r="BQ78" s="108"/>
      <c r="BR78" s="108"/>
      <c r="BS78" s="108"/>
      <c r="BT78" s="108"/>
      <c r="BU78" s="108"/>
      <c r="BV78" s="110"/>
      <c r="BW78" s="107"/>
      <c r="BX78" s="108"/>
      <c r="BY78" s="108"/>
      <c r="BZ78" s="108"/>
      <c r="CA78" s="108"/>
      <c r="CB78" s="108"/>
      <c r="CC78" s="110"/>
      <c r="CD78" s="107"/>
      <c r="CE78" s="108"/>
      <c r="CF78" s="108"/>
      <c r="CG78" s="108"/>
      <c r="CH78" s="108"/>
      <c r="CI78" s="108"/>
      <c r="CJ78" s="110"/>
      <c r="CK78" s="107"/>
      <c r="CL78" s="108"/>
      <c r="CM78" s="108"/>
      <c r="CN78" s="108"/>
      <c r="CO78" s="108"/>
      <c r="CP78" s="108"/>
      <c r="CQ78" s="110"/>
    </row>
    <row r="79" spans="10:105" ht="14.25" customHeight="1" x14ac:dyDescent="0.2">
      <c r="L79" s="107"/>
      <c r="M79" s="108"/>
      <c r="N79" s="108"/>
      <c r="O79" s="108"/>
      <c r="P79" s="108"/>
      <c r="Q79" s="108"/>
      <c r="R79" s="110"/>
      <c r="S79" s="107"/>
      <c r="T79" s="108"/>
      <c r="U79" s="108"/>
      <c r="V79" s="108"/>
      <c r="W79" s="108"/>
      <c r="X79" s="108"/>
      <c r="Y79" s="110"/>
      <c r="Z79" s="107"/>
      <c r="AA79" s="108"/>
      <c r="AB79" s="108"/>
      <c r="AC79" s="108"/>
      <c r="AD79" s="108"/>
      <c r="AE79" s="108"/>
      <c r="AF79" s="110"/>
      <c r="AG79" s="107"/>
      <c r="AH79" s="108"/>
      <c r="AI79" s="108"/>
      <c r="AJ79" s="108"/>
      <c r="AK79" s="108"/>
      <c r="AL79" s="108"/>
      <c r="AM79" s="110"/>
      <c r="AN79" s="107"/>
      <c r="AO79" s="108"/>
      <c r="AP79" s="108"/>
      <c r="AQ79" s="108"/>
      <c r="AR79" s="108"/>
      <c r="AS79" s="108"/>
      <c r="AT79" s="110"/>
      <c r="AU79" s="107"/>
      <c r="AV79" s="108"/>
      <c r="AW79" s="108"/>
      <c r="AX79" s="108"/>
      <c r="AY79" s="108"/>
      <c r="AZ79" s="108"/>
      <c r="BA79" s="110"/>
      <c r="BB79" s="107"/>
      <c r="BC79" s="108"/>
      <c r="BD79" s="108"/>
      <c r="BE79" s="108"/>
      <c r="BF79" s="108"/>
      <c r="BG79" s="108"/>
      <c r="BH79" s="110"/>
      <c r="BI79" s="107"/>
      <c r="BJ79" s="108"/>
      <c r="BK79" s="108"/>
      <c r="BL79" s="108"/>
      <c r="BM79" s="108"/>
      <c r="BN79" s="108"/>
      <c r="BO79" s="110"/>
      <c r="BP79" s="107"/>
      <c r="BQ79" s="108"/>
      <c r="BR79" s="108"/>
      <c r="BS79" s="108"/>
      <c r="BT79" s="108"/>
      <c r="BU79" s="108"/>
      <c r="BV79" s="110"/>
      <c r="BW79" s="107"/>
      <c r="BX79" s="108"/>
      <c r="BY79" s="108"/>
      <c r="BZ79" s="108"/>
      <c r="CA79" s="108"/>
      <c r="CB79" s="108"/>
      <c r="CC79" s="110"/>
      <c r="CD79" s="107"/>
      <c r="CE79" s="108"/>
      <c r="CF79" s="108"/>
      <c r="CG79" s="108"/>
      <c r="CH79" s="108"/>
      <c r="CI79" s="108"/>
      <c r="CJ79" s="110"/>
      <c r="CK79" s="107"/>
      <c r="CL79" s="108"/>
      <c r="CM79" s="108"/>
      <c r="CN79" s="108"/>
      <c r="CO79" s="108"/>
      <c r="CP79" s="108"/>
      <c r="CQ79" s="110"/>
    </row>
    <row r="80" spans="10:105" ht="14.25" customHeight="1" x14ac:dyDescent="0.2">
      <c r="L80" s="107"/>
      <c r="M80" s="108"/>
      <c r="N80" s="108"/>
      <c r="O80" s="108"/>
      <c r="P80" s="108"/>
      <c r="Q80" s="108"/>
      <c r="R80" s="110"/>
      <c r="S80" s="107"/>
      <c r="T80" s="108"/>
      <c r="U80" s="108"/>
      <c r="V80" s="108"/>
      <c r="W80" s="108"/>
      <c r="X80" s="108"/>
      <c r="Y80" s="110"/>
      <c r="Z80" s="107"/>
      <c r="AA80" s="108"/>
      <c r="AB80" s="108"/>
      <c r="AC80" s="108"/>
      <c r="AD80" s="108"/>
      <c r="AE80" s="108"/>
      <c r="AF80" s="110"/>
      <c r="AG80" s="107"/>
      <c r="AH80" s="108"/>
      <c r="AI80" s="108"/>
      <c r="AJ80" s="108"/>
      <c r="AK80" s="108"/>
      <c r="AL80" s="108"/>
      <c r="AM80" s="110"/>
      <c r="AN80" s="107"/>
      <c r="AO80" s="108"/>
      <c r="AP80" s="108"/>
      <c r="AQ80" s="108"/>
      <c r="AR80" s="108"/>
      <c r="AS80" s="108"/>
      <c r="AT80" s="110"/>
      <c r="AU80" s="107"/>
      <c r="AV80" s="108"/>
      <c r="AW80" s="108"/>
      <c r="AX80" s="108"/>
      <c r="AY80" s="108"/>
      <c r="AZ80" s="108"/>
      <c r="BA80" s="110"/>
      <c r="BB80" s="107"/>
      <c r="BC80" s="108"/>
      <c r="BD80" s="108"/>
      <c r="BE80" s="108"/>
      <c r="BF80" s="108"/>
      <c r="BG80" s="108"/>
      <c r="BH80" s="110"/>
      <c r="BI80" s="107"/>
      <c r="BJ80" s="108"/>
      <c r="BK80" s="108"/>
      <c r="BL80" s="108"/>
      <c r="BM80" s="108"/>
      <c r="BN80" s="108"/>
      <c r="BO80" s="110"/>
      <c r="BP80" s="107"/>
      <c r="BQ80" s="108"/>
      <c r="BR80" s="108"/>
      <c r="BS80" s="108"/>
      <c r="BT80" s="108"/>
      <c r="BU80" s="108"/>
      <c r="BV80" s="110"/>
      <c r="BW80" s="107"/>
      <c r="BX80" s="108"/>
      <c r="BY80" s="108"/>
      <c r="BZ80" s="108"/>
      <c r="CA80" s="108"/>
      <c r="CB80" s="108"/>
      <c r="CC80" s="110"/>
      <c r="CD80" s="107"/>
      <c r="CE80" s="108"/>
      <c r="CF80" s="108"/>
      <c r="CG80" s="108"/>
      <c r="CH80" s="108"/>
      <c r="CI80" s="108"/>
      <c r="CJ80" s="110"/>
      <c r="CK80" s="107"/>
      <c r="CL80" s="108"/>
      <c r="CM80" s="108"/>
      <c r="CN80" s="108"/>
      <c r="CO80" s="108"/>
      <c r="CP80" s="108"/>
      <c r="CQ80" s="110"/>
    </row>
    <row r="81" spans="12:95" ht="14.25" customHeight="1" x14ac:dyDescent="0.2">
      <c r="L81" s="107"/>
      <c r="M81" s="108"/>
      <c r="N81" s="108"/>
      <c r="O81" s="108"/>
      <c r="P81" s="108"/>
      <c r="Q81" s="109"/>
      <c r="R81" s="110"/>
      <c r="S81" s="107"/>
      <c r="T81" s="108"/>
      <c r="U81" s="108"/>
      <c r="V81" s="108"/>
      <c r="W81" s="108"/>
      <c r="X81" s="109"/>
      <c r="Y81" s="110"/>
      <c r="Z81" s="107"/>
      <c r="AA81" s="108"/>
      <c r="AB81" s="108"/>
      <c r="AC81" s="108"/>
      <c r="AD81" s="108"/>
      <c r="AE81" s="109"/>
      <c r="AF81" s="110"/>
      <c r="AG81" s="107"/>
      <c r="AH81" s="108"/>
      <c r="AI81" s="108"/>
      <c r="AJ81" s="108"/>
      <c r="AK81" s="108"/>
      <c r="AL81" s="109"/>
      <c r="AM81" s="110"/>
      <c r="AN81" s="107"/>
      <c r="AO81" s="108"/>
      <c r="AP81" s="108"/>
      <c r="AQ81" s="108"/>
      <c r="AR81" s="108"/>
      <c r="AS81" s="109"/>
      <c r="AT81" s="110"/>
      <c r="AU81" s="107"/>
      <c r="AV81" s="108"/>
      <c r="AW81" s="108"/>
      <c r="AX81" s="108"/>
      <c r="AY81" s="108"/>
      <c r="AZ81" s="109"/>
      <c r="BA81" s="110"/>
      <c r="BB81" s="107"/>
      <c r="BC81" s="108"/>
      <c r="BD81" s="108"/>
      <c r="BE81" s="108"/>
      <c r="BF81" s="108"/>
      <c r="BG81" s="109"/>
      <c r="BH81" s="110"/>
      <c r="BI81" s="107"/>
      <c r="BJ81" s="108"/>
      <c r="BK81" s="108"/>
      <c r="BL81" s="108"/>
      <c r="BM81" s="108"/>
      <c r="BN81" s="109"/>
      <c r="BO81" s="110"/>
      <c r="BP81" s="107"/>
      <c r="BQ81" s="108"/>
      <c r="BR81" s="108"/>
      <c r="BS81" s="108"/>
      <c r="BT81" s="108"/>
      <c r="BU81" s="109"/>
      <c r="BV81" s="110"/>
      <c r="BW81" s="107"/>
      <c r="BX81" s="108"/>
      <c r="BY81" s="108"/>
      <c r="BZ81" s="108"/>
      <c r="CA81" s="108"/>
      <c r="CB81" s="109"/>
      <c r="CC81" s="110"/>
      <c r="CD81" s="107"/>
      <c r="CE81" s="108"/>
      <c r="CF81" s="108"/>
      <c r="CG81" s="108"/>
      <c r="CH81" s="108"/>
      <c r="CI81" s="109"/>
      <c r="CJ81" s="110"/>
      <c r="CK81" s="107"/>
      <c r="CL81" s="108"/>
      <c r="CM81" s="108"/>
      <c r="CN81" s="108"/>
      <c r="CO81" s="108"/>
      <c r="CP81" s="109"/>
      <c r="CQ81" s="110"/>
    </row>
    <row r="82" spans="12:95" ht="14.25" customHeight="1" x14ac:dyDescent="0.2">
      <c r="L82" s="107" t="s">
        <v>82</v>
      </c>
      <c r="M82" s="108"/>
      <c r="N82" s="108"/>
      <c r="O82" s="108"/>
      <c r="P82" s="108"/>
      <c r="Q82" s="109"/>
      <c r="R82" s="110">
        <f>SUM(R61:R81)</f>
        <v>24305.97</v>
      </c>
      <c r="S82" s="107" t="s">
        <v>82</v>
      </c>
      <c r="T82" s="108"/>
      <c r="U82" s="108"/>
      <c r="V82" s="108"/>
      <c r="W82" s="108"/>
      <c r="X82" s="109"/>
      <c r="Y82" s="110">
        <f>SUM(Y61:Y81)</f>
        <v>17166.78</v>
      </c>
      <c r="Z82" s="107" t="s">
        <v>82</v>
      </c>
      <c r="AA82" s="108"/>
      <c r="AB82" s="108"/>
      <c r="AC82" s="108"/>
      <c r="AD82" s="108"/>
      <c r="AE82" s="109"/>
      <c r="AF82" s="110">
        <f>SUM(AF61:AF81)</f>
        <v>32225.96</v>
      </c>
      <c r="AG82" s="107" t="s">
        <v>82</v>
      </c>
      <c r="AH82" s="108"/>
      <c r="AI82" s="108"/>
      <c r="AJ82" s="108"/>
      <c r="AK82" s="108"/>
      <c r="AL82" s="109"/>
      <c r="AM82" s="110">
        <f>SUM(AM61:AM81)</f>
        <v>11110.820000000003</v>
      </c>
      <c r="AN82" s="107" t="s">
        <v>82</v>
      </c>
      <c r="AO82" s="108"/>
      <c r="AP82" s="108"/>
      <c r="AQ82" s="108"/>
      <c r="AR82" s="108"/>
      <c r="AS82" s="109"/>
      <c r="AT82" s="110">
        <f>SUM(AT61:AT81)</f>
        <v>0</v>
      </c>
      <c r="AU82" s="107" t="s">
        <v>82</v>
      </c>
      <c r="AV82" s="108"/>
      <c r="AW82" s="108"/>
      <c r="AX82" s="108"/>
      <c r="AY82" s="108"/>
      <c r="AZ82" s="109"/>
      <c r="BA82" s="110">
        <f>SUM(BA61:BA81)</f>
        <v>0</v>
      </c>
      <c r="BB82" s="107" t="s">
        <v>82</v>
      </c>
      <c r="BC82" s="108"/>
      <c r="BD82" s="108"/>
      <c r="BE82" s="108"/>
      <c r="BF82" s="108"/>
      <c r="BG82" s="109"/>
      <c r="BH82" s="110">
        <f>SUM(BH61:BH81)</f>
        <v>0</v>
      </c>
      <c r="BI82" s="107" t="s">
        <v>82</v>
      </c>
      <c r="BJ82" s="108"/>
      <c r="BK82" s="108"/>
      <c r="BL82" s="108"/>
      <c r="BM82" s="108"/>
      <c r="BN82" s="109"/>
      <c r="BO82" s="110">
        <f>SUM(BO61:BO81)</f>
        <v>0</v>
      </c>
      <c r="BP82" s="107" t="s">
        <v>82</v>
      </c>
      <c r="BQ82" s="108"/>
      <c r="BR82" s="108"/>
      <c r="BS82" s="108"/>
      <c r="BT82" s="108"/>
      <c r="BU82" s="109"/>
      <c r="BV82" s="110">
        <f>SUM(BV61:BV81)</f>
        <v>0</v>
      </c>
      <c r="BW82" s="107" t="s">
        <v>82</v>
      </c>
      <c r="BX82" s="108"/>
      <c r="BY82" s="108"/>
      <c r="BZ82" s="108"/>
      <c r="CA82" s="108"/>
      <c r="CB82" s="109"/>
      <c r="CC82" s="110">
        <f>SUM(CC61:CC81)</f>
        <v>0</v>
      </c>
      <c r="CD82" s="107" t="s">
        <v>82</v>
      </c>
      <c r="CE82" s="108"/>
      <c r="CF82" s="108"/>
      <c r="CG82" s="108"/>
      <c r="CH82" s="108"/>
      <c r="CI82" s="109"/>
      <c r="CJ82" s="110">
        <f>SUM(CJ61:CJ81)</f>
        <v>0</v>
      </c>
      <c r="CK82" s="107" t="s">
        <v>82</v>
      </c>
      <c r="CL82" s="108"/>
      <c r="CM82" s="108"/>
      <c r="CN82" s="108"/>
      <c r="CO82" s="108"/>
      <c r="CP82" s="109"/>
      <c r="CQ82" s="110">
        <f>SUM(CQ61:CQ81)</f>
        <v>0</v>
      </c>
    </row>
    <row r="83" spans="12:95" ht="14.25" customHeight="1" x14ac:dyDescent="0.2"/>
    <row r="84" spans="12:95" ht="14.25" customHeight="1" x14ac:dyDescent="0.2"/>
    <row r="85" spans="12:95" ht="14.25" customHeight="1" x14ac:dyDescent="0.2"/>
    <row r="86" spans="12:95" ht="14.25" customHeight="1" x14ac:dyDescent="0.2"/>
    <row r="87" spans="12:95" ht="14.25" customHeight="1" x14ac:dyDescent="0.2"/>
    <row r="88" spans="12:95" ht="14.25" customHeight="1" x14ac:dyDescent="0.2"/>
    <row r="89" spans="12:95" ht="14.25" customHeight="1" x14ac:dyDescent="0.2"/>
    <row r="90" spans="12:95" ht="14.25" customHeight="1" x14ac:dyDescent="0.2"/>
    <row r="91" spans="12:95" ht="14.25" customHeight="1" x14ac:dyDescent="0.2"/>
    <row r="92" spans="12:95" ht="14.25" customHeight="1" x14ac:dyDescent="0.2"/>
    <row r="93" spans="12:95" ht="14.25" customHeight="1" x14ac:dyDescent="0.2"/>
    <row r="94" spans="12:95" ht="14.25" customHeight="1" x14ac:dyDescent="0.2"/>
    <row r="95" spans="12:95" ht="14.25" customHeight="1" x14ac:dyDescent="0.2"/>
    <row r="96" spans="12:95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CC0C-B56E-DE47-A614-D28B76450542}">
  <sheetPr>
    <pageSetUpPr fitToPage="1"/>
  </sheetPr>
  <dimension ref="A1:CQ1000"/>
  <sheetViews>
    <sheetView zoomScale="85" zoomScaleNormal="85" workbookViewId="0">
      <pane xSplit="11" ySplit="3" topLeftCell="CK25" activePane="bottomRight" state="frozen"/>
      <selection activeCell="J2" sqref="J2:P58"/>
      <selection pane="topRight" activeCell="J2" sqref="J2:P58"/>
      <selection pane="bottomLeft" activeCell="J2" sqref="J2:P58"/>
      <selection pane="bottomRight" activeCell="CT58" sqref="CT58"/>
    </sheetView>
  </sheetViews>
  <sheetFormatPr baseColWidth="10" defaultColWidth="14.5" defaultRowHeight="15" customHeight="1" x14ac:dyDescent="0.2"/>
  <cols>
    <col min="1" max="1" width="32.33203125" customWidth="1"/>
    <col min="2" max="95" width="11.5" customWidth="1"/>
  </cols>
  <sheetData>
    <row r="1" spans="1:95" ht="20" customHeight="1" thickBot="1" x14ac:dyDescent="0.25">
      <c r="A1" s="1" t="s">
        <v>103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 spans="1:95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5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27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27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5" s="26" customFormat="1" ht="16" customHeight="1" x14ac:dyDescent="0.2">
      <c r="A4" s="16" t="s">
        <v>28</v>
      </c>
      <c r="B4" s="17">
        <f t="shared" ref="B4:D35" si="0">+L4+S4+Z4+AG4+AN4+AU4+BB4+BI4+BP4+BW4+CD4+CK4</f>
        <v>148077.47166841998</v>
      </c>
      <c r="C4" s="18">
        <f t="shared" si="0"/>
        <v>129878.75040037122</v>
      </c>
      <c r="D4" s="19">
        <f t="shared" si="0"/>
        <v>18198.721268048816</v>
      </c>
      <c r="E4" s="17">
        <f>+L4+S4+Z4+AG4</f>
        <v>52291.325538199999</v>
      </c>
      <c r="F4" s="20">
        <f>+M4+T4+AA4+AH4</f>
        <v>45864.721629555221</v>
      </c>
      <c r="G4" s="21">
        <f>+N4+U4+AB4+AI4</f>
        <v>6426.6039086447799</v>
      </c>
      <c r="H4" s="18">
        <f t="shared" ref="H4:J35" si="1">+O4+V4+AC4+AJ4+AQ4+AX4+BE4+BL4+BS4+BZ4+CG4+CN4</f>
        <v>46898.660839104952</v>
      </c>
      <c r="I4" s="20">
        <f t="shared" si="1"/>
        <v>0</v>
      </c>
      <c r="J4" s="20">
        <f t="shared" si="1"/>
        <v>46898.660839104952</v>
      </c>
      <c r="K4" s="25">
        <f>IF(E4=0,"",(+J4/E4-1))</f>
        <v>-0.10312732835880367</v>
      </c>
      <c r="L4" s="23">
        <v>11403.11263455</v>
      </c>
      <c r="M4" s="18">
        <f>L4-N4</f>
        <v>10001.670091763805</v>
      </c>
      <c r="N4" s="18">
        <f>+L4*12.29%</f>
        <v>1401.442542786195</v>
      </c>
      <c r="O4" s="18">
        <f>+Q4-P4</f>
        <v>8571.9122144116463</v>
      </c>
      <c r="P4" s="18"/>
      <c r="Q4" s="20">
        <v>8571.9122144116463</v>
      </c>
      <c r="R4" s="25">
        <f>IF(L4=0,"",(+Q4/L4-1))</f>
        <v>-0.24828312329040503</v>
      </c>
      <c r="S4" s="23">
        <v>18081.987634549998</v>
      </c>
      <c r="T4" s="18">
        <f>S4-U4</f>
        <v>15859.711354263804</v>
      </c>
      <c r="U4" s="18">
        <f>+S4*12.29%</f>
        <v>2222.2762802861948</v>
      </c>
      <c r="V4" s="18">
        <f>+X4-W4</f>
        <v>12043.359442386722</v>
      </c>
      <c r="W4" s="18"/>
      <c r="X4" s="20">
        <v>12043.359442386722</v>
      </c>
      <c r="Y4" s="25">
        <f t="shared" ref="Y4:Y54" si="2">IF(S4=0,"",(+X4/S4-1))</f>
        <v>-0.33395820825720623</v>
      </c>
      <c r="Z4" s="23">
        <v>11403.11263455</v>
      </c>
      <c r="AA4" s="18">
        <f>Z4-AB4</f>
        <v>10001.670091763805</v>
      </c>
      <c r="AB4" s="18">
        <f>+Z4*12.29%</f>
        <v>1401.442542786195</v>
      </c>
      <c r="AC4" s="18">
        <f>+AE4-AD4</f>
        <v>8885.016809322562</v>
      </c>
      <c r="AD4" s="18"/>
      <c r="AE4" s="24">
        <v>8885.016809322562</v>
      </c>
      <c r="AF4" s="25">
        <f t="shared" ref="AF4:AF54" si="3">IF(Z4=0,"",(+AE4/Z4-1))</f>
        <v>-0.22082530497839015</v>
      </c>
      <c r="AG4" s="23">
        <v>11403.11263455</v>
      </c>
      <c r="AH4" s="18">
        <f>AG4-AI4</f>
        <v>10001.670091763805</v>
      </c>
      <c r="AI4" s="18">
        <f>+AG4*12.29%</f>
        <v>1401.442542786195</v>
      </c>
      <c r="AJ4" s="18">
        <f>+AL4-AK4</f>
        <v>17398.372372984024</v>
      </c>
      <c r="AK4" s="18"/>
      <c r="AL4" s="24">
        <v>17398.372372984024</v>
      </c>
      <c r="AM4" s="25">
        <f t="shared" ref="AM4:AM54" si="4">IF(AG4=0,"",(+AL4/AG4-1))</f>
        <v>0.52575642551044699</v>
      </c>
      <c r="AN4" s="23">
        <v>11403.11263455</v>
      </c>
      <c r="AO4" s="18">
        <f>AN4-AP4</f>
        <v>10001.670091763805</v>
      </c>
      <c r="AP4" s="18">
        <f>+AN4*12.29%</f>
        <v>1401.442542786195</v>
      </c>
      <c r="AQ4" s="18">
        <f>+AS4-AR4</f>
        <v>0</v>
      </c>
      <c r="AR4" s="18"/>
      <c r="AS4" s="24">
        <v>0</v>
      </c>
      <c r="AT4" s="25">
        <f t="shared" ref="AT4:AT54" si="5">IF(AN4=0,"",(+AS4/AN4-1))</f>
        <v>-1</v>
      </c>
      <c r="AU4" s="23">
        <v>11403.11263455</v>
      </c>
      <c r="AV4" s="18">
        <f>AU4-AW4</f>
        <v>10001.670091763805</v>
      </c>
      <c r="AW4" s="18">
        <f>+AU4*12.29%</f>
        <v>1401.442542786195</v>
      </c>
      <c r="AX4" s="18">
        <f>+AZ4-AY4</f>
        <v>0</v>
      </c>
      <c r="AY4" s="18"/>
      <c r="AZ4" s="24">
        <v>0</v>
      </c>
      <c r="BA4" s="25">
        <f t="shared" ref="BA4:BA54" si="6">IF(AU4=0,"",(+AZ4/AU4-1))</f>
        <v>-1</v>
      </c>
      <c r="BB4" s="23">
        <v>11403.11263455</v>
      </c>
      <c r="BC4" s="18">
        <f>BB4-BD4</f>
        <v>10001.670091763805</v>
      </c>
      <c r="BD4" s="18">
        <f>+BB4*12.29%</f>
        <v>1401.442542786195</v>
      </c>
      <c r="BE4" s="18">
        <f>+BG4-BF4</f>
        <v>0</v>
      </c>
      <c r="BF4" s="18"/>
      <c r="BG4" s="24">
        <v>0</v>
      </c>
      <c r="BH4" s="25">
        <f t="shared" ref="BH4:BH54" si="7">IF(BB4=0,"",(+BG4/BB4-1))</f>
        <v>-1</v>
      </c>
      <c r="BI4" s="23">
        <v>12315.361645314002</v>
      </c>
      <c r="BJ4" s="18">
        <f>BI4-BK4</f>
        <v>10801.803699104912</v>
      </c>
      <c r="BK4" s="18">
        <f>+BI4*12.29%</f>
        <v>1513.5579462090907</v>
      </c>
      <c r="BL4" s="18">
        <f>+BN4-BM4</f>
        <v>0</v>
      </c>
      <c r="BM4" s="18"/>
      <c r="BN4" s="24">
        <v>0</v>
      </c>
      <c r="BO4" s="25">
        <f t="shared" ref="BO4:BO54" si="8">IF(BI4=0,"",(+BN4/BI4-1))</f>
        <v>-1</v>
      </c>
      <c r="BP4" s="23">
        <v>12315.361645314002</v>
      </c>
      <c r="BQ4" s="18">
        <f>BP4-BR4</f>
        <v>10801.803699104912</v>
      </c>
      <c r="BR4" s="18">
        <f>+BP4*12.29%</f>
        <v>1513.5579462090907</v>
      </c>
      <c r="BS4" s="18">
        <f>+BU4-BT4</f>
        <v>0</v>
      </c>
      <c r="BT4" s="18"/>
      <c r="BU4" s="24">
        <v>0</v>
      </c>
      <c r="BV4" s="25">
        <f t="shared" ref="BV4:BV54" si="9">IF(BP4=0,"",(+BU4/BP4-1))</f>
        <v>-1</v>
      </c>
      <c r="BW4" s="23">
        <v>12315.361645314002</v>
      </c>
      <c r="BX4" s="18">
        <f>BW4-BY4</f>
        <v>10801.803699104912</v>
      </c>
      <c r="BY4" s="18">
        <f>+BW4*12.29%</f>
        <v>1513.5579462090907</v>
      </c>
      <c r="BZ4" s="18">
        <f>+CB4-CA4</f>
        <v>0</v>
      </c>
      <c r="CA4" s="18"/>
      <c r="CB4" s="24">
        <v>0</v>
      </c>
      <c r="CC4" s="25">
        <f t="shared" ref="CC4:CC54" si="10">IF(BW4=0,"",(+CB4/BW4-1))</f>
        <v>-1</v>
      </c>
      <c r="CD4" s="23">
        <v>12315.361645314002</v>
      </c>
      <c r="CE4" s="18">
        <f>CD4-CF4</f>
        <v>10801.803699104912</v>
      </c>
      <c r="CF4" s="18">
        <f>+CD4*12.29%</f>
        <v>1513.5579462090907</v>
      </c>
      <c r="CG4" s="18">
        <f>+CI4-CH4</f>
        <v>0</v>
      </c>
      <c r="CH4" s="18"/>
      <c r="CI4" s="24">
        <v>0</v>
      </c>
      <c r="CJ4" s="25">
        <f t="shared" ref="CJ4:CJ54" si="11">IF(CD4=0,"",(+CI4/CD4-1))</f>
        <v>-1</v>
      </c>
      <c r="CK4" s="23">
        <v>12315.361645314002</v>
      </c>
      <c r="CL4" s="18">
        <f>CK4-CM4</f>
        <v>10801.803699104912</v>
      </c>
      <c r="CM4" s="18">
        <f>+CK4*12.29%</f>
        <v>1513.5579462090907</v>
      </c>
      <c r="CN4" s="18">
        <f>+CP4-CO4</f>
        <v>0</v>
      </c>
      <c r="CO4" s="18"/>
      <c r="CP4" s="24">
        <v>0</v>
      </c>
      <c r="CQ4" s="25">
        <f t="shared" ref="CQ4:CQ54" si="12">IF(CK4=0,"",(+CP4/CK4-1))</f>
        <v>-1</v>
      </c>
    </row>
    <row r="5" spans="1:95" s="26" customFormat="1" ht="16" customHeight="1" x14ac:dyDescent="0.2">
      <c r="A5" s="29" t="s">
        <v>29</v>
      </c>
      <c r="B5" s="30">
        <f t="shared" si="0"/>
        <v>9187.5</v>
      </c>
      <c r="C5" s="31">
        <f t="shared" si="0"/>
        <v>8058.3562500000016</v>
      </c>
      <c r="D5" s="32">
        <f t="shared" si="0"/>
        <v>1129.14375</v>
      </c>
      <c r="E5" s="30">
        <f t="shared" ref="E5:G36" si="13">+L5+S5+Z5+AG5</f>
        <v>3062.5</v>
      </c>
      <c r="F5" s="33">
        <f t="shared" si="13"/>
        <v>2686.1187500000001</v>
      </c>
      <c r="G5" s="34">
        <f t="shared" si="13"/>
        <v>376.38124999999997</v>
      </c>
      <c r="H5" s="31">
        <f t="shared" si="1"/>
        <v>3614.2225452155512</v>
      </c>
      <c r="I5" s="33">
        <f t="shared" si="1"/>
        <v>0</v>
      </c>
      <c r="J5" s="33">
        <f t="shared" si="1"/>
        <v>3614.2225452155512</v>
      </c>
      <c r="K5" s="37">
        <f t="shared" ref="K5:K54" si="14">IF(E5=0,"",(+J5/E5-1))</f>
        <v>0.1801543004785473</v>
      </c>
      <c r="L5" s="36">
        <v>765.625</v>
      </c>
      <c r="M5" s="31">
        <f t="shared" ref="M5:M54" si="15">L5-N5</f>
        <v>671.52968750000002</v>
      </c>
      <c r="N5" s="31">
        <f t="shared" ref="N5:N54" si="16">+L5*12.29%</f>
        <v>94.095312499999991</v>
      </c>
      <c r="O5" s="31">
        <f t="shared" ref="O5:O54" si="17">+Q5-P5</f>
        <v>984.44655410344694</v>
      </c>
      <c r="P5" s="31"/>
      <c r="Q5" s="33">
        <v>984.44655410344694</v>
      </c>
      <c r="R5" s="37">
        <f t="shared" ref="R5:R54" si="18">IF(L5=0,"",(+Q5/L5-1))</f>
        <v>0.28580774413511434</v>
      </c>
      <c r="S5" s="36">
        <v>765.625</v>
      </c>
      <c r="T5" s="31">
        <f t="shared" ref="T5:T54" si="19">S5-U5</f>
        <v>671.52968750000002</v>
      </c>
      <c r="U5" s="31">
        <f t="shared" ref="U5:U54" si="20">+S5*12.29%</f>
        <v>94.095312499999991</v>
      </c>
      <c r="V5" s="31">
        <f t="shared" ref="V5:V54" si="21">+X5-W5</f>
        <v>1004.7897725147083</v>
      </c>
      <c r="W5" s="31"/>
      <c r="X5" s="33">
        <v>1004.7897725147083</v>
      </c>
      <c r="Y5" s="37">
        <f t="shared" si="2"/>
        <v>0.31237847838655775</v>
      </c>
      <c r="Z5" s="36">
        <v>765.625</v>
      </c>
      <c r="AA5" s="31">
        <f t="shared" ref="AA5:AA54" si="22">Z5-AB5</f>
        <v>671.52968750000002</v>
      </c>
      <c r="AB5" s="31">
        <f t="shared" ref="AB5:AB54" si="23">+Z5*12.29%</f>
        <v>94.095312499999991</v>
      </c>
      <c r="AC5" s="31">
        <f t="shared" ref="AC5:AC54" si="24">+AE5-AD5</f>
        <v>677.80974975809568</v>
      </c>
      <c r="AD5" s="31"/>
      <c r="AE5" s="27">
        <v>677.80974975809568</v>
      </c>
      <c r="AF5" s="37">
        <f t="shared" si="3"/>
        <v>-0.11469746970371175</v>
      </c>
      <c r="AG5" s="36">
        <v>765.625</v>
      </c>
      <c r="AH5" s="31">
        <f t="shared" ref="AH5:AH54" si="25">AG5-AI5</f>
        <v>671.52968750000002</v>
      </c>
      <c r="AI5" s="31">
        <f t="shared" ref="AI5:AI54" si="26">+AG5*12.29%</f>
        <v>94.095312499999991</v>
      </c>
      <c r="AJ5" s="31">
        <f t="shared" ref="AJ5:AJ54" si="27">+AL5-AK5</f>
        <v>947.17646883930036</v>
      </c>
      <c r="AK5" s="31"/>
      <c r="AL5" s="27">
        <v>947.17646883930036</v>
      </c>
      <c r="AM5" s="37">
        <f t="shared" si="4"/>
        <v>0.2371284490962291</v>
      </c>
      <c r="AN5" s="36">
        <v>765.625</v>
      </c>
      <c r="AO5" s="31">
        <f t="shared" ref="AO5:AO54" si="28">AN5-AP5</f>
        <v>671.52968750000002</v>
      </c>
      <c r="AP5" s="31">
        <f t="shared" ref="AP5:AP54" si="29">+AN5*12.29%</f>
        <v>94.095312499999991</v>
      </c>
      <c r="AQ5" s="31">
        <f t="shared" ref="AQ5:AQ54" si="30">+AS5-AR5</f>
        <v>0</v>
      </c>
      <c r="AR5" s="31"/>
      <c r="AS5" s="27">
        <v>0</v>
      </c>
      <c r="AT5" s="37">
        <f t="shared" si="5"/>
        <v>-1</v>
      </c>
      <c r="AU5" s="36">
        <v>765.625</v>
      </c>
      <c r="AV5" s="31">
        <f t="shared" ref="AV5:AV54" si="31">AU5-AW5</f>
        <v>671.52968750000002</v>
      </c>
      <c r="AW5" s="31">
        <f t="shared" ref="AW5:AW54" si="32">+AU5*12.29%</f>
        <v>94.095312499999991</v>
      </c>
      <c r="AX5" s="31">
        <f t="shared" ref="AX5:AX54" si="33">+AZ5-AY5</f>
        <v>0</v>
      </c>
      <c r="AY5" s="31"/>
      <c r="AZ5" s="27">
        <v>0</v>
      </c>
      <c r="BA5" s="37">
        <f t="shared" si="6"/>
        <v>-1</v>
      </c>
      <c r="BB5" s="36">
        <v>765.625</v>
      </c>
      <c r="BC5" s="31">
        <f t="shared" ref="BC5:BC54" si="34">BB5-BD5</f>
        <v>671.52968750000002</v>
      </c>
      <c r="BD5" s="31">
        <f t="shared" ref="BD5:BD54" si="35">+BB5*12.29%</f>
        <v>94.095312499999991</v>
      </c>
      <c r="BE5" s="31">
        <f t="shared" ref="BE5:BE54" si="36">+BG5-BF5</f>
        <v>0</v>
      </c>
      <c r="BF5" s="31"/>
      <c r="BG5" s="27">
        <v>0</v>
      </c>
      <c r="BH5" s="37">
        <f t="shared" si="7"/>
        <v>-1</v>
      </c>
      <c r="BI5" s="36">
        <v>765.625</v>
      </c>
      <c r="BJ5" s="31">
        <f t="shared" ref="BJ5:BJ54" si="37">BI5-BK5</f>
        <v>671.52968750000002</v>
      </c>
      <c r="BK5" s="31">
        <f t="shared" ref="BK5:BK54" si="38">+BI5*12.29%</f>
        <v>94.095312499999991</v>
      </c>
      <c r="BL5" s="31">
        <f t="shared" ref="BL5:BL54" si="39">+BN5-BM5</f>
        <v>0</v>
      </c>
      <c r="BM5" s="31"/>
      <c r="BN5" s="27">
        <v>0</v>
      </c>
      <c r="BO5" s="37">
        <f t="shared" si="8"/>
        <v>-1</v>
      </c>
      <c r="BP5" s="36">
        <v>765.625</v>
      </c>
      <c r="BQ5" s="31">
        <f t="shared" ref="BQ5:BQ54" si="40">BP5-BR5</f>
        <v>671.52968750000002</v>
      </c>
      <c r="BR5" s="31">
        <f t="shared" ref="BR5:BR54" si="41">+BP5*12.29%</f>
        <v>94.095312499999991</v>
      </c>
      <c r="BS5" s="31">
        <f t="shared" ref="BS5:BS54" si="42">+BU5-BT5</f>
        <v>0</v>
      </c>
      <c r="BT5" s="31"/>
      <c r="BU5" s="27">
        <v>0</v>
      </c>
      <c r="BV5" s="37">
        <f t="shared" si="9"/>
        <v>-1</v>
      </c>
      <c r="BW5" s="36">
        <v>765.625</v>
      </c>
      <c r="BX5" s="31">
        <f t="shared" ref="BX5:BX54" si="43">BW5-BY5</f>
        <v>671.52968750000002</v>
      </c>
      <c r="BY5" s="31">
        <f t="shared" ref="BY5:BY54" si="44">+BW5*12.29%</f>
        <v>94.095312499999991</v>
      </c>
      <c r="BZ5" s="31">
        <f t="shared" ref="BZ5:BZ54" si="45">+CB5-CA5</f>
        <v>0</v>
      </c>
      <c r="CA5" s="31"/>
      <c r="CB5" s="27">
        <v>0</v>
      </c>
      <c r="CC5" s="37">
        <f t="shared" si="10"/>
        <v>-1</v>
      </c>
      <c r="CD5" s="36">
        <v>765.625</v>
      </c>
      <c r="CE5" s="31">
        <f t="shared" ref="CE5:CE54" si="46">CD5-CF5</f>
        <v>671.52968750000002</v>
      </c>
      <c r="CF5" s="31">
        <f t="shared" ref="CF5:CF54" si="47">+CD5*12.29%</f>
        <v>94.095312499999991</v>
      </c>
      <c r="CG5" s="31">
        <f t="shared" ref="CG5:CG54" si="48">+CI5-CH5</f>
        <v>0</v>
      </c>
      <c r="CH5" s="31"/>
      <c r="CI5" s="27">
        <v>0</v>
      </c>
      <c r="CJ5" s="37">
        <f t="shared" si="11"/>
        <v>-1</v>
      </c>
      <c r="CK5" s="36">
        <v>765.625</v>
      </c>
      <c r="CL5" s="31">
        <f t="shared" ref="CL5:CL54" si="49">CK5-CM5</f>
        <v>671.52968750000002</v>
      </c>
      <c r="CM5" s="31">
        <f t="shared" ref="CM5:CM54" si="50">+CK5*12.29%</f>
        <v>94.095312499999991</v>
      </c>
      <c r="CN5" s="31">
        <f t="shared" ref="CN5:CN54" si="51">+CP5-CO5</f>
        <v>0</v>
      </c>
      <c r="CO5" s="31"/>
      <c r="CP5" s="27">
        <v>0</v>
      </c>
      <c r="CQ5" s="37">
        <f t="shared" si="12"/>
        <v>-1</v>
      </c>
    </row>
    <row r="6" spans="1:95" s="26" customFormat="1" ht="16" customHeight="1" x14ac:dyDescent="0.2">
      <c r="A6" s="29" t="s">
        <v>30</v>
      </c>
      <c r="B6" s="30">
        <f t="shared" si="0"/>
        <v>17949.555274847698</v>
      </c>
      <c r="C6" s="31">
        <f t="shared" si="0"/>
        <v>15743.554931568919</v>
      </c>
      <c r="D6" s="32">
        <f t="shared" si="0"/>
        <v>2206.0003432787821</v>
      </c>
      <c r="E6" s="30">
        <f t="shared" si="13"/>
        <v>5801.0658144670006</v>
      </c>
      <c r="F6" s="33">
        <f t="shared" si="13"/>
        <v>5088.1148258690064</v>
      </c>
      <c r="G6" s="34">
        <f t="shared" si="13"/>
        <v>712.9509885979943</v>
      </c>
      <c r="H6" s="31">
        <f t="shared" si="1"/>
        <v>5322.735234073044</v>
      </c>
      <c r="I6" s="33">
        <f t="shared" si="1"/>
        <v>0</v>
      </c>
      <c r="J6" s="33">
        <f t="shared" si="1"/>
        <v>5322.735234073044</v>
      </c>
      <c r="K6" s="37">
        <f t="shared" si="14"/>
        <v>-8.2455637583195629E-2</v>
      </c>
      <c r="L6" s="36">
        <v>1450.2664536167501</v>
      </c>
      <c r="M6" s="31">
        <f t="shared" si="15"/>
        <v>1272.0287064672516</v>
      </c>
      <c r="N6" s="31">
        <f t="shared" si="16"/>
        <v>178.23774714949857</v>
      </c>
      <c r="O6" s="31">
        <f t="shared" si="17"/>
        <v>1303.0230871020974</v>
      </c>
      <c r="P6" s="31"/>
      <c r="Q6" s="33">
        <v>1303.0230871020974</v>
      </c>
      <c r="R6" s="37">
        <f t="shared" si="18"/>
        <v>-0.10152849233149508</v>
      </c>
      <c r="S6" s="36">
        <v>1450.2664536167501</v>
      </c>
      <c r="T6" s="31">
        <f t="shared" si="19"/>
        <v>1272.0287064672516</v>
      </c>
      <c r="U6" s="31">
        <f t="shared" si="20"/>
        <v>178.23774714949857</v>
      </c>
      <c r="V6" s="31">
        <f t="shared" si="21"/>
        <v>1286.3718736152184</v>
      </c>
      <c r="W6" s="31"/>
      <c r="X6" s="33">
        <v>1286.3718736152184</v>
      </c>
      <c r="Y6" s="37">
        <f t="shared" si="2"/>
        <v>-0.11300997798908119</v>
      </c>
      <c r="Z6" s="36">
        <v>1450.2664536167501</v>
      </c>
      <c r="AA6" s="31">
        <f t="shared" si="22"/>
        <v>1272.0287064672516</v>
      </c>
      <c r="AB6" s="31">
        <f t="shared" si="23"/>
        <v>178.23774714949857</v>
      </c>
      <c r="AC6" s="31">
        <f t="shared" si="24"/>
        <v>1386.5793104239219</v>
      </c>
      <c r="AD6" s="31"/>
      <c r="AE6" s="27">
        <v>1386.5793104239219</v>
      </c>
      <c r="AF6" s="37">
        <f t="shared" si="3"/>
        <v>-4.3914098015576331E-2</v>
      </c>
      <c r="AG6" s="36">
        <v>1450.2664536167501</v>
      </c>
      <c r="AH6" s="31">
        <f t="shared" si="25"/>
        <v>1272.0287064672516</v>
      </c>
      <c r="AI6" s="31">
        <f t="shared" si="26"/>
        <v>178.23774714949857</v>
      </c>
      <c r="AJ6" s="31">
        <f t="shared" si="27"/>
        <v>1346.7609629318065</v>
      </c>
      <c r="AK6" s="31"/>
      <c r="AL6" s="27">
        <v>1346.7609629318065</v>
      </c>
      <c r="AM6" s="37">
        <f t="shared" si="4"/>
        <v>-7.1369981996629805E-2</v>
      </c>
      <c r="AN6" s="36">
        <v>1450.2664536167501</v>
      </c>
      <c r="AO6" s="31">
        <f t="shared" si="28"/>
        <v>1272.0287064672516</v>
      </c>
      <c r="AP6" s="31">
        <f t="shared" si="29"/>
        <v>178.23774714949857</v>
      </c>
      <c r="AQ6" s="31">
        <f t="shared" si="30"/>
        <v>0</v>
      </c>
      <c r="AR6" s="31"/>
      <c r="AS6" s="27">
        <v>0</v>
      </c>
      <c r="AT6" s="37">
        <f t="shared" si="5"/>
        <v>-1</v>
      </c>
      <c r="AU6" s="36">
        <v>1450.2664536167501</v>
      </c>
      <c r="AV6" s="31">
        <f t="shared" si="31"/>
        <v>1272.0287064672516</v>
      </c>
      <c r="AW6" s="31">
        <f t="shared" si="32"/>
        <v>178.23774714949857</v>
      </c>
      <c r="AX6" s="31">
        <f t="shared" si="33"/>
        <v>0</v>
      </c>
      <c r="AY6" s="31"/>
      <c r="AZ6" s="27">
        <v>0</v>
      </c>
      <c r="BA6" s="37">
        <f t="shared" si="6"/>
        <v>-1</v>
      </c>
      <c r="BB6" s="36">
        <v>1450.2664536167501</v>
      </c>
      <c r="BC6" s="31">
        <f t="shared" si="34"/>
        <v>1272.0287064672516</v>
      </c>
      <c r="BD6" s="31">
        <f t="shared" si="35"/>
        <v>178.23774714949857</v>
      </c>
      <c r="BE6" s="31">
        <f t="shared" si="36"/>
        <v>0</v>
      </c>
      <c r="BF6" s="31"/>
      <c r="BG6" s="27">
        <v>0</v>
      </c>
      <c r="BH6" s="37">
        <f t="shared" si="7"/>
        <v>-1</v>
      </c>
      <c r="BI6" s="36">
        <v>1559.5380199060899</v>
      </c>
      <c r="BJ6" s="31">
        <f t="shared" si="37"/>
        <v>1367.8707972596314</v>
      </c>
      <c r="BK6" s="31">
        <f t="shared" si="38"/>
        <v>191.66722264645844</v>
      </c>
      <c r="BL6" s="31">
        <f t="shared" si="39"/>
        <v>0</v>
      </c>
      <c r="BM6" s="31"/>
      <c r="BN6" s="27">
        <v>0</v>
      </c>
      <c r="BO6" s="37">
        <f t="shared" si="8"/>
        <v>-1</v>
      </c>
      <c r="BP6" s="36">
        <v>1559.5380199060899</v>
      </c>
      <c r="BQ6" s="31">
        <f t="shared" si="40"/>
        <v>1367.8707972596314</v>
      </c>
      <c r="BR6" s="31">
        <f t="shared" si="41"/>
        <v>191.66722264645844</v>
      </c>
      <c r="BS6" s="31">
        <f t="shared" si="42"/>
        <v>0</v>
      </c>
      <c r="BT6" s="31"/>
      <c r="BU6" s="27">
        <v>0</v>
      </c>
      <c r="BV6" s="37">
        <f t="shared" si="9"/>
        <v>-1</v>
      </c>
      <c r="BW6" s="36">
        <v>1559.5380199060899</v>
      </c>
      <c r="BX6" s="31">
        <f t="shared" si="43"/>
        <v>1367.8707972596314</v>
      </c>
      <c r="BY6" s="31">
        <f t="shared" si="44"/>
        <v>191.66722264645844</v>
      </c>
      <c r="BZ6" s="31">
        <f t="shared" si="45"/>
        <v>0</v>
      </c>
      <c r="CA6" s="31"/>
      <c r="CB6" s="27">
        <v>0</v>
      </c>
      <c r="CC6" s="37">
        <f t="shared" si="10"/>
        <v>-1</v>
      </c>
      <c r="CD6" s="36">
        <v>1559.5380199060899</v>
      </c>
      <c r="CE6" s="31">
        <f t="shared" si="46"/>
        <v>1367.8707972596314</v>
      </c>
      <c r="CF6" s="31">
        <f t="shared" si="47"/>
        <v>191.66722264645844</v>
      </c>
      <c r="CG6" s="31">
        <f t="shared" si="48"/>
        <v>0</v>
      </c>
      <c r="CH6" s="31"/>
      <c r="CI6" s="27">
        <v>0</v>
      </c>
      <c r="CJ6" s="37">
        <f t="shared" si="11"/>
        <v>-1</v>
      </c>
      <c r="CK6" s="36">
        <v>1559.5380199060899</v>
      </c>
      <c r="CL6" s="31">
        <f t="shared" si="49"/>
        <v>1367.8707972596314</v>
      </c>
      <c r="CM6" s="31">
        <f t="shared" si="50"/>
        <v>191.66722264645844</v>
      </c>
      <c r="CN6" s="31">
        <f t="shared" si="51"/>
        <v>0</v>
      </c>
      <c r="CO6" s="31"/>
      <c r="CP6" s="27">
        <v>0</v>
      </c>
      <c r="CQ6" s="37">
        <f t="shared" si="12"/>
        <v>-1</v>
      </c>
    </row>
    <row r="7" spans="1:95" s="26" customFormat="1" ht="16" customHeight="1" x14ac:dyDescent="0.2">
      <c r="A7" s="29" t="s">
        <v>31</v>
      </c>
      <c r="B7" s="30">
        <f t="shared" si="0"/>
        <v>13926.379092554253</v>
      </c>
      <c r="C7" s="31">
        <f t="shared" si="0"/>
        <v>12214.827102079329</v>
      </c>
      <c r="D7" s="32">
        <f t="shared" si="0"/>
        <v>1711.5519904749167</v>
      </c>
      <c r="E7" s="30">
        <f t="shared" si="13"/>
        <v>4500.8269250174999</v>
      </c>
      <c r="F7" s="33">
        <f t="shared" si="13"/>
        <v>3947.6752959328492</v>
      </c>
      <c r="G7" s="34">
        <f t="shared" si="13"/>
        <v>553.15162908465072</v>
      </c>
      <c r="H7" s="31">
        <f t="shared" si="1"/>
        <v>3626.7398333023875</v>
      </c>
      <c r="I7" s="33">
        <f t="shared" si="1"/>
        <v>0</v>
      </c>
      <c r="J7" s="33">
        <f t="shared" si="1"/>
        <v>3626.7398333023875</v>
      </c>
      <c r="K7" s="37">
        <f t="shared" si="14"/>
        <v>-0.19420588844609121</v>
      </c>
      <c r="L7" s="36">
        <v>1125.206731254375</v>
      </c>
      <c r="M7" s="31">
        <f t="shared" si="15"/>
        <v>986.91882398321229</v>
      </c>
      <c r="N7" s="31">
        <f t="shared" si="16"/>
        <v>138.28790727116268</v>
      </c>
      <c r="O7" s="31">
        <f t="shared" si="17"/>
        <v>892.7712452901751</v>
      </c>
      <c r="P7" s="31"/>
      <c r="Q7" s="33">
        <v>892.7712452901751</v>
      </c>
      <c r="R7" s="37">
        <f t="shared" si="18"/>
        <v>-0.20657136107342866</v>
      </c>
      <c r="S7" s="36">
        <v>1125.206731254375</v>
      </c>
      <c r="T7" s="31">
        <f t="shared" si="19"/>
        <v>986.91882398321229</v>
      </c>
      <c r="U7" s="31">
        <f t="shared" si="20"/>
        <v>138.28790727116268</v>
      </c>
      <c r="V7" s="31">
        <f t="shared" si="21"/>
        <v>882.11527374141929</v>
      </c>
      <c r="W7" s="31"/>
      <c r="X7" s="33">
        <v>882.11527374141929</v>
      </c>
      <c r="Y7" s="37">
        <f t="shared" si="2"/>
        <v>-0.21604159552259217</v>
      </c>
      <c r="Z7" s="36">
        <v>1125.206731254375</v>
      </c>
      <c r="AA7" s="31">
        <f t="shared" si="22"/>
        <v>986.91882398321229</v>
      </c>
      <c r="AB7" s="31">
        <f t="shared" si="23"/>
        <v>138.28790727116268</v>
      </c>
      <c r="AC7" s="31">
        <f t="shared" si="24"/>
        <v>932.01028316865199</v>
      </c>
      <c r="AD7" s="31"/>
      <c r="AE7" s="27">
        <v>932.01028316865199</v>
      </c>
      <c r="AF7" s="37">
        <f t="shared" si="3"/>
        <v>-0.17169862454550777</v>
      </c>
      <c r="AG7" s="36">
        <v>1125.206731254375</v>
      </c>
      <c r="AH7" s="31">
        <f t="shared" si="25"/>
        <v>986.91882398321229</v>
      </c>
      <c r="AI7" s="31">
        <f t="shared" si="26"/>
        <v>138.28790727116268</v>
      </c>
      <c r="AJ7" s="31">
        <f t="shared" si="27"/>
        <v>919.84303110214125</v>
      </c>
      <c r="AK7" s="31"/>
      <c r="AL7" s="27">
        <v>919.84303110214125</v>
      </c>
      <c r="AM7" s="37">
        <f t="shared" si="4"/>
        <v>-0.18251197264283625</v>
      </c>
      <c r="AN7" s="36">
        <v>1125.206731254375</v>
      </c>
      <c r="AO7" s="31">
        <f t="shared" si="28"/>
        <v>986.91882398321229</v>
      </c>
      <c r="AP7" s="31">
        <f t="shared" si="29"/>
        <v>138.28790727116268</v>
      </c>
      <c r="AQ7" s="31">
        <f t="shared" si="30"/>
        <v>0</v>
      </c>
      <c r="AR7" s="31"/>
      <c r="AS7" s="27">
        <v>0</v>
      </c>
      <c r="AT7" s="37">
        <f t="shared" si="5"/>
        <v>-1</v>
      </c>
      <c r="AU7" s="36">
        <v>1125.206731254375</v>
      </c>
      <c r="AV7" s="31">
        <f t="shared" si="31"/>
        <v>986.91882398321229</v>
      </c>
      <c r="AW7" s="31">
        <f t="shared" si="32"/>
        <v>138.28790727116268</v>
      </c>
      <c r="AX7" s="31">
        <f t="shared" si="33"/>
        <v>0</v>
      </c>
      <c r="AY7" s="31"/>
      <c r="AZ7" s="27">
        <v>0</v>
      </c>
      <c r="BA7" s="37">
        <f t="shared" si="6"/>
        <v>-1</v>
      </c>
      <c r="BB7" s="36">
        <v>1125.206731254375</v>
      </c>
      <c r="BC7" s="31">
        <f t="shared" si="34"/>
        <v>986.91882398321229</v>
      </c>
      <c r="BD7" s="31">
        <f t="shared" si="35"/>
        <v>138.28790727116268</v>
      </c>
      <c r="BE7" s="31">
        <f t="shared" si="36"/>
        <v>0</v>
      </c>
      <c r="BF7" s="31"/>
      <c r="BG7" s="27">
        <v>0</v>
      </c>
      <c r="BH7" s="37">
        <f t="shared" si="7"/>
        <v>-1</v>
      </c>
      <c r="BI7" s="36">
        <v>1209.9863947547249</v>
      </c>
      <c r="BJ7" s="31">
        <f t="shared" si="37"/>
        <v>1061.2790668393691</v>
      </c>
      <c r="BK7" s="31">
        <f t="shared" si="38"/>
        <v>148.70732791535568</v>
      </c>
      <c r="BL7" s="31">
        <f t="shared" si="39"/>
        <v>0</v>
      </c>
      <c r="BM7" s="31"/>
      <c r="BN7" s="27">
        <v>0</v>
      </c>
      <c r="BO7" s="37">
        <f t="shared" si="8"/>
        <v>-1</v>
      </c>
      <c r="BP7" s="36">
        <v>1209.9863947547249</v>
      </c>
      <c r="BQ7" s="31">
        <f t="shared" si="40"/>
        <v>1061.2790668393691</v>
      </c>
      <c r="BR7" s="31">
        <f t="shared" si="41"/>
        <v>148.70732791535568</v>
      </c>
      <c r="BS7" s="31">
        <f t="shared" si="42"/>
        <v>0</v>
      </c>
      <c r="BT7" s="31"/>
      <c r="BU7" s="27">
        <v>0</v>
      </c>
      <c r="BV7" s="37">
        <f t="shared" si="9"/>
        <v>-1</v>
      </c>
      <c r="BW7" s="36">
        <v>1209.9863947547249</v>
      </c>
      <c r="BX7" s="31">
        <f t="shared" si="43"/>
        <v>1061.2790668393691</v>
      </c>
      <c r="BY7" s="31">
        <f t="shared" si="44"/>
        <v>148.70732791535568</v>
      </c>
      <c r="BZ7" s="31">
        <f t="shared" si="45"/>
        <v>0</v>
      </c>
      <c r="CA7" s="31"/>
      <c r="CB7" s="27">
        <v>0</v>
      </c>
      <c r="CC7" s="37">
        <f t="shared" si="10"/>
        <v>-1</v>
      </c>
      <c r="CD7" s="36">
        <v>1209.9863947547249</v>
      </c>
      <c r="CE7" s="31">
        <f t="shared" si="46"/>
        <v>1061.2790668393691</v>
      </c>
      <c r="CF7" s="31">
        <f t="shared" si="47"/>
        <v>148.70732791535568</v>
      </c>
      <c r="CG7" s="31">
        <f t="shared" si="48"/>
        <v>0</v>
      </c>
      <c r="CH7" s="31"/>
      <c r="CI7" s="27">
        <v>0</v>
      </c>
      <c r="CJ7" s="37">
        <f t="shared" si="11"/>
        <v>-1</v>
      </c>
      <c r="CK7" s="36">
        <v>1209.9863947547249</v>
      </c>
      <c r="CL7" s="31">
        <f t="shared" si="49"/>
        <v>1061.2790668393691</v>
      </c>
      <c r="CM7" s="31">
        <f t="shared" si="50"/>
        <v>148.70732791535568</v>
      </c>
      <c r="CN7" s="31">
        <f t="shared" si="51"/>
        <v>0</v>
      </c>
      <c r="CO7" s="31"/>
      <c r="CP7" s="27">
        <v>0</v>
      </c>
      <c r="CQ7" s="37">
        <f t="shared" si="12"/>
        <v>-1</v>
      </c>
    </row>
    <row r="8" spans="1:95" s="26" customFormat="1" ht="16" customHeight="1" x14ac:dyDescent="0.2">
      <c r="A8" s="38" t="s">
        <v>32</v>
      </c>
      <c r="B8" s="30">
        <f t="shared" si="0"/>
        <v>12532.579196507957</v>
      </c>
      <c r="C8" s="31">
        <f t="shared" si="0"/>
        <v>10992.325213257129</v>
      </c>
      <c r="D8" s="32">
        <f t="shared" si="0"/>
        <v>1540.2539832508278</v>
      </c>
      <c r="E8" s="30">
        <f t="shared" si="13"/>
        <v>0</v>
      </c>
      <c r="F8" s="33">
        <f t="shared" si="13"/>
        <v>0</v>
      </c>
      <c r="G8" s="34">
        <f t="shared" si="13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14"/>
        <v/>
      </c>
      <c r="L8" s="36">
        <v>0</v>
      </c>
      <c r="M8" s="31">
        <f t="shared" si="15"/>
        <v>0</v>
      </c>
      <c r="N8" s="31">
        <f t="shared" si="16"/>
        <v>0</v>
      </c>
      <c r="O8" s="31">
        <f t="shared" si="17"/>
        <v>0</v>
      </c>
      <c r="P8" s="31"/>
      <c r="Q8" s="33">
        <v>0</v>
      </c>
      <c r="R8" s="37" t="str">
        <f t="shared" si="18"/>
        <v/>
      </c>
      <c r="S8" s="36">
        <v>0</v>
      </c>
      <c r="T8" s="31">
        <f t="shared" si="19"/>
        <v>0</v>
      </c>
      <c r="U8" s="31">
        <f t="shared" si="20"/>
        <v>0</v>
      </c>
      <c r="V8" s="31">
        <f t="shared" si="21"/>
        <v>0</v>
      </c>
      <c r="W8" s="31"/>
      <c r="X8" s="33">
        <v>0</v>
      </c>
      <c r="Y8" s="37" t="str">
        <f t="shared" si="2"/>
        <v/>
      </c>
      <c r="Z8" s="36">
        <v>0</v>
      </c>
      <c r="AA8" s="31">
        <f t="shared" si="22"/>
        <v>0</v>
      </c>
      <c r="AB8" s="31">
        <f t="shared" si="23"/>
        <v>0</v>
      </c>
      <c r="AC8" s="31">
        <f t="shared" si="24"/>
        <v>0</v>
      </c>
      <c r="AD8" s="31"/>
      <c r="AE8" s="27">
        <v>0</v>
      </c>
      <c r="AF8" s="37" t="str">
        <f t="shared" si="3"/>
        <v/>
      </c>
      <c r="AG8" s="36">
        <v>0</v>
      </c>
      <c r="AH8" s="31">
        <f t="shared" si="25"/>
        <v>0</v>
      </c>
      <c r="AI8" s="31">
        <f t="shared" si="26"/>
        <v>0</v>
      </c>
      <c r="AJ8" s="31">
        <f t="shared" si="27"/>
        <v>0</v>
      </c>
      <c r="AK8" s="31"/>
      <c r="AL8" s="27">
        <v>0</v>
      </c>
      <c r="AM8" s="37" t="str">
        <f t="shared" si="4"/>
        <v/>
      </c>
      <c r="AN8" s="36">
        <v>0</v>
      </c>
      <c r="AO8" s="31">
        <f t="shared" si="28"/>
        <v>0</v>
      </c>
      <c r="AP8" s="31">
        <f t="shared" si="29"/>
        <v>0</v>
      </c>
      <c r="AQ8" s="31">
        <f t="shared" si="30"/>
        <v>0</v>
      </c>
      <c r="AR8" s="31"/>
      <c r="AS8" s="27">
        <v>0</v>
      </c>
      <c r="AT8" s="37" t="str">
        <f t="shared" si="5"/>
        <v/>
      </c>
      <c r="AU8" s="36">
        <v>0</v>
      </c>
      <c r="AV8" s="31">
        <f t="shared" si="31"/>
        <v>0</v>
      </c>
      <c r="AW8" s="31">
        <f t="shared" si="32"/>
        <v>0</v>
      </c>
      <c r="AX8" s="31">
        <f t="shared" si="33"/>
        <v>0</v>
      </c>
      <c r="AY8" s="31"/>
      <c r="AZ8" s="27">
        <v>0</v>
      </c>
      <c r="BA8" s="37" t="str">
        <f t="shared" si="6"/>
        <v/>
      </c>
      <c r="BB8" s="36">
        <v>12532.579196507957</v>
      </c>
      <c r="BC8" s="31">
        <f t="shared" si="34"/>
        <v>10992.325213257129</v>
      </c>
      <c r="BD8" s="31">
        <f t="shared" si="35"/>
        <v>1540.2539832508278</v>
      </c>
      <c r="BE8" s="31">
        <f t="shared" si="36"/>
        <v>0</v>
      </c>
      <c r="BF8" s="31"/>
      <c r="BG8" s="27">
        <v>0</v>
      </c>
      <c r="BH8" s="37">
        <f t="shared" si="7"/>
        <v>-1</v>
      </c>
      <c r="BI8" s="36">
        <v>0</v>
      </c>
      <c r="BJ8" s="31">
        <f t="shared" si="37"/>
        <v>0</v>
      </c>
      <c r="BK8" s="31">
        <f t="shared" si="38"/>
        <v>0</v>
      </c>
      <c r="BL8" s="31">
        <f t="shared" si="39"/>
        <v>0</v>
      </c>
      <c r="BM8" s="31"/>
      <c r="BN8" s="27">
        <v>0</v>
      </c>
      <c r="BO8" s="37" t="str">
        <f t="shared" si="8"/>
        <v/>
      </c>
      <c r="BP8" s="36">
        <v>0</v>
      </c>
      <c r="BQ8" s="31">
        <f t="shared" si="40"/>
        <v>0</v>
      </c>
      <c r="BR8" s="31">
        <f t="shared" si="41"/>
        <v>0</v>
      </c>
      <c r="BS8" s="31">
        <f t="shared" si="42"/>
        <v>0</v>
      </c>
      <c r="BT8" s="31"/>
      <c r="BU8" s="27">
        <v>0</v>
      </c>
      <c r="BV8" s="37" t="str">
        <f t="shared" si="9"/>
        <v/>
      </c>
      <c r="BW8" s="36">
        <v>0</v>
      </c>
      <c r="BX8" s="31">
        <f t="shared" si="43"/>
        <v>0</v>
      </c>
      <c r="BY8" s="31">
        <f t="shared" si="44"/>
        <v>0</v>
      </c>
      <c r="BZ8" s="31">
        <f t="shared" si="45"/>
        <v>0</v>
      </c>
      <c r="CA8" s="31"/>
      <c r="CB8" s="27">
        <v>0</v>
      </c>
      <c r="CC8" s="37" t="str">
        <f t="shared" si="10"/>
        <v/>
      </c>
      <c r="CD8" s="36">
        <v>0</v>
      </c>
      <c r="CE8" s="31">
        <f t="shared" si="46"/>
        <v>0</v>
      </c>
      <c r="CF8" s="31">
        <f t="shared" si="47"/>
        <v>0</v>
      </c>
      <c r="CG8" s="31">
        <f t="shared" si="48"/>
        <v>0</v>
      </c>
      <c r="CH8" s="31"/>
      <c r="CI8" s="27">
        <v>0</v>
      </c>
      <c r="CJ8" s="37" t="str">
        <f t="shared" si="11"/>
        <v/>
      </c>
      <c r="CK8" s="36">
        <v>0</v>
      </c>
      <c r="CL8" s="31">
        <f t="shared" si="49"/>
        <v>0</v>
      </c>
      <c r="CM8" s="31">
        <f t="shared" si="50"/>
        <v>0</v>
      </c>
      <c r="CN8" s="31">
        <f t="shared" si="51"/>
        <v>0</v>
      </c>
      <c r="CO8" s="31"/>
      <c r="CP8" s="27">
        <v>0</v>
      </c>
      <c r="CQ8" s="37" t="str">
        <f t="shared" si="12"/>
        <v/>
      </c>
    </row>
    <row r="9" spans="1:95" s="26" customFormat="1" ht="16" customHeight="1" x14ac:dyDescent="0.2">
      <c r="A9" s="38" t="s">
        <v>33</v>
      </c>
      <c r="B9" s="30">
        <f t="shared" si="0"/>
        <v>10913.068996504502</v>
      </c>
      <c r="C9" s="31">
        <f t="shared" si="0"/>
        <v>9571.8528168340981</v>
      </c>
      <c r="D9" s="32">
        <f t="shared" si="0"/>
        <v>1341.2161796704031</v>
      </c>
      <c r="E9" s="30">
        <f t="shared" si="13"/>
        <v>3526.9637891950001</v>
      </c>
      <c r="F9" s="33">
        <f t="shared" si="13"/>
        <v>3093.4999395029345</v>
      </c>
      <c r="G9" s="34">
        <f t="shared" si="13"/>
        <v>433.46384969206548</v>
      </c>
      <c r="H9" s="31">
        <f t="shared" si="1"/>
        <v>5000.1446630113114</v>
      </c>
      <c r="I9" s="33">
        <f t="shared" si="1"/>
        <v>0</v>
      </c>
      <c r="J9" s="33">
        <f t="shared" si="1"/>
        <v>5000.1446630113114</v>
      </c>
      <c r="K9" s="37">
        <f t="shared" si="14"/>
        <v>0.41769095512958265</v>
      </c>
      <c r="L9" s="36">
        <v>881.74094729875003</v>
      </c>
      <c r="M9" s="31">
        <f t="shared" si="15"/>
        <v>773.37498487573362</v>
      </c>
      <c r="N9" s="31">
        <f t="shared" si="16"/>
        <v>108.36596242301637</v>
      </c>
      <c r="O9" s="31">
        <f t="shared" si="17"/>
        <v>1838.0942734018527</v>
      </c>
      <c r="P9" s="31"/>
      <c r="Q9" s="33">
        <v>1838.0942734018527</v>
      </c>
      <c r="R9" s="37">
        <f t="shared" si="18"/>
        <v>1.0846193873982268</v>
      </c>
      <c r="S9" s="36">
        <v>881.74094729875003</v>
      </c>
      <c r="T9" s="31">
        <f t="shared" si="19"/>
        <v>773.37498487573362</v>
      </c>
      <c r="U9" s="31">
        <f t="shared" si="20"/>
        <v>108.36596242301637</v>
      </c>
      <c r="V9" s="31">
        <f t="shared" si="21"/>
        <v>951.64992917905897</v>
      </c>
      <c r="W9" s="31"/>
      <c r="X9" s="33">
        <v>951.64992917905897</v>
      </c>
      <c r="Y9" s="37">
        <f t="shared" si="2"/>
        <v>7.9285171108904429E-2</v>
      </c>
      <c r="Z9" s="36">
        <v>881.74094729875003</v>
      </c>
      <c r="AA9" s="31">
        <f t="shared" si="22"/>
        <v>773.37498487573362</v>
      </c>
      <c r="AB9" s="31">
        <f t="shared" si="23"/>
        <v>108.36596242301637</v>
      </c>
      <c r="AC9" s="31">
        <f t="shared" si="24"/>
        <v>1652.0221257172789</v>
      </c>
      <c r="AD9" s="31"/>
      <c r="AE9" s="27">
        <v>1652.0221257172789</v>
      </c>
      <c r="AF9" s="37">
        <f t="shared" si="3"/>
        <v>0.87359125237215896</v>
      </c>
      <c r="AG9" s="36">
        <v>881.74094729875003</v>
      </c>
      <c r="AH9" s="31">
        <f t="shared" si="25"/>
        <v>773.37498487573362</v>
      </c>
      <c r="AI9" s="31">
        <f t="shared" si="26"/>
        <v>108.36596242301637</v>
      </c>
      <c r="AJ9" s="31">
        <f t="shared" si="27"/>
        <v>558.3783347131216</v>
      </c>
      <c r="AK9" s="31"/>
      <c r="AL9" s="27">
        <v>558.3783347131216</v>
      </c>
      <c r="AM9" s="37">
        <f t="shared" si="4"/>
        <v>-0.36673199036095938</v>
      </c>
      <c r="AN9" s="36">
        <v>881.74094729875003</v>
      </c>
      <c r="AO9" s="31">
        <f t="shared" si="28"/>
        <v>773.37498487573362</v>
      </c>
      <c r="AP9" s="31">
        <f t="shared" si="29"/>
        <v>108.36596242301637</v>
      </c>
      <c r="AQ9" s="31">
        <f t="shared" si="30"/>
        <v>0</v>
      </c>
      <c r="AR9" s="31"/>
      <c r="AS9" s="27">
        <v>0</v>
      </c>
      <c r="AT9" s="37">
        <f t="shared" si="5"/>
        <v>-1</v>
      </c>
      <c r="AU9" s="36">
        <v>881.74094729875003</v>
      </c>
      <c r="AV9" s="31">
        <f t="shared" si="31"/>
        <v>773.37498487573362</v>
      </c>
      <c r="AW9" s="31">
        <f t="shared" si="32"/>
        <v>108.36596242301637</v>
      </c>
      <c r="AX9" s="31">
        <f t="shared" si="33"/>
        <v>0</v>
      </c>
      <c r="AY9" s="31"/>
      <c r="AZ9" s="27">
        <v>0</v>
      </c>
      <c r="BA9" s="37">
        <f t="shared" si="6"/>
        <v>-1</v>
      </c>
      <c r="BB9" s="36">
        <v>881.74094729875003</v>
      </c>
      <c r="BC9" s="31">
        <f t="shared" si="34"/>
        <v>773.37498487573362</v>
      </c>
      <c r="BD9" s="31">
        <f t="shared" si="35"/>
        <v>108.36596242301637</v>
      </c>
      <c r="BE9" s="31">
        <f t="shared" si="36"/>
        <v>0</v>
      </c>
      <c r="BF9" s="31"/>
      <c r="BG9" s="27">
        <v>0</v>
      </c>
      <c r="BH9" s="37">
        <f t="shared" si="7"/>
        <v>-1</v>
      </c>
      <c r="BI9" s="36">
        <v>948.17647308265009</v>
      </c>
      <c r="BJ9" s="31">
        <f t="shared" si="37"/>
        <v>831.64558454079236</v>
      </c>
      <c r="BK9" s="31">
        <f t="shared" si="38"/>
        <v>116.53088854185769</v>
      </c>
      <c r="BL9" s="31">
        <f t="shared" si="39"/>
        <v>0</v>
      </c>
      <c r="BM9" s="31"/>
      <c r="BN9" s="27">
        <v>0</v>
      </c>
      <c r="BO9" s="37">
        <f t="shared" si="8"/>
        <v>-1</v>
      </c>
      <c r="BP9" s="36">
        <v>948.17647308265009</v>
      </c>
      <c r="BQ9" s="31">
        <f t="shared" si="40"/>
        <v>831.64558454079236</v>
      </c>
      <c r="BR9" s="31">
        <f t="shared" si="41"/>
        <v>116.53088854185769</v>
      </c>
      <c r="BS9" s="31">
        <f t="shared" si="42"/>
        <v>0</v>
      </c>
      <c r="BT9" s="31"/>
      <c r="BU9" s="27">
        <v>0</v>
      </c>
      <c r="BV9" s="37">
        <f t="shared" si="9"/>
        <v>-1</v>
      </c>
      <c r="BW9" s="36">
        <v>948.17647308265009</v>
      </c>
      <c r="BX9" s="31">
        <f t="shared" si="43"/>
        <v>831.64558454079236</v>
      </c>
      <c r="BY9" s="31">
        <f t="shared" si="44"/>
        <v>116.53088854185769</v>
      </c>
      <c r="BZ9" s="31">
        <f t="shared" si="45"/>
        <v>0</v>
      </c>
      <c r="CA9" s="31"/>
      <c r="CB9" s="27">
        <v>0</v>
      </c>
      <c r="CC9" s="37">
        <f t="shared" si="10"/>
        <v>-1</v>
      </c>
      <c r="CD9" s="36">
        <v>948.17647308265009</v>
      </c>
      <c r="CE9" s="31">
        <f t="shared" si="46"/>
        <v>831.64558454079236</v>
      </c>
      <c r="CF9" s="31">
        <f t="shared" si="47"/>
        <v>116.53088854185769</v>
      </c>
      <c r="CG9" s="31">
        <f t="shared" si="48"/>
        <v>0</v>
      </c>
      <c r="CH9" s="31"/>
      <c r="CI9" s="27">
        <v>0</v>
      </c>
      <c r="CJ9" s="37">
        <f t="shared" si="11"/>
        <v>-1</v>
      </c>
      <c r="CK9" s="36">
        <v>948.17647308265009</v>
      </c>
      <c r="CL9" s="31">
        <f t="shared" si="49"/>
        <v>831.64558454079236</v>
      </c>
      <c r="CM9" s="31">
        <f t="shared" si="50"/>
        <v>116.53088854185769</v>
      </c>
      <c r="CN9" s="31">
        <f t="shared" si="51"/>
        <v>0</v>
      </c>
      <c r="CO9" s="31"/>
      <c r="CP9" s="27">
        <v>0</v>
      </c>
      <c r="CQ9" s="37">
        <f t="shared" si="12"/>
        <v>-1</v>
      </c>
    </row>
    <row r="10" spans="1:95" s="26" customFormat="1" ht="16" customHeight="1" x14ac:dyDescent="0.2">
      <c r="A10" s="38" t="s">
        <v>34</v>
      </c>
      <c r="B10" s="30">
        <f t="shared" si="0"/>
        <v>10500</v>
      </c>
      <c r="C10" s="31">
        <f t="shared" si="0"/>
        <v>9209.5499999999975</v>
      </c>
      <c r="D10" s="32">
        <f t="shared" si="0"/>
        <v>1290.4499999999998</v>
      </c>
      <c r="E10" s="30">
        <f t="shared" si="13"/>
        <v>3500</v>
      </c>
      <c r="F10" s="33">
        <f t="shared" si="13"/>
        <v>3069.85</v>
      </c>
      <c r="G10" s="34">
        <f t="shared" si="13"/>
        <v>430.15</v>
      </c>
      <c r="H10" s="31">
        <f t="shared" si="1"/>
        <v>3439.5204425611978</v>
      </c>
      <c r="I10" s="33">
        <f t="shared" si="1"/>
        <v>0</v>
      </c>
      <c r="J10" s="33">
        <f t="shared" si="1"/>
        <v>3439.5204425611978</v>
      </c>
      <c r="K10" s="37">
        <f t="shared" si="14"/>
        <v>-1.7279873553943448E-2</v>
      </c>
      <c r="L10" s="36">
        <v>875</v>
      </c>
      <c r="M10" s="31">
        <f t="shared" si="15"/>
        <v>767.46249999999998</v>
      </c>
      <c r="N10" s="31">
        <f t="shared" si="16"/>
        <v>107.53749999999999</v>
      </c>
      <c r="O10" s="31">
        <f t="shared" si="17"/>
        <v>1087.0447369309729</v>
      </c>
      <c r="P10" s="31"/>
      <c r="Q10" s="33">
        <v>1087.0447369309729</v>
      </c>
      <c r="R10" s="37">
        <f t="shared" si="18"/>
        <v>0.24233684220682616</v>
      </c>
      <c r="S10" s="36">
        <v>875</v>
      </c>
      <c r="T10" s="31">
        <f t="shared" si="19"/>
        <v>767.46249999999998</v>
      </c>
      <c r="U10" s="31">
        <f t="shared" si="20"/>
        <v>107.53749999999999</v>
      </c>
      <c r="V10" s="31">
        <f t="shared" si="21"/>
        <v>1072.1620804367878</v>
      </c>
      <c r="W10" s="31"/>
      <c r="X10" s="33">
        <v>1072.1620804367878</v>
      </c>
      <c r="Y10" s="37">
        <f t="shared" si="2"/>
        <v>0.2253280919277576</v>
      </c>
      <c r="Z10" s="36">
        <v>875</v>
      </c>
      <c r="AA10" s="31">
        <f t="shared" si="22"/>
        <v>767.46249999999998</v>
      </c>
      <c r="AB10" s="31">
        <f t="shared" si="23"/>
        <v>107.53749999999999</v>
      </c>
      <c r="AC10" s="31">
        <f t="shared" si="24"/>
        <v>1105.2956150307389</v>
      </c>
      <c r="AD10" s="31"/>
      <c r="AE10" s="27">
        <v>1105.2956150307389</v>
      </c>
      <c r="AF10" s="37">
        <f t="shared" si="3"/>
        <v>0.26319498860655877</v>
      </c>
      <c r="AG10" s="36">
        <v>875</v>
      </c>
      <c r="AH10" s="31">
        <f t="shared" si="25"/>
        <v>767.46249999999998</v>
      </c>
      <c r="AI10" s="31">
        <f t="shared" si="26"/>
        <v>107.53749999999999</v>
      </c>
      <c r="AJ10" s="31">
        <f t="shared" si="27"/>
        <v>175.01801016269772</v>
      </c>
      <c r="AK10" s="31"/>
      <c r="AL10" s="27">
        <v>175.01801016269772</v>
      </c>
      <c r="AM10" s="37">
        <f t="shared" si="4"/>
        <v>-0.79997941695691688</v>
      </c>
      <c r="AN10" s="36">
        <v>875</v>
      </c>
      <c r="AO10" s="31">
        <f t="shared" si="28"/>
        <v>767.46249999999998</v>
      </c>
      <c r="AP10" s="31">
        <f t="shared" si="29"/>
        <v>107.53749999999999</v>
      </c>
      <c r="AQ10" s="31">
        <f t="shared" si="30"/>
        <v>0</v>
      </c>
      <c r="AR10" s="31"/>
      <c r="AS10" s="27">
        <v>0</v>
      </c>
      <c r="AT10" s="37">
        <f t="shared" si="5"/>
        <v>-1</v>
      </c>
      <c r="AU10" s="36">
        <v>875</v>
      </c>
      <c r="AV10" s="31">
        <f t="shared" si="31"/>
        <v>767.46249999999998</v>
      </c>
      <c r="AW10" s="31">
        <f t="shared" si="32"/>
        <v>107.53749999999999</v>
      </c>
      <c r="AX10" s="31">
        <f t="shared" si="33"/>
        <v>0</v>
      </c>
      <c r="AY10" s="31"/>
      <c r="AZ10" s="27">
        <v>0</v>
      </c>
      <c r="BA10" s="37">
        <f t="shared" si="6"/>
        <v>-1</v>
      </c>
      <c r="BB10" s="36">
        <v>875</v>
      </c>
      <c r="BC10" s="31">
        <f t="shared" si="34"/>
        <v>767.46249999999998</v>
      </c>
      <c r="BD10" s="31">
        <f t="shared" si="35"/>
        <v>107.53749999999999</v>
      </c>
      <c r="BE10" s="31">
        <f t="shared" si="36"/>
        <v>0</v>
      </c>
      <c r="BF10" s="31"/>
      <c r="BG10" s="27">
        <v>0</v>
      </c>
      <c r="BH10" s="37">
        <f t="shared" si="7"/>
        <v>-1</v>
      </c>
      <c r="BI10" s="36">
        <v>875</v>
      </c>
      <c r="BJ10" s="31">
        <f t="shared" si="37"/>
        <v>767.46249999999998</v>
      </c>
      <c r="BK10" s="31">
        <f t="shared" si="38"/>
        <v>107.53749999999999</v>
      </c>
      <c r="BL10" s="31">
        <f t="shared" si="39"/>
        <v>0</v>
      </c>
      <c r="BM10" s="31"/>
      <c r="BN10" s="27">
        <v>0</v>
      </c>
      <c r="BO10" s="37">
        <f t="shared" si="8"/>
        <v>-1</v>
      </c>
      <c r="BP10" s="36">
        <v>875</v>
      </c>
      <c r="BQ10" s="31">
        <f t="shared" si="40"/>
        <v>767.46249999999998</v>
      </c>
      <c r="BR10" s="31">
        <f t="shared" si="41"/>
        <v>107.53749999999999</v>
      </c>
      <c r="BS10" s="31">
        <f t="shared" si="42"/>
        <v>0</v>
      </c>
      <c r="BT10" s="31"/>
      <c r="BU10" s="27">
        <v>0</v>
      </c>
      <c r="BV10" s="37">
        <f t="shared" si="9"/>
        <v>-1</v>
      </c>
      <c r="BW10" s="36">
        <v>875</v>
      </c>
      <c r="BX10" s="31">
        <f t="shared" si="43"/>
        <v>767.46249999999998</v>
      </c>
      <c r="BY10" s="31">
        <f t="shared" si="44"/>
        <v>107.53749999999999</v>
      </c>
      <c r="BZ10" s="31">
        <f t="shared" si="45"/>
        <v>0</v>
      </c>
      <c r="CA10" s="31"/>
      <c r="CB10" s="27">
        <v>0</v>
      </c>
      <c r="CC10" s="37">
        <f t="shared" si="10"/>
        <v>-1</v>
      </c>
      <c r="CD10" s="36">
        <v>875</v>
      </c>
      <c r="CE10" s="31">
        <f t="shared" si="46"/>
        <v>767.46249999999998</v>
      </c>
      <c r="CF10" s="31">
        <f t="shared" si="47"/>
        <v>107.53749999999999</v>
      </c>
      <c r="CG10" s="31">
        <f t="shared" si="48"/>
        <v>0</v>
      </c>
      <c r="CH10" s="31"/>
      <c r="CI10" s="27">
        <v>0</v>
      </c>
      <c r="CJ10" s="37">
        <f t="shared" si="11"/>
        <v>-1</v>
      </c>
      <c r="CK10" s="36">
        <v>875</v>
      </c>
      <c r="CL10" s="31">
        <f t="shared" si="49"/>
        <v>767.46249999999998</v>
      </c>
      <c r="CM10" s="31">
        <f t="shared" si="50"/>
        <v>107.53749999999999</v>
      </c>
      <c r="CN10" s="31">
        <f t="shared" si="51"/>
        <v>0</v>
      </c>
      <c r="CO10" s="31"/>
      <c r="CP10" s="27">
        <v>0</v>
      </c>
      <c r="CQ10" s="37">
        <f t="shared" si="12"/>
        <v>-1</v>
      </c>
    </row>
    <row r="11" spans="1:95" s="26" customFormat="1" ht="16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3"/>
        <v>0</v>
      </c>
      <c r="F11" s="33">
        <f t="shared" si="13"/>
        <v>0</v>
      </c>
      <c r="G11" s="34">
        <f t="shared" si="13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14"/>
        <v/>
      </c>
      <c r="L11" s="36">
        <v>0</v>
      </c>
      <c r="M11" s="31">
        <f t="shared" si="15"/>
        <v>0</v>
      </c>
      <c r="N11" s="31">
        <f t="shared" si="16"/>
        <v>0</v>
      </c>
      <c r="O11" s="31">
        <f t="shared" si="17"/>
        <v>0</v>
      </c>
      <c r="P11" s="31"/>
      <c r="Q11" s="33">
        <v>0</v>
      </c>
      <c r="R11" s="37" t="str">
        <f t="shared" si="18"/>
        <v/>
      </c>
      <c r="S11" s="36">
        <v>0</v>
      </c>
      <c r="T11" s="31">
        <f t="shared" si="19"/>
        <v>0</v>
      </c>
      <c r="U11" s="31">
        <f t="shared" si="20"/>
        <v>0</v>
      </c>
      <c r="V11" s="31">
        <f t="shared" si="21"/>
        <v>0</v>
      </c>
      <c r="W11" s="31"/>
      <c r="X11" s="33">
        <v>0</v>
      </c>
      <c r="Y11" s="37" t="str">
        <f t="shared" si="2"/>
        <v/>
      </c>
      <c r="Z11" s="36">
        <v>0</v>
      </c>
      <c r="AA11" s="31">
        <f t="shared" si="22"/>
        <v>0</v>
      </c>
      <c r="AB11" s="31">
        <f t="shared" si="23"/>
        <v>0</v>
      </c>
      <c r="AC11" s="31">
        <f t="shared" si="24"/>
        <v>0</v>
      </c>
      <c r="AD11" s="31"/>
      <c r="AE11" s="27">
        <v>0</v>
      </c>
      <c r="AF11" s="37" t="str">
        <f t="shared" si="3"/>
        <v/>
      </c>
      <c r="AG11" s="36">
        <v>0</v>
      </c>
      <c r="AH11" s="31">
        <f t="shared" si="25"/>
        <v>0</v>
      </c>
      <c r="AI11" s="31">
        <f t="shared" si="26"/>
        <v>0</v>
      </c>
      <c r="AJ11" s="31">
        <f t="shared" si="27"/>
        <v>0</v>
      </c>
      <c r="AK11" s="31"/>
      <c r="AL11" s="27">
        <v>0</v>
      </c>
      <c r="AM11" s="37" t="str">
        <f t="shared" si="4"/>
        <v/>
      </c>
      <c r="AN11" s="36">
        <v>0</v>
      </c>
      <c r="AO11" s="31">
        <f t="shared" si="28"/>
        <v>0</v>
      </c>
      <c r="AP11" s="31">
        <f t="shared" si="29"/>
        <v>0</v>
      </c>
      <c r="AQ11" s="31">
        <f t="shared" si="30"/>
        <v>0</v>
      </c>
      <c r="AR11" s="31"/>
      <c r="AS11" s="27">
        <v>0</v>
      </c>
      <c r="AT11" s="37" t="str">
        <f t="shared" si="5"/>
        <v/>
      </c>
      <c r="AU11" s="36">
        <v>0</v>
      </c>
      <c r="AV11" s="31">
        <f t="shared" si="31"/>
        <v>0</v>
      </c>
      <c r="AW11" s="31">
        <f t="shared" si="32"/>
        <v>0</v>
      </c>
      <c r="AX11" s="31">
        <f t="shared" si="33"/>
        <v>0</v>
      </c>
      <c r="AY11" s="31"/>
      <c r="AZ11" s="27">
        <v>0</v>
      </c>
      <c r="BA11" s="37" t="str">
        <f t="shared" si="6"/>
        <v/>
      </c>
      <c r="BB11" s="36">
        <v>0</v>
      </c>
      <c r="BC11" s="31">
        <f t="shared" si="34"/>
        <v>0</v>
      </c>
      <c r="BD11" s="31">
        <f t="shared" si="35"/>
        <v>0</v>
      </c>
      <c r="BE11" s="31">
        <f t="shared" si="36"/>
        <v>0</v>
      </c>
      <c r="BF11" s="31"/>
      <c r="BG11" s="27">
        <v>0</v>
      </c>
      <c r="BH11" s="37" t="str">
        <f t="shared" si="7"/>
        <v/>
      </c>
      <c r="BI11" s="36">
        <v>0</v>
      </c>
      <c r="BJ11" s="31">
        <f t="shared" si="37"/>
        <v>0</v>
      </c>
      <c r="BK11" s="31">
        <f t="shared" si="38"/>
        <v>0</v>
      </c>
      <c r="BL11" s="31">
        <f t="shared" si="39"/>
        <v>0</v>
      </c>
      <c r="BM11" s="31"/>
      <c r="BN11" s="27">
        <v>0</v>
      </c>
      <c r="BO11" s="37" t="str">
        <f t="shared" si="8"/>
        <v/>
      </c>
      <c r="BP11" s="36">
        <v>0</v>
      </c>
      <c r="BQ11" s="31">
        <f t="shared" si="40"/>
        <v>0</v>
      </c>
      <c r="BR11" s="31">
        <f t="shared" si="41"/>
        <v>0</v>
      </c>
      <c r="BS11" s="31">
        <f t="shared" si="42"/>
        <v>0</v>
      </c>
      <c r="BT11" s="31"/>
      <c r="BU11" s="27">
        <v>0</v>
      </c>
      <c r="BV11" s="37" t="str">
        <f t="shared" si="9"/>
        <v/>
      </c>
      <c r="BW11" s="36">
        <v>0</v>
      </c>
      <c r="BX11" s="31">
        <f t="shared" si="43"/>
        <v>0</v>
      </c>
      <c r="BY11" s="31">
        <f t="shared" si="44"/>
        <v>0</v>
      </c>
      <c r="BZ11" s="31">
        <f t="shared" si="45"/>
        <v>0</v>
      </c>
      <c r="CA11" s="31"/>
      <c r="CB11" s="27">
        <v>0</v>
      </c>
      <c r="CC11" s="37" t="str">
        <f t="shared" si="10"/>
        <v/>
      </c>
      <c r="CD11" s="36">
        <v>0</v>
      </c>
      <c r="CE11" s="31">
        <f t="shared" si="46"/>
        <v>0</v>
      </c>
      <c r="CF11" s="31">
        <f t="shared" si="47"/>
        <v>0</v>
      </c>
      <c r="CG11" s="31">
        <f t="shared" si="48"/>
        <v>0</v>
      </c>
      <c r="CH11" s="31"/>
      <c r="CI11" s="27">
        <v>0</v>
      </c>
      <c r="CJ11" s="37" t="str">
        <f t="shared" si="11"/>
        <v/>
      </c>
      <c r="CK11" s="36">
        <v>0</v>
      </c>
      <c r="CL11" s="31">
        <f t="shared" si="49"/>
        <v>0</v>
      </c>
      <c r="CM11" s="31">
        <f t="shared" si="50"/>
        <v>0</v>
      </c>
      <c r="CN11" s="31">
        <f t="shared" si="51"/>
        <v>0</v>
      </c>
      <c r="CO11" s="31"/>
      <c r="CP11" s="27">
        <v>0</v>
      </c>
      <c r="CQ11" s="37" t="str">
        <f t="shared" si="12"/>
        <v/>
      </c>
    </row>
    <row r="12" spans="1:95" s="26" customFormat="1" ht="16" customHeight="1" x14ac:dyDescent="0.2">
      <c r="A12" s="29" t="s">
        <v>36</v>
      </c>
      <c r="B12" s="30">
        <f t="shared" si="0"/>
        <v>3260.25</v>
      </c>
      <c r="C12" s="31">
        <f t="shared" si="0"/>
        <v>2859.5652750000004</v>
      </c>
      <c r="D12" s="32">
        <f t="shared" si="0"/>
        <v>400.6847249999999</v>
      </c>
      <c r="E12" s="30">
        <f t="shared" si="13"/>
        <v>1086.75</v>
      </c>
      <c r="F12" s="33">
        <f t="shared" si="13"/>
        <v>953.18842500000005</v>
      </c>
      <c r="G12" s="34">
        <f t="shared" si="13"/>
        <v>133.561575</v>
      </c>
      <c r="H12" s="31">
        <f t="shared" si="1"/>
        <v>1556.4439152773789</v>
      </c>
      <c r="I12" s="33">
        <f t="shared" si="1"/>
        <v>0</v>
      </c>
      <c r="J12" s="33">
        <f t="shared" si="1"/>
        <v>1556.4439152773789</v>
      </c>
      <c r="K12" s="37">
        <f t="shared" si="14"/>
        <v>0.43220052015401778</v>
      </c>
      <c r="L12" s="36">
        <v>271.6875</v>
      </c>
      <c r="M12" s="31">
        <f t="shared" si="15"/>
        <v>238.29710625000001</v>
      </c>
      <c r="N12" s="31">
        <f t="shared" si="16"/>
        <v>33.390393750000001</v>
      </c>
      <c r="O12" s="31">
        <f t="shared" si="17"/>
        <v>253.32981880999682</v>
      </c>
      <c r="P12" s="31"/>
      <c r="Q12" s="33">
        <v>253.32981880999682</v>
      </c>
      <c r="R12" s="37">
        <f t="shared" si="18"/>
        <v>-6.7569104909144473E-2</v>
      </c>
      <c r="S12" s="36">
        <v>271.6875</v>
      </c>
      <c r="T12" s="31">
        <f t="shared" si="19"/>
        <v>238.29710625000001</v>
      </c>
      <c r="U12" s="31">
        <f t="shared" si="20"/>
        <v>33.390393750000001</v>
      </c>
      <c r="V12" s="31">
        <f t="shared" si="21"/>
        <v>253.32981880999682</v>
      </c>
      <c r="W12" s="31"/>
      <c r="X12" s="33">
        <v>253.32981880999682</v>
      </c>
      <c r="Y12" s="37">
        <f t="shared" si="2"/>
        <v>-6.7569104909144473E-2</v>
      </c>
      <c r="Z12" s="36">
        <v>271.6875</v>
      </c>
      <c r="AA12" s="31">
        <f t="shared" si="22"/>
        <v>238.29710625000001</v>
      </c>
      <c r="AB12" s="31">
        <f t="shared" si="23"/>
        <v>33.390393750000001</v>
      </c>
      <c r="AC12" s="31">
        <f t="shared" si="24"/>
        <v>524.93589333123327</v>
      </c>
      <c r="AD12" s="31"/>
      <c r="AE12" s="27">
        <v>524.93589333123327</v>
      </c>
      <c r="AF12" s="37">
        <f t="shared" si="3"/>
        <v>0.93213119238549158</v>
      </c>
      <c r="AG12" s="36">
        <v>271.6875</v>
      </c>
      <c r="AH12" s="31">
        <f t="shared" si="25"/>
        <v>238.29710625000001</v>
      </c>
      <c r="AI12" s="31">
        <f t="shared" si="26"/>
        <v>33.390393750000001</v>
      </c>
      <c r="AJ12" s="31">
        <f t="shared" si="27"/>
        <v>524.84838432615197</v>
      </c>
      <c r="AK12" s="31"/>
      <c r="AL12" s="27">
        <v>524.84838432615197</v>
      </c>
      <c r="AM12" s="37">
        <f t="shared" si="4"/>
        <v>0.93180909804886847</v>
      </c>
      <c r="AN12" s="36">
        <v>271.6875</v>
      </c>
      <c r="AO12" s="31">
        <f t="shared" si="28"/>
        <v>238.29710625000001</v>
      </c>
      <c r="AP12" s="31">
        <f t="shared" si="29"/>
        <v>33.390393750000001</v>
      </c>
      <c r="AQ12" s="31">
        <f t="shared" si="30"/>
        <v>0</v>
      </c>
      <c r="AR12" s="31"/>
      <c r="AS12" s="27">
        <v>0</v>
      </c>
      <c r="AT12" s="37">
        <f t="shared" si="5"/>
        <v>-1</v>
      </c>
      <c r="AU12" s="36">
        <v>271.6875</v>
      </c>
      <c r="AV12" s="31">
        <f t="shared" si="31"/>
        <v>238.29710625000001</v>
      </c>
      <c r="AW12" s="31">
        <f t="shared" si="32"/>
        <v>33.390393750000001</v>
      </c>
      <c r="AX12" s="31">
        <f t="shared" si="33"/>
        <v>0</v>
      </c>
      <c r="AY12" s="31"/>
      <c r="AZ12" s="27">
        <v>0</v>
      </c>
      <c r="BA12" s="37">
        <f t="shared" si="6"/>
        <v>-1</v>
      </c>
      <c r="BB12" s="36">
        <v>271.6875</v>
      </c>
      <c r="BC12" s="31">
        <f t="shared" si="34"/>
        <v>238.29710625000001</v>
      </c>
      <c r="BD12" s="31">
        <f t="shared" si="35"/>
        <v>33.390393750000001</v>
      </c>
      <c r="BE12" s="31">
        <f t="shared" si="36"/>
        <v>0</v>
      </c>
      <c r="BF12" s="31"/>
      <c r="BG12" s="27">
        <v>0</v>
      </c>
      <c r="BH12" s="37">
        <f t="shared" si="7"/>
        <v>-1</v>
      </c>
      <c r="BI12" s="36">
        <v>271.6875</v>
      </c>
      <c r="BJ12" s="31">
        <f t="shared" si="37"/>
        <v>238.29710625000001</v>
      </c>
      <c r="BK12" s="31">
        <f t="shared" si="38"/>
        <v>33.390393750000001</v>
      </c>
      <c r="BL12" s="31">
        <f t="shared" si="39"/>
        <v>0</v>
      </c>
      <c r="BM12" s="31"/>
      <c r="BN12" s="27">
        <v>0</v>
      </c>
      <c r="BO12" s="37">
        <f t="shared" si="8"/>
        <v>-1</v>
      </c>
      <c r="BP12" s="36">
        <v>271.6875</v>
      </c>
      <c r="BQ12" s="31">
        <f t="shared" si="40"/>
        <v>238.29710625000001</v>
      </c>
      <c r="BR12" s="31">
        <f t="shared" si="41"/>
        <v>33.390393750000001</v>
      </c>
      <c r="BS12" s="31">
        <f t="shared" si="42"/>
        <v>0</v>
      </c>
      <c r="BT12" s="31"/>
      <c r="BU12" s="27">
        <v>0</v>
      </c>
      <c r="BV12" s="37">
        <f t="shared" si="9"/>
        <v>-1</v>
      </c>
      <c r="BW12" s="36">
        <v>271.6875</v>
      </c>
      <c r="BX12" s="31">
        <f t="shared" si="43"/>
        <v>238.29710625000001</v>
      </c>
      <c r="BY12" s="31">
        <f t="shared" si="44"/>
        <v>33.390393750000001</v>
      </c>
      <c r="BZ12" s="31">
        <f t="shared" si="45"/>
        <v>0</v>
      </c>
      <c r="CA12" s="31"/>
      <c r="CB12" s="27">
        <v>0</v>
      </c>
      <c r="CC12" s="37">
        <f t="shared" si="10"/>
        <v>-1</v>
      </c>
      <c r="CD12" s="36">
        <v>271.6875</v>
      </c>
      <c r="CE12" s="31">
        <f t="shared" si="46"/>
        <v>238.29710625000001</v>
      </c>
      <c r="CF12" s="31">
        <f t="shared" si="47"/>
        <v>33.390393750000001</v>
      </c>
      <c r="CG12" s="31">
        <f t="shared" si="48"/>
        <v>0</v>
      </c>
      <c r="CH12" s="31"/>
      <c r="CI12" s="27">
        <v>0</v>
      </c>
      <c r="CJ12" s="37">
        <f t="shared" si="11"/>
        <v>-1</v>
      </c>
      <c r="CK12" s="36">
        <v>271.6875</v>
      </c>
      <c r="CL12" s="31">
        <f t="shared" si="49"/>
        <v>238.29710625000001</v>
      </c>
      <c r="CM12" s="31">
        <f t="shared" si="50"/>
        <v>33.390393750000001</v>
      </c>
      <c r="CN12" s="31">
        <f t="shared" si="51"/>
        <v>0</v>
      </c>
      <c r="CO12" s="31"/>
      <c r="CP12" s="27">
        <v>0</v>
      </c>
      <c r="CQ12" s="37">
        <f t="shared" si="12"/>
        <v>-1</v>
      </c>
    </row>
    <row r="13" spans="1:95" s="26" customFormat="1" ht="16" customHeight="1" x14ac:dyDescent="0.2">
      <c r="A13" s="38" t="s">
        <v>37</v>
      </c>
      <c r="B13" s="30">
        <f t="shared" si="0"/>
        <v>11549.999999999998</v>
      </c>
      <c r="C13" s="31">
        <f t="shared" si="0"/>
        <v>10130.504999999999</v>
      </c>
      <c r="D13" s="32">
        <f t="shared" si="0"/>
        <v>1419.4949999999997</v>
      </c>
      <c r="E13" s="30">
        <f t="shared" si="13"/>
        <v>3849.9999999999995</v>
      </c>
      <c r="F13" s="33">
        <f t="shared" si="13"/>
        <v>3376.8349999999996</v>
      </c>
      <c r="G13" s="34">
        <f t="shared" si="13"/>
        <v>473.16499999999991</v>
      </c>
      <c r="H13" s="31">
        <f t="shared" si="1"/>
        <v>3744.6713440002677</v>
      </c>
      <c r="I13" s="33">
        <f t="shared" si="1"/>
        <v>0</v>
      </c>
      <c r="J13" s="33">
        <f t="shared" si="1"/>
        <v>3744.6713440002677</v>
      </c>
      <c r="K13" s="37">
        <f t="shared" si="14"/>
        <v>-2.7358092467462791E-2</v>
      </c>
      <c r="L13" s="36">
        <v>962.49999999999989</v>
      </c>
      <c r="M13" s="31">
        <f t="shared" si="15"/>
        <v>844.2087499999999</v>
      </c>
      <c r="N13" s="31">
        <f t="shared" si="16"/>
        <v>118.29124999999998</v>
      </c>
      <c r="O13" s="31">
        <f t="shared" si="17"/>
        <v>907.44475526221572</v>
      </c>
      <c r="P13" s="31"/>
      <c r="Q13" s="33">
        <v>907.44475526221572</v>
      </c>
      <c r="R13" s="37">
        <f t="shared" si="18"/>
        <v>-5.7200254273022555E-2</v>
      </c>
      <c r="S13" s="36">
        <v>962.49999999999989</v>
      </c>
      <c r="T13" s="31">
        <f t="shared" si="19"/>
        <v>844.2087499999999</v>
      </c>
      <c r="U13" s="31">
        <f t="shared" si="20"/>
        <v>118.29124999999998</v>
      </c>
      <c r="V13" s="31">
        <f t="shared" si="21"/>
        <v>945.74219624601733</v>
      </c>
      <c r="W13" s="31"/>
      <c r="X13" s="33">
        <v>945.74219624601733</v>
      </c>
      <c r="Y13" s="37">
        <f t="shared" si="2"/>
        <v>-1.7410705198942944E-2</v>
      </c>
      <c r="Z13" s="36">
        <v>962.49999999999989</v>
      </c>
      <c r="AA13" s="31">
        <f t="shared" si="22"/>
        <v>844.2087499999999</v>
      </c>
      <c r="AB13" s="31">
        <f t="shared" si="23"/>
        <v>118.29124999999998</v>
      </c>
      <c r="AC13" s="31">
        <f t="shared" si="24"/>
        <v>945.74219624601733</v>
      </c>
      <c r="AD13" s="31"/>
      <c r="AE13" s="27">
        <v>945.74219624601733</v>
      </c>
      <c r="AF13" s="37">
        <f t="shared" si="3"/>
        <v>-1.7410705198942944E-2</v>
      </c>
      <c r="AG13" s="36">
        <v>962.49999999999989</v>
      </c>
      <c r="AH13" s="31">
        <f t="shared" si="25"/>
        <v>844.2087499999999</v>
      </c>
      <c r="AI13" s="31">
        <f t="shared" si="26"/>
        <v>118.29124999999998</v>
      </c>
      <c r="AJ13" s="31">
        <f t="shared" si="27"/>
        <v>945.74219624601733</v>
      </c>
      <c r="AK13" s="31"/>
      <c r="AL13" s="27">
        <v>945.74219624601733</v>
      </c>
      <c r="AM13" s="37">
        <f t="shared" si="4"/>
        <v>-1.7410705198942944E-2</v>
      </c>
      <c r="AN13" s="36">
        <v>962.49999999999989</v>
      </c>
      <c r="AO13" s="31">
        <f t="shared" si="28"/>
        <v>844.2087499999999</v>
      </c>
      <c r="AP13" s="31">
        <f t="shared" si="29"/>
        <v>118.29124999999998</v>
      </c>
      <c r="AQ13" s="31">
        <f t="shared" si="30"/>
        <v>0</v>
      </c>
      <c r="AR13" s="31"/>
      <c r="AS13" s="27">
        <v>0</v>
      </c>
      <c r="AT13" s="37">
        <f t="shared" si="5"/>
        <v>-1</v>
      </c>
      <c r="AU13" s="36">
        <v>962.49999999999989</v>
      </c>
      <c r="AV13" s="31">
        <f t="shared" si="31"/>
        <v>844.2087499999999</v>
      </c>
      <c r="AW13" s="31">
        <f t="shared" si="32"/>
        <v>118.29124999999998</v>
      </c>
      <c r="AX13" s="31">
        <f t="shared" si="33"/>
        <v>0</v>
      </c>
      <c r="AY13" s="31"/>
      <c r="AZ13" s="27">
        <v>0</v>
      </c>
      <c r="BA13" s="37">
        <f t="shared" si="6"/>
        <v>-1</v>
      </c>
      <c r="BB13" s="36">
        <v>962.49999999999989</v>
      </c>
      <c r="BC13" s="31">
        <f t="shared" si="34"/>
        <v>844.2087499999999</v>
      </c>
      <c r="BD13" s="31">
        <f t="shared" si="35"/>
        <v>118.29124999999998</v>
      </c>
      <c r="BE13" s="31">
        <f t="shared" si="36"/>
        <v>0</v>
      </c>
      <c r="BF13" s="31"/>
      <c r="BG13" s="27">
        <v>0</v>
      </c>
      <c r="BH13" s="37">
        <f t="shared" si="7"/>
        <v>-1</v>
      </c>
      <c r="BI13" s="36">
        <v>962.49999999999989</v>
      </c>
      <c r="BJ13" s="31">
        <f t="shared" si="37"/>
        <v>844.2087499999999</v>
      </c>
      <c r="BK13" s="31">
        <f t="shared" si="38"/>
        <v>118.29124999999998</v>
      </c>
      <c r="BL13" s="31">
        <f t="shared" si="39"/>
        <v>0</v>
      </c>
      <c r="BM13" s="31"/>
      <c r="BN13" s="27">
        <v>0</v>
      </c>
      <c r="BO13" s="37">
        <f t="shared" si="8"/>
        <v>-1</v>
      </c>
      <c r="BP13" s="36">
        <v>962.49999999999989</v>
      </c>
      <c r="BQ13" s="31">
        <f t="shared" si="40"/>
        <v>844.2087499999999</v>
      </c>
      <c r="BR13" s="31">
        <f t="shared" si="41"/>
        <v>118.29124999999998</v>
      </c>
      <c r="BS13" s="31">
        <f t="shared" si="42"/>
        <v>0</v>
      </c>
      <c r="BT13" s="31"/>
      <c r="BU13" s="27">
        <v>0</v>
      </c>
      <c r="BV13" s="37">
        <f t="shared" si="9"/>
        <v>-1</v>
      </c>
      <c r="BW13" s="36">
        <v>962.49999999999989</v>
      </c>
      <c r="BX13" s="31">
        <f t="shared" si="43"/>
        <v>844.2087499999999</v>
      </c>
      <c r="BY13" s="31">
        <f t="shared" si="44"/>
        <v>118.29124999999998</v>
      </c>
      <c r="BZ13" s="31">
        <f t="shared" si="45"/>
        <v>0</v>
      </c>
      <c r="CA13" s="31"/>
      <c r="CB13" s="27">
        <v>0</v>
      </c>
      <c r="CC13" s="37">
        <f t="shared" si="10"/>
        <v>-1</v>
      </c>
      <c r="CD13" s="36">
        <v>962.49999999999989</v>
      </c>
      <c r="CE13" s="31">
        <f t="shared" si="46"/>
        <v>844.2087499999999</v>
      </c>
      <c r="CF13" s="31">
        <f t="shared" si="47"/>
        <v>118.29124999999998</v>
      </c>
      <c r="CG13" s="31">
        <f t="shared" si="48"/>
        <v>0</v>
      </c>
      <c r="CH13" s="31"/>
      <c r="CI13" s="27">
        <v>0</v>
      </c>
      <c r="CJ13" s="37">
        <f t="shared" si="11"/>
        <v>-1</v>
      </c>
      <c r="CK13" s="36">
        <v>962.49999999999989</v>
      </c>
      <c r="CL13" s="31">
        <f t="shared" si="49"/>
        <v>844.2087499999999</v>
      </c>
      <c r="CM13" s="31">
        <f t="shared" si="50"/>
        <v>118.29124999999998</v>
      </c>
      <c r="CN13" s="31">
        <f t="shared" si="51"/>
        <v>0</v>
      </c>
      <c r="CO13" s="31"/>
      <c r="CP13" s="27">
        <v>0</v>
      </c>
      <c r="CQ13" s="37">
        <f t="shared" si="12"/>
        <v>-1</v>
      </c>
    </row>
    <row r="14" spans="1:95" s="26" customFormat="1" ht="16" customHeight="1" x14ac:dyDescent="0.2">
      <c r="A14" s="39" t="s">
        <v>38</v>
      </c>
      <c r="B14" s="30">
        <f t="shared" si="0"/>
        <v>7131.4109999999973</v>
      </c>
      <c r="C14" s="31">
        <f t="shared" si="0"/>
        <v>6254.9605880999989</v>
      </c>
      <c r="D14" s="32">
        <f t="shared" si="0"/>
        <v>876.45041189999995</v>
      </c>
      <c r="E14" s="30">
        <f t="shared" si="13"/>
        <v>2377.1369999999997</v>
      </c>
      <c r="F14" s="33">
        <f t="shared" si="13"/>
        <v>2084.9868626999996</v>
      </c>
      <c r="G14" s="34">
        <f t="shared" si="13"/>
        <v>292.15013729999993</v>
      </c>
      <c r="H14" s="31">
        <f t="shared" si="1"/>
        <v>3272.7527813975689</v>
      </c>
      <c r="I14" s="33">
        <f t="shared" si="1"/>
        <v>0</v>
      </c>
      <c r="J14" s="33">
        <f t="shared" si="1"/>
        <v>3272.7527813975689</v>
      </c>
      <c r="K14" s="37">
        <f t="shared" si="14"/>
        <v>0.3767623748221367</v>
      </c>
      <c r="L14" s="36">
        <v>594.28424999999993</v>
      </c>
      <c r="M14" s="31">
        <f t="shared" si="15"/>
        <v>521.2467156749999</v>
      </c>
      <c r="N14" s="31">
        <f t="shared" si="16"/>
        <v>73.037534324999982</v>
      </c>
      <c r="O14" s="31">
        <f t="shared" si="17"/>
        <v>447.2436484399102</v>
      </c>
      <c r="P14" s="31"/>
      <c r="Q14" s="33">
        <v>447.2436484399102</v>
      </c>
      <c r="R14" s="37">
        <f t="shared" si="18"/>
        <v>-0.24742469880379592</v>
      </c>
      <c r="S14" s="36">
        <v>594.28424999999993</v>
      </c>
      <c r="T14" s="31">
        <f t="shared" si="19"/>
        <v>521.2467156749999</v>
      </c>
      <c r="U14" s="31">
        <f t="shared" si="20"/>
        <v>73.037534324999982</v>
      </c>
      <c r="V14" s="31">
        <f t="shared" si="21"/>
        <v>1634.159787600074</v>
      </c>
      <c r="W14" s="31"/>
      <c r="X14" s="33">
        <v>1634.159787600074</v>
      </c>
      <c r="Y14" s="37">
        <f t="shared" si="2"/>
        <v>1.7497948794706812</v>
      </c>
      <c r="Z14" s="36">
        <v>594.28424999999993</v>
      </c>
      <c r="AA14" s="31">
        <f t="shared" si="22"/>
        <v>521.2467156749999</v>
      </c>
      <c r="AB14" s="31">
        <f t="shared" si="23"/>
        <v>73.037534324999982</v>
      </c>
      <c r="AC14" s="31">
        <f t="shared" si="24"/>
        <v>609.06355045623889</v>
      </c>
      <c r="AD14" s="31"/>
      <c r="AE14" s="27">
        <v>609.06355045623889</v>
      </c>
      <c r="AF14" s="37">
        <f t="shared" si="3"/>
        <v>2.486907646675629E-2</v>
      </c>
      <c r="AG14" s="36">
        <v>594.28424999999993</v>
      </c>
      <c r="AH14" s="31">
        <f t="shared" si="25"/>
        <v>521.2467156749999</v>
      </c>
      <c r="AI14" s="31">
        <f t="shared" si="26"/>
        <v>73.037534324999982</v>
      </c>
      <c r="AJ14" s="31">
        <f t="shared" si="27"/>
        <v>582.28579490134609</v>
      </c>
      <c r="AK14" s="31"/>
      <c r="AL14" s="27">
        <v>582.28579490134609</v>
      </c>
      <c r="AM14" s="37">
        <f t="shared" si="4"/>
        <v>-2.0189757845094913E-2</v>
      </c>
      <c r="AN14" s="36">
        <v>594.28424999999993</v>
      </c>
      <c r="AO14" s="31">
        <f t="shared" si="28"/>
        <v>521.2467156749999</v>
      </c>
      <c r="AP14" s="31">
        <f t="shared" si="29"/>
        <v>73.037534324999982</v>
      </c>
      <c r="AQ14" s="31">
        <f t="shared" si="30"/>
        <v>0</v>
      </c>
      <c r="AR14" s="31"/>
      <c r="AS14" s="27">
        <v>0</v>
      </c>
      <c r="AT14" s="37">
        <f t="shared" si="5"/>
        <v>-1</v>
      </c>
      <c r="AU14" s="36">
        <v>594.28424999999993</v>
      </c>
      <c r="AV14" s="31">
        <f t="shared" si="31"/>
        <v>521.2467156749999</v>
      </c>
      <c r="AW14" s="31">
        <f t="shared" si="32"/>
        <v>73.037534324999982</v>
      </c>
      <c r="AX14" s="31">
        <f t="shared" si="33"/>
        <v>0</v>
      </c>
      <c r="AY14" s="31"/>
      <c r="AZ14" s="27">
        <v>0</v>
      </c>
      <c r="BA14" s="37">
        <f t="shared" si="6"/>
        <v>-1</v>
      </c>
      <c r="BB14" s="36">
        <v>594.28424999999993</v>
      </c>
      <c r="BC14" s="31">
        <f t="shared" si="34"/>
        <v>521.2467156749999</v>
      </c>
      <c r="BD14" s="31">
        <f t="shared" si="35"/>
        <v>73.037534324999982</v>
      </c>
      <c r="BE14" s="31">
        <f t="shared" si="36"/>
        <v>0</v>
      </c>
      <c r="BF14" s="31"/>
      <c r="BG14" s="27">
        <v>0</v>
      </c>
      <c r="BH14" s="37">
        <f t="shared" si="7"/>
        <v>-1</v>
      </c>
      <c r="BI14" s="36">
        <v>594.28424999999993</v>
      </c>
      <c r="BJ14" s="31">
        <f t="shared" si="37"/>
        <v>521.2467156749999</v>
      </c>
      <c r="BK14" s="31">
        <f t="shared" si="38"/>
        <v>73.037534324999982</v>
      </c>
      <c r="BL14" s="31">
        <f t="shared" si="39"/>
        <v>0</v>
      </c>
      <c r="BM14" s="31"/>
      <c r="BN14" s="27">
        <v>0</v>
      </c>
      <c r="BO14" s="37">
        <f t="shared" si="8"/>
        <v>-1</v>
      </c>
      <c r="BP14" s="36">
        <v>594.28424999999993</v>
      </c>
      <c r="BQ14" s="31">
        <f t="shared" si="40"/>
        <v>521.2467156749999</v>
      </c>
      <c r="BR14" s="31">
        <f t="shared" si="41"/>
        <v>73.037534324999982</v>
      </c>
      <c r="BS14" s="31">
        <f t="shared" si="42"/>
        <v>0</v>
      </c>
      <c r="BT14" s="31"/>
      <c r="BU14" s="27">
        <v>0</v>
      </c>
      <c r="BV14" s="37">
        <f t="shared" si="9"/>
        <v>-1</v>
      </c>
      <c r="BW14" s="36">
        <v>594.28424999999993</v>
      </c>
      <c r="BX14" s="31">
        <f t="shared" si="43"/>
        <v>521.2467156749999</v>
      </c>
      <c r="BY14" s="31">
        <f t="shared" si="44"/>
        <v>73.037534324999982</v>
      </c>
      <c r="BZ14" s="31">
        <f t="shared" si="45"/>
        <v>0</v>
      </c>
      <c r="CA14" s="31"/>
      <c r="CB14" s="27">
        <v>0</v>
      </c>
      <c r="CC14" s="37">
        <f t="shared" si="10"/>
        <v>-1</v>
      </c>
      <c r="CD14" s="36">
        <v>594.28424999999993</v>
      </c>
      <c r="CE14" s="31">
        <f t="shared" si="46"/>
        <v>521.2467156749999</v>
      </c>
      <c r="CF14" s="31">
        <f t="shared" si="47"/>
        <v>73.037534324999982</v>
      </c>
      <c r="CG14" s="31">
        <f t="shared" si="48"/>
        <v>0</v>
      </c>
      <c r="CH14" s="31"/>
      <c r="CI14" s="27">
        <v>0</v>
      </c>
      <c r="CJ14" s="37">
        <f t="shared" si="11"/>
        <v>-1</v>
      </c>
      <c r="CK14" s="36">
        <v>594.28424999999993</v>
      </c>
      <c r="CL14" s="31">
        <f t="shared" si="49"/>
        <v>521.2467156749999</v>
      </c>
      <c r="CM14" s="31">
        <f t="shared" si="50"/>
        <v>73.037534324999982</v>
      </c>
      <c r="CN14" s="31">
        <f t="shared" si="51"/>
        <v>0</v>
      </c>
      <c r="CO14" s="31"/>
      <c r="CP14" s="27">
        <v>0</v>
      </c>
      <c r="CQ14" s="37">
        <f t="shared" si="12"/>
        <v>-1</v>
      </c>
    </row>
    <row r="15" spans="1:95" s="26" customFormat="1" ht="16" customHeight="1" x14ac:dyDescent="0.2">
      <c r="A15" s="38" t="s">
        <v>39</v>
      </c>
      <c r="B15" s="30">
        <f t="shared" si="0"/>
        <v>19461.032499999998</v>
      </c>
      <c r="C15" s="31">
        <f t="shared" si="0"/>
        <v>17069.27160575</v>
      </c>
      <c r="D15" s="32">
        <f t="shared" si="0"/>
        <v>2391.7608942499992</v>
      </c>
      <c r="E15" s="30">
        <f t="shared" si="13"/>
        <v>6445.1099999999988</v>
      </c>
      <c r="F15" s="33">
        <f t="shared" si="13"/>
        <v>5653.0059809999993</v>
      </c>
      <c r="G15" s="34">
        <f t="shared" si="13"/>
        <v>792.10401899999977</v>
      </c>
      <c r="H15" s="31">
        <f t="shared" si="1"/>
        <v>7580.5358221958058</v>
      </c>
      <c r="I15" s="33">
        <f t="shared" si="1"/>
        <v>0</v>
      </c>
      <c r="J15" s="33">
        <f t="shared" si="1"/>
        <v>7580.5358221958058</v>
      </c>
      <c r="K15" s="37">
        <f t="shared" si="14"/>
        <v>0.17616857155204602</v>
      </c>
      <c r="L15" s="36">
        <v>1611.2774999999997</v>
      </c>
      <c r="M15" s="40">
        <f t="shared" si="15"/>
        <v>1413.2514952499998</v>
      </c>
      <c r="N15" s="40">
        <f t="shared" si="16"/>
        <v>198.02600474999994</v>
      </c>
      <c r="O15" s="40">
        <f t="shared" si="17"/>
        <v>1443.8644553302743</v>
      </c>
      <c r="P15" s="40"/>
      <c r="Q15" s="115">
        <v>1443.8644553302743</v>
      </c>
      <c r="R15" s="37">
        <f t="shared" si="18"/>
        <v>-0.10390081452122646</v>
      </c>
      <c r="S15" s="36">
        <v>1611.2774999999997</v>
      </c>
      <c r="T15" s="40">
        <f t="shared" si="19"/>
        <v>1413.2514952499998</v>
      </c>
      <c r="U15" s="40">
        <f t="shared" si="20"/>
        <v>198.02600474999994</v>
      </c>
      <c r="V15" s="40">
        <f t="shared" si="21"/>
        <v>1438.5447829113773</v>
      </c>
      <c r="W15" s="40"/>
      <c r="X15" s="115">
        <v>1438.5447829113773</v>
      </c>
      <c r="Y15" s="37">
        <f t="shared" si="2"/>
        <v>-0.10720233919273525</v>
      </c>
      <c r="Z15" s="36">
        <v>1611.2774999999997</v>
      </c>
      <c r="AA15" s="40">
        <f t="shared" si="22"/>
        <v>1413.2514952499998</v>
      </c>
      <c r="AB15" s="40">
        <f t="shared" si="23"/>
        <v>198.02600474999994</v>
      </c>
      <c r="AC15" s="40">
        <f t="shared" si="24"/>
        <v>2154.9565049909593</v>
      </c>
      <c r="AD15" s="40"/>
      <c r="AE15" s="116">
        <v>2154.9565049909593</v>
      </c>
      <c r="AF15" s="37">
        <f t="shared" si="3"/>
        <v>0.33742108667871284</v>
      </c>
      <c r="AG15" s="36">
        <v>1611.2774999999997</v>
      </c>
      <c r="AH15" s="40">
        <f t="shared" si="25"/>
        <v>1413.2514952499998</v>
      </c>
      <c r="AI15" s="40">
        <f t="shared" si="26"/>
        <v>198.02600474999994</v>
      </c>
      <c r="AJ15" s="40">
        <f t="shared" si="27"/>
        <v>2543.170078963195</v>
      </c>
      <c r="AK15" s="40"/>
      <c r="AL15" s="116">
        <v>2543.170078963195</v>
      </c>
      <c r="AM15" s="37">
        <f t="shared" si="4"/>
        <v>0.57835635324343282</v>
      </c>
      <c r="AN15" s="36">
        <v>1611.2774999999997</v>
      </c>
      <c r="AO15" s="40">
        <f t="shared" si="28"/>
        <v>1413.2514952499998</v>
      </c>
      <c r="AP15" s="40">
        <f t="shared" si="29"/>
        <v>198.02600474999994</v>
      </c>
      <c r="AQ15" s="40">
        <f t="shared" si="30"/>
        <v>0</v>
      </c>
      <c r="AR15" s="40"/>
      <c r="AS15" s="116">
        <v>0</v>
      </c>
      <c r="AT15" s="37">
        <f t="shared" si="5"/>
        <v>-1</v>
      </c>
      <c r="AU15" s="36">
        <v>1611.2774999999997</v>
      </c>
      <c r="AV15" s="40">
        <f t="shared" si="31"/>
        <v>1413.2514952499998</v>
      </c>
      <c r="AW15" s="40">
        <f t="shared" si="32"/>
        <v>198.02600474999994</v>
      </c>
      <c r="AX15" s="40">
        <f t="shared" si="33"/>
        <v>0</v>
      </c>
      <c r="AY15" s="40"/>
      <c r="AZ15" s="116">
        <v>0</v>
      </c>
      <c r="BA15" s="37">
        <f t="shared" si="6"/>
        <v>-1</v>
      </c>
      <c r="BB15" s="36">
        <v>1736.98</v>
      </c>
      <c r="BC15" s="40">
        <f t="shared" si="34"/>
        <v>1523.5051579999999</v>
      </c>
      <c r="BD15" s="40">
        <f t="shared" si="35"/>
        <v>213.474842</v>
      </c>
      <c r="BE15" s="40">
        <f t="shared" si="36"/>
        <v>0</v>
      </c>
      <c r="BF15" s="40"/>
      <c r="BG15" s="116">
        <v>0</v>
      </c>
      <c r="BH15" s="37">
        <f t="shared" si="7"/>
        <v>-1</v>
      </c>
      <c r="BI15" s="36">
        <v>1611.2774999999997</v>
      </c>
      <c r="BJ15" s="40">
        <f t="shared" si="37"/>
        <v>1413.2514952499998</v>
      </c>
      <c r="BK15" s="40">
        <f t="shared" si="38"/>
        <v>198.02600474999994</v>
      </c>
      <c r="BL15" s="40">
        <f t="shared" si="39"/>
        <v>0</v>
      </c>
      <c r="BM15" s="40"/>
      <c r="BN15" s="116">
        <v>0</v>
      </c>
      <c r="BO15" s="37">
        <f t="shared" si="8"/>
        <v>-1</v>
      </c>
      <c r="BP15" s="36">
        <v>1611.2774999999997</v>
      </c>
      <c r="BQ15" s="40">
        <f t="shared" si="40"/>
        <v>1413.2514952499998</v>
      </c>
      <c r="BR15" s="40">
        <f t="shared" si="41"/>
        <v>198.02600474999994</v>
      </c>
      <c r="BS15" s="40">
        <f t="shared" si="42"/>
        <v>0</v>
      </c>
      <c r="BT15" s="40"/>
      <c r="BU15" s="116">
        <v>0</v>
      </c>
      <c r="BV15" s="37">
        <f t="shared" si="9"/>
        <v>-1</v>
      </c>
      <c r="BW15" s="36">
        <v>1611.2774999999997</v>
      </c>
      <c r="BX15" s="40">
        <f t="shared" si="43"/>
        <v>1413.2514952499998</v>
      </c>
      <c r="BY15" s="40">
        <f t="shared" si="44"/>
        <v>198.02600474999994</v>
      </c>
      <c r="BZ15" s="40">
        <f t="shared" si="45"/>
        <v>0</v>
      </c>
      <c r="CA15" s="40"/>
      <c r="CB15" s="116">
        <v>0</v>
      </c>
      <c r="CC15" s="37">
        <f t="shared" si="10"/>
        <v>-1</v>
      </c>
      <c r="CD15" s="36">
        <v>1611.2774999999997</v>
      </c>
      <c r="CE15" s="40">
        <f t="shared" si="46"/>
        <v>1413.2514952499998</v>
      </c>
      <c r="CF15" s="40">
        <f t="shared" si="47"/>
        <v>198.02600474999994</v>
      </c>
      <c r="CG15" s="40">
        <f t="shared" si="48"/>
        <v>0</v>
      </c>
      <c r="CH15" s="40"/>
      <c r="CI15" s="116">
        <v>0</v>
      </c>
      <c r="CJ15" s="37">
        <f t="shared" si="11"/>
        <v>-1</v>
      </c>
      <c r="CK15" s="36">
        <v>1611.2774999999997</v>
      </c>
      <c r="CL15" s="40">
        <f t="shared" si="49"/>
        <v>1413.2514952499998</v>
      </c>
      <c r="CM15" s="40">
        <f t="shared" si="50"/>
        <v>198.02600474999994</v>
      </c>
      <c r="CN15" s="40">
        <f t="shared" si="51"/>
        <v>0</v>
      </c>
      <c r="CO15" s="40"/>
      <c r="CP15" s="116">
        <v>0</v>
      </c>
      <c r="CQ15" s="37">
        <f t="shared" si="12"/>
        <v>-1</v>
      </c>
    </row>
    <row r="16" spans="1:95" s="26" customFormat="1" ht="16" customHeight="1" x14ac:dyDescent="0.2">
      <c r="A16" s="29" t="s">
        <v>40</v>
      </c>
      <c r="B16" s="30">
        <f t="shared" si="0"/>
        <v>6562.5</v>
      </c>
      <c r="C16" s="31">
        <f t="shared" si="0"/>
        <v>5755.96875</v>
      </c>
      <c r="D16" s="32">
        <f t="shared" si="0"/>
        <v>806.53125</v>
      </c>
      <c r="E16" s="30">
        <f t="shared" si="13"/>
        <v>2187.5</v>
      </c>
      <c r="F16" s="33">
        <f t="shared" si="13"/>
        <v>1918.65625</v>
      </c>
      <c r="G16" s="34">
        <f t="shared" si="13"/>
        <v>268.84375</v>
      </c>
      <c r="H16" s="31">
        <f t="shared" si="1"/>
        <v>11847.932582058953</v>
      </c>
      <c r="I16" s="33">
        <f t="shared" si="1"/>
        <v>0</v>
      </c>
      <c r="J16" s="33">
        <f t="shared" si="1"/>
        <v>11847.932582058953</v>
      </c>
      <c r="K16" s="37">
        <f t="shared" si="14"/>
        <v>4.4161977517983786</v>
      </c>
      <c r="L16" s="36">
        <v>546.875</v>
      </c>
      <c r="M16" s="31">
        <f t="shared" si="15"/>
        <v>479.6640625</v>
      </c>
      <c r="N16" s="31">
        <f t="shared" si="16"/>
        <v>67.2109375</v>
      </c>
      <c r="O16" s="31">
        <f t="shared" si="17"/>
        <v>501.02930823305962</v>
      </c>
      <c r="P16" s="31"/>
      <c r="Q16" s="33">
        <v>501.02930823305962</v>
      </c>
      <c r="R16" s="37">
        <f t="shared" si="18"/>
        <v>-8.3832122088119521E-2</v>
      </c>
      <c r="S16" s="36">
        <v>546.875</v>
      </c>
      <c r="T16" s="31">
        <f t="shared" si="19"/>
        <v>479.6640625</v>
      </c>
      <c r="U16" s="31">
        <f t="shared" si="20"/>
        <v>67.2109375</v>
      </c>
      <c r="V16" s="31">
        <f t="shared" si="21"/>
        <v>8796.9678736798596</v>
      </c>
      <c r="W16" s="31"/>
      <c r="X16" s="33">
        <v>8796.9678736798596</v>
      </c>
      <c r="Y16" s="37">
        <f t="shared" si="2"/>
        <v>15.085884111871742</v>
      </c>
      <c r="Z16" s="36">
        <v>546.875</v>
      </c>
      <c r="AA16" s="31">
        <f t="shared" si="22"/>
        <v>479.6640625</v>
      </c>
      <c r="AB16" s="31">
        <f t="shared" si="23"/>
        <v>67.2109375</v>
      </c>
      <c r="AC16" s="31">
        <f t="shared" si="24"/>
        <v>549.81295329575926</v>
      </c>
      <c r="AD16" s="31"/>
      <c r="AE16" s="27">
        <v>549.81295329575926</v>
      </c>
      <c r="AF16" s="37">
        <f t="shared" si="3"/>
        <v>5.3722574551027247E-3</v>
      </c>
      <c r="AG16" s="36">
        <v>546.875</v>
      </c>
      <c r="AH16" s="31">
        <f t="shared" si="25"/>
        <v>479.6640625</v>
      </c>
      <c r="AI16" s="31">
        <f t="shared" si="26"/>
        <v>67.2109375</v>
      </c>
      <c r="AJ16" s="31">
        <f t="shared" si="27"/>
        <v>2000.1224468502749</v>
      </c>
      <c r="AK16" s="31"/>
      <c r="AL16" s="27">
        <v>2000.1224468502749</v>
      </c>
      <c r="AM16" s="37">
        <f t="shared" si="4"/>
        <v>2.6573667599547881</v>
      </c>
      <c r="AN16" s="36">
        <v>546.875</v>
      </c>
      <c r="AO16" s="31">
        <f t="shared" si="28"/>
        <v>479.6640625</v>
      </c>
      <c r="AP16" s="31">
        <f t="shared" si="29"/>
        <v>67.2109375</v>
      </c>
      <c r="AQ16" s="31">
        <f t="shared" si="30"/>
        <v>0</v>
      </c>
      <c r="AR16" s="31"/>
      <c r="AS16" s="27">
        <v>0</v>
      </c>
      <c r="AT16" s="37">
        <f t="shared" si="5"/>
        <v>-1</v>
      </c>
      <c r="AU16" s="36">
        <v>546.875</v>
      </c>
      <c r="AV16" s="31">
        <f t="shared" si="31"/>
        <v>479.6640625</v>
      </c>
      <c r="AW16" s="31">
        <f t="shared" si="32"/>
        <v>67.2109375</v>
      </c>
      <c r="AX16" s="31">
        <f t="shared" si="33"/>
        <v>0</v>
      </c>
      <c r="AY16" s="31"/>
      <c r="AZ16" s="27">
        <v>0</v>
      </c>
      <c r="BA16" s="37">
        <f t="shared" si="6"/>
        <v>-1</v>
      </c>
      <c r="BB16" s="36">
        <v>546.875</v>
      </c>
      <c r="BC16" s="31">
        <f t="shared" si="34"/>
        <v>479.6640625</v>
      </c>
      <c r="BD16" s="31">
        <f t="shared" si="35"/>
        <v>67.2109375</v>
      </c>
      <c r="BE16" s="31">
        <f t="shared" si="36"/>
        <v>0</v>
      </c>
      <c r="BF16" s="31"/>
      <c r="BG16" s="27">
        <v>0</v>
      </c>
      <c r="BH16" s="37">
        <f t="shared" si="7"/>
        <v>-1</v>
      </c>
      <c r="BI16" s="36">
        <v>546.875</v>
      </c>
      <c r="BJ16" s="31">
        <f t="shared" si="37"/>
        <v>479.6640625</v>
      </c>
      <c r="BK16" s="31">
        <f t="shared" si="38"/>
        <v>67.2109375</v>
      </c>
      <c r="BL16" s="31">
        <f t="shared" si="39"/>
        <v>0</v>
      </c>
      <c r="BM16" s="31"/>
      <c r="BN16" s="27">
        <v>0</v>
      </c>
      <c r="BO16" s="37">
        <f t="shared" si="8"/>
        <v>-1</v>
      </c>
      <c r="BP16" s="36">
        <v>546.875</v>
      </c>
      <c r="BQ16" s="31">
        <f t="shared" si="40"/>
        <v>479.6640625</v>
      </c>
      <c r="BR16" s="31">
        <f t="shared" si="41"/>
        <v>67.2109375</v>
      </c>
      <c r="BS16" s="31">
        <f t="shared" si="42"/>
        <v>0</v>
      </c>
      <c r="BT16" s="31"/>
      <c r="BU16" s="27">
        <v>0</v>
      </c>
      <c r="BV16" s="37">
        <f t="shared" si="9"/>
        <v>-1</v>
      </c>
      <c r="BW16" s="36">
        <v>546.875</v>
      </c>
      <c r="BX16" s="31">
        <f t="shared" si="43"/>
        <v>479.6640625</v>
      </c>
      <c r="BY16" s="31">
        <f t="shared" si="44"/>
        <v>67.2109375</v>
      </c>
      <c r="BZ16" s="31">
        <f t="shared" si="45"/>
        <v>0</v>
      </c>
      <c r="CA16" s="31"/>
      <c r="CB16" s="27">
        <v>0</v>
      </c>
      <c r="CC16" s="37">
        <f t="shared" si="10"/>
        <v>-1</v>
      </c>
      <c r="CD16" s="36">
        <v>546.875</v>
      </c>
      <c r="CE16" s="31">
        <f t="shared" si="46"/>
        <v>479.6640625</v>
      </c>
      <c r="CF16" s="31">
        <f t="shared" si="47"/>
        <v>67.2109375</v>
      </c>
      <c r="CG16" s="31">
        <f t="shared" si="48"/>
        <v>0</v>
      </c>
      <c r="CH16" s="31"/>
      <c r="CI16" s="27">
        <v>0</v>
      </c>
      <c r="CJ16" s="37">
        <f t="shared" si="11"/>
        <v>-1</v>
      </c>
      <c r="CK16" s="36">
        <v>546.875</v>
      </c>
      <c r="CL16" s="31">
        <f t="shared" si="49"/>
        <v>479.6640625</v>
      </c>
      <c r="CM16" s="31">
        <f t="shared" si="50"/>
        <v>67.2109375</v>
      </c>
      <c r="CN16" s="31">
        <f t="shared" si="51"/>
        <v>0</v>
      </c>
      <c r="CO16" s="31"/>
      <c r="CP16" s="27">
        <v>0</v>
      </c>
      <c r="CQ16" s="37">
        <f t="shared" si="12"/>
        <v>-1</v>
      </c>
    </row>
    <row r="17" spans="1:95" s="26" customFormat="1" ht="16" customHeight="1" x14ac:dyDescent="0.2">
      <c r="A17" s="38" t="s">
        <v>41</v>
      </c>
      <c r="B17" s="30">
        <f t="shared" si="0"/>
        <v>82640.25</v>
      </c>
      <c r="C17" s="31">
        <f t="shared" si="0"/>
        <v>72483.76327499999</v>
      </c>
      <c r="D17" s="32">
        <f t="shared" si="0"/>
        <v>10156.486725000001</v>
      </c>
      <c r="E17" s="30">
        <f t="shared" si="13"/>
        <v>27546.75</v>
      </c>
      <c r="F17" s="33">
        <f t="shared" si="13"/>
        <v>24161.254424999999</v>
      </c>
      <c r="G17" s="34">
        <f t="shared" si="13"/>
        <v>3385.4955749999999</v>
      </c>
      <c r="H17" s="31">
        <f t="shared" si="1"/>
        <v>37623.353761827617</v>
      </c>
      <c r="I17" s="33">
        <f t="shared" si="1"/>
        <v>0</v>
      </c>
      <c r="J17" s="33">
        <f t="shared" si="1"/>
        <v>37623.353761827617</v>
      </c>
      <c r="K17" s="37">
        <f t="shared" si="14"/>
        <v>0.36580009481436537</v>
      </c>
      <c r="L17" s="36">
        <v>6886.6875</v>
      </c>
      <c r="M17" s="31">
        <f t="shared" si="15"/>
        <v>6040.3136062499998</v>
      </c>
      <c r="N17" s="31">
        <f t="shared" si="16"/>
        <v>846.37389374999998</v>
      </c>
      <c r="O17" s="31">
        <f t="shared" si="17"/>
        <v>7109.1176391681038</v>
      </c>
      <c r="P17" s="31"/>
      <c r="Q17" s="33">
        <v>7109.1176391681038</v>
      </c>
      <c r="R17" s="37">
        <f t="shared" si="18"/>
        <v>3.2298567223807417E-2</v>
      </c>
      <c r="S17" s="36">
        <v>6886.6875</v>
      </c>
      <c r="T17" s="31">
        <f t="shared" si="19"/>
        <v>6040.3136062499998</v>
      </c>
      <c r="U17" s="31">
        <f t="shared" si="20"/>
        <v>846.37389374999998</v>
      </c>
      <c r="V17" s="31">
        <f t="shared" si="21"/>
        <v>5476.1355045969249</v>
      </c>
      <c r="W17" s="31"/>
      <c r="X17" s="33">
        <v>5476.1355045969249</v>
      </c>
      <c r="Y17" s="37">
        <f t="shared" si="2"/>
        <v>-0.20482300023096378</v>
      </c>
      <c r="Z17" s="36">
        <v>6886.6875</v>
      </c>
      <c r="AA17" s="31">
        <f t="shared" si="22"/>
        <v>6040.3136062499998</v>
      </c>
      <c r="AB17" s="31">
        <f t="shared" si="23"/>
        <v>846.37389374999998</v>
      </c>
      <c r="AC17" s="31">
        <f t="shared" si="24"/>
        <v>8791.4900292138391</v>
      </c>
      <c r="AD17" s="31"/>
      <c r="AE17" s="27">
        <v>8791.4900292138391</v>
      </c>
      <c r="AF17" s="37">
        <f t="shared" si="3"/>
        <v>0.27659197970197424</v>
      </c>
      <c r="AG17" s="36">
        <v>6886.6875</v>
      </c>
      <c r="AH17" s="31">
        <f t="shared" si="25"/>
        <v>6040.3136062499998</v>
      </c>
      <c r="AI17" s="31">
        <f t="shared" si="26"/>
        <v>846.37389374999998</v>
      </c>
      <c r="AJ17" s="31">
        <f t="shared" si="27"/>
        <v>16246.610588848747</v>
      </c>
      <c r="AK17" s="31"/>
      <c r="AL17" s="27">
        <v>16246.610588848747</v>
      </c>
      <c r="AM17" s="37">
        <f t="shared" si="4"/>
        <v>1.3591328325626431</v>
      </c>
      <c r="AN17" s="36">
        <v>6886.6875</v>
      </c>
      <c r="AO17" s="31">
        <f t="shared" si="28"/>
        <v>6040.3136062499998</v>
      </c>
      <c r="AP17" s="31">
        <f t="shared" si="29"/>
        <v>846.37389374999998</v>
      </c>
      <c r="AQ17" s="31">
        <f t="shared" si="30"/>
        <v>0</v>
      </c>
      <c r="AR17" s="31"/>
      <c r="AS17" s="27"/>
      <c r="AT17" s="37">
        <f t="shared" si="5"/>
        <v>-1</v>
      </c>
      <c r="AU17" s="36">
        <v>6886.6875</v>
      </c>
      <c r="AV17" s="31">
        <f t="shared" si="31"/>
        <v>6040.3136062499998</v>
      </c>
      <c r="AW17" s="31">
        <f t="shared" si="32"/>
        <v>846.37389374999998</v>
      </c>
      <c r="AX17" s="31">
        <f t="shared" si="33"/>
        <v>0</v>
      </c>
      <c r="AY17" s="31"/>
      <c r="AZ17" s="27"/>
      <c r="BA17" s="37">
        <f t="shared" si="6"/>
        <v>-1</v>
      </c>
      <c r="BB17" s="36">
        <v>6886.6875</v>
      </c>
      <c r="BC17" s="31">
        <f t="shared" si="34"/>
        <v>6040.3136062499998</v>
      </c>
      <c r="BD17" s="31">
        <f t="shared" si="35"/>
        <v>846.37389374999998</v>
      </c>
      <c r="BE17" s="31">
        <f t="shared" si="36"/>
        <v>0</v>
      </c>
      <c r="BF17" s="31"/>
      <c r="BG17" s="27"/>
      <c r="BH17" s="37">
        <f t="shared" si="7"/>
        <v>-1</v>
      </c>
      <c r="BI17" s="36">
        <v>6886.6875</v>
      </c>
      <c r="BJ17" s="31">
        <f t="shared" si="37"/>
        <v>6040.3136062499998</v>
      </c>
      <c r="BK17" s="31">
        <f t="shared" si="38"/>
        <v>846.37389374999998</v>
      </c>
      <c r="BL17" s="31">
        <f t="shared" si="39"/>
        <v>0</v>
      </c>
      <c r="BM17" s="31"/>
      <c r="BN17" s="27"/>
      <c r="BO17" s="37">
        <f t="shared" si="8"/>
        <v>-1</v>
      </c>
      <c r="BP17" s="36">
        <v>6886.6875</v>
      </c>
      <c r="BQ17" s="31">
        <f t="shared" si="40"/>
        <v>6040.3136062499998</v>
      </c>
      <c r="BR17" s="31">
        <f t="shared" si="41"/>
        <v>846.37389374999998</v>
      </c>
      <c r="BS17" s="31">
        <f t="shared" si="42"/>
        <v>0</v>
      </c>
      <c r="BT17" s="31"/>
      <c r="BU17" s="27"/>
      <c r="BV17" s="37">
        <f t="shared" si="9"/>
        <v>-1</v>
      </c>
      <c r="BW17" s="36">
        <v>6886.6875</v>
      </c>
      <c r="BX17" s="31">
        <f t="shared" si="43"/>
        <v>6040.3136062499998</v>
      </c>
      <c r="BY17" s="31">
        <f t="shared" si="44"/>
        <v>846.37389374999998</v>
      </c>
      <c r="BZ17" s="31">
        <f t="shared" si="45"/>
        <v>0</v>
      </c>
      <c r="CA17" s="31"/>
      <c r="CB17" s="27"/>
      <c r="CC17" s="37">
        <f t="shared" si="10"/>
        <v>-1</v>
      </c>
      <c r="CD17" s="36">
        <v>6886.6875</v>
      </c>
      <c r="CE17" s="31">
        <f t="shared" si="46"/>
        <v>6040.3136062499998</v>
      </c>
      <c r="CF17" s="31">
        <f t="shared" si="47"/>
        <v>846.37389374999998</v>
      </c>
      <c r="CG17" s="31">
        <f t="shared" si="48"/>
        <v>0</v>
      </c>
      <c r="CH17" s="31"/>
      <c r="CI17" s="27"/>
      <c r="CJ17" s="37">
        <f t="shared" si="11"/>
        <v>-1</v>
      </c>
      <c r="CK17" s="36">
        <v>6886.6875</v>
      </c>
      <c r="CL17" s="31">
        <f t="shared" si="49"/>
        <v>6040.3136062499998</v>
      </c>
      <c r="CM17" s="31">
        <f t="shared" si="50"/>
        <v>846.37389374999998</v>
      </c>
      <c r="CN17" s="31">
        <f t="shared" si="51"/>
        <v>0</v>
      </c>
      <c r="CO17" s="31"/>
      <c r="CP17" s="27"/>
      <c r="CQ17" s="37">
        <f t="shared" si="12"/>
        <v>-1</v>
      </c>
    </row>
    <row r="18" spans="1:95" s="26" customFormat="1" ht="16" customHeight="1" x14ac:dyDescent="0.2">
      <c r="A18" s="38" t="s">
        <v>42</v>
      </c>
      <c r="B18" s="30">
        <f t="shared" si="0"/>
        <v>11558.662499999999</v>
      </c>
      <c r="C18" s="31">
        <f t="shared" si="0"/>
        <v>10138.102878750002</v>
      </c>
      <c r="D18" s="32">
        <f t="shared" si="0"/>
        <v>1420.5596212499995</v>
      </c>
      <c r="E18" s="30">
        <f t="shared" si="13"/>
        <v>3852.8874999999998</v>
      </c>
      <c r="F18" s="33">
        <f t="shared" si="13"/>
        <v>3379.3676262499998</v>
      </c>
      <c r="G18" s="34">
        <f t="shared" si="13"/>
        <v>473.51987374999999</v>
      </c>
      <c r="H18" s="31">
        <f t="shared" si="1"/>
        <v>4223.2378045589085</v>
      </c>
      <c r="I18" s="33">
        <f t="shared" si="1"/>
        <v>0</v>
      </c>
      <c r="J18" s="33">
        <f t="shared" si="1"/>
        <v>4223.2378045589085</v>
      </c>
      <c r="K18" s="37">
        <f t="shared" si="14"/>
        <v>9.6122792206860153E-2</v>
      </c>
      <c r="L18" s="36">
        <v>963.22187499999995</v>
      </c>
      <c r="M18" s="31">
        <f t="shared" si="15"/>
        <v>844.84190656249996</v>
      </c>
      <c r="N18" s="31">
        <f t="shared" si="16"/>
        <v>118.3799684375</v>
      </c>
      <c r="O18" s="31">
        <f t="shared" si="17"/>
        <v>1730.7387618153091</v>
      </c>
      <c r="P18" s="31"/>
      <c r="Q18" s="33">
        <v>1730.7387618153091</v>
      </c>
      <c r="R18" s="37">
        <f t="shared" si="18"/>
        <v>0.79682252525183683</v>
      </c>
      <c r="S18" s="36">
        <v>963.22187499999995</v>
      </c>
      <c r="T18" s="31">
        <f t="shared" si="19"/>
        <v>844.84190656249996</v>
      </c>
      <c r="U18" s="31">
        <f t="shared" si="20"/>
        <v>118.3799684375</v>
      </c>
      <c r="V18" s="31">
        <f t="shared" si="21"/>
        <v>2492.4990427435996</v>
      </c>
      <c r="W18" s="31"/>
      <c r="X18" s="33">
        <v>2492.4990427435996</v>
      </c>
      <c r="Y18" s="37">
        <f t="shared" si="2"/>
        <v>1.5876686435756038</v>
      </c>
      <c r="Z18" s="36">
        <v>963.22187499999995</v>
      </c>
      <c r="AA18" s="31">
        <f t="shared" si="22"/>
        <v>844.84190656249996</v>
      </c>
      <c r="AB18" s="31">
        <f t="shared" si="23"/>
        <v>118.3799684375</v>
      </c>
      <c r="AC18" s="31">
        <f t="shared" si="24"/>
        <v>0</v>
      </c>
      <c r="AD18" s="31"/>
      <c r="AE18" s="27">
        <v>0</v>
      </c>
      <c r="AF18" s="37">
        <f t="shared" si="3"/>
        <v>-1</v>
      </c>
      <c r="AG18" s="36">
        <v>963.22187499999995</v>
      </c>
      <c r="AH18" s="31">
        <f t="shared" si="25"/>
        <v>844.84190656249996</v>
      </c>
      <c r="AI18" s="31">
        <f t="shared" si="26"/>
        <v>118.3799684375</v>
      </c>
      <c r="AJ18" s="31">
        <f t="shared" si="27"/>
        <v>0</v>
      </c>
      <c r="AK18" s="31"/>
      <c r="AL18" s="27">
        <v>0</v>
      </c>
      <c r="AM18" s="37">
        <f t="shared" si="4"/>
        <v>-1</v>
      </c>
      <c r="AN18" s="36">
        <v>963.22187499999995</v>
      </c>
      <c r="AO18" s="31">
        <f t="shared" si="28"/>
        <v>844.84190656249996</v>
      </c>
      <c r="AP18" s="31">
        <f t="shared" si="29"/>
        <v>118.3799684375</v>
      </c>
      <c r="AQ18" s="31">
        <f t="shared" si="30"/>
        <v>0</v>
      </c>
      <c r="AR18" s="31"/>
      <c r="AS18" s="27"/>
      <c r="AT18" s="37">
        <f t="shared" si="5"/>
        <v>-1</v>
      </c>
      <c r="AU18" s="36">
        <v>963.22187499999995</v>
      </c>
      <c r="AV18" s="31">
        <f t="shared" si="31"/>
        <v>844.84190656249996</v>
      </c>
      <c r="AW18" s="31">
        <f t="shared" si="32"/>
        <v>118.3799684375</v>
      </c>
      <c r="AX18" s="31">
        <f t="shared" si="33"/>
        <v>0</v>
      </c>
      <c r="AY18" s="31"/>
      <c r="AZ18" s="27"/>
      <c r="BA18" s="37">
        <f t="shared" si="6"/>
        <v>-1</v>
      </c>
      <c r="BB18" s="36">
        <v>963.22187499999995</v>
      </c>
      <c r="BC18" s="31">
        <f t="shared" si="34"/>
        <v>844.84190656249996</v>
      </c>
      <c r="BD18" s="31">
        <f t="shared" si="35"/>
        <v>118.3799684375</v>
      </c>
      <c r="BE18" s="31">
        <f t="shared" si="36"/>
        <v>0</v>
      </c>
      <c r="BF18" s="31"/>
      <c r="BG18" s="27"/>
      <c r="BH18" s="37">
        <f t="shared" si="7"/>
        <v>-1</v>
      </c>
      <c r="BI18" s="36">
        <v>963.22187499999995</v>
      </c>
      <c r="BJ18" s="31">
        <f t="shared" si="37"/>
        <v>844.84190656249996</v>
      </c>
      <c r="BK18" s="31">
        <f t="shared" si="38"/>
        <v>118.3799684375</v>
      </c>
      <c r="BL18" s="31">
        <f t="shared" si="39"/>
        <v>0</v>
      </c>
      <c r="BM18" s="31"/>
      <c r="BN18" s="27"/>
      <c r="BO18" s="37">
        <f t="shared" si="8"/>
        <v>-1</v>
      </c>
      <c r="BP18" s="36">
        <v>963.22187499999995</v>
      </c>
      <c r="BQ18" s="31">
        <f t="shared" si="40"/>
        <v>844.84190656249996</v>
      </c>
      <c r="BR18" s="31">
        <f t="shared" si="41"/>
        <v>118.3799684375</v>
      </c>
      <c r="BS18" s="31">
        <f t="shared" si="42"/>
        <v>0</v>
      </c>
      <c r="BT18" s="31"/>
      <c r="BU18" s="27"/>
      <c r="BV18" s="37">
        <f t="shared" si="9"/>
        <v>-1</v>
      </c>
      <c r="BW18" s="36">
        <v>963.22187499999995</v>
      </c>
      <c r="BX18" s="31">
        <f t="shared" si="43"/>
        <v>844.84190656249996</v>
      </c>
      <c r="BY18" s="31">
        <f t="shared" si="44"/>
        <v>118.3799684375</v>
      </c>
      <c r="BZ18" s="31">
        <f t="shared" si="45"/>
        <v>0</v>
      </c>
      <c r="CA18" s="31"/>
      <c r="CB18" s="27"/>
      <c r="CC18" s="37">
        <f t="shared" si="10"/>
        <v>-1</v>
      </c>
      <c r="CD18" s="36">
        <v>963.22187499999995</v>
      </c>
      <c r="CE18" s="31">
        <f t="shared" si="46"/>
        <v>844.84190656249996</v>
      </c>
      <c r="CF18" s="31">
        <f t="shared" si="47"/>
        <v>118.3799684375</v>
      </c>
      <c r="CG18" s="31">
        <f t="shared" si="48"/>
        <v>0</v>
      </c>
      <c r="CH18" s="31"/>
      <c r="CI18" s="27"/>
      <c r="CJ18" s="37">
        <f t="shared" si="11"/>
        <v>-1</v>
      </c>
      <c r="CK18" s="36">
        <v>963.22187499999995</v>
      </c>
      <c r="CL18" s="31">
        <f t="shared" si="49"/>
        <v>844.84190656249996</v>
      </c>
      <c r="CM18" s="31">
        <f t="shared" si="50"/>
        <v>118.3799684375</v>
      </c>
      <c r="CN18" s="31">
        <f t="shared" si="51"/>
        <v>0</v>
      </c>
      <c r="CO18" s="31"/>
      <c r="CP18" s="27"/>
      <c r="CQ18" s="37">
        <f t="shared" si="12"/>
        <v>-1</v>
      </c>
    </row>
    <row r="19" spans="1:95" s="26" customFormat="1" ht="16" customHeight="1" x14ac:dyDescent="0.2">
      <c r="A19" s="38" t="s">
        <v>43</v>
      </c>
      <c r="B19" s="30">
        <f t="shared" si="0"/>
        <v>3062.5</v>
      </c>
      <c r="C19" s="31">
        <f t="shared" si="0"/>
        <v>2686.1187499999996</v>
      </c>
      <c r="D19" s="32">
        <f t="shared" si="0"/>
        <v>376.38124999999991</v>
      </c>
      <c r="E19" s="30">
        <f t="shared" si="13"/>
        <v>1020.8333333333333</v>
      </c>
      <c r="F19" s="33">
        <f t="shared" si="13"/>
        <v>895.37291666666658</v>
      </c>
      <c r="G19" s="34">
        <f t="shared" si="13"/>
        <v>125.46041666666665</v>
      </c>
      <c r="H19" s="31">
        <f t="shared" si="1"/>
        <v>1760.5074082240499</v>
      </c>
      <c r="I19" s="33">
        <f t="shared" si="1"/>
        <v>0</v>
      </c>
      <c r="J19" s="33">
        <f t="shared" si="1"/>
        <v>1760.5074082240499</v>
      </c>
      <c r="K19" s="37">
        <f t="shared" si="14"/>
        <v>0.72457868560723271</v>
      </c>
      <c r="L19" s="36">
        <v>255.20833333333331</v>
      </c>
      <c r="M19" s="31">
        <f t="shared" si="15"/>
        <v>223.84322916666665</v>
      </c>
      <c r="N19" s="31">
        <f t="shared" si="16"/>
        <v>31.365104166666661</v>
      </c>
      <c r="O19" s="31">
        <f t="shared" si="17"/>
        <v>603.00932865755169</v>
      </c>
      <c r="P19" s="31"/>
      <c r="Q19" s="33">
        <v>603.00932865755169</v>
      </c>
      <c r="R19" s="37">
        <f t="shared" si="18"/>
        <v>1.3628120633112233</v>
      </c>
      <c r="S19" s="36">
        <v>255.20833333333331</v>
      </c>
      <c r="T19" s="31">
        <f t="shared" si="19"/>
        <v>223.84322916666665</v>
      </c>
      <c r="U19" s="31">
        <f t="shared" si="20"/>
        <v>31.365104166666661</v>
      </c>
      <c r="V19" s="31">
        <f t="shared" si="21"/>
        <v>225.80249953473142</v>
      </c>
      <c r="W19" s="31"/>
      <c r="X19" s="33">
        <v>225.80249953473142</v>
      </c>
      <c r="Y19" s="37">
        <f t="shared" si="2"/>
        <v>-0.1152228589659503</v>
      </c>
      <c r="Z19" s="36">
        <v>255.20833333333331</v>
      </c>
      <c r="AA19" s="31">
        <f t="shared" si="22"/>
        <v>223.84322916666665</v>
      </c>
      <c r="AB19" s="31">
        <f t="shared" si="23"/>
        <v>31.365104166666661</v>
      </c>
      <c r="AC19" s="31">
        <f t="shared" si="24"/>
        <v>65.489902998692955</v>
      </c>
      <c r="AD19" s="31"/>
      <c r="AE19" s="27">
        <v>65.489902998692955</v>
      </c>
      <c r="AF19" s="37">
        <f t="shared" si="3"/>
        <v>-0.74338650253573368</v>
      </c>
      <c r="AG19" s="36">
        <v>255.20833333333331</v>
      </c>
      <c r="AH19" s="31">
        <f t="shared" si="25"/>
        <v>223.84322916666665</v>
      </c>
      <c r="AI19" s="31">
        <f t="shared" si="26"/>
        <v>31.365104166666661</v>
      </c>
      <c r="AJ19" s="31">
        <f t="shared" si="27"/>
        <v>866.20567703307393</v>
      </c>
      <c r="AK19" s="31"/>
      <c r="AL19" s="27">
        <v>866.20567703307393</v>
      </c>
      <c r="AM19" s="37">
        <f t="shared" si="4"/>
        <v>2.3941120406193921</v>
      </c>
      <c r="AN19" s="36">
        <v>255.20833333333331</v>
      </c>
      <c r="AO19" s="31">
        <f t="shared" si="28"/>
        <v>223.84322916666665</v>
      </c>
      <c r="AP19" s="31">
        <f t="shared" si="29"/>
        <v>31.365104166666661</v>
      </c>
      <c r="AQ19" s="31">
        <f t="shared" si="30"/>
        <v>0</v>
      </c>
      <c r="AR19" s="31"/>
      <c r="AS19" s="27"/>
      <c r="AT19" s="37">
        <f t="shared" si="5"/>
        <v>-1</v>
      </c>
      <c r="AU19" s="36">
        <v>255.20833333333331</v>
      </c>
      <c r="AV19" s="31">
        <f t="shared" si="31"/>
        <v>223.84322916666665</v>
      </c>
      <c r="AW19" s="31">
        <f t="shared" si="32"/>
        <v>31.365104166666661</v>
      </c>
      <c r="AX19" s="31">
        <f t="shared" si="33"/>
        <v>0</v>
      </c>
      <c r="AY19" s="31"/>
      <c r="AZ19" s="27"/>
      <c r="BA19" s="37">
        <f t="shared" si="6"/>
        <v>-1</v>
      </c>
      <c r="BB19" s="36">
        <v>255.20833333333331</v>
      </c>
      <c r="BC19" s="31">
        <f t="shared" si="34"/>
        <v>223.84322916666665</v>
      </c>
      <c r="BD19" s="31">
        <f t="shared" si="35"/>
        <v>31.365104166666661</v>
      </c>
      <c r="BE19" s="31">
        <f t="shared" si="36"/>
        <v>0</v>
      </c>
      <c r="BF19" s="31"/>
      <c r="BG19" s="27"/>
      <c r="BH19" s="37">
        <f t="shared" si="7"/>
        <v>-1</v>
      </c>
      <c r="BI19" s="36">
        <v>255.20833333333331</v>
      </c>
      <c r="BJ19" s="31">
        <f t="shared" si="37"/>
        <v>223.84322916666665</v>
      </c>
      <c r="BK19" s="31">
        <f t="shared" si="38"/>
        <v>31.365104166666661</v>
      </c>
      <c r="BL19" s="31">
        <f t="shared" si="39"/>
        <v>0</v>
      </c>
      <c r="BM19" s="31"/>
      <c r="BN19" s="27"/>
      <c r="BO19" s="37">
        <f t="shared" si="8"/>
        <v>-1</v>
      </c>
      <c r="BP19" s="36">
        <v>255.20833333333331</v>
      </c>
      <c r="BQ19" s="31">
        <f t="shared" si="40"/>
        <v>223.84322916666665</v>
      </c>
      <c r="BR19" s="31">
        <f t="shared" si="41"/>
        <v>31.365104166666661</v>
      </c>
      <c r="BS19" s="31">
        <f t="shared" si="42"/>
        <v>0</v>
      </c>
      <c r="BT19" s="31"/>
      <c r="BU19" s="27"/>
      <c r="BV19" s="37">
        <f t="shared" si="9"/>
        <v>-1</v>
      </c>
      <c r="BW19" s="36">
        <v>255.20833333333331</v>
      </c>
      <c r="BX19" s="31">
        <f t="shared" si="43"/>
        <v>223.84322916666665</v>
      </c>
      <c r="BY19" s="31">
        <f t="shared" si="44"/>
        <v>31.365104166666661</v>
      </c>
      <c r="BZ19" s="31">
        <f t="shared" si="45"/>
        <v>0</v>
      </c>
      <c r="CA19" s="31"/>
      <c r="CB19" s="27"/>
      <c r="CC19" s="37">
        <f t="shared" si="10"/>
        <v>-1</v>
      </c>
      <c r="CD19" s="36">
        <v>255.20833333333331</v>
      </c>
      <c r="CE19" s="31">
        <f t="shared" si="46"/>
        <v>223.84322916666665</v>
      </c>
      <c r="CF19" s="31">
        <f t="shared" si="47"/>
        <v>31.365104166666661</v>
      </c>
      <c r="CG19" s="31">
        <f t="shared" si="48"/>
        <v>0</v>
      </c>
      <c r="CH19" s="31"/>
      <c r="CI19" s="27"/>
      <c r="CJ19" s="37">
        <f t="shared" si="11"/>
        <v>-1</v>
      </c>
      <c r="CK19" s="36">
        <v>255.20833333333331</v>
      </c>
      <c r="CL19" s="31">
        <f t="shared" si="49"/>
        <v>223.84322916666665</v>
      </c>
      <c r="CM19" s="31">
        <f t="shared" si="50"/>
        <v>31.365104166666661</v>
      </c>
      <c r="CN19" s="31">
        <f t="shared" si="51"/>
        <v>0</v>
      </c>
      <c r="CO19" s="31"/>
      <c r="CP19" s="27"/>
      <c r="CQ19" s="37">
        <f t="shared" si="12"/>
        <v>-1</v>
      </c>
    </row>
    <row r="20" spans="1:95" s="26" customFormat="1" ht="16" customHeight="1" x14ac:dyDescent="0.2">
      <c r="A20" s="29" t="s">
        <v>44</v>
      </c>
      <c r="B20" s="30">
        <f t="shared" si="0"/>
        <v>140452.03927999979</v>
      </c>
      <c r="C20" s="31">
        <f t="shared" si="0"/>
        <v>123190.48365248783</v>
      </c>
      <c r="D20" s="32">
        <f t="shared" si="0"/>
        <v>17261.555627511974</v>
      </c>
      <c r="E20" s="30">
        <f t="shared" si="13"/>
        <v>66293.137239999996</v>
      </c>
      <c r="F20" s="33">
        <f t="shared" si="13"/>
        <v>58145.710673203997</v>
      </c>
      <c r="G20" s="34">
        <f t="shared" si="13"/>
        <v>8147.426566795999</v>
      </c>
      <c r="H20" s="31">
        <f t="shared" si="1"/>
        <v>30367.81</v>
      </c>
      <c r="I20" s="33">
        <f t="shared" si="1"/>
        <v>0</v>
      </c>
      <c r="J20" s="33">
        <f t="shared" si="1"/>
        <v>30367.81</v>
      </c>
      <c r="K20" s="37">
        <f t="shared" si="14"/>
        <v>-0.54191623350000917</v>
      </c>
      <c r="L20" s="36">
        <v>0</v>
      </c>
      <c r="M20" s="31">
        <f t="shared" si="15"/>
        <v>0</v>
      </c>
      <c r="N20" s="31">
        <f t="shared" si="16"/>
        <v>0</v>
      </c>
      <c r="O20" s="31">
        <f t="shared" si="17"/>
        <v>0</v>
      </c>
      <c r="P20" s="31"/>
      <c r="Q20" s="33">
        <v>0</v>
      </c>
      <c r="R20" s="37" t="str">
        <f t="shared" si="18"/>
        <v/>
      </c>
      <c r="S20" s="36">
        <v>0</v>
      </c>
      <c r="T20" s="31">
        <f t="shared" si="19"/>
        <v>0</v>
      </c>
      <c r="U20" s="31">
        <f t="shared" si="20"/>
        <v>0</v>
      </c>
      <c r="V20" s="31">
        <f t="shared" si="21"/>
        <v>303.79000000000002</v>
      </c>
      <c r="W20" s="31"/>
      <c r="X20" s="33">
        <v>303.79000000000002</v>
      </c>
      <c r="Y20" s="37" t="str">
        <f t="shared" si="2"/>
        <v/>
      </c>
      <c r="Z20" s="36">
        <v>66293.137239999996</v>
      </c>
      <c r="AA20" s="31">
        <f t="shared" si="22"/>
        <v>58145.710673203997</v>
      </c>
      <c r="AB20" s="31">
        <f t="shared" si="23"/>
        <v>8147.426566795999</v>
      </c>
      <c r="AC20" s="31">
        <f t="shared" si="24"/>
        <v>0</v>
      </c>
      <c r="AD20" s="31"/>
      <c r="AE20" s="27">
        <v>0</v>
      </c>
      <c r="AF20" s="37">
        <f t="shared" si="3"/>
        <v>-1</v>
      </c>
      <c r="AG20" s="36">
        <v>0</v>
      </c>
      <c r="AH20" s="31">
        <f t="shared" si="25"/>
        <v>0</v>
      </c>
      <c r="AI20" s="31">
        <f t="shared" si="26"/>
        <v>0</v>
      </c>
      <c r="AJ20" s="31">
        <f t="shared" si="27"/>
        <v>30064.02</v>
      </c>
      <c r="AK20" s="31"/>
      <c r="AL20" s="27">
        <v>30064.02</v>
      </c>
      <c r="AM20" s="37" t="str">
        <f t="shared" si="4"/>
        <v/>
      </c>
      <c r="AN20" s="36">
        <v>1586.8456000000001</v>
      </c>
      <c r="AO20" s="31">
        <f t="shared" si="28"/>
        <v>1391.8222757600001</v>
      </c>
      <c r="AP20" s="31">
        <f t="shared" si="29"/>
        <v>195.02332423999999</v>
      </c>
      <c r="AQ20" s="31">
        <f t="shared" si="30"/>
        <v>0</v>
      </c>
      <c r="AR20" s="31"/>
      <c r="AS20" s="27"/>
      <c r="AT20" s="37">
        <f t="shared" si="5"/>
        <v>-1</v>
      </c>
      <c r="AU20" s="36">
        <v>1586.8456000000001</v>
      </c>
      <c r="AV20" s="31">
        <f t="shared" si="31"/>
        <v>1391.8222757600001</v>
      </c>
      <c r="AW20" s="31">
        <f t="shared" si="32"/>
        <v>195.02332423999999</v>
      </c>
      <c r="AX20" s="31">
        <f t="shared" si="33"/>
        <v>0</v>
      </c>
      <c r="AY20" s="31"/>
      <c r="AZ20" s="27"/>
      <c r="BA20" s="37">
        <f t="shared" si="6"/>
        <v>-1</v>
      </c>
      <c r="BB20" s="36">
        <v>30934.845599999899</v>
      </c>
      <c r="BC20" s="31">
        <f t="shared" si="34"/>
        <v>27132.953075759913</v>
      </c>
      <c r="BD20" s="31">
        <f t="shared" si="35"/>
        <v>3801.8925242399873</v>
      </c>
      <c r="BE20" s="31">
        <f t="shared" si="36"/>
        <v>0</v>
      </c>
      <c r="BF20" s="31"/>
      <c r="BG20" s="27"/>
      <c r="BH20" s="37">
        <f t="shared" si="7"/>
        <v>-1</v>
      </c>
      <c r="BI20" s="36">
        <v>4354.9828399999997</v>
      </c>
      <c r="BJ20" s="31">
        <f t="shared" si="37"/>
        <v>3819.7554489639997</v>
      </c>
      <c r="BK20" s="31">
        <f t="shared" si="38"/>
        <v>535.22739103599997</v>
      </c>
      <c r="BL20" s="31">
        <f t="shared" si="39"/>
        <v>0</v>
      </c>
      <c r="BM20" s="31"/>
      <c r="BN20" s="27"/>
      <c r="BO20" s="37">
        <f t="shared" si="8"/>
        <v>-1</v>
      </c>
      <c r="BP20" s="36">
        <v>30934.845599999899</v>
      </c>
      <c r="BQ20" s="31">
        <f t="shared" si="40"/>
        <v>27132.953075759913</v>
      </c>
      <c r="BR20" s="31">
        <f t="shared" si="41"/>
        <v>3801.8925242399873</v>
      </c>
      <c r="BS20" s="31">
        <f t="shared" si="42"/>
        <v>0</v>
      </c>
      <c r="BT20" s="31"/>
      <c r="BU20" s="27"/>
      <c r="BV20" s="37">
        <f t="shared" si="9"/>
        <v>-1</v>
      </c>
      <c r="BW20" s="36">
        <v>1586.8456000000001</v>
      </c>
      <c r="BX20" s="31">
        <f t="shared" si="43"/>
        <v>1391.8222757600001</v>
      </c>
      <c r="BY20" s="31">
        <f t="shared" si="44"/>
        <v>195.02332423999999</v>
      </c>
      <c r="BZ20" s="31">
        <f t="shared" si="45"/>
        <v>0</v>
      </c>
      <c r="CA20" s="31"/>
      <c r="CB20" s="27"/>
      <c r="CC20" s="37">
        <f t="shared" si="10"/>
        <v>-1</v>
      </c>
      <c r="CD20" s="36">
        <v>1586.8456000000001</v>
      </c>
      <c r="CE20" s="31">
        <f t="shared" si="46"/>
        <v>1391.8222757600001</v>
      </c>
      <c r="CF20" s="31">
        <f t="shared" si="47"/>
        <v>195.02332423999999</v>
      </c>
      <c r="CG20" s="31">
        <f t="shared" si="48"/>
        <v>0</v>
      </c>
      <c r="CH20" s="31"/>
      <c r="CI20" s="27"/>
      <c r="CJ20" s="37">
        <f t="shared" si="11"/>
        <v>-1</v>
      </c>
      <c r="CK20" s="36">
        <v>1586.8456000000001</v>
      </c>
      <c r="CL20" s="31">
        <f t="shared" si="49"/>
        <v>1391.8222757600001</v>
      </c>
      <c r="CM20" s="31">
        <f t="shared" si="50"/>
        <v>195.02332423999999</v>
      </c>
      <c r="CN20" s="31">
        <f t="shared" si="51"/>
        <v>0</v>
      </c>
      <c r="CO20" s="31"/>
      <c r="CP20" s="27"/>
      <c r="CQ20" s="37">
        <f t="shared" si="12"/>
        <v>-1</v>
      </c>
    </row>
    <row r="21" spans="1:95" s="26" customFormat="1" ht="16" customHeight="1" x14ac:dyDescent="0.2">
      <c r="A21" s="38" t="s">
        <v>45</v>
      </c>
      <c r="B21" s="30">
        <f t="shared" si="0"/>
        <v>45630.864000000001</v>
      </c>
      <c r="C21" s="31">
        <f t="shared" si="0"/>
        <v>40022.830814400004</v>
      </c>
      <c r="D21" s="32">
        <f t="shared" si="0"/>
        <v>5608.0331856000003</v>
      </c>
      <c r="E21" s="30">
        <f t="shared" si="13"/>
        <v>45630.864000000001</v>
      </c>
      <c r="F21" s="33">
        <f t="shared" si="13"/>
        <v>40022.830814400004</v>
      </c>
      <c r="G21" s="34">
        <f t="shared" si="13"/>
        <v>5608.0331856000003</v>
      </c>
      <c r="H21" s="31">
        <f t="shared" si="1"/>
        <v>27001.051673954513</v>
      </c>
      <c r="I21" s="33">
        <f t="shared" si="1"/>
        <v>0</v>
      </c>
      <c r="J21" s="33">
        <f t="shared" si="1"/>
        <v>27001.051673954513</v>
      </c>
      <c r="K21" s="37">
        <f t="shared" si="14"/>
        <v>-0.40827218012013733</v>
      </c>
      <c r="L21" s="36">
        <v>45630.864000000001</v>
      </c>
      <c r="M21" s="31">
        <f t="shared" si="15"/>
        <v>40022.830814400004</v>
      </c>
      <c r="N21" s="31">
        <f t="shared" si="16"/>
        <v>5608.0331856000003</v>
      </c>
      <c r="O21" s="31">
        <f t="shared" si="17"/>
        <v>0</v>
      </c>
      <c r="P21" s="31"/>
      <c r="Q21" s="33">
        <v>0</v>
      </c>
      <c r="R21" s="37">
        <f t="shared" si="18"/>
        <v>-1</v>
      </c>
      <c r="S21" s="36">
        <v>0</v>
      </c>
      <c r="T21" s="31">
        <f t="shared" si="19"/>
        <v>0</v>
      </c>
      <c r="U21" s="31">
        <f t="shared" si="20"/>
        <v>0</v>
      </c>
      <c r="V21" s="31">
        <f t="shared" si="21"/>
        <v>0</v>
      </c>
      <c r="W21" s="31"/>
      <c r="X21" s="33">
        <v>0</v>
      </c>
      <c r="Y21" s="37" t="str">
        <f t="shared" si="2"/>
        <v/>
      </c>
      <c r="Z21" s="36">
        <v>0</v>
      </c>
      <c r="AA21" s="31">
        <f t="shared" si="22"/>
        <v>0</v>
      </c>
      <c r="AB21" s="31">
        <f t="shared" si="23"/>
        <v>0</v>
      </c>
      <c r="AC21" s="31">
        <f t="shared" si="24"/>
        <v>0</v>
      </c>
      <c r="AD21" s="31"/>
      <c r="AE21" s="27">
        <v>0</v>
      </c>
      <c r="AF21" s="37" t="str">
        <f t="shared" si="3"/>
        <v/>
      </c>
      <c r="AG21" s="36">
        <v>0</v>
      </c>
      <c r="AH21" s="31">
        <f t="shared" si="25"/>
        <v>0</v>
      </c>
      <c r="AI21" s="31">
        <f t="shared" si="26"/>
        <v>0</v>
      </c>
      <c r="AJ21" s="31">
        <f t="shared" si="27"/>
        <v>27001.051673954513</v>
      </c>
      <c r="AK21" s="31"/>
      <c r="AL21" s="27">
        <v>27001.051673954513</v>
      </c>
      <c r="AM21" s="37" t="str">
        <f t="shared" si="4"/>
        <v/>
      </c>
      <c r="AN21" s="36">
        <v>0</v>
      </c>
      <c r="AO21" s="31">
        <f t="shared" si="28"/>
        <v>0</v>
      </c>
      <c r="AP21" s="31">
        <f t="shared" si="29"/>
        <v>0</v>
      </c>
      <c r="AQ21" s="31">
        <f t="shared" si="30"/>
        <v>0</v>
      </c>
      <c r="AR21" s="31"/>
      <c r="AS21" s="27"/>
      <c r="AT21" s="37" t="str">
        <f t="shared" si="5"/>
        <v/>
      </c>
      <c r="AU21" s="36">
        <v>0</v>
      </c>
      <c r="AV21" s="31">
        <f t="shared" si="31"/>
        <v>0</v>
      </c>
      <c r="AW21" s="31">
        <f t="shared" si="32"/>
        <v>0</v>
      </c>
      <c r="AX21" s="31">
        <f t="shared" si="33"/>
        <v>0</v>
      </c>
      <c r="AY21" s="31"/>
      <c r="AZ21" s="27"/>
      <c r="BA21" s="37" t="str">
        <f t="shared" si="6"/>
        <v/>
      </c>
      <c r="BB21" s="36">
        <v>0</v>
      </c>
      <c r="BC21" s="31">
        <f t="shared" si="34"/>
        <v>0</v>
      </c>
      <c r="BD21" s="31">
        <f t="shared" si="35"/>
        <v>0</v>
      </c>
      <c r="BE21" s="31">
        <f t="shared" si="36"/>
        <v>0</v>
      </c>
      <c r="BF21" s="31"/>
      <c r="BG21" s="27"/>
      <c r="BH21" s="37" t="str">
        <f t="shared" si="7"/>
        <v/>
      </c>
      <c r="BI21" s="36">
        <v>0</v>
      </c>
      <c r="BJ21" s="31">
        <f t="shared" si="37"/>
        <v>0</v>
      </c>
      <c r="BK21" s="31">
        <f t="shared" si="38"/>
        <v>0</v>
      </c>
      <c r="BL21" s="31">
        <f t="shared" si="39"/>
        <v>0</v>
      </c>
      <c r="BM21" s="31"/>
      <c r="BN21" s="27"/>
      <c r="BO21" s="37" t="str">
        <f t="shared" si="8"/>
        <v/>
      </c>
      <c r="BP21" s="36">
        <v>0</v>
      </c>
      <c r="BQ21" s="31">
        <f t="shared" si="40"/>
        <v>0</v>
      </c>
      <c r="BR21" s="31">
        <f t="shared" si="41"/>
        <v>0</v>
      </c>
      <c r="BS21" s="31">
        <f t="shared" si="42"/>
        <v>0</v>
      </c>
      <c r="BT21" s="31"/>
      <c r="BU21" s="27"/>
      <c r="BV21" s="37" t="str">
        <f t="shared" si="9"/>
        <v/>
      </c>
      <c r="BW21" s="36">
        <v>0</v>
      </c>
      <c r="BX21" s="31">
        <f t="shared" si="43"/>
        <v>0</v>
      </c>
      <c r="BY21" s="31">
        <f t="shared" si="44"/>
        <v>0</v>
      </c>
      <c r="BZ21" s="31">
        <f t="shared" si="45"/>
        <v>0</v>
      </c>
      <c r="CA21" s="31"/>
      <c r="CB21" s="27"/>
      <c r="CC21" s="37" t="str">
        <f t="shared" si="10"/>
        <v/>
      </c>
      <c r="CD21" s="36">
        <v>0</v>
      </c>
      <c r="CE21" s="31">
        <f t="shared" si="46"/>
        <v>0</v>
      </c>
      <c r="CF21" s="31">
        <f t="shared" si="47"/>
        <v>0</v>
      </c>
      <c r="CG21" s="31">
        <f t="shared" si="48"/>
        <v>0</v>
      </c>
      <c r="CH21" s="31"/>
      <c r="CI21" s="27"/>
      <c r="CJ21" s="37" t="str">
        <f t="shared" si="11"/>
        <v/>
      </c>
      <c r="CK21" s="36">
        <v>0</v>
      </c>
      <c r="CL21" s="31">
        <f t="shared" si="49"/>
        <v>0</v>
      </c>
      <c r="CM21" s="31">
        <f t="shared" si="50"/>
        <v>0</v>
      </c>
      <c r="CN21" s="31">
        <f t="shared" si="51"/>
        <v>0</v>
      </c>
      <c r="CO21" s="31"/>
      <c r="CP21" s="27"/>
      <c r="CQ21" s="37" t="str">
        <f t="shared" si="12"/>
        <v/>
      </c>
    </row>
    <row r="22" spans="1:95" s="26" customFormat="1" ht="16" customHeight="1" x14ac:dyDescent="0.2">
      <c r="A22" s="38" t="s">
        <v>46</v>
      </c>
      <c r="B22" s="30">
        <f t="shared" si="0"/>
        <v>54048.960000000014</v>
      </c>
      <c r="C22" s="31">
        <f t="shared" si="0"/>
        <v>47406.342816000011</v>
      </c>
      <c r="D22" s="32">
        <f t="shared" si="0"/>
        <v>6642.6171840000015</v>
      </c>
      <c r="E22" s="30">
        <f t="shared" si="13"/>
        <v>18016.32</v>
      </c>
      <c r="F22" s="33">
        <f t="shared" si="13"/>
        <v>15802.114271999999</v>
      </c>
      <c r="G22" s="34">
        <f t="shared" si="13"/>
        <v>2214.2057279999999</v>
      </c>
      <c r="H22" s="31">
        <f t="shared" si="1"/>
        <v>8422.3532067287124</v>
      </c>
      <c r="I22" s="33">
        <f t="shared" si="1"/>
        <v>0</v>
      </c>
      <c r="J22" s="33">
        <f t="shared" si="1"/>
        <v>8422.3532067287124</v>
      </c>
      <c r="K22" s="37">
        <f t="shared" si="14"/>
        <v>-0.53251534127231803</v>
      </c>
      <c r="L22" s="36">
        <v>4504.08</v>
      </c>
      <c r="M22" s="31">
        <f t="shared" si="15"/>
        <v>3950.5285679999997</v>
      </c>
      <c r="N22" s="31">
        <f t="shared" si="16"/>
        <v>553.55143199999998</v>
      </c>
      <c r="O22" s="31">
        <f t="shared" si="17"/>
        <v>2367.6454488943773</v>
      </c>
      <c r="P22" s="31"/>
      <c r="Q22" s="33">
        <v>2367.6454488943773</v>
      </c>
      <c r="R22" s="37">
        <f t="shared" si="18"/>
        <v>-0.47433317150353072</v>
      </c>
      <c r="S22" s="36">
        <v>4504.08</v>
      </c>
      <c r="T22" s="31">
        <f t="shared" si="19"/>
        <v>3950.5285679999997</v>
      </c>
      <c r="U22" s="31">
        <f t="shared" si="20"/>
        <v>553.55143199999998</v>
      </c>
      <c r="V22" s="31">
        <f t="shared" si="21"/>
        <v>3579.1565012579945</v>
      </c>
      <c r="W22" s="31"/>
      <c r="X22" s="33">
        <v>3579.1565012579945</v>
      </c>
      <c r="Y22" s="37">
        <f t="shared" si="2"/>
        <v>-0.20535236912799182</v>
      </c>
      <c r="Z22" s="36">
        <v>4504.08</v>
      </c>
      <c r="AA22" s="31">
        <f t="shared" si="22"/>
        <v>3950.5285679999997</v>
      </c>
      <c r="AB22" s="31">
        <f t="shared" si="23"/>
        <v>553.55143199999998</v>
      </c>
      <c r="AC22" s="31">
        <f t="shared" si="24"/>
        <v>988.24471820993983</v>
      </c>
      <c r="AD22" s="31"/>
      <c r="AE22" s="27">
        <v>988.24471820993983</v>
      </c>
      <c r="AF22" s="37">
        <f t="shared" si="3"/>
        <v>-0.78058899526430703</v>
      </c>
      <c r="AG22" s="36">
        <v>4504.08</v>
      </c>
      <c r="AH22" s="31">
        <f t="shared" si="25"/>
        <v>3950.5285679999997</v>
      </c>
      <c r="AI22" s="31">
        <f t="shared" si="26"/>
        <v>553.55143199999998</v>
      </c>
      <c r="AJ22" s="31">
        <f t="shared" si="27"/>
        <v>1487.3065383664016</v>
      </c>
      <c r="AK22" s="31"/>
      <c r="AL22" s="27">
        <v>1487.3065383664016</v>
      </c>
      <c r="AM22" s="37">
        <f t="shared" si="4"/>
        <v>-0.66978682919344201</v>
      </c>
      <c r="AN22" s="36">
        <v>4504.08</v>
      </c>
      <c r="AO22" s="31">
        <f t="shared" si="28"/>
        <v>3950.5285679999997</v>
      </c>
      <c r="AP22" s="31">
        <f t="shared" si="29"/>
        <v>553.55143199999998</v>
      </c>
      <c r="AQ22" s="31">
        <f t="shared" si="30"/>
        <v>0</v>
      </c>
      <c r="AR22" s="31"/>
      <c r="AS22" s="27"/>
      <c r="AT22" s="37">
        <f t="shared" si="5"/>
        <v>-1</v>
      </c>
      <c r="AU22" s="36">
        <v>4504.08</v>
      </c>
      <c r="AV22" s="31">
        <f t="shared" si="31"/>
        <v>3950.5285679999997</v>
      </c>
      <c r="AW22" s="31">
        <f t="shared" si="32"/>
        <v>553.55143199999998</v>
      </c>
      <c r="AX22" s="31">
        <f t="shared" si="33"/>
        <v>0</v>
      </c>
      <c r="AY22" s="31"/>
      <c r="AZ22" s="27"/>
      <c r="BA22" s="37">
        <f t="shared" si="6"/>
        <v>-1</v>
      </c>
      <c r="BB22" s="36">
        <v>4504.08</v>
      </c>
      <c r="BC22" s="31">
        <f t="shared" si="34"/>
        <v>3950.5285679999997</v>
      </c>
      <c r="BD22" s="31">
        <f t="shared" si="35"/>
        <v>553.55143199999998</v>
      </c>
      <c r="BE22" s="31">
        <f t="shared" si="36"/>
        <v>0</v>
      </c>
      <c r="BF22" s="31"/>
      <c r="BG22" s="27"/>
      <c r="BH22" s="37">
        <f t="shared" si="7"/>
        <v>-1</v>
      </c>
      <c r="BI22" s="36">
        <v>4504.08</v>
      </c>
      <c r="BJ22" s="31">
        <f t="shared" si="37"/>
        <v>3950.5285679999997</v>
      </c>
      <c r="BK22" s="31">
        <f t="shared" si="38"/>
        <v>553.55143199999998</v>
      </c>
      <c r="BL22" s="31">
        <f t="shared" si="39"/>
        <v>0</v>
      </c>
      <c r="BM22" s="31"/>
      <c r="BN22" s="27"/>
      <c r="BO22" s="37">
        <f t="shared" si="8"/>
        <v>-1</v>
      </c>
      <c r="BP22" s="36">
        <v>4504.08</v>
      </c>
      <c r="BQ22" s="31">
        <f t="shared" si="40"/>
        <v>3950.5285679999997</v>
      </c>
      <c r="BR22" s="31">
        <f t="shared" si="41"/>
        <v>553.55143199999998</v>
      </c>
      <c r="BS22" s="31">
        <f t="shared" si="42"/>
        <v>0</v>
      </c>
      <c r="BT22" s="31"/>
      <c r="BU22" s="27"/>
      <c r="BV22" s="37">
        <f t="shared" si="9"/>
        <v>-1</v>
      </c>
      <c r="BW22" s="36">
        <v>4504.08</v>
      </c>
      <c r="BX22" s="31">
        <f t="shared" si="43"/>
        <v>3950.5285679999997</v>
      </c>
      <c r="BY22" s="31">
        <f t="shared" si="44"/>
        <v>553.55143199999998</v>
      </c>
      <c r="BZ22" s="31">
        <f t="shared" si="45"/>
        <v>0</v>
      </c>
      <c r="CA22" s="31"/>
      <c r="CB22" s="27"/>
      <c r="CC22" s="37">
        <f t="shared" si="10"/>
        <v>-1</v>
      </c>
      <c r="CD22" s="36">
        <v>4504.08</v>
      </c>
      <c r="CE22" s="31">
        <f t="shared" si="46"/>
        <v>3950.5285679999997</v>
      </c>
      <c r="CF22" s="31">
        <f t="shared" si="47"/>
        <v>553.55143199999998</v>
      </c>
      <c r="CG22" s="31">
        <f t="shared" si="48"/>
        <v>0</v>
      </c>
      <c r="CH22" s="31"/>
      <c r="CI22" s="27"/>
      <c r="CJ22" s="37">
        <f t="shared" si="11"/>
        <v>-1</v>
      </c>
      <c r="CK22" s="36">
        <v>4504.08</v>
      </c>
      <c r="CL22" s="31">
        <f t="shared" si="49"/>
        <v>3950.5285679999997</v>
      </c>
      <c r="CM22" s="31">
        <f t="shared" si="50"/>
        <v>553.55143199999998</v>
      </c>
      <c r="CN22" s="31">
        <f t="shared" si="51"/>
        <v>0</v>
      </c>
      <c r="CO22" s="31"/>
      <c r="CP22" s="27"/>
      <c r="CQ22" s="37">
        <f t="shared" si="12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3"/>
        <v>0</v>
      </c>
      <c r="F23" s="33">
        <f t="shared" si="13"/>
        <v>0</v>
      </c>
      <c r="G23" s="34">
        <f t="shared" si="13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14"/>
        <v/>
      </c>
      <c r="L23" s="36">
        <v>0</v>
      </c>
      <c r="M23" s="31">
        <f t="shared" si="15"/>
        <v>0</v>
      </c>
      <c r="N23" s="31">
        <f t="shared" si="16"/>
        <v>0</v>
      </c>
      <c r="O23" s="31">
        <f t="shared" si="17"/>
        <v>0</v>
      </c>
      <c r="P23" s="31"/>
      <c r="Q23" s="33"/>
      <c r="R23" s="37" t="str">
        <f t="shared" si="18"/>
        <v/>
      </c>
      <c r="S23" s="36">
        <v>0</v>
      </c>
      <c r="T23" s="31">
        <f t="shared" si="19"/>
        <v>0</v>
      </c>
      <c r="U23" s="31">
        <f t="shared" si="20"/>
        <v>0</v>
      </c>
      <c r="V23" s="31">
        <f t="shared" si="21"/>
        <v>0</v>
      </c>
      <c r="W23" s="31"/>
      <c r="X23" s="33"/>
      <c r="Y23" s="37" t="str">
        <f t="shared" si="2"/>
        <v/>
      </c>
      <c r="Z23" s="36">
        <v>0</v>
      </c>
      <c r="AA23" s="31">
        <f t="shared" si="22"/>
        <v>0</v>
      </c>
      <c r="AB23" s="31">
        <f t="shared" si="23"/>
        <v>0</v>
      </c>
      <c r="AC23" s="31">
        <f t="shared" si="24"/>
        <v>0</v>
      </c>
      <c r="AD23" s="31"/>
      <c r="AE23" s="27"/>
      <c r="AF23" s="37" t="str">
        <f t="shared" si="3"/>
        <v/>
      </c>
      <c r="AG23" s="36">
        <v>0</v>
      </c>
      <c r="AH23" s="31">
        <f t="shared" si="25"/>
        <v>0</v>
      </c>
      <c r="AI23" s="31">
        <f t="shared" si="26"/>
        <v>0</v>
      </c>
      <c r="AJ23" s="31">
        <f t="shared" si="27"/>
        <v>0</v>
      </c>
      <c r="AK23" s="31"/>
      <c r="AL23" s="27"/>
      <c r="AM23" s="37" t="str">
        <f t="shared" si="4"/>
        <v/>
      </c>
      <c r="AN23" s="36">
        <v>0</v>
      </c>
      <c r="AO23" s="31">
        <f t="shared" si="28"/>
        <v>0</v>
      </c>
      <c r="AP23" s="31">
        <f t="shared" si="29"/>
        <v>0</v>
      </c>
      <c r="AQ23" s="31">
        <f t="shared" si="30"/>
        <v>0</v>
      </c>
      <c r="AR23" s="31"/>
      <c r="AS23" s="27"/>
      <c r="AT23" s="37" t="str">
        <f t="shared" si="5"/>
        <v/>
      </c>
      <c r="AU23" s="36">
        <v>0</v>
      </c>
      <c r="AV23" s="31">
        <f t="shared" si="31"/>
        <v>0</v>
      </c>
      <c r="AW23" s="31">
        <f t="shared" si="32"/>
        <v>0</v>
      </c>
      <c r="AX23" s="31">
        <f t="shared" si="33"/>
        <v>0</v>
      </c>
      <c r="AY23" s="31"/>
      <c r="AZ23" s="27"/>
      <c r="BA23" s="37" t="str">
        <f t="shared" si="6"/>
        <v/>
      </c>
      <c r="BB23" s="36">
        <v>0</v>
      </c>
      <c r="BC23" s="31">
        <f t="shared" si="34"/>
        <v>0</v>
      </c>
      <c r="BD23" s="31">
        <f t="shared" si="35"/>
        <v>0</v>
      </c>
      <c r="BE23" s="31">
        <f t="shared" si="36"/>
        <v>0</v>
      </c>
      <c r="BF23" s="31"/>
      <c r="BG23" s="27"/>
      <c r="BH23" s="37" t="str">
        <f t="shared" si="7"/>
        <v/>
      </c>
      <c r="BI23" s="36">
        <v>0</v>
      </c>
      <c r="BJ23" s="31">
        <f t="shared" si="37"/>
        <v>0</v>
      </c>
      <c r="BK23" s="31">
        <f t="shared" si="38"/>
        <v>0</v>
      </c>
      <c r="BL23" s="31">
        <f t="shared" si="39"/>
        <v>0</v>
      </c>
      <c r="BM23" s="31"/>
      <c r="BN23" s="27"/>
      <c r="BO23" s="37" t="str">
        <f t="shared" si="8"/>
        <v/>
      </c>
      <c r="BP23" s="36">
        <v>0</v>
      </c>
      <c r="BQ23" s="31">
        <f t="shared" si="40"/>
        <v>0</v>
      </c>
      <c r="BR23" s="31">
        <f t="shared" si="41"/>
        <v>0</v>
      </c>
      <c r="BS23" s="31">
        <f t="shared" si="42"/>
        <v>0</v>
      </c>
      <c r="BT23" s="31"/>
      <c r="BU23" s="27"/>
      <c r="BV23" s="37" t="str">
        <f t="shared" si="9"/>
        <v/>
      </c>
      <c r="BW23" s="36">
        <v>0</v>
      </c>
      <c r="BX23" s="31">
        <f t="shared" si="43"/>
        <v>0</v>
      </c>
      <c r="BY23" s="31">
        <f t="shared" si="44"/>
        <v>0</v>
      </c>
      <c r="BZ23" s="31">
        <f t="shared" si="45"/>
        <v>0</v>
      </c>
      <c r="CA23" s="31"/>
      <c r="CB23" s="27"/>
      <c r="CC23" s="37" t="str">
        <f t="shared" si="10"/>
        <v/>
      </c>
      <c r="CD23" s="36">
        <v>0</v>
      </c>
      <c r="CE23" s="31">
        <f t="shared" si="46"/>
        <v>0</v>
      </c>
      <c r="CF23" s="31">
        <f t="shared" si="47"/>
        <v>0</v>
      </c>
      <c r="CG23" s="31">
        <f t="shared" si="48"/>
        <v>0</v>
      </c>
      <c r="CH23" s="31"/>
      <c r="CI23" s="27"/>
      <c r="CJ23" s="37" t="str">
        <f t="shared" si="11"/>
        <v/>
      </c>
      <c r="CK23" s="36">
        <v>0</v>
      </c>
      <c r="CL23" s="31">
        <f t="shared" si="49"/>
        <v>0</v>
      </c>
      <c r="CM23" s="31">
        <f t="shared" si="50"/>
        <v>0</v>
      </c>
      <c r="CN23" s="31">
        <f t="shared" si="51"/>
        <v>0</v>
      </c>
      <c r="CO23" s="31"/>
      <c r="CP23" s="27"/>
      <c r="CQ23" s="37" t="str">
        <f t="shared" si="12"/>
        <v/>
      </c>
    </row>
    <row r="24" spans="1:95" s="26" customFormat="1" ht="16" customHeight="1" x14ac:dyDescent="0.2">
      <c r="A24" s="29" t="s">
        <v>48</v>
      </c>
      <c r="B24" s="30">
        <f t="shared" si="0"/>
        <v>51969.180707553598</v>
      </c>
      <c r="C24" s="31">
        <f t="shared" si="0"/>
        <v>45582.168398595255</v>
      </c>
      <c r="D24" s="32">
        <f t="shared" si="0"/>
        <v>6387.0123089583376</v>
      </c>
      <c r="E24" s="30">
        <f t="shared" si="13"/>
        <v>17504.581193931201</v>
      </c>
      <c r="F24" s="33">
        <f t="shared" si="13"/>
        <v>15353.268165197056</v>
      </c>
      <c r="G24" s="34">
        <f t="shared" si="13"/>
        <v>2151.3130287341446</v>
      </c>
      <c r="H24" s="31">
        <f t="shared" si="1"/>
        <v>16129.340000000002</v>
      </c>
      <c r="I24" s="33">
        <f t="shared" si="1"/>
        <v>0</v>
      </c>
      <c r="J24" s="33">
        <f t="shared" si="1"/>
        <v>16129.340000000002</v>
      </c>
      <c r="K24" s="37">
        <f t="shared" si="14"/>
        <v>-7.856464423199061E-2</v>
      </c>
      <c r="L24" s="36">
        <v>4376.1452984828002</v>
      </c>
      <c r="M24" s="31">
        <f t="shared" si="15"/>
        <v>3838.317041299264</v>
      </c>
      <c r="N24" s="31">
        <f t="shared" si="16"/>
        <v>537.82825718353615</v>
      </c>
      <c r="O24" s="31">
        <f t="shared" si="17"/>
        <v>2895.0700000000006</v>
      </c>
      <c r="P24" s="31"/>
      <c r="Q24" s="33">
        <v>2895.0700000000006</v>
      </c>
      <c r="R24" s="37">
        <f t="shared" si="18"/>
        <v>-0.33844289836452301</v>
      </c>
      <c r="S24" s="36">
        <v>4376.1452984828002</v>
      </c>
      <c r="T24" s="31">
        <f t="shared" si="19"/>
        <v>3838.317041299264</v>
      </c>
      <c r="U24" s="31">
        <f t="shared" si="20"/>
        <v>537.82825718353615</v>
      </c>
      <c r="V24" s="31">
        <f t="shared" si="21"/>
        <v>11791.92</v>
      </c>
      <c r="W24" s="31"/>
      <c r="X24" s="33">
        <v>11791.92</v>
      </c>
      <c r="Y24" s="37">
        <f t="shared" si="2"/>
        <v>1.6945906033074891</v>
      </c>
      <c r="Z24" s="36">
        <v>4376.1452984828002</v>
      </c>
      <c r="AA24" s="31">
        <f t="shared" si="22"/>
        <v>3838.317041299264</v>
      </c>
      <c r="AB24" s="31">
        <f t="shared" si="23"/>
        <v>537.82825718353615</v>
      </c>
      <c r="AC24" s="31">
        <f t="shared" si="24"/>
        <v>0</v>
      </c>
      <c r="AD24" s="31"/>
      <c r="AE24" s="27">
        <v>0</v>
      </c>
      <c r="AF24" s="37">
        <f t="shared" si="3"/>
        <v>-1</v>
      </c>
      <c r="AG24" s="36">
        <v>4376.1452984828002</v>
      </c>
      <c r="AH24" s="31">
        <f t="shared" si="25"/>
        <v>3838.317041299264</v>
      </c>
      <c r="AI24" s="31">
        <f t="shared" si="26"/>
        <v>537.82825718353615</v>
      </c>
      <c r="AJ24" s="31">
        <f t="shared" si="27"/>
        <v>1442.35</v>
      </c>
      <c r="AK24" s="31"/>
      <c r="AL24" s="27">
        <v>1442.35</v>
      </c>
      <c r="AM24" s="37">
        <f t="shared" si="4"/>
        <v>-0.67040628187092888</v>
      </c>
      <c r="AN24" s="36">
        <v>4376.1452984828002</v>
      </c>
      <c r="AO24" s="31">
        <f t="shared" si="28"/>
        <v>3838.317041299264</v>
      </c>
      <c r="AP24" s="31">
        <f t="shared" si="29"/>
        <v>537.82825718353615</v>
      </c>
      <c r="AQ24" s="31">
        <f t="shared" si="30"/>
        <v>0</v>
      </c>
      <c r="AR24" s="31"/>
      <c r="AS24" s="27"/>
      <c r="AT24" s="37">
        <f t="shared" si="5"/>
        <v>-1</v>
      </c>
      <c r="AU24" s="36">
        <v>4376.1452984828002</v>
      </c>
      <c r="AV24" s="31">
        <f t="shared" si="31"/>
        <v>3838.317041299264</v>
      </c>
      <c r="AW24" s="31">
        <f t="shared" si="32"/>
        <v>537.82825718353615</v>
      </c>
      <c r="AX24" s="31">
        <f t="shared" si="33"/>
        <v>0</v>
      </c>
      <c r="AY24" s="31"/>
      <c r="AZ24" s="27"/>
      <c r="BA24" s="37">
        <f t="shared" si="6"/>
        <v>-1</v>
      </c>
      <c r="BB24" s="36">
        <v>3831.5824242427998</v>
      </c>
      <c r="BC24" s="31">
        <f t="shared" si="34"/>
        <v>3360.6809443033599</v>
      </c>
      <c r="BD24" s="31">
        <f t="shared" si="35"/>
        <v>470.90147993944009</v>
      </c>
      <c r="BE24" s="31">
        <f t="shared" si="36"/>
        <v>0</v>
      </c>
      <c r="BF24" s="31"/>
      <c r="BG24" s="27"/>
      <c r="BH24" s="37">
        <f t="shared" si="7"/>
        <v>-1</v>
      </c>
      <c r="BI24" s="36">
        <v>4376.1452984828002</v>
      </c>
      <c r="BJ24" s="31">
        <f t="shared" si="37"/>
        <v>3838.317041299264</v>
      </c>
      <c r="BK24" s="31">
        <f t="shared" si="38"/>
        <v>537.82825718353615</v>
      </c>
      <c r="BL24" s="31">
        <f t="shared" si="39"/>
        <v>0</v>
      </c>
      <c r="BM24" s="31"/>
      <c r="BN24" s="27"/>
      <c r="BO24" s="37">
        <f t="shared" si="8"/>
        <v>-1</v>
      </c>
      <c r="BP24" s="36">
        <v>4376.1452984828002</v>
      </c>
      <c r="BQ24" s="31">
        <f t="shared" si="40"/>
        <v>3838.317041299264</v>
      </c>
      <c r="BR24" s="31">
        <f t="shared" si="41"/>
        <v>537.82825718353615</v>
      </c>
      <c r="BS24" s="31">
        <f t="shared" si="42"/>
        <v>0</v>
      </c>
      <c r="BT24" s="31"/>
      <c r="BU24" s="27"/>
      <c r="BV24" s="37">
        <f t="shared" si="9"/>
        <v>-1</v>
      </c>
      <c r="BW24" s="36">
        <v>4376.1452984828002</v>
      </c>
      <c r="BX24" s="31">
        <f t="shared" si="43"/>
        <v>3838.317041299264</v>
      </c>
      <c r="BY24" s="31">
        <f t="shared" si="44"/>
        <v>537.82825718353615</v>
      </c>
      <c r="BZ24" s="31">
        <f t="shared" si="45"/>
        <v>0</v>
      </c>
      <c r="CA24" s="31"/>
      <c r="CB24" s="27"/>
      <c r="CC24" s="37">
        <f t="shared" si="10"/>
        <v>-1</v>
      </c>
      <c r="CD24" s="36">
        <v>4376.1452984828002</v>
      </c>
      <c r="CE24" s="31">
        <f t="shared" si="46"/>
        <v>3838.317041299264</v>
      </c>
      <c r="CF24" s="31">
        <f t="shared" si="47"/>
        <v>537.82825718353615</v>
      </c>
      <c r="CG24" s="31">
        <f t="shared" si="48"/>
        <v>0</v>
      </c>
      <c r="CH24" s="31"/>
      <c r="CI24" s="27"/>
      <c r="CJ24" s="37">
        <f t="shared" si="11"/>
        <v>-1</v>
      </c>
      <c r="CK24" s="36">
        <v>4376.1452984828002</v>
      </c>
      <c r="CL24" s="31">
        <f t="shared" si="49"/>
        <v>3838.317041299264</v>
      </c>
      <c r="CM24" s="31">
        <f t="shared" si="50"/>
        <v>537.82825718353615</v>
      </c>
      <c r="CN24" s="31">
        <f t="shared" si="51"/>
        <v>0</v>
      </c>
      <c r="CO24" s="31"/>
      <c r="CP24" s="27"/>
      <c r="CQ24" s="37">
        <f t="shared" si="12"/>
        <v>-1</v>
      </c>
    </row>
    <row r="25" spans="1:95" s="26" customFormat="1" ht="16" customHeight="1" x14ac:dyDescent="0.2">
      <c r="A25" s="29" t="s">
        <v>49</v>
      </c>
      <c r="B25" s="30">
        <f t="shared" si="0"/>
        <v>64444.711037999987</v>
      </c>
      <c r="C25" s="31">
        <f t="shared" si="0"/>
        <v>56524.456051429814</v>
      </c>
      <c r="D25" s="32">
        <f t="shared" si="0"/>
        <v>7920.2549865701985</v>
      </c>
      <c r="E25" s="30">
        <f t="shared" si="13"/>
        <v>26178.28746</v>
      </c>
      <c r="F25" s="33">
        <f t="shared" si="13"/>
        <v>22960.975931166002</v>
      </c>
      <c r="G25" s="34">
        <f t="shared" si="13"/>
        <v>3217.3115288339995</v>
      </c>
      <c r="H25" s="31">
        <f t="shared" si="1"/>
        <v>34289.75</v>
      </c>
      <c r="I25" s="33">
        <f t="shared" si="1"/>
        <v>0</v>
      </c>
      <c r="J25" s="33">
        <f t="shared" si="1"/>
        <v>34289.75</v>
      </c>
      <c r="K25" s="37">
        <f t="shared" si="14"/>
        <v>0.30985459046525432</v>
      </c>
      <c r="L25" s="36">
        <v>0</v>
      </c>
      <c r="M25" s="31">
        <f t="shared" si="15"/>
        <v>0</v>
      </c>
      <c r="N25" s="31">
        <f t="shared" si="16"/>
        <v>0</v>
      </c>
      <c r="O25" s="31">
        <f t="shared" si="17"/>
        <v>2573.7300000000005</v>
      </c>
      <c r="P25" s="31"/>
      <c r="Q25" s="33">
        <v>2573.7300000000005</v>
      </c>
      <c r="R25" s="37" t="str">
        <f t="shared" si="18"/>
        <v/>
      </c>
      <c r="S25" s="36">
        <v>0</v>
      </c>
      <c r="T25" s="31">
        <f t="shared" si="19"/>
        <v>0</v>
      </c>
      <c r="U25" s="31">
        <f t="shared" si="20"/>
        <v>0</v>
      </c>
      <c r="V25" s="31">
        <f t="shared" si="21"/>
        <v>2223.3000000000002</v>
      </c>
      <c r="W25" s="31"/>
      <c r="X25" s="33">
        <v>2223.3000000000002</v>
      </c>
      <c r="Y25" s="37" t="str">
        <f t="shared" si="2"/>
        <v/>
      </c>
      <c r="Z25" s="36">
        <v>14015.7318</v>
      </c>
      <c r="AA25" s="31">
        <f t="shared" si="22"/>
        <v>12293.19836178</v>
      </c>
      <c r="AB25" s="31">
        <f t="shared" si="23"/>
        <v>1722.5334382199999</v>
      </c>
      <c r="AC25" s="31">
        <f t="shared" si="24"/>
        <v>2229.7400000000002</v>
      </c>
      <c r="AD25" s="31"/>
      <c r="AE25" s="27">
        <v>2229.7400000000002</v>
      </c>
      <c r="AF25" s="37">
        <f t="shared" si="3"/>
        <v>-0.84091162475012537</v>
      </c>
      <c r="AG25" s="36">
        <v>12162.55566</v>
      </c>
      <c r="AH25" s="31">
        <f t="shared" si="25"/>
        <v>10667.777569386</v>
      </c>
      <c r="AI25" s="31">
        <f t="shared" si="26"/>
        <v>1494.7780906139999</v>
      </c>
      <c r="AJ25" s="31">
        <f t="shared" si="27"/>
        <v>27262.98</v>
      </c>
      <c r="AK25" s="31"/>
      <c r="AL25" s="27">
        <v>27262.98</v>
      </c>
      <c r="AM25" s="37">
        <f t="shared" si="4"/>
        <v>1.2415502762846145</v>
      </c>
      <c r="AN25" s="36">
        <v>12162.55566</v>
      </c>
      <c r="AO25" s="31">
        <f t="shared" si="28"/>
        <v>10667.777569386</v>
      </c>
      <c r="AP25" s="31">
        <f t="shared" si="29"/>
        <v>1494.7780906139999</v>
      </c>
      <c r="AQ25" s="31">
        <f t="shared" si="30"/>
        <v>0</v>
      </c>
      <c r="AR25" s="31"/>
      <c r="AS25" s="27"/>
      <c r="AT25" s="37">
        <f t="shared" si="5"/>
        <v>-1</v>
      </c>
      <c r="AU25" s="36">
        <v>12746.569380000001</v>
      </c>
      <c r="AV25" s="31">
        <f t="shared" si="31"/>
        <v>11180.016003198001</v>
      </c>
      <c r="AW25" s="31">
        <f t="shared" si="32"/>
        <v>1566.553376802</v>
      </c>
      <c r="AX25" s="31">
        <f t="shared" si="33"/>
        <v>0</v>
      </c>
      <c r="AY25" s="31"/>
      <c r="AZ25" s="27"/>
      <c r="BA25" s="37">
        <f t="shared" si="6"/>
        <v>-1</v>
      </c>
      <c r="BB25" s="36">
        <v>3111.0553799999998</v>
      </c>
      <c r="BC25" s="31">
        <f t="shared" si="34"/>
        <v>2728.7066737979999</v>
      </c>
      <c r="BD25" s="31">
        <f t="shared" si="35"/>
        <v>382.34870620199996</v>
      </c>
      <c r="BE25" s="31">
        <f t="shared" si="36"/>
        <v>0</v>
      </c>
      <c r="BF25" s="31"/>
      <c r="BG25" s="27"/>
      <c r="BH25" s="37">
        <f t="shared" si="7"/>
        <v>-1</v>
      </c>
      <c r="BI25" s="36">
        <v>3111.0553799999998</v>
      </c>
      <c r="BJ25" s="31">
        <f t="shared" si="37"/>
        <v>2728.7066737979999</v>
      </c>
      <c r="BK25" s="31">
        <f t="shared" si="38"/>
        <v>382.34870620199996</v>
      </c>
      <c r="BL25" s="31">
        <f t="shared" si="39"/>
        <v>0</v>
      </c>
      <c r="BM25" s="31"/>
      <c r="BN25" s="27"/>
      <c r="BO25" s="37">
        <f t="shared" si="8"/>
        <v>-1</v>
      </c>
      <c r="BP25" s="36">
        <v>3111.0553799999998</v>
      </c>
      <c r="BQ25" s="31">
        <f t="shared" si="40"/>
        <v>2728.7066737979999</v>
      </c>
      <c r="BR25" s="31">
        <f t="shared" si="41"/>
        <v>382.34870620199996</v>
      </c>
      <c r="BS25" s="31">
        <f t="shared" si="42"/>
        <v>0</v>
      </c>
      <c r="BT25" s="31"/>
      <c r="BU25" s="27"/>
      <c r="BV25" s="37">
        <f t="shared" si="9"/>
        <v>-1</v>
      </c>
      <c r="BW25" s="36">
        <v>1341.3774659999999</v>
      </c>
      <c r="BX25" s="31">
        <f t="shared" si="43"/>
        <v>1176.5221754285999</v>
      </c>
      <c r="BY25" s="31">
        <f t="shared" si="44"/>
        <v>164.85529057139999</v>
      </c>
      <c r="BZ25" s="31">
        <f t="shared" si="45"/>
        <v>0</v>
      </c>
      <c r="CA25" s="31"/>
      <c r="CB25" s="27"/>
      <c r="CC25" s="37">
        <f t="shared" si="10"/>
        <v>-1</v>
      </c>
      <c r="CD25" s="36">
        <v>1341.3774659999999</v>
      </c>
      <c r="CE25" s="31">
        <f t="shared" si="46"/>
        <v>1176.5221754285999</v>
      </c>
      <c r="CF25" s="31">
        <f t="shared" si="47"/>
        <v>164.85529057139999</v>
      </c>
      <c r="CG25" s="31">
        <f t="shared" si="48"/>
        <v>0</v>
      </c>
      <c r="CH25" s="31"/>
      <c r="CI25" s="27"/>
      <c r="CJ25" s="37">
        <f t="shared" si="11"/>
        <v>-1</v>
      </c>
      <c r="CK25" s="36">
        <v>1341.3774659999999</v>
      </c>
      <c r="CL25" s="31">
        <f t="shared" si="49"/>
        <v>1176.5221754285999</v>
      </c>
      <c r="CM25" s="31">
        <f t="shared" si="50"/>
        <v>164.85529057139999</v>
      </c>
      <c r="CN25" s="31">
        <f t="shared" si="51"/>
        <v>0</v>
      </c>
      <c r="CO25" s="31"/>
      <c r="CP25" s="27"/>
      <c r="CQ25" s="37">
        <f t="shared" si="12"/>
        <v>-1</v>
      </c>
    </row>
    <row r="26" spans="1:95" s="26" customFormat="1" ht="16" customHeight="1" x14ac:dyDescent="0.2">
      <c r="A26" s="29" t="s">
        <v>50</v>
      </c>
      <c r="B26" s="30">
        <f t="shared" si="0"/>
        <v>433177.01425577601</v>
      </c>
      <c r="C26" s="31">
        <f t="shared" si="0"/>
        <v>379939.55920374114</v>
      </c>
      <c r="D26" s="32">
        <f t="shared" si="0"/>
        <v>53237.455052034878</v>
      </c>
      <c r="E26" s="30">
        <f t="shared" si="13"/>
        <v>119250.388877568</v>
      </c>
      <c r="F26" s="33">
        <f t="shared" si="13"/>
        <v>104594.51608451489</v>
      </c>
      <c r="G26" s="34">
        <f t="shared" si="13"/>
        <v>14655.872793053106</v>
      </c>
      <c r="H26" s="31">
        <f t="shared" si="1"/>
        <v>142746.61315046914</v>
      </c>
      <c r="I26" s="33">
        <f t="shared" si="1"/>
        <v>0</v>
      </c>
      <c r="J26" s="33">
        <f t="shared" si="1"/>
        <v>142746.61315046914</v>
      </c>
      <c r="K26" s="37">
        <f t="shared" si="14"/>
        <v>0.19703268470700119</v>
      </c>
      <c r="L26" s="36">
        <v>13336.402886112</v>
      </c>
      <c r="M26" s="31">
        <f t="shared" si="15"/>
        <v>11697.358971408836</v>
      </c>
      <c r="N26" s="31">
        <f t="shared" si="16"/>
        <v>1639.0439147031648</v>
      </c>
      <c r="O26" s="31">
        <f t="shared" si="17"/>
        <v>20295.52</v>
      </c>
      <c r="P26" s="31"/>
      <c r="Q26" s="33">
        <v>20295.52</v>
      </c>
      <c r="R26" s="37">
        <f t="shared" si="18"/>
        <v>0.52181365345035791</v>
      </c>
      <c r="S26" s="36">
        <v>26187.676806111998</v>
      </c>
      <c r="T26" s="31">
        <f t="shared" si="19"/>
        <v>22969.211326640834</v>
      </c>
      <c r="U26" s="31">
        <f t="shared" si="20"/>
        <v>3218.4654794711646</v>
      </c>
      <c r="V26" s="31">
        <f t="shared" si="21"/>
        <v>26067.427576276477</v>
      </c>
      <c r="W26" s="31"/>
      <c r="X26" s="33">
        <v>26067.427576276477</v>
      </c>
      <c r="Y26" s="37">
        <f t="shared" si="2"/>
        <v>-4.5918250299872287E-3</v>
      </c>
      <c r="Z26" s="36">
        <v>39863.154592671999</v>
      </c>
      <c r="AA26" s="31">
        <f t="shared" si="22"/>
        <v>34963.972893232611</v>
      </c>
      <c r="AB26" s="31">
        <f t="shared" si="23"/>
        <v>4899.1816994393885</v>
      </c>
      <c r="AC26" s="31">
        <f t="shared" si="24"/>
        <v>36641.75557419267</v>
      </c>
      <c r="AD26" s="31"/>
      <c r="AE26" s="27">
        <v>36641.75557419267</v>
      </c>
      <c r="AF26" s="37">
        <f t="shared" si="3"/>
        <v>-8.081144233054538E-2</v>
      </c>
      <c r="AG26" s="36">
        <v>39863.154592671999</v>
      </c>
      <c r="AH26" s="31">
        <f t="shared" si="25"/>
        <v>34963.972893232611</v>
      </c>
      <c r="AI26" s="31">
        <f t="shared" si="26"/>
        <v>4899.1816994393885</v>
      </c>
      <c r="AJ26" s="31">
        <f t="shared" si="27"/>
        <v>59741.91</v>
      </c>
      <c r="AK26" s="31"/>
      <c r="AL26" s="27">
        <v>59741.91</v>
      </c>
      <c r="AM26" s="37">
        <f t="shared" si="4"/>
        <v>0.49867491949526488</v>
      </c>
      <c r="AN26" s="36">
        <v>44570.298006112003</v>
      </c>
      <c r="AO26" s="31">
        <f t="shared" si="28"/>
        <v>39092.608381160841</v>
      </c>
      <c r="AP26" s="31">
        <f t="shared" si="29"/>
        <v>5477.6896249511647</v>
      </c>
      <c r="AQ26" s="31">
        <f t="shared" si="30"/>
        <v>0</v>
      </c>
      <c r="AR26" s="31"/>
      <c r="AS26" s="27"/>
      <c r="AT26" s="37">
        <f t="shared" si="5"/>
        <v>-1</v>
      </c>
      <c r="AU26" s="36">
        <v>34679.586632672006</v>
      </c>
      <c r="AV26" s="31">
        <f t="shared" si="31"/>
        <v>30417.465435516617</v>
      </c>
      <c r="AW26" s="31">
        <f t="shared" si="32"/>
        <v>4262.1211971553894</v>
      </c>
      <c r="AX26" s="31">
        <f t="shared" si="33"/>
        <v>0</v>
      </c>
      <c r="AY26" s="31"/>
      <c r="AZ26" s="27"/>
      <c r="BA26" s="37">
        <f t="shared" si="6"/>
        <v>-1</v>
      </c>
      <c r="BB26" s="36">
        <v>29972.443219231998</v>
      </c>
      <c r="BC26" s="31">
        <f t="shared" si="34"/>
        <v>26288.829947588387</v>
      </c>
      <c r="BD26" s="31">
        <f t="shared" si="35"/>
        <v>3683.6132716436123</v>
      </c>
      <c r="BE26" s="31">
        <f t="shared" si="36"/>
        <v>0</v>
      </c>
      <c r="BF26" s="31"/>
      <c r="BG26" s="27"/>
      <c r="BH26" s="37">
        <f t="shared" si="7"/>
        <v>-1</v>
      </c>
      <c r="BI26" s="36">
        <v>39863.154592671999</v>
      </c>
      <c r="BJ26" s="31">
        <f t="shared" si="37"/>
        <v>34963.972893232611</v>
      </c>
      <c r="BK26" s="31">
        <f t="shared" si="38"/>
        <v>4899.1816994393885</v>
      </c>
      <c r="BL26" s="31">
        <f t="shared" si="39"/>
        <v>0</v>
      </c>
      <c r="BM26" s="31"/>
      <c r="BN26" s="27"/>
      <c r="BO26" s="37">
        <f t="shared" si="8"/>
        <v>-1</v>
      </c>
      <c r="BP26" s="36">
        <v>49767.18757016</v>
      </c>
      <c r="BQ26" s="31">
        <f t="shared" si="40"/>
        <v>43650.800217787335</v>
      </c>
      <c r="BR26" s="31">
        <f t="shared" si="41"/>
        <v>6116.3873523726634</v>
      </c>
      <c r="BS26" s="31">
        <f t="shared" si="42"/>
        <v>0</v>
      </c>
      <c r="BT26" s="31"/>
      <c r="BU26" s="27"/>
      <c r="BV26" s="37">
        <f t="shared" si="9"/>
        <v>-1</v>
      </c>
      <c r="BW26" s="36">
        <v>46650.766443599998</v>
      </c>
      <c r="BX26" s="31">
        <f t="shared" si="43"/>
        <v>40917.38724768156</v>
      </c>
      <c r="BY26" s="31">
        <f t="shared" si="44"/>
        <v>5733.3791959184391</v>
      </c>
      <c r="BZ26" s="31">
        <f t="shared" si="45"/>
        <v>0</v>
      </c>
      <c r="CA26" s="31"/>
      <c r="CB26" s="27"/>
      <c r="CC26" s="37">
        <f t="shared" si="10"/>
        <v>-1</v>
      </c>
      <c r="CD26" s="36">
        <v>34623.696390160003</v>
      </c>
      <c r="CE26" s="31">
        <f t="shared" si="46"/>
        <v>30368.444103809339</v>
      </c>
      <c r="CF26" s="31">
        <f t="shared" si="47"/>
        <v>4255.2522863506638</v>
      </c>
      <c r="CG26" s="31">
        <f t="shared" si="48"/>
        <v>0</v>
      </c>
      <c r="CH26" s="31"/>
      <c r="CI26" s="27"/>
      <c r="CJ26" s="37">
        <f t="shared" si="11"/>
        <v>-1</v>
      </c>
      <c r="CK26" s="36">
        <v>33799.492523599998</v>
      </c>
      <c r="CL26" s="31">
        <f t="shared" si="49"/>
        <v>29645.534892449559</v>
      </c>
      <c r="CM26" s="31">
        <f t="shared" si="50"/>
        <v>4153.9576311504397</v>
      </c>
      <c r="CN26" s="31">
        <f t="shared" si="51"/>
        <v>0</v>
      </c>
      <c r="CO26" s="31"/>
      <c r="CP26" s="27"/>
      <c r="CQ26" s="37">
        <f t="shared" si="12"/>
        <v>-1</v>
      </c>
    </row>
    <row r="27" spans="1:95" s="26" customFormat="1" ht="16" customHeight="1" x14ac:dyDescent="0.2">
      <c r="A27" s="29" t="s">
        <v>51</v>
      </c>
      <c r="B27" s="30">
        <f t="shared" si="0"/>
        <v>21064.676533999998</v>
      </c>
      <c r="C27" s="31">
        <f t="shared" si="0"/>
        <v>18475.827787971404</v>
      </c>
      <c r="D27" s="32">
        <f t="shared" si="0"/>
        <v>2588.8487460286001</v>
      </c>
      <c r="E27" s="30">
        <f t="shared" si="13"/>
        <v>6744.0738839999995</v>
      </c>
      <c r="F27" s="33">
        <f t="shared" si="13"/>
        <v>5915.2272036564</v>
      </c>
      <c r="G27" s="34">
        <f t="shared" si="13"/>
        <v>828.84668034359993</v>
      </c>
      <c r="H27" s="31">
        <f t="shared" si="1"/>
        <v>15112.189999999999</v>
      </c>
      <c r="I27" s="33">
        <f t="shared" si="1"/>
        <v>0</v>
      </c>
      <c r="J27" s="33">
        <f t="shared" si="1"/>
        <v>15112.189999999999</v>
      </c>
      <c r="K27" s="37">
        <f t="shared" si="14"/>
        <v>1.2408102669000951</v>
      </c>
      <c r="L27" s="36">
        <v>559.69475199999999</v>
      </c>
      <c r="M27" s="31">
        <f t="shared" si="15"/>
        <v>490.90826697919999</v>
      </c>
      <c r="N27" s="31">
        <f t="shared" si="16"/>
        <v>68.786485020800001</v>
      </c>
      <c r="O27" s="31">
        <f t="shared" si="17"/>
        <v>2850.13</v>
      </c>
      <c r="P27" s="31"/>
      <c r="Q27" s="33">
        <v>2850.13</v>
      </c>
      <c r="R27" s="37">
        <f t="shared" si="18"/>
        <v>4.0922935936336957</v>
      </c>
      <c r="S27" s="36">
        <v>2020.5364159999999</v>
      </c>
      <c r="T27" s="31">
        <f t="shared" si="19"/>
        <v>1772.2124904735999</v>
      </c>
      <c r="U27" s="31">
        <f t="shared" si="20"/>
        <v>248.32392552639999</v>
      </c>
      <c r="V27" s="31">
        <f t="shared" si="21"/>
        <v>0</v>
      </c>
      <c r="W27" s="31"/>
      <c r="X27" s="33">
        <v>0</v>
      </c>
      <c r="Y27" s="37">
        <f t="shared" si="2"/>
        <v>-1</v>
      </c>
      <c r="Z27" s="36">
        <v>2020.5364159999999</v>
      </c>
      <c r="AA27" s="31">
        <f t="shared" si="22"/>
        <v>1772.2124904735999</v>
      </c>
      <c r="AB27" s="31">
        <f t="shared" si="23"/>
        <v>248.32392552639999</v>
      </c>
      <c r="AC27" s="31">
        <f t="shared" si="24"/>
        <v>5192.8599999999997</v>
      </c>
      <c r="AD27" s="31"/>
      <c r="AE27" s="27">
        <v>5192.8599999999997</v>
      </c>
      <c r="AF27" s="37">
        <f t="shared" si="3"/>
        <v>1.5700402917162766</v>
      </c>
      <c r="AG27" s="36">
        <v>2143.3063000000002</v>
      </c>
      <c r="AH27" s="31">
        <f t="shared" si="25"/>
        <v>1879.8939557300002</v>
      </c>
      <c r="AI27" s="31">
        <f t="shared" si="26"/>
        <v>263.41234427000001</v>
      </c>
      <c r="AJ27" s="31">
        <f t="shared" si="27"/>
        <v>7069.2</v>
      </c>
      <c r="AK27" s="31"/>
      <c r="AL27" s="27">
        <v>7069.2</v>
      </c>
      <c r="AM27" s="37">
        <f t="shared" si="4"/>
        <v>2.298268660900217</v>
      </c>
      <c r="AN27" s="36">
        <v>839.57429999999999</v>
      </c>
      <c r="AO27" s="31">
        <f t="shared" si="28"/>
        <v>736.39061852999998</v>
      </c>
      <c r="AP27" s="31">
        <f t="shared" si="29"/>
        <v>103.18368147</v>
      </c>
      <c r="AQ27" s="31">
        <f t="shared" si="30"/>
        <v>0</v>
      </c>
      <c r="AR27" s="31"/>
      <c r="AS27" s="27"/>
      <c r="AT27" s="37">
        <f t="shared" si="5"/>
        <v>-1</v>
      </c>
      <c r="AU27" s="36">
        <v>2703.0010520000001</v>
      </c>
      <c r="AV27" s="31">
        <f t="shared" si="31"/>
        <v>2370.8022227092001</v>
      </c>
      <c r="AW27" s="31">
        <f t="shared" si="32"/>
        <v>332.19882929080001</v>
      </c>
      <c r="AX27" s="31">
        <f t="shared" si="33"/>
        <v>0</v>
      </c>
      <c r="AY27" s="31"/>
      <c r="AZ27" s="27"/>
      <c r="BA27" s="37">
        <f t="shared" si="6"/>
        <v>-1</v>
      </c>
      <c r="BB27" s="36">
        <v>1399.2690520000001</v>
      </c>
      <c r="BC27" s="31">
        <f t="shared" si="34"/>
        <v>1227.2988855092001</v>
      </c>
      <c r="BD27" s="31">
        <f t="shared" si="35"/>
        <v>171.97016649080001</v>
      </c>
      <c r="BE27" s="31">
        <f t="shared" si="36"/>
        <v>0</v>
      </c>
      <c r="BF27" s="31"/>
      <c r="BG27" s="27"/>
      <c r="BH27" s="37">
        <f t="shared" si="7"/>
        <v>-1</v>
      </c>
      <c r="BI27" s="36">
        <v>2703.0010520000001</v>
      </c>
      <c r="BJ27" s="31">
        <f t="shared" si="37"/>
        <v>2370.8022227092001</v>
      </c>
      <c r="BK27" s="31">
        <f t="shared" si="38"/>
        <v>332.19882929080001</v>
      </c>
      <c r="BL27" s="31">
        <f t="shared" si="39"/>
        <v>0</v>
      </c>
      <c r="BM27" s="31"/>
      <c r="BN27" s="27"/>
      <c r="BO27" s="37">
        <f t="shared" si="8"/>
        <v>-1</v>
      </c>
      <c r="BP27" s="36">
        <v>2703.0010520000001</v>
      </c>
      <c r="BQ27" s="31">
        <f t="shared" si="40"/>
        <v>2370.8022227092001</v>
      </c>
      <c r="BR27" s="31">
        <f t="shared" si="41"/>
        <v>332.19882929080001</v>
      </c>
      <c r="BS27" s="31">
        <f t="shared" si="42"/>
        <v>0</v>
      </c>
      <c r="BT27" s="31"/>
      <c r="BU27" s="27"/>
      <c r="BV27" s="37">
        <f t="shared" si="9"/>
        <v>-1</v>
      </c>
      <c r="BW27" s="36">
        <v>1697.3818819999999</v>
      </c>
      <c r="BX27" s="31">
        <f t="shared" si="43"/>
        <v>1488.7736487021998</v>
      </c>
      <c r="BY27" s="31">
        <f t="shared" si="44"/>
        <v>208.60823329779998</v>
      </c>
      <c r="BZ27" s="31">
        <f t="shared" si="45"/>
        <v>0</v>
      </c>
      <c r="CA27" s="31"/>
      <c r="CB27" s="27"/>
      <c r="CC27" s="37">
        <f t="shared" si="10"/>
        <v>-1</v>
      </c>
      <c r="CD27" s="36">
        <v>1137.68713</v>
      </c>
      <c r="CE27" s="31">
        <f t="shared" si="46"/>
        <v>997.86538172300004</v>
      </c>
      <c r="CF27" s="31">
        <f t="shared" si="47"/>
        <v>139.82174827700001</v>
      </c>
      <c r="CG27" s="31">
        <f t="shared" si="48"/>
        <v>0</v>
      </c>
      <c r="CH27" s="31"/>
      <c r="CI27" s="27"/>
      <c r="CJ27" s="37">
        <f t="shared" si="11"/>
        <v>-1</v>
      </c>
      <c r="CK27" s="36">
        <v>1137.68713</v>
      </c>
      <c r="CL27" s="31">
        <f t="shared" si="49"/>
        <v>997.86538172300004</v>
      </c>
      <c r="CM27" s="31">
        <f t="shared" si="50"/>
        <v>139.82174827700001</v>
      </c>
      <c r="CN27" s="31">
        <f t="shared" si="51"/>
        <v>0</v>
      </c>
      <c r="CO27" s="31"/>
      <c r="CP27" s="27"/>
      <c r="CQ27" s="37">
        <f t="shared" si="12"/>
        <v>-1</v>
      </c>
    </row>
    <row r="28" spans="1:95" s="26" customFormat="1" ht="16" customHeight="1" x14ac:dyDescent="0.2">
      <c r="A28" s="29" t="s">
        <v>52</v>
      </c>
      <c r="B28" s="30">
        <f t="shared" si="0"/>
        <v>23643.81623</v>
      </c>
      <c r="C28" s="31">
        <f t="shared" si="0"/>
        <v>20737.991215333001</v>
      </c>
      <c r="D28" s="32">
        <f t="shared" si="0"/>
        <v>2905.8250146670002</v>
      </c>
      <c r="E28" s="30">
        <f t="shared" si="13"/>
        <v>8307.9976999999999</v>
      </c>
      <c r="F28" s="33">
        <f t="shared" si="13"/>
        <v>7286.9447826699998</v>
      </c>
      <c r="G28" s="34">
        <f t="shared" si="13"/>
        <v>1021.0529173300001</v>
      </c>
      <c r="H28" s="31">
        <f t="shared" si="1"/>
        <v>7095.27</v>
      </c>
      <c r="I28" s="33">
        <f t="shared" si="1"/>
        <v>0</v>
      </c>
      <c r="J28" s="33">
        <f t="shared" si="1"/>
        <v>7095.27</v>
      </c>
      <c r="K28" s="37">
        <f t="shared" si="14"/>
        <v>-0.14597111648213379</v>
      </c>
      <c r="L28" s="36">
        <v>1768.7706000000001</v>
      </c>
      <c r="M28" s="31">
        <f t="shared" si="15"/>
        <v>1551.3886932600001</v>
      </c>
      <c r="N28" s="31">
        <f t="shared" si="16"/>
        <v>217.38190674000001</v>
      </c>
      <c r="O28" s="31">
        <f t="shared" si="17"/>
        <v>2239.46</v>
      </c>
      <c r="P28" s="31"/>
      <c r="Q28" s="33">
        <v>2239.46</v>
      </c>
      <c r="R28" s="37">
        <f t="shared" si="18"/>
        <v>0.26611104910947758</v>
      </c>
      <c r="S28" s="36">
        <v>1768.7706000000001</v>
      </c>
      <c r="T28" s="31">
        <f t="shared" si="19"/>
        <v>1551.3886932600001</v>
      </c>
      <c r="U28" s="31">
        <f t="shared" si="20"/>
        <v>217.38190674000001</v>
      </c>
      <c r="V28" s="31">
        <f t="shared" si="21"/>
        <v>2162.2800000000002</v>
      </c>
      <c r="W28" s="31"/>
      <c r="X28" s="33">
        <v>2162.2800000000002</v>
      </c>
      <c r="Y28" s="37">
        <f t="shared" si="2"/>
        <v>0.22247622161969449</v>
      </c>
      <c r="Z28" s="36">
        <v>2358.3607999999999</v>
      </c>
      <c r="AA28" s="31">
        <f t="shared" si="22"/>
        <v>2068.5182576799998</v>
      </c>
      <c r="AB28" s="31">
        <f t="shared" si="23"/>
        <v>289.84254232000001</v>
      </c>
      <c r="AC28" s="31">
        <f t="shared" si="24"/>
        <v>281.39</v>
      </c>
      <c r="AD28" s="31"/>
      <c r="AE28" s="27">
        <v>281.39</v>
      </c>
      <c r="AF28" s="37">
        <f t="shared" si="3"/>
        <v>-0.88068407514236158</v>
      </c>
      <c r="AG28" s="36">
        <v>2412.0956999999999</v>
      </c>
      <c r="AH28" s="31">
        <f t="shared" si="25"/>
        <v>2115.6491384699998</v>
      </c>
      <c r="AI28" s="31">
        <f t="shared" si="26"/>
        <v>296.44656153</v>
      </c>
      <c r="AJ28" s="31">
        <f t="shared" si="27"/>
        <v>2412.1400000000003</v>
      </c>
      <c r="AK28" s="31"/>
      <c r="AL28" s="27">
        <v>2412.1400000000003</v>
      </c>
      <c r="AM28" s="37">
        <f t="shared" si="4"/>
        <v>1.8365772137762804E-5</v>
      </c>
      <c r="AN28" s="36">
        <v>2063.5657000000001</v>
      </c>
      <c r="AO28" s="31">
        <f t="shared" si="28"/>
        <v>1809.9534754700001</v>
      </c>
      <c r="AP28" s="31">
        <f t="shared" si="29"/>
        <v>253.61222452999999</v>
      </c>
      <c r="AQ28" s="31">
        <f t="shared" si="30"/>
        <v>0</v>
      </c>
      <c r="AR28" s="31"/>
      <c r="AS28" s="27"/>
      <c r="AT28" s="37">
        <f t="shared" si="5"/>
        <v>-1</v>
      </c>
      <c r="AU28" s="36">
        <v>1822.5055</v>
      </c>
      <c r="AV28" s="31">
        <f t="shared" si="31"/>
        <v>1598.5195740500001</v>
      </c>
      <c r="AW28" s="31">
        <f t="shared" si="32"/>
        <v>223.98592595</v>
      </c>
      <c r="AX28" s="31">
        <f t="shared" si="33"/>
        <v>0</v>
      </c>
      <c r="AY28" s="31"/>
      <c r="AZ28" s="27"/>
      <c r="BA28" s="37">
        <f t="shared" si="6"/>
        <v>-1</v>
      </c>
      <c r="BB28" s="36">
        <v>1473.9755</v>
      </c>
      <c r="BC28" s="31">
        <f t="shared" si="34"/>
        <v>1292.8239110500001</v>
      </c>
      <c r="BD28" s="31">
        <f t="shared" si="35"/>
        <v>181.15158894999999</v>
      </c>
      <c r="BE28" s="31">
        <f t="shared" si="36"/>
        <v>0</v>
      </c>
      <c r="BF28" s="31"/>
      <c r="BG28" s="27"/>
      <c r="BH28" s="37">
        <f t="shared" si="7"/>
        <v>-1</v>
      </c>
      <c r="BI28" s="36">
        <v>2412.0956999999999</v>
      </c>
      <c r="BJ28" s="31">
        <f t="shared" si="37"/>
        <v>2115.6491384699998</v>
      </c>
      <c r="BK28" s="31">
        <f t="shared" si="38"/>
        <v>296.44656153</v>
      </c>
      <c r="BL28" s="31">
        <f t="shared" si="39"/>
        <v>0</v>
      </c>
      <c r="BM28" s="31"/>
      <c r="BN28" s="27"/>
      <c r="BO28" s="37">
        <f t="shared" si="8"/>
        <v>-1</v>
      </c>
      <c r="BP28" s="36">
        <v>2412.0956999999999</v>
      </c>
      <c r="BQ28" s="31">
        <f t="shared" si="40"/>
        <v>2115.6491384699998</v>
      </c>
      <c r="BR28" s="31">
        <f t="shared" si="41"/>
        <v>296.44656153</v>
      </c>
      <c r="BS28" s="31">
        <f t="shared" si="42"/>
        <v>0</v>
      </c>
      <c r="BT28" s="31"/>
      <c r="BU28" s="27"/>
      <c r="BV28" s="37">
        <f t="shared" si="9"/>
        <v>-1</v>
      </c>
      <c r="BW28" s="36">
        <v>2110.2536100000002</v>
      </c>
      <c r="BX28" s="31">
        <f t="shared" si="43"/>
        <v>1850.9034413310001</v>
      </c>
      <c r="BY28" s="31">
        <f t="shared" si="44"/>
        <v>259.35016866900003</v>
      </c>
      <c r="BZ28" s="31">
        <f t="shared" si="45"/>
        <v>0</v>
      </c>
      <c r="CA28" s="31"/>
      <c r="CB28" s="27"/>
      <c r="CC28" s="37">
        <f t="shared" si="10"/>
        <v>-1</v>
      </c>
      <c r="CD28" s="36">
        <v>1520.6634100000001</v>
      </c>
      <c r="CE28" s="31">
        <f t="shared" si="46"/>
        <v>1333.7738769110001</v>
      </c>
      <c r="CF28" s="31">
        <f t="shared" si="47"/>
        <v>186.889533089</v>
      </c>
      <c r="CG28" s="31">
        <f t="shared" si="48"/>
        <v>0</v>
      </c>
      <c r="CH28" s="31"/>
      <c r="CI28" s="27"/>
      <c r="CJ28" s="37">
        <f t="shared" si="11"/>
        <v>-1</v>
      </c>
      <c r="CK28" s="36">
        <v>1520.6634100000001</v>
      </c>
      <c r="CL28" s="31">
        <f t="shared" si="49"/>
        <v>1333.7738769110001</v>
      </c>
      <c r="CM28" s="31">
        <f t="shared" si="50"/>
        <v>186.889533089</v>
      </c>
      <c r="CN28" s="31">
        <f t="shared" si="51"/>
        <v>0</v>
      </c>
      <c r="CO28" s="31"/>
      <c r="CP28" s="27"/>
      <c r="CQ28" s="37">
        <f t="shared" si="12"/>
        <v>-1</v>
      </c>
    </row>
    <row r="29" spans="1:95" s="26" customFormat="1" ht="16" customHeight="1" x14ac:dyDescent="0.2">
      <c r="A29" s="29" t="s">
        <v>53</v>
      </c>
      <c r="B29" s="30">
        <f t="shared" si="0"/>
        <v>57665.732999999935</v>
      </c>
      <c r="C29" s="31">
        <f t="shared" si="0"/>
        <v>50578.614414299933</v>
      </c>
      <c r="D29" s="32">
        <f t="shared" si="0"/>
        <v>7087.1185856999928</v>
      </c>
      <c r="E29" s="30">
        <f t="shared" si="13"/>
        <v>19221.910999999978</v>
      </c>
      <c r="F29" s="33">
        <f t="shared" si="13"/>
        <v>16859.538138099982</v>
      </c>
      <c r="G29" s="34">
        <f t="shared" si="13"/>
        <v>2362.3728618999976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14"/>
        <v>-1</v>
      </c>
      <c r="L29" s="36">
        <v>3831.01999999999</v>
      </c>
      <c r="M29" s="31">
        <f t="shared" si="15"/>
        <v>3360.1876419999912</v>
      </c>
      <c r="N29" s="31">
        <f t="shared" si="16"/>
        <v>470.83235799999875</v>
      </c>
      <c r="O29" s="31">
        <f t="shared" si="17"/>
        <v>0</v>
      </c>
      <c r="P29" s="31"/>
      <c r="Q29" s="33">
        <v>0</v>
      </c>
      <c r="R29" s="37">
        <f t="shared" si="18"/>
        <v>-1</v>
      </c>
      <c r="S29" s="36">
        <v>5779.9354999999996</v>
      </c>
      <c r="T29" s="31">
        <f t="shared" si="19"/>
        <v>5069.5814270499995</v>
      </c>
      <c r="U29" s="31">
        <f t="shared" si="20"/>
        <v>710.35407294999993</v>
      </c>
      <c r="V29" s="31">
        <f t="shared" si="21"/>
        <v>0</v>
      </c>
      <c r="W29" s="31"/>
      <c r="X29" s="33">
        <v>0</v>
      </c>
      <c r="Y29" s="37">
        <f t="shared" si="2"/>
        <v>-1</v>
      </c>
      <c r="Z29" s="36">
        <v>3831.01999999999</v>
      </c>
      <c r="AA29" s="31">
        <f t="shared" si="22"/>
        <v>3360.1876419999912</v>
      </c>
      <c r="AB29" s="31">
        <f t="shared" si="23"/>
        <v>470.83235799999875</v>
      </c>
      <c r="AC29" s="31">
        <f t="shared" si="24"/>
        <v>0</v>
      </c>
      <c r="AD29" s="31"/>
      <c r="AE29" s="27">
        <v>0</v>
      </c>
      <c r="AF29" s="37">
        <f t="shared" si="3"/>
        <v>-1</v>
      </c>
      <c r="AG29" s="36">
        <v>5779.9354999999996</v>
      </c>
      <c r="AH29" s="31">
        <f t="shared" si="25"/>
        <v>5069.5814270499995</v>
      </c>
      <c r="AI29" s="31">
        <f t="shared" si="26"/>
        <v>710.35407294999993</v>
      </c>
      <c r="AJ29" s="31">
        <f t="shared" si="27"/>
        <v>0</v>
      </c>
      <c r="AK29" s="31"/>
      <c r="AL29" s="27">
        <v>0</v>
      </c>
      <c r="AM29" s="37">
        <f t="shared" si="4"/>
        <v>-1</v>
      </c>
      <c r="AN29" s="36">
        <v>3831.01999999999</v>
      </c>
      <c r="AO29" s="31">
        <f t="shared" si="28"/>
        <v>3360.1876419999912</v>
      </c>
      <c r="AP29" s="31">
        <f t="shared" si="29"/>
        <v>470.83235799999875</v>
      </c>
      <c r="AQ29" s="31">
        <f t="shared" si="30"/>
        <v>0</v>
      </c>
      <c r="AR29" s="31"/>
      <c r="AS29" s="27"/>
      <c r="AT29" s="37">
        <f t="shared" si="5"/>
        <v>-1</v>
      </c>
      <c r="AU29" s="36">
        <v>5779.9354999999996</v>
      </c>
      <c r="AV29" s="31">
        <f t="shared" si="31"/>
        <v>5069.5814270499995</v>
      </c>
      <c r="AW29" s="31">
        <f t="shared" si="32"/>
        <v>710.35407294999993</v>
      </c>
      <c r="AX29" s="31">
        <f t="shared" si="33"/>
        <v>0</v>
      </c>
      <c r="AY29" s="31"/>
      <c r="AZ29" s="27"/>
      <c r="BA29" s="37">
        <f t="shared" si="6"/>
        <v>-1</v>
      </c>
      <c r="BB29" s="36">
        <v>3831.01999999999</v>
      </c>
      <c r="BC29" s="31">
        <f t="shared" si="34"/>
        <v>3360.1876419999912</v>
      </c>
      <c r="BD29" s="31">
        <f t="shared" si="35"/>
        <v>470.83235799999875</v>
      </c>
      <c r="BE29" s="31">
        <f t="shared" si="36"/>
        <v>0</v>
      </c>
      <c r="BF29" s="31"/>
      <c r="BG29" s="27"/>
      <c r="BH29" s="37">
        <f t="shared" si="7"/>
        <v>-1</v>
      </c>
      <c r="BI29" s="36">
        <v>5779.9354999999996</v>
      </c>
      <c r="BJ29" s="31">
        <f t="shared" si="37"/>
        <v>5069.5814270499995</v>
      </c>
      <c r="BK29" s="31">
        <f t="shared" si="38"/>
        <v>710.35407294999993</v>
      </c>
      <c r="BL29" s="31">
        <f t="shared" si="39"/>
        <v>0</v>
      </c>
      <c r="BM29" s="31"/>
      <c r="BN29" s="27"/>
      <c r="BO29" s="37">
        <f t="shared" si="8"/>
        <v>-1</v>
      </c>
      <c r="BP29" s="36">
        <v>3831.01999999999</v>
      </c>
      <c r="BQ29" s="31">
        <f t="shared" si="40"/>
        <v>3360.1876419999912</v>
      </c>
      <c r="BR29" s="31">
        <f t="shared" si="41"/>
        <v>470.83235799999875</v>
      </c>
      <c r="BS29" s="31">
        <f t="shared" si="42"/>
        <v>0</v>
      </c>
      <c r="BT29" s="31"/>
      <c r="BU29" s="27"/>
      <c r="BV29" s="37">
        <f t="shared" si="9"/>
        <v>-1</v>
      </c>
      <c r="BW29" s="36">
        <v>5779.9354999999996</v>
      </c>
      <c r="BX29" s="31">
        <f t="shared" si="43"/>
        <v>5069.5814270499995</v>
      </c>
      <c r="BY29" s="31">
        <f t="shared" si="44"/>
        <v>710.35407294999993</v>
      </c>
      <c r="BZ29" s="31">
        <f t="shared" si="45"/>
        <v>0</v>
      </c>
      <c r="CA29" s="31"/>
      <c r="CB29" s="27"/>
      <c r="CC29" s="37">
        <f t="shared" si="10"/>
        <v>-1</v>
      </c>
      <c r="CD29" s="36">
        <v>3831.01999999999</v>
      </c>
      <c r="CE29" s="31">
        <f t="shared" si="46"/>
        <v>3360.1876419999912</v>
      </c>
      <c r="CF29" s="31">
        <f t="shared" si="47"/>
        <v>470.83235799999875</v>
      </c>
      <c r="CG29" s="31">
        <f t="shared" si="48"/>
        <v>0</v>
      </c>
      <c r="CH29" s="31"/>
      <c r="CI29" s="27"/>
      <c r="CJ29" s="37">
        <f t="shared" si="11"/>
        <v>-1</v>
      </c>
      <c r="CK29" s="36">
        <v>5779.9354999999996</v>
      </c>
      <c r="CL29" s="31">
        <f t="shared" si="49"/>
        <v>5069.5814270499995</v>
      </c>
      <c r="CM29" s="31">
        <f t="shared" si="50"/>
        <v>710.35407294999993</v>
      </c>
      <c r="CN29" s="31">
        <f t="shared" si="51"/>
        <v>0</v>
      </c>
      <c r="CO29" s="31"/>
      <c r="CP29" s="27"/>
      <c r="CQ29" s="37">
        <f t="shared" si="12"/>
        <v>-1</v>
      </c>
    </row>
    <row r="30" spans="1:95" s="26" customFormat="1" ht="16" customHeight="1" x14ac:dyDescent="0.2">
      <c r="A30" s="29" t="s">
        <v>54</v>
      </c>
      <c r="B30" s="30">
        <f t="shared" si="0"/>
        <v>6999.9999999999991</v>
      </c>
      <c r="C30" s="31">
        <f t="shared" si="0"/>
        <v>6139.7</v>
      </c>
      <c r="D30" s="32">
        <f t="shared" si="0"/>
        <v>860.29999999999973</v>
      </c>
      <c r="E30" s="30">
        <f t="shared" si="13"/>
        <v>2333.3333333333335</v>
      </c>
      <c r="F30" s="33">
        <f t="shared" si="13"/>
        <v>2046.5666666666668</v>
      </c>
      <c r="G30" s="34">
        <f t="shared" si="13"/>
        <v>286.76666666666665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7">
        <f t="shared" si="14"/>
        <v>-1</v>
      </c>
      <c r="L30" s="36">
        <v>583.33333333333337</v>
      </c>
      <c r="M30" s="31">
        <f t="shared" si="15"/>
        <v>511.64166666666671</v>
      </c>
      <c r="N30" s="31">
        <f t="shared" si="16"/>
        <v>71.691666666666663</v>
      </c>
      <c r="O30" s="31">
        <f t="shared" si="17"/>
        <v>0</v>
      </c>
      <c r="P30" s="31"/>
      <c r="Q30" s="33">
        <v>0</v>
      </c>
      <c r="R30" s="37">
        <f t="shared" si="18"/>
        <v>-1</v>
      </c>
      <c r="S30" s="36">
        <v>583.33333333333337</v>
      </c>
      <c r="T30" s="31">
        <f t="shared" si="19"/>
        <v>511.64166666666671</v>
      </c>
      <c r="U30" s="31">
        <f t="shared" si="20"/>
        <v>71.691666666666663</v>
      </c>
      <c r="V30" s="31">
        <f t="shared" si="21"/>
        <v>0</v>
      </c>
      <c r="W30" s="31"/>
      <c r="X30" s="33">
        <v>0</v>
      </c>
      <c r="Y30" s="37">
        <f t="shared" si="2"/>
        <v>-1</v>
      </c>
      <c r="Z30" s="36">
        <v>583.33333333333337</v>
      </c>
      <c r="AA30" s="31">
        <f t="shared" si="22"/>
        <v>511.64166666666671</v>
      </c>
      <c r="AB30" s="31">
        <f t="shared" si="23"/>
        <v>71.691666666666663</v>
      </c>
      <c r="AC30" s="31">
        <f t="shared" si="24"/>
        <v>0</v>
      </c>
      <c r="AD30" s="31"/>
      <c r="AE30" s="27">
        <v>0</v>
      </c>
      <c r="AF30" s="37">
        <f t="shared" si="3"/>
        <v>-1</v>
      </c>
      <c r="AG30" s="36">
        <v>583.33333333333337</v>
      </c>
      <c r="AH30" s="31">
        <f t="shared" si="25"/>
        <v>511.64166666666671</v>
      </c>
      <c r="AI30" s="31">
        <f t="shared" si="26"/>
        <v>71.691666666666663</v>
      </c>
      <c r="AJ30" s="31">
        <f t="shared" si="27"/>
        <v>0</v>
      </c>
      <c r="AK30" s="31"/>
      <c r="AL30" s="27">
        <v>0</v>
      </c>
      <c r="AM30" s="37">
        <f t="shared" si="4"/>
        <v>-1</v>
      </c>
      <c r="AN30" s="36">
        <v>583.33333333333337</v>
      </c>
      <c r="AO30" s="31">
        <f t="shared" si="28"/>
        <v>511.64166666666671</v>
      </c>
      <c r="AP30" s="31">
        <f t="shared" si="29"/>
        <v>71.691666666666663</v>
      </c>
      <c r="AQ30" s="31">
        <f t="shared" si="30"/>
        <v>0</v>
      </c>
      <c r="AR30" s="31"/>
      <c r="AS30" s="27">
        <v>0</v>
      </c>
      <c r="AT30" s="37">
        <f t="shared" si="5"/>
        <v>-1</v>
      </c>
      <c r="AU30" s="36">
        <v>583.33333333333337</v>
      </c>
      <c r="AV30" s="31">
        <f t="shared" si="31"/>
        <v>511.64166666666671</v>
      </c>
      <c r="AW30" s="31">
        <f t="shared" si="32"/>
        <v>71.691666666666663</v>
      </c>
      <c r="AX30" s="31">
        <f t="shared" si="33"/>
        <v>0</v>
      </c>
      <c r="AY30" s="31"/>
      <c r="AZ30" s="27">
        <v>0</v>
      </c>
      <c r="BA30" s="37">
        <f t="shared" si="6"/>
        <v>-1</v>
      </c>
      <c r="BB30" s="36">
        <v>583.33333333333337</v>
      </c>
      <c r="BC30" s="31">
        <f t="shared" si="34"/>
        <v>511.64166666666671</v>
      </c>
      <c r="BD30" s="31">
        <f t="shared" si="35"/>
        <v>71.691666666666663</v>
      </c>
      <c r="BE30" s="31">
        <f t="shared" si="36"/>
        <v>0</v>
      </c>
      <c r="BF30" s="31"/>
      <c r="BG30" s="27">
        <v>0</v>
      </c>
      <c r="BH30" s="37">
        <f t="shared" si="7"/>
        <v>-1</v>
      </c>
      <c r="BI30" s="36">
        <v>583.33333333333337</v>
      </c>
      <c r="BJ30" s="31">
        <f t="shared" si="37"/>
        <v>511.64166666666671</v>
      </c>
      <c r="BK30" s="31">
        <f t="shared" si="38"/>
        <v>71.691666666666663</v>
      </c>
      <c r="BL30" s="31">
        <f t="shared" si="39"/>
        <v>0</v>
      </c>
      <c r="BM30" s="31"/>
      <c r="BN30" s="27">
        <v>0</v>
      </c>
      <c r="BO30" s="37">
        <f t="shared" si="8"/>
        <v>-1</v>
      </c>
      <c r="BP30" s="36">
        <v>583.33333333333337</v>
      </c>
      <c r="BQ30" s="31">
        <f t="shared" si="40"/>
        <v>511.64166666666671</v>
      </c>
      <c r="BR30" s="31">
        <f t="shared" si="41"/>
        <v>71.691666666666663</v>
      </c>
      <c r="BS30" s="31">
        <f t="shared" si="42"/>
        <v>0</v>
      </c>
      <c r="BT30" s="31"/>
      <c r="BU30" s="27">
        <v>0</v>
      </c>
      <c r="BV30" s="37">
        <f t="shared" si="9"/>
        <v>-1</v>
      </c>
      <c r="BW30" s="36">
        <v>583.33333333333337</v>
      </c>
      <c r="BX30" s="31">
        <f t="shared" si="43"/>
        <v>511.64166666666671</v>
      </c>
      <c r="BY30" s="31">
        <f t="shared" si="44"/>
        <v>71.691666666666663</v>
      </c>
      <c r="BZ30" s="31">
        <f t="shared" si="45"/>
        <v>0</v>
      </c>
      <c r="CA30" s="31"/>
      <c r="CB30" s="27">
        <v>0</v>
      </c>
      <c r="CC30" s="37">
        <f t="shared" si="10"/>
        <v>-1</v>
      </c>
      <c r="CD30" s="36">
        <v>583.33333333333337</v>
      </c>
      <c r="CE30" s="31">
        <f t="shared" si="46"/>
        <v>511.64166666666671</v>
      </c>
      <c r="CF30" s="31">
        <f t="shared" si="47"/>
        <v>71.691666666666663</v>
      </c>
      <c r="CG30" s="31">
        <f t="shared" si="48"/>
        <v>0</v>
      </c>
      <c r="CH30" s="31"/>
      <c r="CI30" s="27">
        <v>0</v>
      </c>
      <c r="CJ30" s="37">
        <f t="shared" si="11"/>
        <v>-1</v>
      </c>
      <c r="CK30" s="36">
        <v>583.33333333333337</v>
      </c>
      <c r="CL30" s="31">
        <f t="shared" si="49"/>
        <v>511.64166666666671</v>
      </c>
      <c r="CM30" s="31">
        <f t="shared" si="50"/>
        <v>71.691666666666663</v>
      </c>
      <c r="CN30" s="31">
        <f t="shared" si="51"/>
        <v>0</v>
      </c>
      <c r="CO30" s="31"/>
      <c r="CP30" s="27">
        <v>0</v>
      </c>
      <c r="CQ30" s="37">
        <f t="shared" si="12"/>
        <v>-1</v>
      </c>
    </row>
    <row r="31" spans="1:95" s="26" customFormat="1" ht="16" customHeight="1" x14ac:dyDescent="0.2">
      <c r="A31" s="38" t="s">
        <v>55</v>
      </c>
      <c r="B31" s="30">
        <f t="shared" si="0"/>
        <v>3762.4999999999995</v>
      </c>
      <c r="C31" s="31">
        <f t="shared" si="0"/>
        <v>3300.0887499999994</v>
      </c>
      <c r="D31" s="32">
        <f t="shared" si="0"/>
        <v>462.41124999999994</v>
      </c>
      <c r="E31" s="30">
        <f t="shared" si="13"/>
        <v>1254.1666666666667</v>
      </c>
      <c r="F31" s="33">
        <f t="shared" si="13"/>
        <v>1100.0295833333334</v>
      </c>
      <c r="G31" s="34">
        <f t="shared" si="13"/>
        <v>154.13708333333335</v>
      </c>
      <c r="H31" s="31">
        <f t="shared" si="1"/>
        <v>701.86597525495858</v>
      </c>
      <c r="I31" s="33">
        <f t="shared" si="1"/>
        <v>0</v>
      </c>
      <c r="J31" s="33">
        <f t="shared" si="1"/>
        <v>701.86597525495858</v>
      </c>
      <c r="K31" s="37">
        <f t="shared" si="14"/>
        <v>-0.44037264431498324</v>
      </c>
      <c r="L31" s="36">
        <v>313.54166666666669</v>
      </c>
      <c r="M31" s="31">
        <f t="shared" si="15"/>
        <v>275.00739583333336</v>
      </c>
      <c r="N31" s="31">
        <f t="shared" si="16"/>
        <v>38.534270833333338</v>
      </c>
      <c r="O31" s="31">
        <f t="shared" si="17"/>
        <v>48.304970804904571</v>
      </c>
      <c r="P31" s="31"/>
      <c r="Q31" s="33">
        <v>48.304970804904571</v>
      </c>
      <c r="R31" s="37">
        <f t="shared" si="18"/>
        <v>-0.84593763464216487</v>
      </c>
      <c r="S31" s="36">
        <v>313.54166666666669</v>
      </c>
      <c r="T31" s="31">
        <f t="shared" si="19"/>
        <v>275.00739583333336</v>
      </c>
      <c r="U31" s="31">
        <f t="shared" si="20"/>
        <v>38.534270833333338</v>
      </c>
      <c r="V31" s="31">
        <f t="shared" si="21"/>
        <v>492.58818960291273</v>
      </c>
      <c r="W31" s="31"/>
      <c r="X31" s="33">
        <v>492.58818960291273</v>
      </c>
      <c r="Y31" s="37">
        <f t="shared" si="2"/>
        <v>0.57104538876676481</v>
      </c>
      <c r="Z31" s="36">
        <v>313.54166666666669</v>
      </c>
      <c r="AA31" s="31">
        <f t="shared" si="22"/>
        <v>275.00739583333336</v>
      </c>
      <c r="AB31" s="31">
        <f t="shared" si="23"/>
        <v>38.534270833333338</v>
      </c>
      <c r="AC31" s="31">
        <f t="shared" si="24"/>
        <v>112.18654451428924</v>
      </c>
      <c r="AD31" s="31"/>
      <c r="AE31" s="27">
        <v>112.18654451428924</v>
      </c>
      <c r="AF31" s="37">
        <f t="shared" si="3"/>
        <v>-0.64219573842618716</v>
      </c>
      <c r="AG31" s="36">
        <v>313.54166666666669</v>
      </c>
      <c r="AH31" s="31">
        <f t="shared" si="25"/>
        <v>275.00739583333336</v>
      </c>
      <c r="AI31" s="31">
        <f t="shared" si="26"/>
        <v>38.534270833333338</v>
      </c>
      <c r="AJ31" s="31">
        <f t="shared" si="27"/>
        <v>48.786270332851991</v>
      </c>
      <c r="AK31" s="31"/>
      <c r="AL31" s="27">
        <v>48.786270332851991</v>
      </c>
      <c r="AM31" s="37">
        <f t="shared" si="4"/>
        <v>-0.84440259295834585</v>
      </c>
      <c r="AN31" s="36">
        <v>313.54166666666669</v>
      </c>
      <c r="AO31" s="31">
        <f t="shared" si="28"/>
        <v>275.00739583333336</v>
      </c>
      <c r="AP31" s="31">
        <f t="shared" si="29"/>
        <v>38.534270833333338</v>
      </c>
      <c r="AQ31" s="31">
        <f t="shared" si="30"/>
        <v>0</v>
      </c>
      <c r="AR31" s="31"/>
      <c r="AS31" s="27">
        <v>0</v>
      </c>
      <c r="AT31" s="37">
        <f t="shared" si="5"/>
        <v>-1</v>
      </c>
      <c r="AU31" s="36">
        <v>313.54166666666669</v>
      </c>
      <c r="AV31" s="31">
        <f t="shared" si="31"/>
        <v>275.00739583333336</v>
      </c>
      <c r="AW31" s="31">
        <f t="shared" si="32"/>
        <v>38.534270833333338</v>
      </c>
      <c r="AX31" s="31">
        <f t="shared" si="33"/>
        <v>0</v>
      </c>
      <c r="AY31" s="31"/>
      <c r="AZ31" s="27">
        <v>0</v>
      </c>
      <c r="BA31" s="37">
        <f t="shared" si="6"/>
        <v>-1</v>
      </c>
      <c r="BB31" s="36">
        <v>313.54166666666669</v>
      </c>
      <c r="BC31" s="31">
        <f t="shared" si="34"/>
        <v>275.00739583333336</v>
      </c>
      <c r="BD31" s="31">
        <f t="shared" si="35"/>
        <v>38.534270833333338</v>
      </c>
      <c r="BE31" s="31">
        <f t="shared" si="36"/>
        <v>0</v>
      </c>
      <c r="BF31" s="31"/>
      <c r="BG31" s="27">
        <v>0</v>
      </c>
      <c r="BH31" s="37">
        <f t="shared" si="7"/>
        <v>-1</v>
      </c>
      <c r="BI31" s="36">
        <v>313.54166666666669</v>
      </c>
      <c r="BJ31" s="31">
        <f t="shared" si="37"/>
        <v>275.00739583333336</v>
      </c>
      <c r="BK31" s="31">
        <f t="shared" si="38"/>
        <v>38.534270833333338</v>
      </c>
      <c r="BL31" s="31">
        <f t="shared" si="39"/>
        <v>0</v>
      </c>
      <c r="BM31" s="31"/>
      <c r="BN31" s="27">
        <v>0</v>
      </c>
      <c r="BO31" s="37">
        <f t="shared" si="8"/>
        <v>-1</v>
      </c>
      <c r="BP31" s="36">
        <v>313.54166666666669</v>
      </c>
      <c r="BQ31" s="31">
        <f t="shared" si="40"/>
        <v>275.00739583333336</v>
      </c>
      <c r="BR31" s="31">
        <f t="shared" si="41"/>
        <v>38.534270833333338</v>
      </c>
      <c r="BS31" s="31">
        <f t="shared" si="42"/>
        <v>0</v>
      </c>
      <c r="BT31" s="31"/>
      <c r="BU31" s="27">
        <v>0</v>
      </c>
      <c r="BV31" s="37">
        <f t="shared" si="9"/>
        <v>-1</v>
      </c>
      <c r="BW31" s="36">
        <v>313.54166666666669</v>
      </c>
      <c r="BX31" s="31">
        <f t="shared" si="43"/>
        <v>275.00739583333336</v>
      </c>
      <c r="BY31" s="31">
        <f t="shared" si="44"/>
        <v>38.534270833333338</v>
      </c>
      <c r="BZ31" s="31">
        <f t="shared" si="45"/>
        <v>0</v>
      </c>
      <c r="CA31" s="31"/>
      <c r="CB31" s="27">
        <v>0</v>
      </c>
      <c r="CC31" s="37">
        <f t="shared" si="10"/>
        <v>-1</v>
      </c>
      <c r="CD31" s="36">
        <v>313.54166666666669</v>
      </c>
      <c r="CE31" s="31">
        <f t="shared" si="46"/>
        <v>275.00739583333336</v>
      </c>
      <c r="CF31" s="31">
        <f t="shared" si="47"/>
        <v>38.534270833333338</v>
      </c>
      <c r="CG31" s="31">
        <f t="shared" si="48"/>
        <v>0</v>
      </c>
      <c r="CH31" s="31"/>
      <c r="CI31" s="27">
        <v>0</v>
      </c>
      <c r="CJ31" s="37">
        <f t="shared" si="11"/>
        <v>-1</v>
      </c>
      <c r="CK31" s="36">
        <v>313.54166666666669</v>
      </c>
      <c r="CL31" s="31">
        <f t="shared" si="49"/>
        <v>275.00739583333336</v>
      </c>
      <c r="CM31" s="31">
        <f t="shared" si="50"/>
        <v>38.534270833333338</v>
      </c>
      <c r="CN31" s="31">
        <f t="shared" si="51"/>
        <v>0</v>
      </c>
      <c r="CO31" s="31"/>
      <c r="CP31" s="27">
        <v>0</v>
      </c>
      <c r="CQ31" s="37">
        <f t="shared" si="12"/>
        <v>-1</v>
      </c>
    </row>
    <row r="32" spans="1:95" s="26" customFormat="1" ht="16" customHeight="1" x14ac:dyDescent="0.2">
      <c r="A32" s="29" t="s">
        <v>104</v>
      </c>
      <c r="B32" s="30">
        <f t="shared" si="0"/>
        <v>588922.17028479988</v>
      </c>
      <c r="C32" s="31">
        <f t="shared" si="0"/>
        <v>516543.63555679808</v>
      </c>
      <c r="D32" s="32">
        <f t="shared" si="0"/>
        <v>72378.534728001905</v>
      </c>
      <c r="E32" s="30">
        <f t="shared" si="13"/>
        <v>291400.87306880002</v>
      </c>
      <c r="F32" s="33">
        <f t="shared" si="13"/>
        <v>255587.70576864449</v>
      </c>
      <c r="G32" s="34">
        <f t="shared" si="13"/>
        <v>35813.167300155517</v>
      </c>
      <c r="H32" s="31">
        <f t="shared" si="1"/>
        <v>330290.50044600002</v>
      </c>
      <c r="I32" s="33">
        <f t="shared" si="1"/>
        <v>0</v>
      </c>
      <c r="J32" s="33">
        <f t="shared" si="1"/>
        <v>330290.50044600002</v>
      </c>
      <c r="K32" s="37">
        <f t="shared" si="14"/>
        <v>0.13345748407561597</v>
      </c>
      <c r="L32" s="36">
        <v>71370.786713599999</v>
      </c>
      <c r="M32" s="31">
        <f t="shared" si="15"/>
        <v>62599.31702649856</v>
      </c>
      <c r="N32" s="31">
        <f t="shared" si="16"/>
        <v>8771.4696871014403</v>
      </c>
      <c r="O32" s="31">
        <f t="shared" si="17"/>
        <v>155774.03000000003</v>
      </c>
      <c r="P32" s="31"/>
      <c r="Q32" s="33">
        <f>(131380.57)+164369.6+12712.43-(152688.57)</f>
        <v>155774.03000000003</v>
      </c>
      <c r="R32" s="37">
        <f t="shared" si="18"/>
        <v>1.1826021145752152</v>
      </c>
      <c r="S32" s="36">
        <v>71480.283072000006</v>
      </c>
      <c r="T32" s="31">
        <f t="shared" si="19"/>
        <v>62695.356282451205</v>
      </c>
      <c r="U32" s="31">
        <f t="shared" si="20"/>
        <v>8784.926789548801</v>
      </c>
      <c r="V32" s="31">
        <f t="shared" si="21"/>
        <v>1064.8604459999999</v>
      </c>
      <c r="W32" s="31"/>
      <c r="X32" s="33">
        <f>1014+((11798.13+1227.28+317.4+10876.45)*0.0021)</f>
        <v>1064.8604459999999</v>
      </c>
      <c r="Y32" s="37">
        <f t="shared" si="2"/>
        <v>-0.98510273882201338</v>
      </c>
      <c r="Z32" s="36">
        <v>71480.283072000006</v>
      </c>
      <c r="AA32" s="31">
        <f t="shared" si="22"/>
        <v>62695.356282451205</v>
      </c>
      <c r="AB32" s="31">
        <f t="shared" si="23"/>
        <v>8784.926789548801</v>
      </c>
      <c r="AC32" s="31">
        <f t="shared" si="24"/>
        <v>27150.27</v>
      </c>
      <c r="AD32" s="31"/>
      <c r="AE32" s="27">
        <f>26018.43+1131.84</f>
        <v>27150.27</v>
      </c>
      <c r="AF32" s="37">
        <f t="shared" si="3"/>
        <v>-0.62017120199912579</v>
      </c>
      <c r="AG32" s="36">
        <v>77069.520211199982</v>
      </c>
      <c r="AH32" s="31">
        <f t="shared" si="25"/>
        <v>67597.676177243498</v>
      </c>
      <c r="AI32" s="31">
        <f t="shared" si="26"/>
        <v>9471.8440339564768</v>
      </c>
      <c r="AJ32" s="31">
        <f t="shared" si="27"/>
        <v>146301.34</v>
      </c>
      <c r="AK32" s="31"/>
      <c r="AL32" s="27">
        <f>138332.66+7968.68</f>
        <v>146301.34</v>
      </c>
      <c r="AM32" s="37">
        <f t="shared" si="4"/>
        <v>0.89830350051587615</v>
      </c>
      <c r="AN32" s="36">
        <v>82658.757350399988</v>
      </c>
      <c r="AO32" s="31">
        <f t="shared" si="28"/>
        <v>72499.996072035836</v>
      </c>
      <c r="AP32" s="31">
        <f t="shared" si="29"/>
        <v>10158.761278364158</v>
      </c>
      <c r="AQ32" s="31">
        <f t="shared" si="30"/>
        <v>0</v>
      </c>
      <c r="AR32" s="31"/>
      <c r="AS32" s="27"/>
      <c r="AT32" s="37">
        <f t="shared" si="5"/>
        <v>-1</v>
      </c>
      <c r="AU32" s="36">
        <v>78365.403072000001</v>
      </c>
      <c r="AV32" s="31">
        <f t="shared" si="31"/>
        <v>68734.295034451206</v>
      </c>
      <c r="AW32" s="31">
        <f t="shared" si="32"/>
        <v>9631.1080375488</v>
      </c>
      <c r="AX32" s="31">
        <f t="shared" si="33"/>
        <v>0</v>
      </c>
      <c r="AY32" s="31"/>
      <c r="AZ32" s="27"/>
      <c r="BA32" s="37">
        <f t="shared" si="6"/>
        <v>-1</v>
      </c>
      <c r="BB32" s="36">
        <v>78088.368793599991</v>
      </c>
      <c r="BC32" s="31">
        <f t="shared" si="34"/>
        <v>68491.30826886656</v>
      </c>
      <c r="BD32" s="31">
        <f t="shared" si="35"/>
        <v>9597.0605247334388</v>
      </c>
      <c r="BE32" s="31">
        <f t="shared" si="36"/>
        <v>0</v>
      </c>
      <c r="BF32" s="31"/>
      <c r="BG32" s="27"/>
      <c r="BH32" s="37">
        <f t="shared" si="7"/>
        <v>-1</v>
      </c>
      <c r="BI32" s="36">
        <v>56572.735999999997</v>
      </c>
      <c r="BJ32" s="31">
        <f t="shared" si="37"/>
        <v>49619.946745599998</v>
      </c>
      <c r="BK32" s="31">
        <f t="shared" si="38"/>
        <v>6952.7892543999997</v>
      </c>
      <c r="BL32" s="31">
        <f t="shared" si="39"/>
        <v>0</v>
      </c>
      <c r="BM32" s="31"/>
      <c r="BN32" s="27"/>
      <c r="BO32" s="37">
        <f t="shared" si="8"/>
        <v>-1</v>
      </c>
      <c r="BP32" s="36">
        <v>918.01599999999996</v>
      </c>
      <c r="BQ32" s="31">
        <f t="shared" si="40"/>
        <v>805.1918336</v>
      </c>
      <c r="BR32" s="31">
        <f t="shared" si="41"/>
        <v>112.8241664</v>
      </c>
      <c r="BS32" s="31">
        <f t="shared" si="42"/>
        <v>0</v>
      </c>
      <c r="BT32" s="31"/>
      <c r="BU32" s="27"/>
      <c r="BV32" s="37">
        <f t="shared" si="9"/>
        <v>-1</v>
      </c>
      <c r="BW32" s="36">
        <v>918.01599999999996</v>
      </c>
      <c r="BX32" s="31">
        <f t="shared" si="43"/>
        <v>805.1918336</v>
      </c>
      <c r="BY32" s="31">
        <f t="shared" si="44"/>
        <v>112.8241664</v>
      </c>
      <c r="BZ32" s="31">
        <f t="shared" si="45"/>
        <v>0</v>
      </c>
      <c r="CA32" s="31"/>
      <c r="CB32" s="27"/>
      <c r="CC32" s="37">
        <f t="shared" si="10"/>
        <v>-1</v>
      </c>
      <c r="CD32" s="36">
        <v>0</v>
      </c>
      <c r="CE32" s="31">
        <f t="shared" si="46"/>
        <v>0</v>
      </c>
      <c r="CF32" s="31">
        <f t="shared" si="47"/>
        <v>0</v>
      </c>
      <c r="CG32" s="31">
        <f t="shared" si="48"/>
        <v>0</v>
      </c>
      <c r="CH32" s="31"/>
      <c r="CI32" s="27"/>
      <c r="CJ32" s="37" t="str">
        <f t="shared" si="11"/>
        <v/>
      </c>
      <c r="CK32" s="36">
        <v>0</v>
      </c>
      <c r="CL32" s="31">
        <f t="shared" si="49"/>
        <v>0</v>
      </c>
      <c r="CM32" s="31">
        <f t="shared" si="50"/>
        <v>0</v>
      </c>
      <c r="CN32" s="31">
        <f t="shared" si="51"/>
        <v>0</v>
      </c>
      <c r="CO32" s="31"/>
      <c r="CP32" s="27"/>
      <c r="CQ32" s="37" t="str">
        <f t="shared" si="12"/>
        <v/>
      </c>
    </row>
    <row r="33" spans="1:95" s="26" customFormat="1" ht="16" customHeight="1" x14ac:dyDescent="0.2">
      <c r="A33" s="29" t="s">
        <v>57</v>
      </c>
      <c r="B33" s="30">
        <f t="shared" si="0"/>
        <v>367248.97959183669</v>
      </c>
      <c r="C33" s="31">
        <f t="shared" si="0"/>
        <v>322114.08</v>
      </c>
      <c r="D33" s="32">
        <f t="shared" si="0"/>
        <v>45134.899591836729</v>
      </c>
      <c r="E33" s="30">
        <f t="shared" si="13"/>
        <v>207575.51020408163</v>
      </c>
      <c r="F33" s="33">
        <f t="shared" si="13"/>
        <v>182064.48</v>
      </c>
      <c r="G33" s="34">
        <f t="shared" si="13"/>
        <v>25511.030204081631</v>
      </c>
      <c r="H33" s="31">
        <f t="shared" si="1"/>
        <v>320891.37</v>
      </c>
      <c r="I33" s="33">
        <f t="shared" si="1"/>
        <v>0</v>
      </c>
      <c r="J33" s="33">
        <f t="shared" si="1"/>
        <v>320891.37</v>
      </c>
      <c r="K33" s="37">
        <f t="shared" si="14"/>
        <v>0.54590187293534687</v>
      </c>
      <c r="L33" s="36">
        <v>42579.591836734697</v>
      </c>
      <c r="M33" s="31">
        <f t="shared" si="15"/>
        <v>37346.560000000005</v>
      </c>
      <c r="N33" s="31">
        <f t="shared" si="16"/>
        <v>5233.0318367346945</v>
      </c>
      <c r="O33" s="31">
        <f t="shared" si="17"/>
        <v>187819.11</v>
      </c>
      <c r="P33" s="31"/>
      <c r="Q33" s="33">
        <f>(10863.87)+176955.24</f>
        <v>187819.11</v>
      </c>
      <c r="R33" s="37">
        <f t="shared" si="18"/>
        <v>3.4110124568634967</v>
      </c>
      <c r="S33" s="36">
        <v>53224.489795918365</v>
      </c>
      <c r="T33" s="31">
        <f t="shared" si="19"/>
        <v>46683.199999999997</v>
      </c>
      <c r="U33" s="31">
        <f t="shared" si="20"/>
        <v>6541.2897959183665</v>
      </c>
      <c r="V33" s="31">
        <f t="shared" si="21"/>
        <v>1219.51</v>
      </c>
      <c r="W33" s="31"/>
      <c r="X33" s="33">
        <v>1219.51</v>
      </c>
      <c r="Y33" s="37">
        <f t="shared" si="2"/>
        <v>-0.97708742714723928</v>
      </c>
      <c r="Z33" s="36">
        <v>53224.489795918365</v>
      </c>
      <c r="AA33" s="31">
        <f t="shared" si="22"/>
        <v>46683.199999999997</v>
      </c>
      <c r="AB33" s="31">
        <f t="shared" si="23"/>
        <v>6541.2897959183665</v>
      </c>
      <c r="AC33" s="31">
        <f t="shared" si="24"/>
        <v>24359.25</v>
      </c>
      <c r="AD33" s="31"/>
      <c r="AE33" s="27">
        <v>24359.25</v>
      </c>
      <c r="AF33" s="37">
        <f t="shared" si="3"/>
        <v>-0.54233004217791403</v>
      </c>
      <c r="AG33" s="36">
        <v>58546.9387755102</v>
      </c>
      <c r="AH33" s="31">
        <f t="shared" si="25"/>
        <v>51351.519999999997</v>
      </c>
      <c r="AI33" s="31">
        <f t="shared" si="26"/>
        <v>7195.418775510203</v>
      </c>
      <c r="AJ33" s="31">
        <f t="shared" si="27"/>
        <v>107493.5</v>
      </c>
      <c r="AK33" s="31"/>
      <c r="AL33" s="27">
        <v>107493.5</v>
      </c>
      <c r="AM33" s="37">
        <f t="shared" si="4"/>
        <v>0.83602255298382611</v>
      </c>
      <c r="AN33" s="36">
        <v>63869.387755102034</v>
      </c>
      <c r="AO33" s="31">
        <f t="shared" si="28"/>
        <v>56019.839999999997</v>
      </c>
      <c r="AP33" s="31">
        <f t="shared" si="29"/>
        <v>7849.5477551020394</v>
      </c>
      <c r="AQ33" s="31">
        <f t="shared" si="30"/>
        <v>0</v>
      </c>
      <c r="AR33" s="31"/>
      <c r="AS33" s="27"/>
      <c r="AT33" s="37">
        <f t="shared" si="5"/>
        <v>-1</v>
      </c>
      <c r="AU33" s="36">
        <v>53224.489795918365</v>
      </c>
      <c r="AV33" s="31">
        <f t="shared" si="31"/>
        <v>46683.199999999997</v>
      </c>
      <c r="AW33" s="31">
        <f t="shared" si="32"/>
        <v>6541.2897959183665</v>
      </c>
      <c r="AX33" s="31">
        <f t="shared" si="33"/>
        <v>0</v>
      </c>
      <c r="AY33" s="31"/>
      <c r="AZ33" s="27"/>
      <c r="BA33" s="37">
        <f t="shared" si="6"/>
        <v>-1</v>
      </c>
      <c r="BB33" s="36">
        <v>42579.591836734697</v>
      </c>
      <c r="BC33" s="31">
        <f t="shared" si="34"/>
        <v>37346.560000000005</v>
      </c>
      <c r="BD33" s="31">
        <f t="shared" si="35"/>
        <v>5233.0318367346945</v>
      </c>
      <c r="BE33" s="31">
        <f t="shared" si="36"/>
        <v>0</v>
      </c>
      <c r="BF33" s="31"/>
      <c r="BG33" s="27"/>
      <c r="BH33" s="37">
        <f t="shared" si="7"/>
        <v>-1</v>
      </c>
      <c r="BI33" s="36">
        <v>0</v>
      </c>
      <c r="BJ33" s="31">
        <f t="shared" si="37"/>
        <v>0</v>
      </c>
      <c r="BK33" s="31">
        <f t="shared" si="38"/>
        <v>0</v>
      </c>
      <c r="BL33" s="31">
        <f t="shared" si="39"/>
        <v>0</v>
      </c>
      <c r="BM33" s="31"/>
      <c r="BN33" s="27"/>
      <c r="BO33" s="37" t="str">
        <f t="shared" si="8"/>
        <v/>
      </c>
      <c r="BP33" s="36">
        <v>0</v>
      </c>
      <c r="BQ33" s="31">
        <f t="shared" si="40"/>
        <v>0</v>
      </c>
      <c r="BR33" s="31">
        <f t="shared" si="41"/>
        <v>0</v>
      </c>
      <c r="BS33" s="31">
        <f t="shared" si="42"/>
        <v>0</v>
      </c>
      <c r="BT33" s="31"/>
      <c r="BU33" s="27"/>
      <c r="BV33" s="37" t="str">
        <f t="shared" si="9"/>
        <v/>
      </c>
      <c r="BW33" s="36">
        <v>0</v>
      </c>
      <c r="BX33" s="31">
        <f t="shared" si="43"/>
        <v>0</v>
      </c>
      <c r="BY33" s="31">
        <f t="shared" si="44"/>
        <v>0</v>
      </c>
      <c r="BZ33" s="31">
        <f t="shared" si="45"/>
        <v>0</v>
      </c>
      <c r="CA33" s="31"/>
      <c r="CB33" s="27"/>
      <c r="CC33" s="37" t="str">
        <f t="shared" si="10"/>
        <v/>
      </c>
      <c r="CD33" s="36">
        <v>0</v>
      </c>
      <c r="CE33" s="31">
        <f t="shared" si="46"/>
        <v>0</v>
      </c>
      <c r="CF33" s="31">
        <f t="shared" si="47"/>
        <v>0</v>
      </c>
      <c r="CG33" s="31">
        <f t="shared" si="48"/>
        <v>0</v>
      </c>
      <c r="CH33" s="31"/>
      <c r="CI33" s="27"/>
      <c r="CJ33" s="37" t="str">
        <f t="shared" si="11"/>
        <v/>
      </c>
      <c r="CK33" s="36">
        <v>0</v>
      </c>
      <c r="CL33" s="31">
        <f t="shared" si="49"/>
        <v>0</v>
      </c>
      <c r="CM33" s="31">
        <f t="shared" si="50"/>
        <v>0</v>
      </c>
      <c r="CN33" s="31">
        <f t="shared" si="51"/>
        <v>0</v>
      </c>
      <c r="CO33" s="31"/>
      <c r="CP33" s="27"/>
      <c r="CQ33" s="37" t="str">
        <f t="shared" si="12"/>
        <v/>
      </c>
    </row>
    <row r="34" spans="1:95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3"/>
        <v>0</v>
      </c>
      <c r="F34" s="33">
        <f t="shared" si="13"/>
        <v>0</v>
      </c>
      <c r="G34" s="34">
        <f t="shared" si="13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14"/>
        <v/>
      </c>
      <c r="L34" s="36">
        <v>0</v>
      </c>
      <c r="M34" s="31">
        <f t="shared" si="15"/>
        <v>0</v>
      </c>
      <c r="N34" s="31">
        <f t="shared" si="16"/>
        <v>0</v>
      </c>
      <c r="O34" s="31">
        <f t="shared" si="17"/>
        <v>0</v>
      </c>
      <c r="P34" s="31"/>
      <c r="Q34" s="33"/>
      <c r="R34" s="37" t="str">
        <f t="shared" si="18"/>
        <v/>
      </c>
      <c r="S34" s="36">
        <v>0</v>
      </c>
      <c r="T34" s="31">
        <f t="shared" si="19"/>
        <v>0</v>
      </c>
      <c r="U34" s="31">
        <f t="shared" si="20"/>
        <v>0</v>
      </c>
      <c r="V34" s="31">
        <f t="shared" si="21"/>
        <v>0</v>
      </c>
      <c r="W34" s="31"/>
      <c r="X34" s="33"/>
      <c r="Y34" s="37" t="str">
        <f t="shared" si="2"/>
        <v/>
      </c>
      <c r="Z34" s="36">
        <v>0</v>
      </c>
      <c r="AA34" s="31">
        <f t="shared" si="22"/>
        <v>0</v>
      </c>
      <c r="AB34" s="31">
        <f t="shared" si="23"/>
        <v>0</v>
      </c>
      <c r="AC34" s="31">
        <f t="shared" si="24"/>
        <v>0</v>
      </c>
      <c r="AD34" s="31"/>
      <c r="AE34" s="27"/>
      <c r="AF34" s="37" t="str">
        <f t="shared" si="3"/>
        <v/>
      </c>
      <c r="AG34" s="36">
        <v>0</v>
      </c>
      <c r="AH34" s="31">
        <f t="shared" si="25"/>
        <v>0</v>
      </c>
      <c r="AI34" s="31">
        <f t="shared" si="26"/>
        <v>0</v>
      </c>
      <c r="AJ34" s="31">
        <f t="shared" si="27"/>
        <v>0</v>
      </c>
      <c r="AK34" s="31"/>
      <c r="AL34" s="27"/>
      <c r="AM34" s="37" t="str">
        <f t="shared" si="4"/>
        <v/>
      </c>
      <c r="AN34" s="36">
        <v>0</v>
      </c>
      <c r="AO34" s="31">
        <f t="shared" si="28"/>
        <v>0</v>
      </c>
      <c r="AP34" s="31">
        <f t="shared" si="29"/>
        <v>0</v>
      </c>
      <c r="AQ34" s="31">
        <f t="shared" si="30"/>
        <v>0</v>
      </c>
      <c r="AR34" s="31"/>
      <c r="AS34" s="27"/>
      <c r="AT34" s="37" t="str">
        <f t="shared" si="5"/>
        <v/>
      </c>
      <c r="AU34" s="36">
        <v>0</v>
      </c>
      <c r="AV34" s="31">
        <f t="shared" si="31"/>
        <v>0</v>
      </c>
      <c r="AW34" s="31">
        <f t="shared" si="32"/>
        <v>0</v>
      </c>
      <c r="AX34" s="31">
        <f t="shared" si="33"/>
        <v>0</v>
      </c>
      <c r="AY34" s="31"/>
      <c r="AZ34" s="27"/>
      <c r="BA34" s="37" t="str">
        <f t="shared" si="6"/>
        <v/>
      </c>
      <c r="BB34" s="36">
        <v>0</v>
      </c>
      <c r="BC34" s="31">
        <f t="shared" si="34"/>
        <v>0</v>
      </c>
      <c r="BD34" s="31">
        <f t="shared" si="35"/>
        <v>0</v>
      </c>
      <c r="BE34" s="31">
        <f t="shared" si="36"/>
        <v>0</v>
      </c>
      <c r="BF34" s="31"/>
      <c r="BG34" s="27"/>
      <c r="BH34" s="37" t="str">
        <f t="shared" si="7"/>
        <v/>
      </c>
      <c r="BI34" s="36">
        <v>0</v>
      </c>
      <c r="BJ34" s="31">
        <f t="shared" si="37"/>
        <v>0</v>
      </c>
      <c r="BK34" s="31">
        <f t="shared" si="38"/>
        <v>0</v>
      </c>
      <c r="BL34" s="31">
        <f t="shared" si="39"/>
        <v>0</v>
      </c>
      <c r="BM34" s="31"/>
      <c r="BN34" s="27"/>
      <c r="BO34" s="37" t="str">
        <f t="shared" si="8"/>
        <v/>
      </c>
      <c r="BP34" s="36">
        <v>0</v>
      </c>
      <c r="BQ34" s="31">
        <f t="shared" si="40"/>
        <v>0</v>
      </c>
      <c r="BR34" s="31">
        <f t="shared" si="41"/>
        <v>0</v>
      </c>
      <c r="BS34" s="31">
        <f t="shared" si="42"/>
        <v>0</v>
      </c>
      <c r="BT34" s="31"/>
      <c r="BU34" s="27"/>
      <c r="BV34" s="37" t="str">
        <f t="shared" si="9"/>
        <v/>
      </c>
      <c r="BW34" s="36">
        <v>0</v>
      </c>
      <c r="BX34" s="31">
        <f t="shared" si="43"/>
        <v>0</v>
      </c>
      <c r="BY34" s="31">
        <f t="shared" si="44"/>
        <v>0</v>
      </c>
      <c r="BZ34" s="31">
        <f t="shared" si="45"/>
        <v>0</v>
      </c>
      <c r="CA34" s="31"/>
      <c r="CB34" s="27"/>
      <c r="CC34" s="37" t="str">
        <f t="shared" si="10"/>
        <v/>
      </c>
      <c r="CD34" s="36">
        <v>0</v>
      </c>
      <c r="CE34" s="31">
        <f t="shared" si="46"/>
        <v>0</v>
      </c>
      <c r="CF34" s="31">
        <f t="shared" si="47"/>
        <v>0</v>
      </c>
      <c r="CG34" s="31">
        <f t="shared" si="48"/>
        <v>0</v>
      </c>
      <c r="CH34" s="31"/>
      <c r="CI34" s="27"/>
      <c r="CJ34" s="37" t="str">
        <f t="shared" si="11"/>
        <v/>
      </c>
      <c r="CK34" s="36">
        <v>0</v>
      </c>
      <c r="CL34" s="31">
        <f t="shared" si="49"/>
        <v>0</v>
      </c>
      <c r="CM34" s="31">
        <f t="shared" si="50"/>
        <v>0</v>
      </c>
      <c r="CN34" s="31">
        <f t="shared" si="51"/>
        <v>0</v>
      </c>
      <c r="CO34" s="31"/>
      <c r="CP34" s="27"/>
      <c r="CQ34" s="37" t="str">
        <f t="shared" si="12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3"/>
        <v>0</v>
      </c>
      <c r="F35" s="33">
        <f t="shared" si="13"/>
        <v>0</v>
      </c>
      <c r="G35" s="34">
        <f t="shared" si="13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14"/>
        <v/>
      </c>
      <c r="L35" s="36">
        <v>0</v>
      </c>
      <c r="M35" s="31">
        <f t="shared" si="15"/>
        <v>0</v>
      </c>
      <c r="N35" s="31">
        <f t="shared" si="16"/>
        <v>0</v>
      </c>
      <c r="O35" s="31">
        <f t="shared" si="17"/>
        <v>0</v>
      </c>
      <c r="P35" s="31"/>
      <c r="Q35" s="33"/>
      <c r="R35" s="37" t="str">
        <f t="shared" si="18"/>
        <v/>
      </c>
      <c r="S35" s="36">
        <v>0</v>
      </c>
      <c r="T35" s="31">
        <f t="shared" si="19"/>
        <v>0</v>
      </c>
      <c r="U35" s="31">
        <f t="shared" si="20"/>
        <v>0</v>
      </c>
      <c r="V35" s="31">
        <f t="shared" si="21"/>
        <v>0</v>
      </c>
      <c r="W35" s="31"/>
      <c r="X35" s="33"/>
      <c r="Y35" s="37" t="str">
        <f t="shared" si="2"/>
        <v/>
      </c>
      <c r="Z35" s="36">
        <v>0</v>
      </c>
      <c r="AA35" s="31">
        <f t="shared" si="22"/>
        <v>0</v>
      </c>
      <c r="AB35" s="31">
        <f t="shared" si="23"/>
        <v>0</v>
      </c>
      <c r="AC35" s="31">
        <f t="shared" si="24"/>
        <v>0</v>
      </c>
      <c r="AD35" s="31"/>
      <c r="AE35" s="27"/>
      <c r="AF35" s="37" t="str">
        <f t="shared" si="3"/>
        <v/>
      </c>
      <c r="AG35" s="36">
        <v>0</v>
      </c>
      <c r="AH35" s="31">
        <f t="shared" si="25"/>
        <v>0</v>
      </c>
      <c r="AI35" s="31">
        <f t="shared" si="26"/>
        <v>0</v>
      </c>
      <c r="AJ35" s="31">
        <f t="shared" si="27"/>
        <v>0</v>
      </c>
      <c r="AK35" s="31"/>
      <c r="AL35" s="27"/>
      <c r="AM35" s="37" t="str">
        <f t="shared" si="4"/>
        <v/>
      </c>
      <c r="AN35" s="36">
        <v>0</v>
      </c>
      <c r="AO35" s="31">
        <f t="shared" si="28"/>
        <v>0</v>
      </c>
      <c r="AP35" s="31">
        <f t="shared" si="29"/>
        <v>0</v>
      </c>
      <c r="AQ35" s="31">
        <f t="shared" si="30"/>
        <v>0</v>
      </c>
      <c r="AR35" s="31"/>
      <c r="AS35" s="27"/>
      <c r="AT35" s="37" t="str">
        <f t="shared" si="5"/>
        <v/>
      </c>
      <c r="AU35" s="36">
        <v>0</v>
      </c>
      <c r="AV35" s="31">
        <f t="shared" si="31"/>
        <v>0</v>
      </c>
      <c r="AW35" s="31">
        <f t="shared" si="32"/>
        <v>0</v>
      </c>
      <c r="AX35" s="31">
        <f t="shared" si="33"/>
        <v>0</v>
      </c>
      <c r="AY35" s="31"/>
      <c r="AZ35" s="27"/>
      <c r="BA35" s="37" t="str">
        <f t="shared" si="6"/>
        <v/>
      </c>
      <c r="BB35" s="36">
        <v>0</v>
      </c>
      <c r="BC35" s="31">
        <f t="shared" si="34"/>
        <v>0</v>
      </c>
      <c r="BD35" s="31">
        <f t="shared" si="35"/>
        <v>0</v>
      </c>
      <c r="BE35" s="31">
        <f t="shared" si="36"/>
        <v>0</v>
      </c>
      <c r="BF35" s="31"/>
      <c r="BG35" s="27"/>
      <c r="BH35" s="37" t="str">
        <f t="shared" si="7"/>
        <v/>
      </c>
      <c r="BI35" s="36">
        <v>0</v>
      </c>
      <c r="BJ35" s="31">
        <f t="shared" si="37"/>
        <v>0</v>
      </c>
      <c r="BK35" s="31">
        <f t="shared" si="38"/>
        <v>0</v>
      </c>
      <c r="BL35" s="31">
        <f t="shared" si="39"/>
        <v>0</v>
      </c>
      <c r="BM35" s="31"/>
      <c r="BN35" s="27"/>
      <c r="BO35" s="37" t="str">
        <f t="shared" si="8"/>
        <v/>
      </c>
      <c r="BP35" s="36">
        <v>0</v>
      </c>
      <c r="BQ35" s="31">
        <f t="shared" si="40"/>
        <v>0</v>
      </c>
      <c r="BR35" s="31">
        <f t="shared" si="41"/>
        <v>0</v>
      </c>
      <c r="BS35" s="31">
        <f t="shared" si="42"/>
        <v>0</v>
      </c>
      <c r="BT35" s="31"/>
      <c r="BU35" s="27"/>
      <c r="BV35" s="37" t="str">
        <f t="shared" si="9"/>
        <v/>
      </c>
      <c r="BW35" s="36">
        <v>0</v>
      </c>
      <c r="BX35" s="31">
        <f t="shared" si="43"/>
        <v>0</v>
      </c>
      <c r="BY35" s="31">
        <f t="shared" si="44"/>
        <v>0</v>
      </c>
      <c r="BZ35" s="31">
        <f t="shared" si="45"/>
        <v>0</v>
      </c>
      <c r="CA35" s="31"/>
      <c r="CB35" s="27"/>
      <c r="CC35" s="37" t="str">
        <f t="shared" si="10"/>
        <v/>
      </c>
      <c r="CD35" s="36">
        <v>0</v>
      </c>
      <c r="CE35" s="31">
        <f t="shared" si="46"/>
        <v>0</v>
      </c>
      <c r="CF35" s="31">
        <f t="shared" si="47"/>
        <v>0</v>
      </c>
      <c r="CG35" s="31">
        <f t="shared" si="48"/>
        <v>0</v>
      </c>
      <c r="CH35" s="31"/>
      <c r="CI35" s="27"/>
      <c r="CJ35" s="37" t="str">
        <f t="shared" si="11"/>
        <v/>
      </c>
      <c r="CK35" s="36">
        <v>0</v>
      </c>
      <c r="CL35" s="31">
        <f t="shared" si="49"/>
        <v>0</v>
      </c>
      <c r="CM35" s="31">
        <f t="shared" si="50"/>
        <v>0</v>
      </c>
      <c r="CN35" s="31">
        <f t="shared" si="51"/>
        <v>0</v>
      </c>
      <c r="CO35" s="31"/>
      <c r="CP35" s="27"/>
      <c r="CQ35" s="37" t="str">
        <f t="shared" si="12"/>
        <v/>
      </c>
    </row>
    <row r="36" spans="1:95" s="26" customFormat="1" ht="16" customHeight="1" x14ac:dyDescent="0.2">
      <c r="A36" s="38" t="s">
        <v>60</v>
      </c>
      <c r="B36" s="30">
        <f t="shared" ref="B36:D54" si="52">+L36+S36+Z36+AG36+AN36+AU36+BB36+BI36+BP36+BW36+CD36+CK36</f>
        <v>17500.000000000004</v>
      </c>
      <c r="C36" s="31">
        <f t="shared" si="52"/>
        <v>15349.249999999995</v>
      </c>
      <c r="D36" s="32">
        <f t="shared" si="52"/>
        <v>2150.7500000000005</v>
      </c>
      <c r="E36" s="30">
        <f t="shared" si="13"/>
        <v>5833.333333333333</v>
      </c>
      <c r="F36" s="33">
        <f t="shared" si="13"/>
        <v>5116.4166666666661</v>
      </c>
      <c r="G36" s="34">
        <f t="shared" si="13"/>
        <v>716.91666666666663</v>
      </c>
      <c r="H36" s="31">
        <f t="shared" ref="H36:J54" si="53">+O36+V36+AC36+AJ36+AQ36+AX36+BE36+BL36+BS36+BZ36+CG36+CN36</f>
        <v>7874.4356908515692</v>
      </c>
      <c r="I36" s="33">
        <f t="shared" si="53"/>
        <v>0</v>
      </c>
      <c r="J36" s="33">
        <f t="shared" si="53"/>
        <v>7874.4356908515692</v>
      </c>
      <c r="K36" s="37">
        <f t="shared" si="14"/>
        <v>0.34990326128884042</v>
      </c>
      <c r="L36" s="36">
        <v>1458.3333333333333</v>
      </c>
      <c r="M36" s="31">
        <f t="shared" si="15"/>
        <v>1279.1041666666665</v>
      </c>
      <c r="N36" s="31">
        <f t="shared" si="16"/>
        <v>179.22916666666666</v>
      </c>
      <c r="O36" s="31">
        <f t="shared" si="17"/>
        <v>1832.8997388602238</v>
      </c>
      <c r="P36" s="31"/>
      <c r="Q36" s="33">
        <v>1832.8997388602238</v>
      </c>
      <c r="R36" s="37">
        <f t="shared" si="18"/>
        <v>0.25684553521843934</v>
      </c>
      <c r="S36" s="36">
        <v>1458.3333333333333</v>
      </c>
      <c r="T36" s="31">
        <f t="shared" si="19"/>
        <v>1279.1041666666665</v>
      </c>
      <c r="U36" s="31">
        <f t="shared" si="20"/>
        <v>179.22916666666666</v>
      </c>
      <c r="V36" s="31">
        <f t="shared" si="21"/>
        <v>2408.1209317813523</v>
      </c>
      <c r="W36" s="31"/>
      <c r="X36" s="33">
        <v>2408.1209317813523</v>
      </c>
      <c r="Y36" s="37">
        <f t="shared" si="2"/>
        <v>0.65128292465007021</v>
      </c>
      <c r="Z36" s="36">
        <v>1458.3333333333333</v>
      </c>
      <c r="AA36" s="31">
        <f t="shared" si="22"/>
        <v>1279.1041666666665</v>
      </c>
      <c r="AB36" s="31">
        <f t="shared" si="23"/>
        <v>179.22916666666666</v>
      </c>
      <c r="AC36" s="31">
        <f t="shared" si="24"/>
        <v>1890.4062815494322</v>
      </c>
      <c r="AD36" s="31"/>
      <c r="AE36" s="27">
        <v>1890.4062815494322</v>
      </c>
      <c r="AF36" s="37">
        <f t="shared" si="3"/>
        <v>0.29627859306246784</v>
      </c>
      <c r="AG36" s="36">
        <v>1458.3333333333333</v>
      </c>
      <c r="AH36" s="31">
        <f t="shared" si="25"/>
        <v>1279.1041666666665</v>
      </c>
      <c r="AI36" s="31">
        <f t="shared" si="26"/>
        <v>179.22916666666666</v>
      </c>
      <c r="AJ36" s="31">
        <f t="shared" si="27"/>
        <v>1743.0087386605605</v>
      </c>
      <c r="AK36" s="31"/>
      <c r="AL36" s="27">
        <v>1743.0087386605605</v>
      </c>
      <c r="AM36" s="37">
        <f t="shared" si="4"/>
        <v>0.19520599222438451</v>
      </c>
      <c r="AN36" s="36">
        <v>1458.3333333333333</v>
      </c>
      <c r="AO36" s="31">
        <f t="shared" si="28"/>
        <v>1279.1041666666665</v>
      </c>
      <c r="AP36" s="31">
        <f t="shared" si="29"/>
        <v>179.22916666666666</v>
      </c>
      <c r="AQ36" s="31">
        <f t="shared" si="30"/>
        <v>0</v>
      </c>
      <c r="AR36" s="31"/>
      <c r="AS36" s="27">
        <v>0</v>
      </c>
      <c r="AT36" s="37">
        <f t="shared" si="5"/>
        <v>-1</v>
      </c>
      <c r="AU36" s="36">
        <v>1458.3333333333333</v>
      </c>
      <c r="AV36" s="31">
        <f t="shared" si="31"/>
        <v>1279.1041666666665</v>
      </c>
      <c r="AW36" s="31">
        <f t="shared" si="32"/>
        <v>179.22916666666666</v>
      </c>
      <c r="AX36" s="31">
        <f t="shared" si="33"/>
        <v>0</v>
      </c>
      <c r="AY36" s="31"/>
      <c r="AZ36" s="27">
        <v>0</v>
      </c>
      <c r="BA36" s="37">
        <f t="shared" si="6"/>
        <v>-1</v>
      </c>
      <c r="BB36" s="36">
        <v>1458.3333333333333</v>
      </c>
      <c r="BC36" s="31">
        <f t="shared" si="34"/>
        <v>1279.1041666666665</v>
      </c>
      <c r="BD36" s="31">
        <f t="shared" si="35"/>
        <v>179.22916666666666</v>
      </c>
      <c r="BE36" s="31">
        <f t="shared" si="36"/>
        <v>0</v>
      </c>
      <c r="BF36" s="31"/>
      <c r="BG36" s="27">
        <v>0</v>
      </c>
      <c r="BH36" s="37">
        <f t="shared" si="7"/>
        <v>-1</v>
      </c>
      <c r="BI36" s="36">
        <v>1458.3333333333333</v>
      </c>
      <c r="BJ36" s="31">
        <f t="shared" si="37"/>
        <v>1279.1041666666665</v>
      </c>
      <c r="BK36" s="31">
        <f t="shared" si="38"/>
        <v>179.22916666666666</v>
      </c>
      <c r="BL36" s="31">
        <f t="shared" si="39"/>
        <v>0</v>
      </c>
      <c r="BM36" s="31"/>
      <c r="BN36" s="27">
        <v>0</v>
      </c>
      <c r="BO36" s="37">
        <f t="shared" si="8"/>
        <v>-1</v>
      </c>
      <c r="BP36" s="36">
        <v>1458.3333333333333</v>
      </c>
      <c r="BQ36" s="31">
        <f t="shared" si="40"/>
        <v>1279.1041666666665</v>
      </c>
      <c r="BR36" s="31">
        <f t="shared" si="41"/>
        <v>179.22916666666666</v>
      </c>
      <c r="BS36" s="31">
        <f t="shared" si="42"/>
        <v>0</v>
      </c>
      <c r="BT36" s="31"/>
      <c r="BU36" s="27">
        <v>0</v>
      </c>
      <c r="BV36" s="37">
        <f t="shared" si="9"/>
        <v>-1</v>
      </c>
      <c r="BW36" s="36">
        <v>1458.3333333333333</v>
      </c>
      <c r="BX36" s="31">
        <f t="shared" si="43"/>
        <v>1279.1041666666665</v>
      </c>
      <c r="BY36" s="31">
        <f t="shared" si="44"/>
        <v>179.22916666666666</v>
      </c>
      <c r="BZ36" s="31">
        <f t="shared" si="45"/>
        <v>0</v>
      </c>
      <c r="CA36" s="31"/>
      <c r="CB36" s="27">
        <v>0</v>
      </c>
      <c r="CC36" s="37">
        <f t="shared" si="10"/>
        <v>-1</v>
      </c>
      <c r="CD36" s="36">
        <v>1458.3333333333333</v>
      </c>
      <c r="CE36" s="31">
        <f t="shared" si="46"/>
        <v>1279.1041666666665</v>
      </c>
      <c r="CF36" s="31">
        <f t="shared" si="47"/>
        <v>179.22916666666666</v>
      </c>
      <c r="CG36" s="31">
        <f t="shared" si="48"/>
        <v>0</v>
      </c>
      <c r="CH36" s="31"/>
      <c r="CI36" s="27">
        <v>0</v>
      </c>
      <c r="CJ36" s="37">
        <f t="shared" si="11"/>
        <v>-1</v>
      </c>
      <c r="CK36" s="36">
        <v>1458.3333333333333</v>
      </c>
      <c r="CL36" s="31">
        <f t="shared" si="49"/>
        <v>1279.1041666666665</v>
      </c>
      <c r="CM36" s="31">
        <f t="shared" si="50"/>
        <v>179.22916666666666</v>
      </c>
      <c r="CN36" s="31">
        <f t="shared" si="51"/>
        <v>0</v>
      </c>
      <c r="CO36" s="31"/>
      <c r="CP36" s="27">
        <v>0</v>
      </c>
      <c r="CQ36" s="37">
        <f t="shared" si="12"/>
        <v>-1</v>
      </c>
    </row>
    <row r="37" spans="1:95" s="26" customFormat="1" ht="16" customHeight="1" x14ac:dyDescent="0.2">
      <c r="A37" s="38" t="s">
        <v>61</v>
      </c>
      <c r="B37" s="30">
        <f t="shared" si="52"/>
        <v>26250</v>
      </c>
      <c r="C37" s="31">
        <f t="shared" si="52"/>
        <v>23023.875</v>
      </c>
      <c r="D37" s="32">
        <f t="shared" si="52"/>
        <v>3226.125</v>
      </c>
      <c r="E37" s="30">
        <f t="shared" ref="E37:G54" si="54">+L37+S37+Z37+AG37</f>
        <v>8750</v>
      </c>
      <c r="F37" s="33">
        <f t="shared" si="54"/>
        <v>7674.625</v>
      </c>
      <c r="G37" s="34">
        <f t="shared" si="54"/>
        <v>1075.375</v>
      </c>
      <c r="H37" s="31">
        <f t="shared" si="53"/>
        <v>17012.236262792419</v>
      </c>
      <c r="I37" s="33">
        <f t="shared" si="53"/>
        <v>0</v>
      </c>
      <c r="J37" s="33">
        <f t="shared" si="53"/>
        <v>17012.236262792419</v>
      </c>
      <c r="K37" s="37">
        <f t="shared" si="14"/>
        <v>0.94425557289056217</v>
      </c>
      <c r="L37" s="36">
        <v>2187.5</v>
      </c>
      <c r="M37" s="31">
        <f t="shared" si="15"/>
        <v>1918.65625</v>
      </c>
      <c r="N37" s="31">
        <f t="shared" si="16"/>
        <v>268.84375</v>
      </c>
      <c r="O37" s="31">
        <f t="shared" si="17"/>
        <v>3823.496830507394</v>
      </c>
      <c r="P37" s="31"/>
      <c r="Q37" s="33">
        <v>3823.496830507394</v>
      </c>
      <c r="R37" s="37">
        <f t="shared" si="18"/>
        <v>0.74788426537480857</v>
      </c>
      <c r="S37" s="36">
        <v>2187.5</v>
      </c>
      <c r="T37" s="31">
        <f t="shared" si="19"/>
        <v>1918.65625</v>
      </c>
      <c r="U37" s="31">
        <f t="shared" si="20"/>
        <v>268.84375</v>
      </c>
      <c r="V37" s="31">
        <f t="shared" si="21"/>
        <v>2872.2249402302864</v>
      </c>
      <c r="W37" s="31"/>
      <c r="X37" s="33">
        <v>2872.2249402302864</v>
      </c>
      <c r="Y37" s="37">
        <f t="shared" si="2"/>
        <v>0.31301711553384526</v>
      </c>
      <c r="Z37" s="36">
        <v>2187.5</v>
      </c>
      <c r="AA37" s="31">
        <f t="shared" si="22"/>
        <v>1918.65625</v>
      </c>
      <c r="AB37" s="31">
        <f t="shared" si="23"/>
        <v>268.84375</v>
      </c>
      <c r="AC37" s="31">
        <f t="shared" si="24"/>
        <v>4038.6814740024311</v>
      </c>
      <c r="AD37" s="31"/>
      <c r="AE37" s="27">
        <v>4038.6814740024311</v>
      </c>
      <c r="AF37" s="37">
        <f t="shared" si="3"/>
        <v>0.84625438811539699</v>
      </c>
      <c r="AG37" s="36">
        <v>2187.5</v>
      </c>
      <c r="AH37" s="31">
        <f t="shared" si="25"/>
        <v>1918.65625</v>
      </c>
      <c r="AI37" s="31">
        <f t="shared" si="26"/>
        <v>268.84375</v>
      </c>
      <c r="AJ37" s="31">
        <f t="shared" si="27"/>
        <v>6277.833018052308</v>
      </c>
      <c r="AK37" s="31"/>
      <c r="AL37" s="27">
        <v>6277.833018052308</v>
      </c>
      <c r="AM37" s="37">
        <f t="shared" si="4"/>
        <v>1.8698665225381981</v>
      </c>
      <c r="AN37" s="36">
        <v>2187.5</v>
      </c>
      <c r="AO37" s="31">
        <f t="shared" si="28"/>
        <v>1918.65625</v>
      </c>
      <c r="AP37" s="31">
        <f t="shared" si="29"/>
        <v>268.84375</v>
      </c>
      <c r="AQ37" s="31">
        <f t="shared" si="30"/>
        <v>0</v>
      </c>
      <c r="AR37" s="31"/>
      <c r="AS37" s="27">
        <v>0</v>
      </c>
      <c r="AT37" s="37">
        <f t="shared" si="5"/>
        <v>-1</v>
      </c>
      <c r="AU37" s="36">
        <v>2187.5</v>
      </c>
      <c r="AV37" s="31">
        <f t="shared" si="31"/>
        <v>1918.65625</v>
      </c>
      <c r="AW37" s="31">
        <f t="shared" si="32"/>
        <v>268.84375</v>
      </c>
      <c r="AX37" s="31">
        <f t="shared" si="33"/>
        <v>0</v>
      </c>
      <c r="AY37" s="31"/>
      <c r="AZ37" s="27">
        <v>0</v>
      </c>
      <c r="BA37" s="37">
        <f t="shared" si="6"/>
        <v>-1</v>
      </c>
      <c r="BB37" s="36">
        <v>2187.5</v>
      </c>
      <c r="BC37" s="31">
        <f t="shared" si="34"/>
        <v>1918.65625</v>
      </c>
      <c r="BD37" s="31">
        <f t="shared" si="35"/>
        <v>268.84375</v>
      </c>
      <c r="BE37" s="31">
        <f t="shared" si="36"/>
        <v>0</v>
      </c>
      <c r="BF37" s="31"/>
      <c r="BG37" s="27">
        <v>0</v>
      </c>
      <c r="BH37" s="37">
        <f t="shared" si="7"/>
        <v>-1</v>
      </c>
      <c r="BI37" s="36">
        <v>2187.5</v>
      </c>
      <c r="BJ37" s="31">
        <f t="shared" si="37"/>
        <v>1918.65625</v>
      </c>
      <c r="BK37" s="31">
        <f t="shared" si="38"/>
        <v>268.84375</v>
      </c>
      <c r="BL37" s="31">
        <f t="shared" si="39"/>
        <v>0</v>
      </c>
      <c r="BM37" s="31"/>
      <c r="BN37" s="27">
        <v>0</v>
      </c>
      <c r="BO37" s="37">
        <f t="shared" si="8"/>
        <v>-1</v>
      </c>
      <c r="BP37" s="36">
        <v>2187.5</v>
      </c>
      <c r="BQ37" s="31">
        <f t="shared" si="40"/>
        <v>1918.65625</v>
      </c>
      <c r="BR37" s="31">
        <f t="shared" si="41"/>
        <v>268.84375</v>
      </c>
      <c r="BS37" s="31">
        <f t="shared" si="42"/>
        <v>0</v>
      </c>
      <c r="BT37" s="31"/>
      <c r="BU37" s="27">
        <v>0</v>
      </c>
      <c r="BV37" s="37">
        <f t="shared" si="9"/>
        <v>-1</v>
      </c>
      <c r="BW37" s="36">
        <v>2187.5</v>
      </c>
      <c r="BX37" s="31">
        <f t="shared" si="43"/>
        <v>1918.65625</v>
      </c>
      <c r="BY37" s="31">
        <f t="shared" si="44"/>
        <v>268.84375</v>
      </c>
      <c r="BZ37" s="31">
        <f t="shared" si="45"/>
        <v>0</v>
      </c>
      <c r="CA37" s="31"/>
      <c r="CB37" s="27">
        <v>0</v>
      </c>
      <c r="CC37" s="37">
        <f t="shared" si="10"/>
        <v>-1</v>
      </c>
      <c r="CD37" s="36">
        <v>2187.5</v>
      </c>
      <c r="CE37" s="31">
        <f t="shared" si="46"/>
        <v>1918.65625</v>
      </c>
      <c r="CF37" s="31">
        <f t="shared" si="47"/>
        <v>268.84375</v>
      </c>
      <c r="CG37" s="31">
        <f t="shared" si="48"/>
        <v>0</v>
      </c>
      <c r="CH37" s="31"/>
      <c r="CI37" s="27">
        <v>0</v>
      </c>
      <c r="CJ37" s="37">
        <f t="shared" si="11"/>
        <v>-1</v>
      </c>
      <c r="CK37" s="36">
        <v>2187.5</v>
      </c>
      <c r="CL37" s="31">
        <f t="shared" si="49"/>
        <v>1918.65625</v>
      </c>
      <c r="CM37" s="31">
        <f t="shared" si="50"/>
        <v>268.84375</v>
      </c>
      <c r="CN37" s="31">
        <f t="shared" si="51"/>
        <v>0</v>
      </c>
      <c r="CO37" s="31"/>
      <c r="CP37" s="27">
        <v>0</v>
      </c>
      <c r="CQ37" s="37">
        <f t="shared" si="12"/>
        <v>-1</v>
      </c>
    </row>
    <row r="38" spans="1:95" s="26" customFormat="1" ht="16" customHeight="1" x14ac:dyDescent="0.2">
      <c r="A38" s="38" t="s">
        <v>62</v>
      </c>
      <c r="B38" s="30">
        <f t="shared" si="52"/>
        <v>1749.9999999999998</v>
      </c>
      <c r="C38" s="31">
        <f t="shared" si="52"/>
        <v>1534.925</v>
      </c>
      <c r="D38" s="32">
        <f t="shared" si="52"/>
        <v>215.07499999999993</v>
      </c>
      <c r="E38" s="30">
        <f t="shared" si="54"/>
        <v>583.33333333333337</v>
      </c>
      <c r="F38" s="33">
        <f t="shared" si="54"/>
        <v>511.64166666666671</v>
      </c>
      <c r="G38" s="34">
        <f t="shared" si="54"/>
        <v>71.691666666666663</v>
      </c>
      <c r="H38" s="31">
        <f t="shared" si="53"/>
        <v>988.61548310552257</v>
      </c>
      <c r="I38" s="33">
        <f t="shared" si="53"/>
        <v>0</v>
      </c>
      <c r="J38" s="33">
        <f t="shared" si="53"/>
        <v>988.61548310552257</v>
      </c>
      <c r="K38" s="37">
        <f t="shared" si="14"/>
        <v>0.69476939960946726</v>
      </c>
      <c r="L38" s="36">
        <v>145.83333333333334</v>
      </c>
      <c r="M38" s="31">
        <f t="shared" si="15"/>
        <v>127.91041666666668</v>
      </c>
      <c r="N38" s="31">
        <f t="shared" si="16"/>
        <v>17.922916666666666</v>
      </c>
      <c r="O38" s="31">
        <f t="shared" si="17"/>
        <v>341.78042078602095</v>
      </c>
      <c r="P38" s="31"/>
      <c r="Q38" s="33">
        <v>341.78042078602095</v>
      </c>
      <c r="R38" s="37">
        <f t="shared" si="18"/>
        <v>1.3436371711041435</v>
      </c>
      <c r="S38" s="36">
        <v>145.83333333333334</v>
      </c>
      <c r="T38" s="31">
        <f t="shared" si="19"/>
        <v>127.91041666666668</v>
      </c>
      <c r="U38" s="31">
        <f t="shared" si="20"/>
        <v>17.922916666666666</v>
      </c>
      <c r="V38" s="31">
        <f t="shared" si="21"/>
        <v>94.848385337521577</v>
      </c>
      <c r="W38" s="31"/>
      <c r="X38" s="33">
        <v>94.848385337521577</v>
      </c>
      <c r="Y38" s="37">
        <f t="shared" si="2"/>
        <v>-0.34961107197128061</v>
      </c>
      <c r="Z38" s="36">
        <v>145.83333333333334</v>
      </c>
      <c r="AA38" s="31">
        <f t="shared" si="22"/>
        <v>127.91041666666668</v>
      </c>
      <c r="AB38" s="31">
        <f t="shared" si="23"/>
        <v>17.922916666666666</v>
      </c>
      <c r="AC38" s="31">
        <f t="shared" si="24"/>
        <v>370.84303646358779</v>
      </c>
      <c r="AD38" s="31"/>
      <c r="AE38" s="27">
        <v>370.84303646358779</v>
      </c>
      <c r="AF38" s="37">
        <f t="shared" si="3"/>
        <v>1.5429236786074592</v>
      </c>
      <c r="AG38" s="36">
        <v>145.83333333333334</v>
      </c>
      <c r="AH38" s="31">
        <f t="shared" si="25"/>
        <v>127.91041666666668</v>
      </c>
      <c r="AI38" s="31">
        <f t="shared" si="26"/>
        <v>17.922916666666666</v>
      </c>
      <c r="AJ38" s="31">
        <f t="shared" si="27"/>
        <v>181.14364051839215</v>
      </c>
      <c r="AK38" s="31"/>
      <c r="AL38" s="27">
        <v>181.14364051839215</v>
      </c>
      <c r="AM38" s="37">
        <f t="shared" si="4"/>
        <v>0.24212782069754613</v>
      </c>
      <c r="AN38" s="36">
        <v>145.83333333333334</v>
      </c>
      <c r="AO38" s="31">
        <f t="shared" si="28"/>
        <v>127.91041666666668</v>
      </c>
      <c r="AP38" s="31">
        <f t="shared" si="29"/>
        <v>17.922916666666666</v>
      </c>
      <c r="AQ38" s="31">
        <f t="shared" si="30"/>
        <v>0</v>
      </c>
      <c r="AR38" s="31"/>
      <c r="AS38" s="27">
        <v>0</v>
      </c>
      <c r="AT38" s="37">
        <f t="shared" si="5"/>
        <v>-1</v>
      </c>
      <c r="AU38" s="36">
        <v>145.83333333333334</v>
      </c>
      <c r="AV38" s="31">
        <f t="shared" si="31"/>
        <v>127.91041666666668</v>
      </c>
      <c r="AW38" s="31">
        <f t="shared" si="32"/>
        <v>17.922916666666666</v>
      </c>
      <c r="AX38" s="31">
        <f t="shared" si="33"/>
        <v>0</v>
      </c>
      <c r="AY38" s="31"/>
      <c r="AZ38" s="27">
        <v>0</v>
      </c>
      <c r="BA38" s="37">
        <f t="shared" si="6"/>
        <v>-1</v>
      </c>
      <c r="BB38" s="36">
        <v>145.83333333333334</v>
      </c>
      <c r="BC38" s="31">
        <f t="shared" si="34"/>
        <v>127.91041666666668</v>
      </c>
      <c r="BD38" s="31">
        <f t="shared" si="35"/>
        <v>17.922916666666666</v>
      </c>
      <c r="BE38" s="31">
        <f t="shared" si="36"/>
        <v>0</v>
      </c>
      <c r="BF38" s="31"/>
      <c r="BG38" s="27">
        <v>0</v>
      </c>
      <c r="BH38" s="37">
        <f t="shared" si="7"/>
        <v>-1</v>
      </c>
      <c r="BI38" s="36">
        <v>145.83333333333334</v>
      </c>
      <c r="BJ38" s="31">
        <f t="shared" si="37"/>
        <v>127.91041666666668</v>
      </c>
      <c r="BK38" s="31">
        <f t="shared" si="38"/>
        <v>17.922916666666666</v>
      </c>
      <c r="BL38" s="31">
        <f t="shared" si="39"/>
        <v>0</v>
      </c>
      <c r="BM38" s="31"/>
      <c r="BN38" s="27">
        <v>0</v>
      </c>
      <c r="BO38" s="37">
        <f t="shared" si="8"/>
        <v>-1</v>
      </c>
      <c r="BP38" s="36">
        <v>145.83333333333334</v>
      </c>
      <c r="BQ38" s="31">
        <f t="shared" si="40"/>
        <v>127.91041666666668</v>
      </c>
      <c r="BR38" s="31">
        <f t="shared" si="41"/>
        <v>17.922916666666666</v>
      </c>
      <c r="BS38" s="31">
        <f t="shared" si="42"/>
        <v>0</v>
      </c>
      <c r="BT38" s="31"/>
      <c r="BU38" s="27">
        <v>0</v>
      </c>
      <c r="BV38" s="37">
        <f t="shared" si="9"/>
        <v>-1</v>
      </c>
      <c r="BW38" s="36">
        <v>145.83333333333334</v>
      </c>
      <c r="BX38" s="31">
        <f t="shared" si="43"/>
        <v>127.91041666666668</v>
      </c>
      <c r="BY38" s="31">
        <f t="shared" si="44"/>
        <v>17.922916666666666</v>
      </c>
      <c r="BZ38" s="31">
        <f t="shared" si="45"/>
        <v>0</v>
      </c>
      <c r="CA38" s="31"/>
      <c r="CB38" s="27">
        <v>0</v>
      </c>
      <c r="CC38" s="37">
        <f t="shared" si="10"/>
        <v>-1</v>
      </c>
      <c r="CD38" s="36">
        <v>145.83333333333334</v>
      </c>
      <c r="CE38" s="31">
        <f t="shared" si="46"/>
        <v>127.91041666666668</v>
      </c>
      <c r="CF38" s="31">
        <f t="shared" si="47"/>
        <v>17.922916666666666</v>
      </c>
      <c r="CG38" s="31">
        <f t="shared" si="48"/>
        <v>0</v>
      </c>
      <c r="CH38" s="31"/>
      <c r="CI38" s="27">
        <v>0</v>
      </c>
      <c r="CJ38" s="37">
        <f t="shared" si="11"/>
        <v>-1</v>
      </c>
      <c r="CK38" s="36">
        <v>145.83333333333334</v>
      </c>
      <c r="CL38" s="31">
        <f t="shared" si="49"/>
        <v>127.91041666666668</v>
      </c>
      <c r="CM38" s="31">
        <f t="shared" si="50"/>
        <v>17.922916666666666</v>
      </c>
      <c r="CN38" s="31">
        <f t="shared" si="51"/>
        <v>0</v>
      </c>
      <c r="CO38" s="31"/>
      <c r="CP38" s="27">
        <v>0</v>
      </c>
      <c r="CQ38" s="37">
        <f t="shared" si="12"/>
        <v>-1</v>
      </c>
    </row>
    <row r="39" spans="1:95" s="26" customFormat="1" ht="16" customHeight="1" x14ac:dyDescent="0.2">
      <c r="A39" s="38" t="s">
        <v>63</v>
      </c>
      <c r="B39" s="30">
        <f t="shared" si="52"/>
        <v>5250</v>
      </c>
      <c r="C39" s="31">
        <f t="shared" si="52"/>
        <v>4604.7749999999987</v>
      </c>
      <c r="D39" s="32">
        <f t="shared" si="52"/>
        <v>645.22499999999991</v>
      </c>
      <c r="E39" s="30">
        <f t="shared" si="54"/>
        <v>1750</v>
      </c>
      <c r="F39" s="33">
        <f t="shared" si="54"/>
        <v>1534.925</v>
      </c>
      <c r="G39" s="34">
        <f t="shared" si="54"/>
        <v>215.07499999999999</v>
      </c>
      <c r="H39" s="31">
        <f t="shared" si="53"/>
        <v>13837.136530345229</v>
      </c>
      <c r="I39" s="33">
        <f t="shared" si="53"/>
        <v>0</v>
      </c>
      <c r="J39" s="33">
        <f t="shared" si="53"/>
        <v>13837.136530345229</v>
      </c>
      <c r="K39" s="37">
        <f t="shared" si="14"/>
        <v>6.9069351601972739</v>
      </c>
      <c r="L39" s="36">
        <v>437.5</v>
      </c>
      <c r="M39" s="31">
        <f t="shared" si="15"/>
        <v>383.73124999999999</v>
      </c>
      <c r="N39" s="31">
        <f t="shared" si="16"/>
        <v>53.768749999999997</v>
      </c>
      <c r="O39" s="31">
        <f t="shared" si="17"/>
        <v>1814.3443294227745</v>
      </c>
      <c r="P39" s="31"/>
      <c r="Q39" s="33">
        <v>1814.3443294227745</v>
      </c>
      <c r="R39" s="37">
        <f t="shared" si="18"/>
        <v>3.1470727529663414</v>
      </c>
      <c r="S39" s="36">
        <v>437.5</v>
      </c>
      <c r="T39" s="31">
        <f t="shared" si="19"/>
        <v>383.73124999999999</v>
      </c>
      <c r="U39" s="31">
        <f t="shared" si="20"/>
        <v>53.768749999999997</v>
      </c>
      <c r="V39" s="31">
        <f t="shared" si="21"/>
        <v>936.27197171611363</v>
      </c>
      <c r="W39" s="31"/>
      <c r="X39" s="33">
        <v>936.27197171611363</v>
      </c>
      <c r="Y39" s="37">
        <f t="shared" si="2"/>
        <v>1.1400502210654024</v>
      </c>
      <c r="Z39" s="36">
        <v>437.5</v>
      </c>
      <c r="AA39" s="31">
        <f t="shared" si="22"/>
        <v>383.73124999999999</v>
      </c>
      <c r="AB39" s="31">
        <f t="shared" si="23"/>
        <v>53.768749999999997</v>
      </c>
      <c r="AC39" s="31">
        <f t="shared" si="24"/>
        <v>10432.522554820931</v>
      </c>
      <c r="AD39" s="31"/>
      <c r="AE39" s="27">
        <v>10432.522554820931</v>
      </c>
      <c r="AF39" s="37">
        <f t="shared" si="3"/>
        <v>22.845765839590701</v>
      </c>
      <c r="AG39" s="36">
        <v>437.5</v>
      </c>
      <c r="AH39" s="31">
        <f t="shared" si="25"/>
        <v>383.73124999999999</v>
      </c>
      <c r="AI39" s="31">
        <f t="shared" si="26"/>
        <v>53.768749999999997</v>
      </c>
      <c r="AJ39" s="31">
        <f t="shared" si="27"/>
        <v>653.99767438540982</v>
      </c>
      <c r="AK39" s="31"/>
      <c r="AL39" s="27">
        <v>653.99767438540982</v>
      </c>
      <c r="AM39" s="37">
        <f t="shared" si="4"/>
        <v>0.4948518271666511</v>
      </c>
      <c r="AN39" s="36">
        <v>437.5</v>
      </c>
      <c r="AO39" s="31">
        <f t="shared" si="28"/>
        <v>383.73124999999999</v>
      </c>
      <c r="AP39" s="31">
        <f t="shared" si="29"/>
        <v>53.768749999999997</v>
      </c>
      <c r="AQ39" s="31">
        <f t="shared" si="30"/>
        <v>0</v>
      </c>
      <c r="AR39" s="31"/>
      <c r="AS39" s="27">
        <v>0</v>
      </c>
      <c r="AT39" s="37">
        <f t="shared" si="5"/>
        <v>-1</v>
      </c>
      <c r="AU39" s="36">
        <v>437.5</v>
      </c>
      <c r="AV39" s="31">
        <f t="shared" si="31"/>
        <v>383.73124999999999</v>
      </c>
      <c r="AW39" s="31">
        <f t="shared" si="32"/>
        <v>53.768749999999997</v>
      </c>
      <c r="AX39" s="31">
        <f t="shared" si="33"/>
        <v>0</v>
      </c>
      <c r="AY39" s="31"/>
      <c r="AZ39" s="27">
        <v>0</v>
      </c>
      <c r="BA39" s="37">
        <f t="shared" si="6"/>
        <v>-1</v>
      </c>
      <c r="BB39" s="36">
        <v>437.5</v>
      </c>
      <c r="BC39" s="31">
        <f t="shared" si="34"/>
        <v>383.73124999999999</v>
      </c>
      <c r="BD39" s="31">
        <f t="shared" si="35"/>
        <v>53.768749999999997</v>
      </c>
      <c r="BE39" s="31">
        <f t="shared" si="36"/>
        <v>0</v>
      </c>
      <c r="BF39" s="31"/>
      <c r="BG39" s="27">
        <v>0</v>
      </c>
      <c r="BH39" s="37">
        <f t="shared" si="7"/>
        <v>-1</v>
      </c>
      <c r="BI39" s="36">
        <v>437.5</v>
      </c>
      <c r="BJ39" s="31">
        <f t="shared" si="37"/>
        <v>383.73124999999999</v>
      </c>
      <c r="BK39" s="31">
        <f t="shared" si="38"/>
        <v>53.768749999999997</v>
      </c>
      <c r="BL39" s="31">
        <f t="shared" si="39"/>
        <v>0</v>
      </c>
      <c r="BM39" s="31"/>
      <c r="BN39" s="27">
        <v>0</v>
      </c>
      <c r="BO39" s="37">
        <f t="shared" si="8"/>
        <v>-1</v>
      </c>
      <c r="BP39" s="36">
        <v>437.5</v>
      </c>
      <c r="BQ39" s="31">
        <f t="shared" si="40"/>
        <v>383.73124999999999</v>
      </c>
      <c r="BR39" s="31">
        <f t="shared" si="41"/>
        <v>53.768749999999997</v>
      </c>
      <c r="BS39" s="31">
        <f t="shared" si="42"/>
        <v>0</v>
      </c>
      <c r="BT39" s="31"/>
      <c r="BU39" s="27">
        <v>0</v>
      </c>
      <c r="BV39" s="37">
        <f t="shared" si="9"/>
        <v>-1</v>
      </c>
      <c r="BW39" s="36">
        <v>437.5</v>
      </c>
      <c r="BX39" s="31">
        <f t="shared" si="43"/>
        <v>383.73124999999999</v>
      </c>
      <c r="BY39" s="31">
        <f t="shared" si="44"/>
        <v>53.768749999999997</v>
      </c>
      <c r="BZ39" s="31">
        <f t="shared" si="45"/>
        <v>0</v>
      </c>
      <c r="CA39" s="31"/>
      <c r="CB39" s="27">
        <v>0</v>
      </c>
      <c r="CC39" s="37">
        <f t="shared" si="10"/>
        <v>-1</v>
      </c>
      <c r="CD39" s="36">
        <v>437.5</v>
      </c>
      <c r="CE39" s="31">
        <f t="shared" si="46"/>
        <v>383.73124999999999</v>
      </c>
      <c r="CF39" s="31">
        <f t="shared" si="47"/>
        <v>53.768749999999997</v>
      </c>
      <c r="CG39" s="31">
        <f t="shared" si="48"/>
        <v>0</v>
      </c>
      <c r="CH39" s="31"/>
      <c r="CI39" s="27">
        <v>0</v>
      </c>
      <c r="CJ39" s="37">
        <f t="shared" si="11"/>
        <v>-1</v>
      </c>
      <c r="CK39" s="36">
        <v>437.5</v>
      </c>
      <c r="CL39" s="31">
        <f t="shared" si="49"/>
        <v>383.73124999999999</v>
      </c>
      <c r="CM39" s="31">
        <f t="shared" si="50"/>
        <v>53.768749999999997</v>
      </c>
      <c r="CN39" s="31">
        <f t="shared" si="51"/>
        <v>0</v>
      </c>
      <c r="CO39" s="31"/>
      <c r="CP39" s="27">
        <v>0</v>
      </c>
      <c r="CQ39" s="37">
        <f t="shared" si="12"/>
        <v>-1</v>
      </c>
    </row>
    <row r="40" spans="1:95" s="26" customFormat="1" ht="16" customHeight="1" x14ac:dyDescent="0.2">
      <c r="A40" s="38" t="s">
        <v>64</v>
      </c>
      <c r="B40" s="30">
        <f t="shared" si="52"/>
        <v>11374.999999999998</v>
      </c>
      <c r="C40" s="31">
        <f t="shared" si="52"/>
        <v>9977.0124999999971</v>
      </c>
      <c r="D40" s="32">
        <f t="shared" si="52"/>
        <v>1397.9875</v>
      </c>
      <c r="E40" s="30">
        <f t="shared" si="54"/>
        <v>3791.6666666666665</v>
      </c>
      <c r="F40" s="33">
        <f t="shared" si="54"/>
        <v>3325.6708333333331</v>
      </c>
      <c r="G40" s="34">
        <f t="shared" si="54"/>
        <v>465.99583333333328</v>
      </c>
      <c r="H40" s="31">
        <f t="shared" si="53"/>
        <v>2482.3749478630298</v>
      </c>
      <c r="I40" s="33">
        <f t="shared" si="53"/>
        <v>0</v>
      </c>
      <c r="J40" s="33">
        <f t="shared" si="53"/>
        <v>2482.3749478630298</v>
      </c>
      <c r="K40" s="37">
        <f t="shared" si="14"/>
        <v>-0.34530770605810202</v>
      </c>
      <c r="L40" s="36">
        <v>947.91666666666663</v>
      </c>
      <c r="M40" s="31">
        <f t="shared" si="15"/>
        <v>831.41770833333328</v>
      </c>
      <c r="N40" s="31">
        <f t="shared" si="16"/>
        <v>116.49895833333332</v>
      </c>
      <c r="O40" s="31">
        <f t="shared" si="17"/>
        <v>930.65826904014511</v>
      </c>
      <c r="P40" s="31"/>
      <c r="Q40" s="33">
        <v>930.65826904014511</v>
      </c>
      <c r="R40" s="37">
        <f t="shared" si="18"/>
        <v>-1.8206661232374355E-2</v>
      </c>
      <c r="S40" s="36">
        <v>947.91666666666663</v>
      </c>
      <c r="T40" s="31">
        <f t="shared" si="19"/>
        <v>831.41770833333328</v>
      </c>
      <c r="U40" s="31">
        <f t="shared" si="20"/>
        <v>116.49895833333332</v>
      </c>
      <c r="V40" s="31">
        <f t="shared" si="21"/>
        <v>322.2396599513558</v>
      </c>
      <c r="W40" s="31"/>
      <c r="X40" s="33">
        <v>322.2396599513558</v>
      </c>
      <c r="Y40" s="37">
        <f t="shared" si="2"/>
        <v>-0.6600548642271411</v>
      </c>
      <c r="Z40" s="36">
        <v>947.91666666666663</v>
      </c>
      <c r="AA40" s="31">
        <f t="shared" si="22"/>
        <v>831.41770833333328</v>
      </c>
      <c r="AB40" s="31">
        <f t="shared" si="23"/>
        <v>116.49895833333332</v>
      </c>
      <c r="AC40" s="31">
        <f t="shared" si="24"/>
        <v>511.91542846517939</v>
      </c>
      <c r="AD40" s="31"/>
      <c r="AE40" s="27">
        <v>511.91542846517939</v>
      </c>
      <c r="AF40" s="37">
        <f t="shared" si="3"/>
        <v>-0.45995735019057993</v>
      </c>
      <c r="AG40" s="36">
        <v>947.91666666666663</v>
      </c>
      <c r="AH40" s="31">
        <f t="shared" si="25"/>
        <v>831.41770833333328</v>
      </c>
      <c r="AI40" s="31">
        <f t="shared" si="26"/>
        <v>116.49895833333332</v>
      </c>
      <c r="AJ40" s="31">
        <f t="shared" si="27"/>
        <v>717.5615904063493</v>
      </c>
      <c r="AK40" s="31"/>
      <c r="AL40" s="27">
        <v>717.5615904063493</v>
      </c>
      <c r="AM40" s="37">
        <f t="shared" si="4"/>
        <v>-0.24301194858231279</v>
      </c>
      <c r="AN40" s="36">
        <v>947.91666666666663</v>
      </c>
      <c r="AO40" s="31">
        <f t="shared" si="28"/>
        <v>831.41770833333328</v>
      </c>
      <c r="AP40" s="31">
        <f t="shared" si="29"/>
        <v>116.49895833333332</v>
      </c>
      <c r="AQ40" s="31">
        <f t="shared" si="30"/>
        <v>0</v>
      </c>
      <c r="AR40" s="31"/>
      <c r="AS40" s="27">
        <v>0</v>
      </c>
      <c r="AT40" s="37">
        <f t="shared" si="5"/>
        <v>-1</v>
      </c>
      <c r="AU40" s="36">
        <v>947.91666666666663</v>
      </c>
      <c r="AV40" s="31">
        <f t="shared" si="31"/>
        <v>831.41770833333328</v>
      </c>
      <c r="AW40" s="31">
        <f t="shared" si="32"/>
        <v>116.49895833333332</v>
      </c>
      <c r="AX40" s="31">
        <f t="shared" si="33"/>
        <v>0</v>
      </c>
      <c r="AY40" s="31"/>
      <c r="AZ40" s="27">
        <v>0</v>
      </c>
      <c r="BA40" s="37">
        <f t="shared" si="6"/>
        <v>-1</v>
      </c>
      <c r="BB40" s="36">
        <v>947.91666666666663</v>
      </c>
      <c r="BC40" s="31">
        <f t="shared" si="34"/>
        <v>831.41770833333328</v>
      </c>
      <c r="BD40" s="31">
        <f t="shared" si="35"/>
        <v>116.49895833333332</v>
      </c>
      <c r="BE40" s="31">
        <f t="shared" si="36"/>
        <v>0</v>
      </c>
      <c r="BF40" s="31"/>
      <c r="BG40" s="27">
        <v>0</v>
      </c>
      <c r="BH40" s="37">
        <f t="shared" si="7"/>
        <v>-1</v>
      </c>
      <c r="BI40" s="36">
        <v>947.91666666666663</v>
      </c>
      <c r="BJ40" s="31">
        <f t="shared" si="37"/>
        <v>831.41770833333328</v>
      </c>
      <c r="BK40" s="31">
        <f t="shared" si="38"/>
        <v>116.49895833333332</v>
      </c>
      <c r="BL40" s="31">
        <f t="shared" si="39"/>
        <v>0</v>
      </c>
      <c r="BM40" s="31"/>
      <c r="BN40" s="27">
        <v>0</v>
      </c>
      <c r="BO40" s="37">
        <f t="shared" si="8"/>
        <v>-1</v>
      </c>
      <c r="BP40" s="36">
        <v>947.91666666666663</v>
      </c>
      <c r="BQ40" s="31">
        <f t="shared" si="40"/>
        <v>831.41770833333328</v>
      </c>
      <c r="BR40" s="31">
        <f t="shared" si="41"/>
        <v>116.49895833333332</v>
      </c>
      <c r="BS40" s="31">
        <f t="shared" si="42"/>
        <v>0</v>
      </c>
      <c r="BT40" s="31"/>
      <c r="BU40" s="27">
        <v>0</v>
      </c>
      <c r="BV40" s="37">
        <f t="shared" si="9"/>
        <v>-1</v>
      </c>
      <c r="BW40" s="36">
        <v>947.91666666666663</v>
      </c>
      <c r="BX40" s="31">
        <f t="shared" si="43"/>
        <v>831.41770833333328</v>
      </c>
      <c r="BY40" s="31">
        <f t="shared" si="44"/>
        <v>116.49895833333332</v>
      </c>
      <c r="BZ40" s="31">
        <f t="shared" si="45"/>
        <v>0</v>
      </c>
      <c r="CA40" s="31"/>
      <c r="CB40" s="27">
        <v>0</v>
      </c>
      <c r="CC40" s="37">
        <f t="shared" si="10"/>
        <v>-1</v>
      </c>
      <c r="CD40" s="36">
        <v>947.91666666666663</v>
      </c>
      <c r="CE40" s="31">
        <f t="shared" si="46"/>
        <v>831.41770833333328</v>
      </c>
      <c r="CF40" s="31">
        <f t="shared" si="47"/>
        <v>116.49895833333332</v>
      </c>
      <c r="CG40" s="31">
        <f t="shared" si="48"/>
        <v>0</v>
      </c>
      <c r="CH40" s="31"/>
      <c r="CI40" s="27">
        <v>0</v>
      </c>
      <c r="CJ40" s="37">
        <f t="shared" si="11"/>
        <v>-1</v>
      </c>
      <c r="CK40" s="36">
        <v>947.91666666666663</v>
      </c>
      <c r="CL40" s="31">
        <f t="shared" si="49"/>
        <v>831.41770833333328</v>
      </c>
      <c r="CM40" s="31">
        <f t="shared" si="50"/>
        <v>116.49895833333332</v>
      </c>
      <c r="CN40" s="31">
        <f t="shared" si="51"/>
        <v>0</v>
      </c>
      <c r="CO40" s="31"/>
      <c r="CP40" s="27">
        <v>0</v>
      </c>
      <c r="CQ40" s="37">
        <f t="shared" si="12"/>
        <v>-1</v>
      </c>
    </row>
    <row r="41" spans="1:95" s="26" customFormat="1" ht="16" customHeight="1" x14ac:dyDescent="0.2">
      <c r="A41" s="29" t="s">
        <v>65</v>
      </c>
      <c r="B41" s="30">
        <f t="shared" si="52"/>
        <v>74987.5</v>
      </c>
      <c r="C41" s="31">
        <f t="shared" si="52"/>
        <v>65771.536250000019</v>
      </c>
      <c r="D41" s="32">
        <f t="shared" si="52"/>
        <v>9215.9637499999972</v>
      </c>
      <c r="E41" s="30">
        <f t="shared" si="54"/>
        <v>24995.833333333332</v>
      </c>
      <c r="F41" s="33">
        <f t="shared" si="54"/>
        <v>21923.845416666667</v>
      </c>
      <c r="G41" s="34">
        <f t="shared" si="54"/>
        <v>3071.9879166666665</v>
      </c>
      <c r="H41" s="31">
        <f t="shared" si="53"/>
        <v>24995.833333333332</v>
      </c>
      <c r="I41" s="33">
        <f t="shared" si="53"/>
        <v>0</v>
      </c>
      <c r="J41" s="33">
        <f t="shared" si="53"/>
        <v>24995.833333333332</v>
      </c>
      <c r="K41" s="37">
        <f t="shared" si="14"/>
        <v>0</v>
      </c>
      <c r="L41" s="46">
        <v>6248.958333333333</v>
      </c>
      <c r="M41" s="47">
        <f t="shared" si="15"/>
        <v>5480.9613541666668</v>
      </c>
      <c r="N41" s="47">
        <f t="shared" si="16"/>
        <v>767.99697916666662</v>
      </c>
      <c r="O41" s="47">
        <f t="shared" si="17"/>
        <v>6248.958333333333</v>
      </c>
      <c r="P41" s="47"/>
      <c r="Q41" s="45">
        <v>6248.958333333333</v>
      </c>
      <c r="R41" s="37">
        <f t="shared" si="18"/>
        <v>0</v>
      </c>
      <c r="S41" s="46">
        <v>6248.958333333333</v>
      </c>
      <c r="T41" s="47">
        <f t="shared" si="19"/>
        <v>5480.9613541666668</v>
      </c>
      <c r="U41" s="47">
        <f t="shared" si="20"/>
        <v>767.99697916666662</v>
      </c>
      <c r="V41" s="47">
        <f t="shared" si="21"/>
        <v>6248.958333333333</v>
      </c>
      <c r="W41" s="47"/>
      <c r="X41" s="45">
        <v>6248.958333333333</v>
      </c>
      <c r="Y41" s="37">
        <f t="shared" si="2"/>
        <v>0</v>
      </c>
      <c r="Z41" s="46">
        <v>6248.958333333333</v>
      </c>
      <c r="AA41" s="47">
        <f t="shared" si="22"/>
        <v>5480.9613541666668</v>
      </c>
      <c r="AB41" s="47">
        <f t="shared" si="23"/>
        <v>767.99697916666662</v>
      </c>
      <c r="AC41" s="47">
        <f t="shared" si="24"/>
        <v>6248.958333333333</v>
      </c>
      <c r="AD41" s="47"/>
      <c r="AE41" s="48">
        <v>6248.958333333333</v>
      </c>
      <c r="AF41" s="37">
        <f t="shared" si="3"/>
        <v>0</v>
      </c>
      <c r="AG41" s="46">
        <v>6248.958333333333</v>
      </c>
      <c r="AH41" s="47">
        <f t="shared" si="25"/>
        <v>5480.9613541666668</v>
      </c>
      <c r="AI41" s="47">
        <f t="shared" si="26"/>
        <v>767.99697916666662</v>
      </c>
      <c r="AJ41" s="47">
        <f t="shared" si="27"/>
        <v>6248.958333333333</v>
      </c>
      <c r="AK41" s="47"/>
      <c r="AL41" s="48">
        <v>6248.958333333333</v>
      </c>
      <c r="AM41" s="37">
        <f t="shared" si="4"/>
        <v>0</v>
      </c>
      <c r="AN41" s="46">
        <v>6248.958333333333</v>
      </c>
      <c r="AO41" s="47">
        <f t="shared" si="28"/>
        <v>5480.9613541666668</v>
      </c>
      <c r="AP41" s="47">
        <f t="shared" si="29"/>
        <v>767.99697916666662</v>
      </c>
      <c r="AQ41" s="47">
        <f t="shared" si="30"/>
        <v>0</v>
      </c>
      <c r="AR41" s="47"/>
      <c r="AS41" s="48"/>
      <c r="AT41" s="37">
        <f t="shared" si="5"/>
        <v>-1</v>
      </c>
      <c r="AU41" s="46">
        <v>6248.958333333333</v>
      </c>
      <c r="AV41" s="47">
        <f t="shared" si="31"/>
        <v>5480.9613541666668</v>
      </c>
      <c r="AW41" s="47">
        <f t="shared" si="32"/>
        <v>767.99697916666662</v>
      </c>
      <c r="AX41" s="47">
        <f t="shared" si="33"/>
        <v>0</v>
      </c>
      <c r="AY41" s="47"/>
      <c r="AZ41" s="48"/>
      <c r="BA41" s="37">
        <f t="shared" si="6"/>
        <v>-1</v>
      </c>
      <c r="BB41" s="46">
        <v>6248.958333333333</v>
      </c>
      <c r="BC41" s="47">
        <f t="shared" si="34"/>
        <v>5480.9613541666668</v>
      </c>
      <c r="BD41" s="47">
        <f t="shared" si="35"/>
        <v>767.99697916666662</v>
      </c>
      <c r="BE41" s="47">
        <f t="shared" si="36"/>
        <v>0</v>
      </c>
      <c r="BF41" s="47"/>
      <c r="BG41" s="48"/>
      <c r="BH41" s="37">
        <f t="shared" si="7"/>
        <v>-1</v>
      </c>
      <c r="BI41" s="46">
        <v>6248.958333333333</v>
      </c>
      <c r="BJ41" s="47">
        <f t="shared" si="37"/>
        <v>5480.9613541666668</v>
      </c>
      <c r="BK41" s="47">
        <f t="shared" si="38"/>
        <v>767.99697916666662</v>
      </c>
      <c r="BL41" s="47">
        <f t="shared" si="39"/>
        <v>0</v>
      </c>
      <c r="BM41" s="47"/>
      <c r="BN41" s="48"/>
      <c r="BO41" s="37">
        <f t="shared" si="8"/>
        <v>-1</v>
      </c>
      <c r="BP41" s="46">
        <v>6248.958333333333</v>
      </c>
      <c r="BQ41" s="47">
        <f t="shared" si="40"/>
        <v>5480.9613541666668</v>
      </c>
      <c r="BR41" s="47">
        <f t="shared" si="41"/>
        <v>767.99697916666662</v>
      </c>
      <c r="BS41" s="47">
        <f t="shared" si="42"/>
        <v>0</v>
      </c>
      <c r="BT41" s="47"/>
      <c r="BU41" s="48"/>
      <c r="BV41" s="37">
        <f t="shared" si="9"/>
        <v>-1</v>
      </c>
      <c r="BW41" s="46">
        <v>6248.958333333333</v>
      </c>
      <c r="BX41" s="47">
        <f t="shared" si="43"/>
        <v>5480.9613541666668</v>
      </c>
      <c r="BY41" s="47">
        <f t="shared" si="44"/>
        <v>767.99697916666662</v>
      </c>
      <c r="BZ41" s="47">
        <f t="shared" si="45"/>
        <v>0</v>
      </c>
      <c r="CA41" s="47"/>
      <c r="CB41" s="48"/>
      <c r="CC41" s="37">
        <f t="shared" si="10"/>
        <v>-1</v>
      </c>
      <c r="CD41" s="46">
        <v>6248.958333333333</v>
      </c>
      <c r="CE41" s="47">
        <f t="shared" si="46"/>
        <v>5480.9613541666668</v>
      </c>
      <c r="CF41" s="47">
        <f t="shared" si="47"/>
        <v>767.99697916666662</v>
      </c>
      <c r="CG41" s="47">
        <f t="shared" si="48"/>
        <v>0</v>
      </c>
      <c r="CH41" s="47"/>
      <c r="CI41" s="48"/>
      <c r="CJ41" s="37">
        <f t="shared" si="11"/>
        <v>-1</v>
      </c>
      <c r="CK41" s="46">
        <v>6248.958333333333</v>
      </c>
      <c r="CL41" s="47">
        <f t="shared" si="49"/>
        <v>5480.9613541666668</v>
      </c>
      <c r="CM41" s="47">
        <f t="shared" si="50"/>
        <v>767.99697916666662</v>
      </c>
      <c r="CN41" s="47">
        <f t="shared" si="51"/>
        <v>0</v>
      </c>
      <c r="CO41" s="47"/>
      <c r="CP41" s="49"/>
      <c r="CQ41" s="37">
        <f t="shared" si="12"/>
        <v>-1</v>
      </c>
    </row>
    <row r="42" spans="1:95" s="26" customFormat="1" ht="16" customHeight="1" x14ac:dyDescent="0.2">
      <c r="A42" s="29" t="s">
        <v>66</v>
      </c>
      <c r="B42" s="30">
        <f t="shared" si="52"/>
        <v>249431.99999999997</v>
      </c>
      <c r="C42" s="31">
        <f t="shared" si="52"/>
        <v>218776.80719999995</v>
      </c>
      <c r="D42" s="32">
        <f t="shared" si="52"/>
        <v>30655.192799999993</v>
      </c>
      <c r="E42" s="30">
        <f t="shared" si="54"/>
        <v>83143.999999999985</v>
      </c>
      <c r="F42" s="33">
        <f t="shared" si="54"/>
        <v>72925.602399999989</v>
      </c>
      <c r="G42" s="34">
        <f t="shared" si="54"/>
        <v>10218.397599999998</v>
      </c>
      <c r="H42" s="31">
        <f t="shared" si="53"/>
        <v>80000</v>
      </c>
      <c r="I42" s="33">
        <f t="shared" si="53"/>
        <v>0</v>
      </c>
      <c r="J42" s="33">
        <f t="shared" si="53"/>
        <v>80000</v>
      </c>
      <c r="K42" s="37">
        <f t="shared" si="14"/>
        <v>-3.7813913210814842E-2</v>
      </c>
      <c r="L42" s="36">
        <v>20785.999999999996</v>
      </c>
      <c r="M42" s="31">
        <f t="shared" si="15"/>
        <v>18231.400599999997</v>
      </c>
      <c r="N42" s="31">
        <f t="shared" si="16"/>
        <v>2554.5993999999996</v>
      </c>
      <c r="O42" s="31">
        <f t="shared" si="17"/>
        <v>20000</v>
      </c>
      <c r="P42" s="31"/>
      <c r="Q42" s="33">
        <v>20000</v>
      </c>
      <c r="R42" s="37">
        <f t="shared" si="18"/>
        <v>-3.7813913210814842E-2</v>
      </c>
      <c r="S42" s="36">
        <v>20785.999999999996</v>
      </c>
      <c r="T42" s="31">
        <f t="shared" si="19"/>
        <v>18231.400599999997</v>
      </c>
      <c r="U42" s="31">
        <f t="shared" si="20"/>
        <v>2554.5993999999996</v>
      </c>
      <c r="V42" s="31">
        <f t="shared" si="21"/>
        <v>20000</v>
      </c>
      <c r="W42" s="31"/>
      <c r="X42" s="33">
        <v>20000</v>
      </c>
      <c r="Y42" s="37">
        <f t="shared" si="2"/>
        <v>-3.7813913210814842E-2</v>
      </c>
      <c r="Z42" s="36">
        <v>20785.999999999996</v>
      </c>
      <c r="AA42" s="31">
        <f t="shared" si="22"/>
        <v>18231.400599999997</v>
      </c>
      <c r="AB42" s="31">
        <f t="shared" si="23"/>
        <v>2554.5993999999996</v>
      </c>
      <c r="AC42" s="31">
        <f t="shared" si="24"/>
        <v>20000</v>
      </c>
      <c r="AD42" s="31"/>
      <c r="AE42" s="27">
        <v>20000</v>
      </c>
      <c r="AF42" s="37">
        <f t="shared" si="3"/>
        <v>-3.7813913210814842E-2</v>
      </c>
      <c r="AG42" s="36">
        <v>20785.999999999996</v>
      </c>
      <c r="AH42" s="31">
        <f t="shared" si="25"/>
        <v>18231.400599999997</v>
      </c>
      <c r="AI42" s="31">
        <f t="shared" si="26"/>
        <v>2554.5993999999996</v>
      </c>
      <c r="AJ42" s="31">
        <f t="shared" si="27"/>
        <v>20000</v>
      </c>
      <c r="AK42" s="31"/>
      <c r="AL42" s="27">
        <v>20000</v>
      </c>
      <c r="AM42" s="37">
        <f t="shared" si="4"/>
        <v>-3.7813913210814842E-2</v>
      </c>
      <c r="AN42" s="36">
        <v>20785.999999999996</v>
      </c>
      <c r="AO42" s="31">
        <f t="shared" si="28"/>
        <v>18231.400599999997</v>
      </c>
      <c r="AP42" s="31">
        <f t="shared" si="29"/>
        <v>2554.5993999999996</v>
      </c>
      <c r="AQ42" s="31">
        <f t="shared" si="30"/>
        <v>0</v>
      </c>
      <c r="AR42" s="31"/>
      <c r="AS42" s="27"/>
      <c r="AT42" s="37">
        <f t="shared" si="5"/>
        <v>-1</v>
      </c>
      <c r="AU42" s="36">
        <v>20785.999999999996</v>
      </c>
      <c r="AV42" s="31">
        <f t="shared" si="31"/>
        <v>18231.400599999997</v>
      </c>
      <c r="AW42" s="31">
        <f t="shared" si="32"/>
        <v>2554.5993999999996</v>
      </c>
      <c r="AX42" s="31">
        <f t="shared" si="33"/>
        <v>0</v>
      </c>
      <c r="AY42" s="31"/>
      <c r="AZ42" s="27"/>
      <c r="BA42" s="37">
        <f t="shared" si="6"/>
        <v>-1</v>
      </c>
      <c r="BB42" s="36">
        <v>20785.999999999996</v>
      </c>
      <c r="BC42" s="31">
        <f t="shared" si="34"/>
        <v>18231.400599999997</v>
      </c>
      <c r="BD42" s="31">
        <f t="shared" si="35"/>
        <v>2554.5993999999996</v>
      </c>
      <c r="BE42" s="31">
        <f t="shared" si="36"/>
        <v>0</v>
      </c>
      <c r="BF42" s="31"/>
      <c r="BG42" s="27"/>
      <c r="BH42" s="37">
        <f t="shared" si="7"/>
        <v>-1</v>
      </c>
      <c r="BI42" s="36">
        <v>20785.999999999996</v>
      </c>
      <c r="BJ42" s="31">
        <f t="shared" si="37"/>
        <v>18231.400599999997</v>
      </c>
      <c r="BK42" s="31">
        <f t="shared" si="38"/>
        <v>2554.5993999999996</v>
      </c>
      <c r="BL42" s="31">
        <f t="shared" si="39"/>
        <v>0</v>
      </c>
      <c r="BM42" s="31"/>
      <c r="BN42" s="27"/>
      <c r="BO42" s="37">
        <f t="shared" si="8"/>
        <v>-1</v>
      </c>
      <c r="BP42" s="36">
        <v>20785.999999999996</v>
      </c>
      <c r="BQ42" s="31">
        <f t="shared" si="40"/>
        <v>18231.400599999997</v>
      </c>
      <c r="BR42" s="31">
        <f t="shared" si="41"/>
        <v>2554.5993999999996</v>
      </c>
      <c r="BS42" s="31">
        <f t="shared" si="42"/>
        <v>0</v>
      </c>
      <c r="BT42" s="31"/>
      <c r="BU42" s="27"/>
      <c r="BV42" s="37">
        <f t="shared" si="9"/>
        <v>-1</v>
      </c>
      <c r="BW42" s="36">
        <v>20785.999999999996</v>
      </c>
      <c r="BX42" s="31">
        <f t="shared" si="43"/>
        <v>18231.400599999997</v>
      </c>
      <c r="BY42" s="31">
        <f t="shared" si="44"/>
        <v>2554.5993999999996</v>
      </c>
      <c r="BZ42" s="31">
        <f t="shared" si="45"/>
        <v>0</v>
      </c>
      <c r="CA42" s="31"/>
      <c r="CB42" s="27"/>
      <c r="CC42" s="37">
        <f t="shared" si="10"/>
        <v>-1</v>
      </c>
      <c r="CD42" s="36">
        <v>20785.999999999996</v>
      </c>
      <c r="CE42" s="31">
        <f t="shared" si="46"/>
        <v>18231.400599999997</v>
      </c>
      <c r="CF42" s="31">
        <f t="shared" si="47"/>
        <v>2554.5993999999996</v>
      </c>
      <c r="CG42" s="31">
        <f t="shared" si="48"/>
        <v>0</v>
      </c>
      <c r="CH42" s="31"/>
      <c r="CI42" s="27"/>
      <c r="CJ42" s="37">
        <f t="shared" si="11"/>
        <v>-1</v>
      </c>
      <c r="CK42" s="36">
        <v>20785.999999999996</v>
      </c>
      <c r="CL42" s="31">
        <f t="shared" si="49"/>
        <v>18231.400599999997</v>
      </c>
      <c r="CM42" s="31">
        <f t="shared" si="50"/>
        <v>2554.5993999999996</v>
      </c>
      <c r="CN42" s="31">
        <f t="shared" si="51"/>
        <v>0</v>
      </c>
      <c r="CO42" s="31"/>
      <c r="CP42" s="27"/>
      <c r="CQ42" s="37">
        <f t="shared" si="12"/>
        <v>-1</v>
      </c>
    </row>
    <row r="43" spans="1:95" s="26" customFormat="1" ht="16" customHeight="1" x14ac:dyDescent="0.2">
      <c r="A43" s="38" t="s">
        <v>67</v>
      </c>
      <c r="B43" s="30">
        <f t="shared" si="52"/>
        <v>12108.599999999999</v>
      </c>
      <c r="C43" s="31">
        <f t="shared" si="52"/>
        <v>10620.45306</v>
      </c>
      <c r="D43" s="32">
        <f t="shared" si="52"/>
        <v>1488.1469399999996</v>
      </c>
      <c r="E43" s="30">
        <f t="shared" si="54"/>
        <v>4036.2000000000003</v>
      </c>
      <c r="F43" s="33">
        <f t="shared" si="54"/>
        <v>3540.1510200000002</v>
      </c>
      <c r="G43" s="34">
        <f t="shared" si="54"/>
        <v>496.04898000000003</v>
      </c>
      <c r="H43" s="31">
        <f t="shared" si="53"/>
        <v>4518.0076738852649</v>
      </c>
      <c r="I43" s="33">
        <f t="shared" si="53"/>
        <v>0</v>
      </c>
      <c r="J43" s="33">
        <f t="shared" si="53"/>
        <v>4518.0076738852649</v>
      </c>
      <c r="K43" s="37">
        <f t="shared" si="14"/>
        <v>0.11937160544206549</v>
      </c>
      <c r="L43" s="36">
        <v>1009.0500000000001</v>
      </c>
      <c r="M43" s="31">
        <f t="shared" si="15"/>
        <v>885.03775500000006</v>
      </c>
      <c r="N43" s="31">
        <f t="shared" si="16"/>
        <v>124.01224500000001</v>
      </c>
      <c r="O43" s="31">
        <f t="shared" si="17"/>
        <v>1215.0669110047829</v>
      </c>
      <c r="P43" s="31"/>
      <c r="Q43" s="33">
        <v>1215.0669110047829</v>
      </c>
      <c r="R43" s="37">
        <f t="shared" si="18"/>
        <v>0.20416917992644845</v>
      </c>
      <c r="S43" s="36">
        <v>1009.0500000000001</v>
      </c>
      <c r="T43" s="31">
        <f t="shared" si="19"/>
        <v>885.03775500000006</v>
      </c>
      <c r="U43" s="31">
        <f t="shared" si="20"/>
        <v>124.01224500000001</v>
      </c>
      <c r="V43" s="31">
        <f t="shared" si="21"/>
        <v>1037.408754158781</v>
      </c>
      <c r="W43" s="31"/>
      <c r="X43" s="33">
        <v>1037.408754158781</v>
      </c>
      <c r="Y43" s="37">
        <f t="shared" si="2"/>
        <v>2.8104409255022889E-2</v>
      </c>
      <c r="Z43" s="36">
        <v>1009.0500000000001</v>
      </c>
      <c r="AA43" s="31">
        <f t="shared" si="22"/>
        <v>885.03775500000006</v>
      </c>
      <c r="AB43" s="31">
        <f t="shared" si="23"/>
        <v>124.01224500000001</v>
      </c>
      <c r="AC43" s="31">
        <f t="shared" si="24"/>
        <v>1086.5161825402815</v>
      </c>
      <c r="AD43" s="31"/>
      <c r="AE43" s="27">
        <v>1086.5161825402815</v>
      </c>
      <c r="AF43" s="37">
        <f t="shared" si="3"/>
        <v>7.6771401357991653E-2</v>
      </c>
      <c r="AG43" s="36">
        <v>1009.0500000000001</v>
      </c>
      <c r="AH43" s="31">
        <f t="shared" si="25"/>
        <v>885.03775500000006</v>
      </c>
      <c r="AI43" s="31">
        <f t="shared" si="26"/>
        <v>124.01224500000001</v>
      </c>
      <c r="AJ43" s="31">
        <f t="shared" si="27"/>
        <v>1179.0158261814197</v>
      </c>
      <c r="AK43" s="31"/>
      <c r="AL43" s="27">
        <v>1179.0158261814197</v>
      </c>
      <c r="AM43" s="37">
        <f t="shared" si="4"/>
        <v>0.16844143122879895</v>
      </c>
      <c r="AN43" s="36">
        <v>1009.0500000000001</v>
      </c>
      <c r="AO43" s="31">
        <f t="shared" si="28"/>
        <v>885.03775500000006</v>
      </c>
      <c r="AP43" s="31">
        <f t="shared" si="29"/>
        <v>124.01224500000001</v>
      </c>
      <c r="AQ43" s="31">
        <f t="shared" si="30"/>
        <v>0</v>
      </c>
      <c r="AR43" s="31"/>
      <c r="AS43" s="27">
        <v>0</v>
      </c>
      <c r="AT43" s="37">
        <f t="shared" si="5"/>
        <v>-1</v>
      </c>
      <c r="AU43" s="36">
        <v>1009.0500000000001</v>
      </c>
      <c r="AV43" s="31">
        <f t="shared" si="31"/>
        <v>885.03775500000006</v>
      </c>
      <c r="AW43" s="31">
        <f t="shared" si="32"/>
        <v>124.01224500000001</v>
      </c>
      <c r="AX43" s="31">
        <f t="shared" si="33"/>
        <v>0</v>
      </c>
      <c r="AY43" s="31"/>
      <c r="AZ43" s="27">
        <v>0</v>
      </c>
      <c r="BA43" s="37">
        <f t="shared" si="6"/>
        <v>-1</v>
      </c>
      <c r="BB43" s="36">
        <v>1009.0500000000001</v>
      </c>
      <c r="BC43" s="31">
        <f t="shared" si="34"/>
        <v>885.03775500000006</v>
      </c>
      <c r="BD43" s="31">
        <f t="shared" si="35"/>
        <v>124.01224500000001</v>
      </c>
      <c r="BE43" s="31">
        <f t="shared" si="36"/>
        <v>0</v>
      </c>
      <c r="BF43" s="31"/>
      <c r="BG43" s="27">
        <v>0</v>
      </c>
      <c r="BH43" s="37">
        <f t="shared" si="7"/>
        <v>-1</v>
      </c>
      <c r="BI43" s="36">
        <v>1009.0500000000001</v>
      </c>
      <c r="BJ43" s="31">
        <f t="shared" si="37"/>
        <v>885.03775500000006</v>
      </c>
      <c r="BK43" s="31">
        <f t="shared" si="38"/>
        <v>124.01224500000001</v>
      </c>
      <c r="BL43" s="31">
        <f t="shared" si="39"/>
        <v>0</v>
      </c>
      <c r="BM43" s="31"/>
      <c r="BN43" s="27">
        <v>0</v>
      </c>
      <c r="BO43" s="37">
        <f t="shared" si="8"/>
        <v>-1</v>
      </c>
      <c r="BP43" s="36">
        <v>1009.0500000000001</v>
      </c>
      <c r="BQ43" s="31">
        <f t="shared" si="40"/>
        <v>885.03775500000006</v>
      </c>
      <c r="BR43" s="31">
        <f t="shared" si="41"/>
        <v>124.01224500000001</v>
      </c>
      <c r="BS43" s="31">
        <f t="shared" si="42"/>
        <v>0</v>
      </c>
      <c r="BT43" s="31"/>
      <c r="BU43" s="27">
        <v>0</v>
      </c>
      <c r="BV43" s="37">
        <f t="shared" si="9"/>
        <v>-1</v>
      </c>
      <c r="BW43" s="36">
        <v>1009.0500000000001</v>
      </c>
      <c r="BX43" s="31">
        <f t="shared" si="43"/>
        <v>885.03775500000006</v>
      </c>
      <c r="BY43" s="31">
        <f t="shared" si="44"/>
        <v>124.01224500000001</v>
      </c>
      <c r="BZ43" s="31">
        <f t="shared" si="45"/>
        <v>0</v>
      </c>
      <c r="CA43" s="31"/>
      <c r="CB43" s="27">
        <v>0</v>
      </c>
      <c r="CC43" s="37">
        <f t="shared" si="10"/>
        <v>-1</v>
      </c>
      <c r="CD43" s="36">
        <v>1009.0500000000001</v>
      </c>
      <c r="CE43" s="31">
        <f t="shared" si="46"/>
        <v>885.03775500000006</v>
      </c>
      <c r="CF43" s="31">
        <f t="shared" si="47"/>
        <v>124.01224500000001</v>
      </c>
      <c r="CG43" s="31">
        <f t="shared" si="48"/>
        <v>0</v>
      </c>
      <c r="CH43" s="31"/>
      <c r="CI43" s="27">
        <v>0</v>
      </c>
      <c r="CJ43" s="37">
        <f t="shared" si="11"/>
        <v>-1</v>
      </c>
      <c r="CK43" s="36">
        <v>1009.0500000000001</v>
      </c>
      <c r="CL43" s="31">
        <f t="shared" si="49"/>
        <v>885.03775500000006</v>
      </c>
      <c r="CM43" s="31">
        <f t="shared" si="50"/>
        <v>124.01224500000001</v>
      </c>
      <c r="CN43" s="31">
        <f t="shared" si="51"/>
        <v>0</v>
      </c>
      <c r="CO43" s="31"/>
      <c r="CP43" s="27">
        <v>0</v>
      </c>
      <c r="CQ43" s="37">
        <f t="shared" si="12"/>
        <v>-1</v>
      </c>
    </row>
    <row r="44" spans="1:95" s="26" customFormat="1" ht="16" customHeight="1" x14ac:dyDescent="0.2">
      <c r="A44" s="29" t="s">
        <v>68</v>
      </c>
      <c r="B44" s="30">
        <f t="shared" si="52"/>
        <v>0</v>
      </c>
      <c r="C44" s="31">
        <f t="shared" si="52"/>
        <v>0</v>
      </c>
      <c r="D44" s="32">
        <f t="shared" si="52"/>
        <v>0</v>
      </c>
      <c r="E44" s="30">
        <f t="shared" si="54"/>
        <v>0</v>
      </c>
      <c r="F44" s="33">
        <f t="shared" si="54"/>
        <v>0</v>
      </c>
      <c r="G44" s="34">
        <f t="shared" si="54"/>
        <v>0</v>
      </c>
      <c r="H44" s="31">
        <f t="shared" si="53"/>
        <v>0</v>
      </c>
      <c r="I44" s="33">
        <f t="shared" si="53"/>
        <v>0</v>
      </c>
      <c r="J44" s="33">
        <f t="shared" si="53"/>
        <v>0</v>
      </c>
      <c r="K44" s="37" t="str">
        <f t="shared" si="14"/>
        <v/>
      </c>
      <c r="L44" s="36">
        <v>0</v>
      </c>
      <c r="M44" s="31">
        <f t="shared" si="15"/>
        <v>0</v>
      </c>
      <c r="N44" s="31">
        <f t="shared" si="16"/>
        <v>0</v>
      </c>
      <c r="O44" s="31">
        <f t="shared" si="17"/>
        <v>0</v>
      </c>
      <c r="P44" s="31"/>
      <c r="Q44" s="33">
        <v>0</v>
      </c>
      <c r="R44" s="37" t="str">
        <f t="shared" si="18"/>
        <v/>
      </c>
      <c r="S44" s="36">
        <v>0</v>
      </c>
      <c r="T44" s="31">
        <f t="shared" si="19"/>
        <v>0</v>
      </c>
      <c r="U44" s="31">
        <f t="shared" si="20"/>
        <v>0</v>
      </c>
      <c r="V44" s="31">
        <f t="shared" si="21"/>
        <v>0</v>
      </c>
      <c r="W44" s="31"/>
      <c r="X44" s="33">
        <v>0</v>
      </c>
      <c r="Y44" s="37" t="str">
        <f t="shared" si="2"/>
        <v/>
      </c>
      <c r="Z44" s="36">
        <v>0</v>
      </c>
      <c r="AA44" s="31">
        <f t="shared" si="22"/>
        <v>0</v>
      </c>
      <c r="AB44" s="31">
        <f t="shared" si="23"/>
        <v>0</v>
      </c>
      <c r="AC44" s="31">
        <f t="shared" si="24"/>
        <v>0</v>
      </c>
      <c r="AD44" s="31"/>
      <c r="AE44" s="27">
        <v>0</v>
      </c>
      <c r="AF44" s="37" t="str">
        <f t="shared" si="3"/>
        <v/>
      </c>
      <c r="AG44" s="36">
        <v>0</v>
      </c>
      <c r="AH44" s="31">
        <f t="shared" si="25"/>
        <v>0</v>
      </c>
      <c r="AI44" s="31">
        <f t="shared" si="26"/>
        <v>0</v>
      </c>
      <c r="AJ44" s="31">
        <f t="shared" si="27"/>
        <v>0</v>
      </c>
      <c r="AK44" s="31"/>
      <c r="AL44" s="27">
        <v>0</v>
      </c>
      <c r="AM44" s="37" t="str">
        <f t="shared" si="4"/>
        <v/>
      </c>
      <c r="AN44" s="36">
        <v>0</v>
      </c>
      <c r="AO44" s="31">
        <f t="shared" si="28"/>
        <v>0</v>
      </c>
      <c r="AP44" s="31">
        <f t="shared" si="29"/>
        <v>0</v>
      </c>
      <c r="AQ44" s="31">
        <f t="shared" si="30"/>
        <v>0</v>
      </c>
      <c r="AR44" s="31"/>
      <c r="AS44" s="27">
        <v>0</v>
      </c>
      <c r="AT44" s="37" t="str">
        <f t="shared" si="5"/>
        <v/>
      </c>
      <c r="AU44" s="36">
        <v>0</v>
      </c>
      <c r="AV44" s="31">
        <f t="shared" si="31"/>
        <v>0</v>
      </c>
      <c r="AW44" s="31">
        <f t="shared" si="32"/>
        <v>0</v>
      </c>
      <c r="AX44" s="31">
        <f t="shared" si="33"/>
        <v>0</v>
      </c>
      <c r="AY44" s="31"/>
      <c r="AZ44" s="27">
        <v>0</v>
      </c>
      <c r="BA44" s="37" t="str">
        <f t="shared" si="6"/>
        <v/>
      </c>
      <c r="BB44" s="36">
        <v>0</v>
      </c>
      <c r="BC44" s="31">
        <f t="shared" si="34"/>
        <v>0</v>
      </c>
      <c r="BD44" s="31">
        <f t="shared" si="35"/>
        <v>0</v>
      </c>
      <c r="BE44" s="31">
        <f t="shared" si="36"/>
        <v>0</v>
      </c>
      <c r="BF44" s="31"/>
      <c r="BG44" s="27">
        <v>0</v>
      </c>
      <c r="BH44" s="37" t="str">
        <f t="shared" si="7"/>
        <v/>
      </c>
      <c r="BI44" s="36">
        <v>0</v>
      </c>
      <c r="BJ44" s="31">
        <f t="shared" si="37"/>
        <v>0</v>
      </c>
      <c r="BK44" s="31">
        <f t="shared" si="38"/>
        <v>0</v>
      </c>
      <c r="BL44" s="31">
        <f t="shared" si="39"/>
        <v>0</v>
      </c>
      <c r="BM44" s="31"/>
      <c r="BN44" s="27">
        <v>0</v>
      </c>
      <c r="BO44" s="37" t="str">
        <f t="shared" si="8"/>
        <v/>
      </c>
      <c r="BP44" s="36">
        <v>0</v>
      </c>
      <c r="BQ44" s="31">
        <f t="shared" si="40"/>
        <v>0</v>
      </c>
      <c r="BR44" s="31">
        <f t="shared" si="41"/>
        <v>0</v>
      </c>
      <c r="BS44" s="31">
        <f t="shared" si="42"/>
        <v>0</v>
      </c>
      <c r="BT44" s="31"/>
      <c r="BU44" s="27">
        <v>0</v>
      </c>
      <c r="BV44" s="37" t="str">
        <f t="shared" si="9"/>
        <v/>
      </c>
      <c r="BW44" s="36">
        <v>0</v>
      </c>
      <c r="BX44" s="31">
        <f t="shared" si="43"/>
        <v>0</v>
      </c>
      <c r="BY44" s="31">
        <f t="shared" si="44"/>
        <v>0</v>
      </c>
      <c r="BZ44" s="31">
        <f t="shared" si="45"/>
        <v>0</v>
      </c>
      <c r="CA44" s="31"/>
      <c r="CB44" s="27">
        <v>0</v>
      </c>
      <c r="CC44" s="37" t="str">
        <f t="shared" si="10"/>
        <v/>
      </c>
      <c r="CD44" s="36">
        <v>0</v>
      </c>
      <c r="CE44" s="31">
        <f t="shared" si="46"/>
        <v>0</v>
      </c>
      <c r="CF44" s="31">
        <f t="shared" si="47"/>
        <v>0</v>
      </c>
      <c r="CG44" s="31">
        <f t="shared" si="48"/>
        <v>0</v>
      </c>
      <c r="CH44" s="31"/>
      <c r="CI44" s="27">
        <v>0</v>
      </c>
      <c r="CJ44" s="37" t="str">
        <f t="shared" si="11"/>
        <v/>
      </c>
      <c r="CK44" s="36">
        <v>0</v>
      </c>
      <c r="CL44" s="31">
        <f t="shared" si="49"/>
        <v>0</v>
      </c>
      <c r="CM44" s="31">
        <f t="shared" si="50"/>
        <v>0</v>
      </c>
      <c r="CN44" s="31">
        <f t="shared" si="51"/>
        <v>0</v>
      </c>
      <c r="CO44" s="31"/>
      <c r="CP44" s="27">
        <v>0</v>
      </c>
      <c r="CQ44" s="37" t="str">
        <f t="shared" si="12"/>
        <v/>
      </c>
    </row>
    <row r="45" spans="1:95" s="26" customFormat="1" ht="16" customHeight="1" x14ac:dyDescent="0.2">
      <c r="A45" s="39" t="s">
        <v>69</v>
      </c>
      <c r="B45" s="30">
        <f t="shared" si="52"/>
        <v>0</v>
      </c>
      <c r="C45" s="31">
        <f t="shared" si="52"/>
        <v>0</v>
      </c>
      <c r="D45" s="32">
        <f t="shared" si="52"/>
        <v>0</v>
      </c>
      <c r="E45" s="30">
        <f t="shared" si="54"/>
        <v>0</v>
      </c>
      <c r="F45" s="33">
        <f t="shared" si="54"/>
        <v>0</v>
      </c>
      <c r="G45" s="34">
        <f t="shared" si="54"/>
        <v>0</v>
      </c>
      <c r="H45" s="31">
        <f t="shared" si="53"/>
        <v>0</v>
      </c>
      <c r="I45" s="33">
        <f t="shared" si="53"/>
        <v>0</v>
      </c>
      <c r="J45" s="33">
        <f t="shared" si="53"/>
        <v>0</v>
      </c>
      <c r="K45" s="37" t="str">
        <f t="shared" si="14"/>
        <v/>
      </c>
      <c r="L45" s="36">
        <v>0</v>
      </c>
      <c r="M45" s="31">
        <f t="shared" si="15"/>
        <v>0</v>
      </c>
      <c r="N45" s="31">
        <f t="shared" si="16"/>
        <v>0</v>
      </c>
      <c r="O45" s="31">
        <f t="shared" si="17"/>
        <v>0</v>
      </c>
      <c r="P45" s="31"/>
      <c r="Q45" s="33">
        <v>0</v>
      </c>
      <c r="R45" s="37" t="str">
        <f t="shared" si="18"/>
        <v/>
      </c>
      <c r="S45" s="36">
        <v>0</v>
      </c>
      <c r="T45" s="31">
        <f t="shared" si="19"/>
        <v>0</v>
      </c>
      <c r="U45" s="31">
        <f t="shared" si="20"/>
        <v>0</v>
      </c>
      <c r="V45" s="31">
        <f t="shared" si="21"/>
        <v>0</v>
      </c>
      <c r="W45" s="31"/>
      <c r="X45" s="33">
        <v>0</v>
      </c>
      <c r="Y45" s="37" t="str">
        <f t="shared" si="2"/>
        <v/>
      </c>
      <c r="Z45" s="36">
        <v>0</v>
      </c>
      <c r="AA45" s="31">
        <f t="shared" si="22"/>
        <v>0</v>
      </c>
      <c r="AB45" s="31">
        <f t="shared" si="23"/>
        <v>0</v>
      </c>
      <c r="AC45" s="31">
        <f t="shared" si="24"/>
        <v>0</v>
      </c>
      <c r="AD45" s="31"/>
      <c r="AE45" s="27">
        <v>0</v>
      </c>
      <c r="AF45" s="37" t="str">
        <f t="shared" si="3"/>
        <v/>
      </c>
      <c r="AG45" s="36">
        <v>0</v>
      </c>
      <c r="AH45" s="31">
        <f t="shared" si="25"/>
        <v>0</v>
      </c>
      <c r="AI45" s="31">
        <f t="shared" si="26"/>
        <v>0</v>
      </c>
      <c r="AJ45" s="31">
        <f t="shared" si="27"/>
        <v>0</v>
      </c>
      <c r="AK45" s="31"/>
      <c r="AL45" s="27">
        <v>0</v>
      </c>
      <c r="AM45" s="37" t="str">
        <f t="shared" si="4"/>
        <v/>
      </c>
      <c r="AN45" s="36">
        <v>0</v>
      </c>
      <c r="AO45" s="31">
        <f t="shared" si="28"/>
        <v>0</v>
      </c>
      <c r="AP45" s="31">
        <f t="shared" si="29"/>
        <v>0</v>
      </c>
      <c r="AQ45" s="31">
        <f t="shared" si="30"/>
        <v>0</v>
      </c>
      <c r="AR45" s="31"/>
      <c r="AS45" s="27">
        <v>0</v>
      </c>
      <c r="AT45" s="37" t="str">
        <f t="shared" si="5"/>
        <v/>
      </c>
      <c r="AU45" s="36">
        <v>0</v>
      </c>
      <c r="AV45" s="31">
        <f t="shared" si="31"/>
        <v>0</v>
      </c>
      <c r="AW45" s="31">
        <f t="shared" si="32"/>
        <v>0</v>
      </c>
      <c r="AX45" s="31">
        <f t="shared" si="33"/>
        <v>0</v>
      </c>
      <c r="AY45" s="31"/>
      <c r="AZ45" s="27">
        <v>0</v>
      </c>
      <c r="BA45" s="37" t="str">
        <f t="shared" si="6"/>
        <v/>
      </c>
      <c r="BB45" s="36">
        <v>0</v>
      </c>
      <c r="BC45" s="31">
        <f t="shared" si="34"/>
        <v>0</v>
      </c>
      <c r="BD45" s="31">
        <f t="shared" si="35"/>
        <v>0</v>
      </c>
      <c r="BE45" s="31">
        <f t="shared" si="36"/>
        <v>0</v>
      </c>
      <c r="BF45" s="31"/>
      <c r="BG45" s="27">
        <v>0</v>
      </c>
      <c r="BH45" s="37" t="str">
        <f t="shared" si="7"/>
        <v/>
      </c>
      <c r="BI45" s="36">
        <v>0</v>
      </c>
      <c r="BJ45" s="31">
        <f t="shared" si="37"/>
        <v>0</v>
      </c>
      <c r="BK45" s="31">
        <f t="shared" si="38"/>
        <v>0</v>
      </c>
      <c r="BL45" s="31">
        <f t="shared" si="39"/>
        <v>0</v>
      </c>
      <c r="BM45" s="31"/>
      <c r="BN45" s="27">
        <v>0</v>
      </c>
      <c r="BO45" s="37" t="str">
        <f t="shared" si="8"/>
        <v/>
      </c>
      <c r="BP45" s="36">
        <v>0</v>
      </c>
      <c r="BQ45" s="31">
        <f t="shared" si="40"/>
        <v>0</v>
      </c>
      <c r="BR45" s="31">
        <f t="shared" si="41"/>
        <v>0</v>
      </c>
      <c r="BS45" s="31">
        <f t="shared" si="42"/>
        <v>0</v>
      </c>
      <c r="BT45" s="31"/>
      <c r="BU45" s="27">
        <v>0</v>
      </c>
      <c r="BV45" s="37" t="str">
        <f t="shared" si="9"/>
        <v/>
      </c>
      <c r="BW45" s="36">
        <v>0</v>
      </c>
      <c r="BX45" s="31">
        <f t="shared" si="43"/>
        <v>0</v>
      </c>
      <c r="BY45" s="31">
        <f t="shared" si="44"/>
        <v>0</v>
      </c>
      <c r="BZ45" s="31">
        <f t="shared" si="45"/>
        <v>0</v>
      </c>
      <c r="CA45" s="31"/>
      <c r="CB45" s="27">
        <v>0</v>
      </c>
      <c r="CC45" s="37" t="str">
        <f t="shared" si="10"/>
        <v/>
      </c>
      <c r="CD45" s="36">
        <v>0</v>
      </c>
      <c r="CE45" s="31">
        <f t="shared" si="46"/>
        <v>0</v>
      </c>
      <c r="CF45" s="31">
        <f t="shared" si="47"/>
        <v>0</v>
      </c>
      <c r="CG45" s="31">
        <f t="shared" si="48"/>
        <v>0</v>
      </c>
      <c r="CH45" s="31"/>
      <c r="CI45" s="27">
        <v>0</v>
      </c>
      <c r="CJ45" s="37" t="str">
        <f t="shared" si="11"/>
        <v/>
      </c>
      <c r="CK45" s="36">
        <v>0</v>
      </c>
      <c r="CL45" s="31">
        <f t="shared" si="49"/>
        <v>0</v>
      </c>
      <c r="CM45" s="31">
        <f t="shared" si="50"/>
        <v>0</v>
      </c>
      <c r="CN45" s="31">
        <f t="shared" si="51"/>
        <v>0</v>
      </c>
      <c r="CO45" s="31"/>
      <c r="CP45" s="27">
        <v>0</v>
      </c>
      <c r="CQ45" s="37" t="str">
        <f t="shared" si="12"/>
        <v/>
      </c>
    </row>
    <row r="46" spans="1:95" s="26" customFormat="1" ht="16" customHeight="1" x14ac:dyDescent="0.2">
      <c r="A46" s="38" t="s">
        <v>70</v>
      </c>
      <c r="B46" s="30">
        <f t="shared" si="52"/>
        <v>0</v>
      </c>
      <c r="C46" s="31">
        <f t="shared" si="52"/>
        <v>0</v>
      </c>
      <c r="D46" s="32">
        <f t="shared" si="52"/>
        <v>0</v>
      </c>
      <c r="E46" s="30">
        <f t="shared" si="54"/>
        <v>0</v>
      </c>
      <c r="F46" s="33">
        <f t="shared" si="54"/>
        <v>0</v>
      </c>
      <c r="G46" s="34">
        <f t="shared" si="54"/>
        <v>0</v>
      </c>
      <c r="H46" s="31">
        <f t="shared" si="53"/>
        <v>0</v>
      </c>
      <c r="I46" s="33">
        <f t="shared" si="53"/>
        <v>0</v>
      </c>
      <c r="J46" s="33">
        <f t="shared" si="53"/>
        <v>0</v>
      </c>
      <c r="K46" s="37" t="str">
        <f t="shared" si="14"/>
        <v/>
      </c>
      <c r="L46" s="36">
        <v>0</v>
      </c>
      <c r="M46" s="31">
        <f t="shared" si="15"/>
        <v>0</v>
      </c>
      <c r="N46" s="31">
        <f t="shared" si="16"/>
        <v>0</v>
      </c>
      <c r="O46" s="31">
        <f t="shared" si="17"/>
        <v>0</v>
      </c>
      <c r="P46" s="31"/>
      <c r="Q46" s="33">
        <v>0</v>
      </c>
      <c r="R46" s="37" t="str">
        <f t="shared" si="18"/>
        <v/>
      </c>
      <c r="S46" s="36">
        <v>0</v>
      </c>
      <c r="T46" s="31">
        <f t="shared" si="19"/>
        <v>0</v>
      </c>
      <c r="U46" s="31">
        <f t="shared" si="20"/>
        <v>0</v>
      </c>
      <c r="V46" s="31">
        <f t="shared" si="21"/>
        <v>0</v>
      </c>
      <c r="W46" s="31"/>
      <c r="X46" s="33">
        <v>0</v>
      </c>
      <c r="Y46" s="37" t="str">
        <f t="shared" si="2"/>
        <v/>
      </c>
      <c r="Z46" s="36">
        <v>0</v>
      </c>
      <c r="AA46" s="31">
        <f t="shared" si="22"/>
        <v>0</v>
      </c>
      <c r="AB46" s="31">
        <f t="shared" si="23"/>
        <v>0</v>
      </c>
      <c r="AC46" s="31">
        <f t="shared" si="24"/>
        <v>0</v>
      </c>
      <c r="AD46" s="31"/>
      <c r="AE46" s="27">
        <v>0</v>
      </c>
      <c r="AF46" s="37" t="str">
        <f t="shared" si="3"/>
        <v/>
      </c>
      <c r="AG46" s="36">
        <v>0</v>
      </c>
      <c r="AH46" s="31">
        <f t="shared" si="25"/>
        <v>0</v>
      </c>
      <c r="AI46" s="31">
        <f t="shared" si="26"/>
        <v>0</v>
      </c>
      <c r="AJ46" s="31">
        <f t="shared" si="27"/>
        <v>0</v>
      </c>
      <c r="AK46" s="31"/>
      <c r="AL46" s="27">
        <v>0</v>
      </c>
      <c r="AM46" s="37" t="str">
        <f t="shared" si="4"/>
        <v/>
      </c>
      <c r="AN46" s="36">
        <v>0</v>
      </c>
      <c r="AO46" s="31">
        <f t="shared" si="28"/>
        <v>0</v>
      </c>
      <c r="AP46" s="31">
        <f t="shared" si="29"/>
        <v>0</v>
      </c>
      <c r="AQ46" s="31">
        <f t="shared" si="30"/>
        <v>0</v>
      </c>
      <c r="AR46" s="31"/>
      <c r="AS46" s="27">
        <v>0</v>
      </c>
      <c r="AT46" s="37" t="str">
        <f t="shared" si="5"/>
        <v/>
      </c>
      <c r="AU46" s="36">
        <v>0</v>
      </c>
      <c r="AV46" s="31">
        <f t="shared" si="31"/>
        <v>0</v>
      </c>
      <c r="AW46" s="31">
        <f t="shared" si="32"/>
        <v>0</v>
      </c>
      <c r="AX46" s="31">
        <f t="shared" si="33"/>
        <v>0</v>
      </c>
      <c r="AY46" s="31"/>
      <c r="AZ46" s="27">
        <v>0</v>
      </c>
      <c r="BA46" s="37" t="str">
        <f t="shared" si="6"/>
        <v/>
      </c>
      <c r="BB46" s="36">
        <v>0</v>
      </c>
      <c r="BC46" s="31">
        <f t="shared" si="34"/>
        <v>0</v>
      </c>
      <c r="BD46" s="31">
        <f t="shared" si="35"/>
        <v>0</v>
      </c>
      <c r="BE46" s="31">
        <f t="shared" si="36"/>
        <v>0</v>
      </c>
      <c r="BF46" s="31"/>
      <c r="BG46" s="27">
        <v>0</v>
      </c>
      <c r="BH46" s="37" t="str">
        <f t="shared" si="7"/>
        <v/>
      </c>
      <c r="BI46" s="36">
        <v>0</v>
      </c>
      <c r="BJ46" s="31">
        <f t="shared" si="37"/>
        <v>0</v>
      </c>
      <c r="BK46" s="31">
        <f t="shared" si="38"/>
        <v>0</v>
      </c>
      <c r="BL46" s="31">
        <f t="shared" si="39"/>
        <v>0</v>
      </c>
      <c r="BM46" s="31"/>
      <c r="BN46" s="27">
        <v>0</v>
      </c>
      <c r="BO46" s="37" t="str">
        <f t="shared" si="8"/>
        <v/>
      </c>
      <c r="BP46" s="36">
        <v>0</v>
      </c>
      <c r="BQ46" s="31">
        <f t="shared" si="40"/>
        <v>0</v>
      </c>
      <c r="BR46" s="31">
        <f t="shared" si="41"/>
        <v>0</v>
      </c>
      <c r="BS46" s="31">
        <f t="shared" si="42"/>
        <v>0</v>
      </c>
      <c r="BT46" s="31"/>
      <c r="BU46" s="27">
        <v>0</v>
      </c>
      <c r="BV46" s="37" t="str">
        <f t="shared" si="9"/>
        <v/>
      </c>
      <c r="BW46" s="36">
        <v>0</v>
      </c>
      <c r="BX46" s="31">
        <f t="shared" si="43"/>
        <v>0</v>
      </c>
      <c r="BY46" s="31">
        <f t="shared" si="44"/>
        <v>0</v>
      </c>
      <c r="BZ46" s="31">
        <f t="shared" si="45"/>
        <v>0</v>
      </c>
      <c r="CA46" s="31"/>
      <c r="CB46" s="27">
        <v>0</v>
      </c>
      <c r="CC46" s="37" t="str">
        <f t="shared" si="10"/>
        <v/>
      </c>
      <c r="CD46" s="36">
        <v>0</v>
      </c>
      <c r="CE46" s="31">
        <f t="shared" si="46"/>
        <v>0</v>
      </c>
      <c r="CF46" s="31">
        <f t="shared" si="47"/>
        <v>0</v>
      </c>
      <c r="CG46" s="31">
        <f t="shared" si="48"/>
        <v>0</v>
      </c>
      <c r="CH46" s="31"/>
      <c r="CI46" s="27">
        <v>0</v>
      </c>
      <c r="CJ46" s="37" t="str">
        <f t="shared" si="11"/>
        <v/>
      </c>
      <c r="CK46" s="36">
        <v>0</v>
      </c>
      <c r="CL46" s="31">
        <f t="shared" si="49"/>
        <v>0</v>
      </c>
      <c r="CM46" s="31">
        <f t="shared" si="50"/>
        <v>0</v>
      </c>
      <c r="CN46" s="31">
        <f t="shared" si="51"/>
        <v>0</v>
      </c>
      <c r="CO46" s="31"/>
      <c r="CP46" s="27">
        <v>0</v>
      </c>
      <c r="CQ46" s="37" t="str">
        <f t="shared" si="12"/>
        <v/>
      </c>
    </row>
    <row r="47" spans="1:95" s="26" customFormat="1" ht="16" customHeight="1" x14ac:dyDescent="0.2">
      <c r="A47" s="29" t="s">
        <v>71</v>
      </c>
      <c r="B47" s="30">
        <f t="shared" si="52"/>
        <v>0</v>
      </c>
      <c r="C47" s="31">
        <f t="shared" si="52"/>
        <v>0</v>
      </c>
      <c r="D47" s="32">
        <f t="shared" si="52"/>
        <v>0</v>
      </c>
      <c r="E47" s="30">
        <f t="shared" si="54"/>
        <v>0</v>
      </c>
      <c r="F47" s="33">
        <f t="shared" si="54"/>
        <v>0</v>
      </c>
      <c r="G47" s="34">
        <f t="shared" si="54"/>
        <v>0</v>
      </c>
      <c r="H47" s="31">
        <f t="shared" si="53"/>
        <v>0</v>
      </c>
      <c r="I47" s="33">
        <f t="shared" si="53"/>
        <v>0</v>
      </c>
      <c r="J47" s="33">
        <f t="shared" si="53"/>
        <v>0</v>
      </c>
      <c r="K47" s="37" t="str">
        <f t="shared" si="14"/>
        <v/>
      </c>
      <c r="L47" s="36">
        <v>0</v>
      </c>
      <c r="M47" s="31">
        <f t="shared" si="15"/>
        <v>0</v>
      </c>
      <c r="N47" s="31">
        <f t="shared" si="16"/>
        <v>0</v>
      </c>
      <c r="O47" s="31">
        <f t="shared" si="17"/>
        <v>0</v>
      </c>
      <c r="P47" s="31"/>
      <c r="Q47" s="33">
        <v>0</v>
      </c>
      <c r="R47" s="37" t="str">
        <f t="shared" si="18"/>
        <v/>
      </c>
      <c r="S47" s="36">
        <v>0</v>
      </c>
      <c r="T47" s="31">
        <f t="shared" si="19"/>
        <v>0</v>
      </c>
      <c r="U47" s="31">
        <f t="shared" si="20"/>
        <v>0</v>
      </c>
      <c r="V47" s="31">
        <f t="shared" si="21"/>
        <v>0</v>
      </c>
      <c r="W47" s="31"/>
      <c r="X47" s="33">
        <v>0</v>
      </c>
      <c r="Y47" s="37" t="str">
        <f t="shared" si="2"/>
        <v/>
      </c>
      <c r="Z47" s="36">
        <v>0</v>
      </c>
      <c r="AA47" s="31">
        <f t="shared" si="22"/>
        <v>0</v>
      </c>
      <c r="AB47" s="31">
        <f t="shared" si="23"/>
        <v>0</v>
      </c>
      <c r="AC47" s="31">
        <f t="shared" si="24"/>
        <v>0</v>
      </c>
      <c r="AD47" s="31"/>
      <c r="AE47" s="27">
        <v>0</v>
      </c>
      <c r="AF47" s="37" t="str">
        <f t="shared" si="3"/>
        <v/>
      </c>
      <c r="AG47" s="36">
        <v>0</v>
      </c>
      <c r="AH47" s="31">
        <f t="shared" si="25"/>
        <v>0</v>
      </c>
      <c r="AI47" s="31">
        <f t="shared" si="26"/>
        <v>0</v>
      </c>
      <c r="AJ47" s="31">
        <f t="shared" si="27"/>
        <v>0</v>
      </c>
      <c r="AK47" s="31"/>
      <c r="AL47" s="27">
        <v>0</v>
      </c>
      <c r="AM47" s="37" t="str">
        <f t="shared" si="4"/>
        <v/>
      </c>
      <c r="AN47" s="36">
        <v>0</v>
      </c>
      <c r="AO47" s="31">
        <f t="shared" si="28"/>
        <v>0</v>
      </c>
      <c r="AP47" s="31">
        <f t="shared" si="29"/>
        <v>0</v>
      </c>
      <c r="AQ47" s="31">
        <f t="shared" si="30"/>
        <v>0</v>
      </c>
      <c r="AR47" s="31"/>
      <c r="AS47" s="27">
        <v>0</v>
      </c>
      <c r="AT47" s="37" t="str">
        <f t="shared" si="5"/>
        <v/>
      </c>
      <c r="AU47" s="36">
        <v>0</v>
      </c>
      <c r="AV47" s="31">
        <f t="shared" si="31"/>
        <v>0</v>
      </c>
      <c r="AW47" s="31">
        <f t="shared" si="32"/>
        <v>0</v>
      </c>
      <c r="AX47" s="31">
        <f t="shared" si="33"/>
        <v>0</v>
      </c>
      <c r="AY47" s="31"/>
      <c r="AZ47" s="27">
        <v>0</v>
      </c>
      <c r="BA47" s="37" t="str">
        <f t="shared" si="6"/>
        <v/>
      </c>
      <c r="BB47" s="36">
        <v>0</v>
      </c>
      <c r="BC47" s="31">
        <f t="shared" si="34"/>
        <v>0</v>
      </c>
      <c r="BD47" s="31">
        <f t="shared" si="35"/>
        <v>0</v>
      </c>
      <c r="BE47" s="31">
        <f t="shared" si="36"/>
        <v>0</v>
      </c>
      <c r="BF47" s="31"/>
      <c r="BG47" s="27">
        <v>0</v>
      </c>
      <c r="BH47" s="37" t="str">
        <f t="shared" si="7"/>
        <v/>
      </c>
      <c r="BI47" s="36">
        <v>0</v>
      </c>
      <c r="BJ47" s="31">
        <f t="shared" si="37"/>
        <v>0</v>
      </c>
      <c r="BK47" s="31">
        <f t="shared" si="38"/>
        <v>0</v>
      </c>
      <c r="BL47" s="31">
        <f t="shared" si="39"/>
        <v>0</v>
      </c>
      <c r="BM47" s="31"/>
      <c r="BN47" s="27">
        <v>0</v>
      </c>
      <c r="BO47" s="37" t="str">
        <f t="shared" si="8"/>
        <v/>
      </c>
      <c r="BP47" s="36">
        <v>0</v>
      </c>
      <c r="BQ47" s="31">
        <f t="shared" si="40"/>
        <v>0</v>
      </c>
      <c r="BR47" s="31">
        <f t="shared" si="41"/>
        <v>0</v>
      </c>
      <c r="BS47" s="31">
        <f t="shared" si="42"/>
        <v>0</v>
      </c>
      <c r="BT47" s="31"/>
      <c r="BU47" s="27">
        <v>0</v>
      </c>
      <c r="BV47" s="37" t="str">
        <f t="shared" si="9"/>
        <v/>
      </c>
      <c r="BW47" s="36">
        <v>0</v>
      </c>
      <c r="BX47" s="31">
        <f t="shared" si="43"/>
        <v>0</v>
      </c>
      <c r="BY47" s="31">
        <f t="shared" si="44"/>
        <v>0</v>
      </c>
      <c r="BZ47" s="31">
        <f t="shared" si="45"/>
        <v>0</v>
      </c>
      <c r="CA47" s="31"/>
      <c r="CB47" s="27">
        <v>0</v>
      </c>
      <c r="CC47" s="37" t="str">
        <f t="shared" si="10"/>
        <v/>
      </c>
      <c r="CD47" s="36">
        <v>0</v>
      </c>
      <c r="CE47" s="31">
        <f t="shared" si="46"/>
        <v>0</v>
      </c>
      <c r="CF47" s="31">
        <f t="shared" si="47"/>
        <v>0</v>
      </c>
      <c r="CG47" s="31">
        <f t="shared" si="48"/>
        <v>0</v>
      </c>
      <c r="CH47" s="31"/>
      <c r="CI47" s="27">
        <v>0</v>
      </c>
      <c r="CJ47" s="37" t="str">
        <f t="shared" si="11"/>
        <v/>
      </c>
      <c r="CK47" s="36">
        <v>0</v>
      </c>
      <c r="CL47" s="31">
        <f t="shared" si="49"/>
        <v>0</v>
      </c>
      <c r="CM47" s="31">
        <f t="shared" si="50"/>
        <v>0</v>
      </c>
      <c r="CN47" s="31">
        <f t="shared" si="51"/>
        <v>0</v>
      </c>
      <c r="CO47" s="31"/>
      <c r="CP47" s="27">
        <v>0</v>
      </c>
      <c r="CQ47" s="37" t="str">
        <f t="shared" si="12"/>
        <v/>
      </c>
    </row>
    <row r="48" spans="1:95" s="26" customFormat="1" ht="16" customHeight="1" x14ac:dyDescent="0.2">
      <c r="A48" s="38" t="s">
        <v>72</v>
      </c>
      <c r="B48" s="30">
        <f t="shared" si="52"/>
        <v>8750.0000000000018</v>
      </c>
      <c r="C48" s="31">
        <f t="shared" si="52"/>
        <v>7674.6249999999973</v>
      </c>
      <c r="D48" s="32">
        <f t="shared" si="52"/>
        <v>1075.3750000000002</v>
      </c>
      <c r="E48" s="30">
        <f t="shared" si="54"/>
        <v>2916.6666666666665</v>
      </c>
      <c r="F48" s="33">
        <f t="shared" si="54"/>
        <v>2558.208333333333</v>
      </c>
      <c r="G48" s="34">
        <f t="shared" si="54"/>
        <v>358.45833333333331</v>
      </c>
      <c r="H48" s="31">
        <f t="shared" si="53"/>
        <v>1976.5168927295811</v>
      </c>
      <c r="I48" s="33">
        <f t="shared" si="53"/>
        <v>0</v>
      </c>
      <c r="J48" s="33">
        <f t="shared" si="53"/>
        <v>1976.5168927295811</v>
      </c>
      <c r="K48" s="37">
        <f t="shared" si="14"/>
        <v>-0.32233706534985784</v>
      </c>
      <c r="L48" s="36">
        <v>729.16666666666663</v>
      </c>
      <c r="M48" s="31">
        <f t="shared" si="15"/>
        <v>639.55208333333326</v>
      </c>
      <c r="N48" s="31">
        <f t="shared" si="16"/>
        <v>89.614583333333329</v>
      </c>
      <c r="O48" s="31">
        <f t="shared" si="17"/>
        <v>738.12533151041544</v>
      </c>
      <c r="P48" s="31"/>
      <c r="Q48" s="33">
        <v>738.12533151041544</v>
      </c>
      <c r="R48" s="37">
        <f t="shared" si="18"/>
        <v>1.2286168928569818E-2</v>
      </c>
      <c r="S48" s="36">
        <v>729.16666666666663</v>
      </c>
      <c r="T48" s="31">
        <f t="shared" si="19"/>
        <v>639.55208333333326</v>
      </c>
      <c r="U48" s="31">
        <f t="shared" si="20"/>
        <v>89.614583333333329</v>
      </c>
      <c r="V48" s="31">
        <f t="shared" si="21"/>
        <v>169.57495004663781</v>
      </c>
      <c r="W48" s="31"/>
      <c r="X48" s="33">
        <v>169.57495004663781</v>
      </c>
      <c r="Y48" s="37">
        <f t="shared" si="2"/>
        <v>-0.76744006850746815</v>
      </c>
      <c r="Z48" s="36">
        <v>729.16666666666663</v>
      </c>
      <c r="AA48" s="31">
        <f t="shared" si="22"/>
        <v>639.55208333333326</v>
      </c>
      <c r="AB48" s="31">
        <f t="shared" si="23"/>
        <v>89.614583333333329</v>
      </c>
      <c r="AC48" s="31">
        <f t="shared" si="24"/>
        <v>128.87013633304841</v>
      </c>
      <c r="AD48" s="31"/>
      <c r="AE48" s="27">
        <v>128.87013633304841</v>
      </c>
      <c r="AF48" s="37">
        <f t="shared" si="3"/>
        <v>-0.82326381302896223</v>
      </c>
      <c r="AG48" s="36">
        <v>729.16666666666663</v>
      </c>
      <c r="AH48" s="31">
        <f t="shared" si="25"/>
        <v>639.55208333333326</v>
      </c>
      <c r="AI48" s="31">
        <f t="shared" si="26"/>
        <v>89.614583333333329</v>
      </c>
      <c r="AJ48" s="31">
        <f t="shared" si="27"/>
        <v>939.94647483947938</v>
      </c>
      <c r="AK48" s="31"/>
      <c r="AL48" s="27">
        <v>939.94647483947938</v>
      </c>
      <c r="AM48" s="37">
        <f t="shared" si="4"/>
        <v>0.28906945120842886</v>
      </c>
      <c r="AN48" s="36">
        <v>729.16666666666663</v>
      </c>
      <c r="AO48" s="31">
        <f t="shared" si="28"/>
        <v>639.55208333333326</v>
      </c>
      <c r="AP48" s="31">
        <f t="shared" si="29"/>
        <v>89.614583333333329</v>
      </c>
      <c r="AQ48" s="31">
        <f t="shared" si="30"/>
        <v>0</v>
      </c>
      <c r="AR48" s="31"/>
      <c r="AS48" s="27">
        <v>0</v>
      </c>
      <c r="AT48" s="37">
        <f t="shared" si="5"/>
        <v>-1</v>
      </c>
      <c r="AU48" s="36">
        <v>729.16666666666663</v>
      </c>
      <c r="AV48" s="31">
        <f t="shared" si="31"/>
        <v>639.55208333333326</v>
      </c>
      <c r="AW48" s="31">
        <f t="shared" si="32"/>
        <v>89.614583333333329</v>
      </c>
      <c r="AX48" s="31">
        <f t="shared" si="33"/>
        <v>0</v>
      </c>
      <c r="AY48" s="31"/>
      <c r="AZ48" s="27">
        <v>0</v>
      </c>
      <c r="BA48" s="37">
        <f t="shared" si="6"/>
        <v>-1</v>
      </c>
      <c r="BB48" s="36">
        <v>729.16666666666663</v>
      </c>
      <c r="BC48" s="31">
        <f t="shared" si="34"/>
        <v>639.55208333333326</v>
      </c>
      <c r="BD48" s="31">
        <f t="shared" si="35"/>
        <v>89.614583333333329</v>
      </c>
      <c r="BE48" s="31">
        <f t="shared" si="36"/>
        <v>0</v>
      </c>
      <c r="BF48" s="31"/>
      <c r="BG48" s="27">
        <v>0</v>
      </c>
      <c r="BH48" s="37">
        <f t="shared" si="7"/>
        <v>-1</v>
      </c>
      <c r="BI48" s="36">
        <v>729.16666666666663</v>
      </c>
      <c r="BJ48" s="31">
        <f t="shared" si="37"/>
        <v>639.55208333333326</v>
      </c>
      <c r="BK48" s="31">
        <f t="shared" si="38"/>
        <v>89.614583333333329</v>
      </c>
      <c r="BL48" s="31">
        <f t="shared" si="39"/>
        <v>0</v>
      </c>
      <c r="BM48" s="31"/>
      <c r="BN48" s="27">
        <v>0</v>
      </c>
      <c r="BO48" s="37">
        <f t="shared" si="8"/>
        <v>-1</v>
      </c>
      <c r="BP48" s="36">
        <v>729.16666666666663</v>
      </c>
      <c r="BQ48" s="31">
        <f t="shared" si="40"/>
        <v>639.55208333333326</v>
      </c>
      <c r="BR48" s="31">
        <f t="shared" si="41"/>
        <v>89.614583333333329</v>
      </c>
      <c r="BS48" s="31">
        <f t="shared" si="42"/>
        <v>0</v>
      </c>
      <c r="BT48" s="31"/>
      <c r="BU48" s="27">
        <v>0</v>
      </c>
      <c r="BV48" s="37">
        <f t="shared" si="9"/>
        <v>-1</v>
      </c>
      <c r="BW48" s="36">
        <v>729.16666666666663</v>
      </c>
      <c r="BX48" s="31">
        <f t="shared" si="43"/>
        <v>639.55208333333326</v>
      </c>
      <c r="BY48" s="31">
        <f t="shared" si="44"/>
        <v>89.614583333333329</v>
      </c>
      <c r="BZ48" s="31">
        <f t="shared" si="45"/>
        <v>0</v>
      </c>
      <c r="CA48" s="31"/>
      <c r="CB48" s="27">
        <v>0</v>
      </c>
      <c r="CC48" s="37">
        <f t="shared" si="10"/>
        <v>-1</v>
      </c>
      <c r="CD48" s="36">
        <v>729.16666666666663</v>
      </c>
      <c r="CE48" s="31">
        <f t="shared" si="46"/>
        <v>639.55208333333326</v>
      </c>
      <c r="CF48" s="31">
        <f t="shared" si="47"/>
        <v>89.614583333333329</v>
      </c>
      <c r="CG48" s="31">
        <f t="shared" si="48"/>
        <v>0</v>
      </c>
      <c r="CH48" s="31"/>
      <c r="CI48" s="27">
        <v>0</v>
      </c>
      <c r="CJ48" s="37">
        <f t="shared" si="11"/>
        <v>-1</v>
      </c>
      <c r="CK48" s="36">
        <v>729.16666666666663</v>
      </c>
      <c r="CL48" s="31">
        <f t="shared" si="49"/>
        <v>639.55208333333326</v>
      </c>
      <c r="CM48" s="31">
        <f t="shared" si="50"/>
        <v>89.614583333333329</v>
      </c>
      <c r="CN48" s="31">
        <f t="shared" si="51"/>
        <v>0</v>
      </c>
      <c r="CO48" s="31"/>
      <c r="CP48" s="27">
        <v>0</v>
      </c>
      <c r="CQ48" s="37">
        <f t="shared" si="12"/>
        <v>-1</v>
      </c>
    </row>
    <row r="49" spans="1:95" s="26" customFormat="1" ht="16" customHeight="1" x14ac:dyDescent="0.2">
      <c r="A49" s="29" t="s">
        <v>73</v>
      </c>
      <c r="B49" s="30">
        <f t="shared" si="52"/>
        <v>14262.499999999998</v>
      </c>
      <c r="C49" s="31">
        <f t="shared" si="52"/>
        <v>12509.638750000004</v>
      </c>
      <c r="D49" s="32">
        <f t="shared" si="52"/>
        <v>1752.8612500000006</v>
      </c>
      <c r="E49" s="30">
        <f t="shared" si="54"/>
        <v>4754.166666666667</v>
      </c>
      <c r="F49" s="33">
        <f t="shared" si="54"/>
        <v>4169.8795833333334</v>
      </c>
      <c r="G49" s="34">
        <f t="shared" si="54"/>
        <v>584.28708333333338</v>
      </c>
      <c r="H49" s="31">
        <f t="shared" si="53"/>
        <v>7421.5975917168089</v>
      </c>
      <c r="I49" s="33">
        <f t="shared" si="53"/>
        <v>0</v>
      </c>
      <c r="J49" s="33">
        <f t="shared" si="53"/>
        <v>7421.5975917168089</v>
      </c>
      <c r="K49" s="37">
        <f t="shared" si="14"/>
        <v>0.56107223664507799</v>
      </c>
      <c r="L49" s="36">
        <v>1188.5416666666667</v>
      </c>
      <c r="M49" s="31">
        <f t="shared" si="15"/>
        <v>1042.4698958333333</v>
      </c>
      <c r="N49" s="31">
        <f t="shared" si="16"/>
        <v>146.07177083333335</v>
      </c>
      <c r="O49" s="31">
        <f t="shared" si="17"/>
        <v>2126.9912522371128</v>
      </c>
      <c r="P49" s="40"/>
      <c r="Q49" s="33">
        <v>2126.9912522371128</v>
      </c>
      <c r="R49" s="37">
        <f t="shared" si="18"/>
        <v>0.78958072055006845</v>
      </c>
      <c r="S49" s="36">
        <v>1188.5416666666667</v>
      </c>
      <c r="T49" s="31">
        <f t="shared" si="19"/>
        <v>1042.4698958333333</v>
      </c>
      <c r="U49" s="31">
        <f t="shared" si="20"/>
        <v>146.07177083333335</v>
      </c>
      <c r="V49" s="31">
        <f t="shared" si="21"/>
        <v>1502.2478382503978</v>
      </c>
      <c r="W49" s="31"/>
      <c r="X49" s="33">
        <v>1502.2478382503978</v>
      </c>
      <c r="Y49" s="37">
        <f t="shared" si="2"/>
        <v>0.26394209002662739</v>
      </c>
      <c r="Z49" s="36">
        <v>1188.5416666666667</v>
      </c>
      <c r="AA49" s="31">
        <f t="shared" si="22"/>
        <v>1042.4698958333333</v>
      </c>
      <c r="AB49" s="31">
        <f t="shared" si="23"/>
        <v>146.07177083333335</v>
      </c>
      <c r="AC49" s="31">
        <f t="shared" si="24"/>
        <v>2820.0616973913452</v>
      </c>
      <c r="AD49" s="31"/>
      <c r="AE49" s="27">
        <v>2820.0616973913452</v>
      </c>
      <c r="AF49" s="37">
        <f t="shared" si="3"/>
        <v>1.3727074754563464</v>
      </c>
      <c r="AG49" s="36">
        <v>1188.5416666666667</v>
      </c>
      <c r="AH49" s="31">
        <f t="shared" si="25"/>
        <v>1042.4698958333333</v>
      </c>
      <c r="AI49" s="31">
        <f t="shared" si="26"/>
        <v>146.07177083333335</v>
      </c>
      <c r="AJ49" s="31">
        <f t="shared" si="27"/>
        <v>972.29680383795278</v>
      </c>
      <c r="AK49" s="31"/>
      <c r="AL49" s="27">
        <v>972.29680383795278</v>
      </c>
      <c r="AM49" s="37">
        <f t="shared" si="4"/>
        <v>-0.18194133945273039</v>
      </c>
      <c r="AN49" s="36">
        <v>1188.5416666666667</v>
      </c>
      <c r="AO49" s="31">
        <f t="shared" si="28"/>
        <v>1042.4698958333333</v>
      </c>
      <c r="AP49" s="31">
        <f t="shared" si="29"/>
        <v>146.07177083333335</v>
      </c>
      <c r="AQ49" s="31">
        <f t="shared" si="30"/>
        <v>0</v>
      </c>
      <c r="AR49" s="31"/>
      <c r="AS49" s="27">
        <v>0</v>
      </c>
      <c r="AT49" s="37">
        <f t="shared" si="5"/>
        <v>-1</v>
      </c>
      <c r="AU49" s="36">
        <v>1188.5416666666667</v>
      </c>
      <c r="AV49" s="31">
        <f t="shared" si="31"/>
        <v>1042.4698958333333</v>
      </c>
      <c r="AW49" s="31">
        <f t="shared" si="32"/>
        <v>146.07177083333335</v>
      </c>
      <c r="AX49" s="31">
        <f t="shared" si="33"/>
        <v>0</v>
      </c>
      <c r="AY49" s="31"/>
      <c r="AZ49" s="27">
        <v>0</v>
      </c>
      <c r="BA49" s="37">
        <f t="shared" si="6"/>
        <v>-1</v>
      </c>
      <c r="BB49" s="36">
        <v>1188.5416666666667</v>
      </c>
      <c r="BC49" s="31">
        <f t="shared" si="34"/>
        <v>1042.4698958333333</v>
      </c>
      <c r="BD49" s="31">
        <f t="shared" si="35"/>
        <v>146.07177083333335</v>
      </c>
      <c r="BE49" s="31">
        <f t="shared" si="36"/>
        <v>0</v>
      </c>
      <c r="BF49" s="31"/>
      <c r="BG49" s="27">
        <v>0</v>
      </c>
      <c r="BH49" s="37">
        <f t="shared" si="7"/>
        <v>-1</v>
      </c>
      <c r="BI49" s="36">
        <v>1188.5416666666667</v>
      </c>
      <c r="BJ49" s="31">
        <f t="shared" si="37"/>
        <v>1042.4698958333333</v>
      </c>
      <c r="BK49" s="31">
        <f t="shared" si="38"/>
        <v>146.07177083333335</v>
      </c>
      <c r="BL49" s="31">
        <f t="shared" si="39"/>
        <v>0</v>
      </c>
      <c r="BM49" s="31"/>
      <c r="BN49" s="27">
        <v>0</v>
      </c>
      <c r="BO49" s="37">
        <f t="shared" si="8"/>
        <v>-1</v>
      </c>
      <c r="BP49" s="36">
        <v>1188.5416666666667</v>
      </c>
      <c r="BQ49" s="31">
        <f t="shared" si="40"/>
        <v>1042.4698958333333</v>
      </c>
      <c r="BR49" s="31">
        <f t="shared" si="41"/>
        <v>146.07177083333335</v>
      </c>
      <c r="BS49" s="31">
        <f t="shared" si="42"/>
        <v>0</v>
      </c>
      <c r="BT49" s="31"/>
      <c r="BU49" s="27">
        <v>0</v>
      </c>
      <c r="BV49" s="37">
        <f t="shared" si="9"/>
        <v>-1</v>
      </c>
      <c r="BW49" s="36">
        <v>1188.5416666666667</v>
      </c>
      <c r="BX49" s="31">
        <f t="shared" si="43"/>
        <v>1042.4698958333333</v>
      </c>
      <c r="BY49" s="31">
        <f t="shared" si="44"/>
        <v>146.07177083333335</v>
      </c>
      <c r="BZ49" s="31">
        <f t="shared" si="45"/>
        <v>0</v>
      </c>
      <c r="CA49" s="31"/>
      <c r="CB49" s="27">
        <v>0</v>
      </c>
      <c r="CC49" s="37">
        <f t="shared" si="10"/>
        <v>-1</v>
      </c>
      <c r="CD49" s="36">
        <v>1188.5416666666667</v>
      </c>
      <c r="CE49" s="31">
        <f t="shared" si="46"/>
        <v>1042.4698958333333</v>
      </c>
      <c r="CF49" s="31">
        <f t="shared" si="47"/>
        <v>146.07177083333335</v>
      </c>
      <c r="CG49" s="31">
        <f t="shared" si="48"/>
        <v>0</v>
      </c>
      <c r="CH49" s="31"/>
      <c r="CI49" s="27">
        <v>0</v>
      </c>
      <c r="CJ49" s="37">
        <f t="shared" si="11"/>
        <v>-1</v>
      </c>
      <c r="CK49" s="36">
        <v>1188.5416666666667</v>
      </c>
      <c r="CL49" s="31">
        <f t="shared" si="49"/>
        <v>1042.4698958333333</v>
      </c>
      <c r="CM49" s="31">
        <f t="shared" si="50"/>
        <v>146.07177083333335</v>
      </c>
      <c r="CN49" s="31">
        <f t="shared" si="51"/>
        <v>0</v>
      </c>
      <c r="CO49" s="31"/>
      <c r="CP49" s="27">
        <v>0</v>
      </c>
      <c r="CQ49" s="37">
        <f t="shared" si="12"/>
        <v>-1</v>
      </c>
    </row>
    <row r="50" spans="1:95" s="26" customFormat="1" ht="16" customHeight="1" x14ac:dyDescent="0.2">
      <c r="A50" s="29" t="s">
        <v>74</v>
      </c>
      <c r="B50" s="30">
        <f t="shared" si="52"/>
        <v>1441.3349999999998</v>
      </c>
      <c r="C50" s="31">
        <f t="shared" si="52"/>
        <v>1264.1949285000001</v>
      </c>
      <c r="D50" s="32">
        <f t="shared" si="52"/>
        <v>177.14007149999998</v>
      </c>
      <c r="E50" s="30">
        <f t="shared" si="54"/>
        <v>480.44499999999999</v>
      </c>
      <c r="F50" s="33">
        <f t="shared" si="54"/>
        <v>421.39830949999998</v>
      </c>
      <c r="G50" s="34">
        <f t="shared" si="54"/>
        <v>59.046690499999997</v>
      </c>
      <c r="H50" s="31">
        <f t="shared" si="53"/>
        <v>572.9240815377434</v>
      </c>
      <c r="I50" s="33">
        <f t="shared" si="53"/>
        <v>0</v>
      </c>
      <c r="J50" s="33">
        <f t="shared" si="53"/>
        <v>572.9240815377434</v>
      </c>
      <c r="K50" s="37">
        <f t="shared" si="14"/>
        <v>0.19248630236081854</v>
      </c>
      <c r="L50" s="36">
        <v>120.11125</v>
      </c>
      <c r="M50" s="28">
        <f t="shared" si="15"/>
        <v>105.349577375</v>
      </c>
      <c r="N50" s="28">
        <f t="shared" si="16"/>
        <v>14.761672624999999</v>
      </c>
      <c r="O50" s="28">
        <f t="shared" si="17"/>
        <v>112.26092716860838</v>
      </c>
      <c r="P50" s="117"/>
      <c r="Q50" s="28">
        <v>112.26092716860838</v>
      </c>
      <c r="R50" s="37">
        <f t="shared" si="18"/>
        <v>-6.5358763907557571E-2</v>
      </c>
      <c r="S50" s="36">
        <v>120.11125</v>
      </c>
      <c r="T50" s="28">
        <f t="shared" si="19"/>
        <v>105.349577375</v>
      </c>
      <c r="U50" s="28">
        <f t="shared" si="20"/>
        <v>14.761672624999999</v>
      </c>
      <c r="V50" s="28">
        <f t="shared" si="21"/>
        <v>125.1851321290728</v>
      </c>
      <c r="W50" s="28"/>
      <c r="X50" s="28">
        <v>125.1851321290728</v>
      </c>
      <c r="Y50" s="37">
        <f t="shared" si="2"/>
        <v>4.2243188119953867E-2</v>
      </c>
      <c r="Z50" s="36">
        <v>120.11125</v>
      </c>
      <c r="AA50" s="28">
        <f t="shared" si="22"/>
        <v>105.349577375</v>
      </c>
      <c r="AB50" s="28">
        <f t="shared" si="23"/>
        <v>14.761672624999999</v>
      </c>
      <c r="AC50" s="28">
        <f t="shared" si="24"/>
        <v>229.31472254552222</v>
      </c>
      <c r="AD50" s="28"/>
      <c r="AE50" s="118">
        <v>229.31472254552222</v>
      </c>
      <c r="AF50" s="37">
        <f t="shared" si="3"/>
        <v>0.90918604664860458</v>
      </c>
      <c r="AG50" s="36">
        <v>120.11125</v>
      </c>
      <c r="AH50" s="28">
        <f t="shared" si="25"/>
        <v>105.349577375</v>
      </c>
      <c r="AI50" s="28">
        <f t="shared" si="26"/>
        <v>14.761672624999999</v>
      </c>
      <c r="AJ50" s="28">
        <f t="shared" si="27"/>
        <v>106.16329969454</v>
      </c>
      <c r="AK50" s="28"/>
      <c r="AL50" s="118">
        <v>106.16329969454</v>
      </c>
      <c r="AM50" s="37">
        <f t="shared" si="4"/>
        <v>-0.11612526141772728</v>
      </c>
      <c r="AN50" s="36">
        <v>120.11125</v>
      </c>
      <c r="AO50" s="28">
        <f t="shared" si="28"/>
        <v>105.349577375</v>
      </c>
      <c r="AP50" s="28">
        <f t="shared" si="29"/>
        <v>14.761672624999999</v>
      </c>
      <c r="AQ50" s="28">
        <f t="shared" si="30"/>
        <v>0</v>
      </c>
      <c r="AR50" s="28"/>
      <c r="AS50" s="118">
        <v>0</v>
      </c>
      <c r="AT50" s="37">
        <f t="shared" si="5"/>
        <v>-1</v>
      </c>
      <c r="AU50" s="36">
        <v>120.11125</v>
      </c>
      <c r="AV50" s="28">
        <f t="shared" si="31"/>
        <v>105.349577375</v>
      </c>
      <c r="AW50" s="28">
        <f t="shared" si="32"/>
        <v>14.761672624999999</v>
      </c>
      <c r="AX50" s="28">
        <f t="shared" si="33"/>
        <v>0</v>
      </c>
      <c r="AY50" s="28"/>
      <c r="AZ50" s="118">
        <v>0</v>
      </c>
      <c r="BA50" s="37">
        <f t="shared" si="6"/>
        <v>-1</v>
      </c>
      <c r="BB50" s="36">
        <v>120.11125</v>
      </c>
      <c r="BC50" s="28">
        <f t="shared" si="34"/>
        <v>105.349577375</v>
      </c>
      <c r="BD50" s="28">
        <f t="shared" si="35"/>
        <v>14.761672624999999</v>
      </c>
      <c r="BE50" s="28">
        <f t="shared" si="36"/>
        <v>0</v>
      </c>
      <c r="BF50" s="28"/>
      <c r="BG50" s="118">
        <v>0</v>
      </c>
      <c r="BH50" s="37">
        <f t="shared" si="7"/>
        <v>-1</v>
      </c>
      <c r="BI50" s="36">
        <v>120.11125</v>
      </c>
      <c r="BJ50" s="28">
        <f t="shared" si="37"/>
        <v>105.349577375</v>
      </c>
      <c r="BK50" s="28">
        <f t="shared" si="38"/>
        <v>14.761672624999999</v>
      </c>
      <c r="BL50" s="28">
        <f t="shared" si="39"/>
        <v>0</v>
      </c>
      <c r="BM50" s="28"/>
      <c r="BN50" s="118">
        <v>0</v>
      </c>
      <c r="BO50" s="37">
        <f t="shared" si="8"/>
        <v>-1</v>
      </c>
      <c r="BP50" s="36">
        <v>120.11125</v>
      </c>
      <c r="BQ50" s="28">
        <f t="shared" si="40"/>
        <v>105.349577375</v>
      </c>
      <c r="BR50" s="28">
        <f t="shared" si="41"/>
        <v>14.761672624999999</v>
      </c>
      <c r="BS50" s="28">
        <f t="shared" si="42"/>
        <v>0</v>
      </c>
      <c r="BT50" s="28"/>
      <c r="BU50" s="118">
        <v>0</v>
      </c>
      <c r="BV50" s="37">
        <f t="shared" si="9"/>
        <v>-1</v>
      </c>
      <c r="BW50" s="36">
        <v>120.11125</v>
      </c>
      <c r="BX50" s="28">
        <f t="shared" si="43"/>
        <v>105.349577375</v>
      </c>
      <c r="BY50" s="28">
        <f t="shared" si="44"/>
        <v>14.761672624999999</v>
      </c>
      <c r="BZ50" s="28">
        <f t="shared" si="45"/>
        <v>0</v>
      </c>
      <c r="CA50" s="28"/>
      <c r="CB50" s="118">
        <v>0</v>
      </c>
      <c r="CC50" s="37">
        <f t="shared" si="10"/>
        <v>-1</v>
      </c>
      <c r="CD50" s="36">
        <v>120.11125</v>
      </c>
      <c r="CE50" s="28">
        <f t="shared" si="46"/>
        <v>105.349577375</v>
      </c>
      <c r="CF50" s="28">
        <f t="shared" si="47"/>
        <v>14.761672624999999</v>
      </c>
      <c r="CG50" s="28">
        <f t="shared" si="48"/>
        <v>0</v>
      </c>
      <c r="CH50" s="28"/>
      <c r="CI50" s="27">
        <v>0</v>
      </c>
      <c r="CJ50" s="37">
        <f t="shared" si="11"/>
        <v>-1</v>
      </c>
      <c r="CK50" s="36">
        <v>120.11125</v>
      </c>
      <c r="CL50" s="28">
        <f t="shared" si="49"/>
        <v>105.349577375</v>
      </c>
      <c r="CM50" s="28">
        <f t="shared" si="50"/>
        <v>14.761672624999999</v>
      </c>
      <c r="CN50" s="28">
        <f t="shared" si="51"/>
        <v>0</v>
      </c>
      <c r="CO50" s="28"/>
      <c r="CP50" s="118">
        <v>0</v>
      </c>
      <c r="CQ50" s="37">
        <f t="shared" si="12"/>
        <v>-1</v>
      </c>
    </row>
    <row r="51" spans="1:95" s="26" customFormat="1" ht="16" customHeight="1" x14ac:dyDescent="0.2">
      <c r="A51" s="29" t="s">
        <v>75</v>
      </c>
      <c r="B51" s="30">
        <f t="shared" si="52"/>
        <v>1083.3264224999996</v>
      </c>
      <c r="C51" s="31">
        <f t="shared" si="52"/>
        <v>950.18560517474953</v>
      </c>
      <c r="D51" s="32">
        <f t="shared" si="52"/>
        <v>133.14081732524997</v>
      </c>
      <c r="E51" s="30">
        <f t="shared" si="54"/>
        <v>361.1088074999999</v>
      </c>
      <c r="F51" s="33">
        <f t="shared" si="54"/>
        <v>316.72853505824992</v>
      </c>
      <c r="G51" s="34">
        <f t="shared" si="54"/>
        <v>44.380272441749987</v>
      </c>
      <c r="H51" s="31">
        <f t="shared" si="53"/>
        <v>365.32034315290383</v>
      </c>
      <c r="I51" s="33">
        <f t="shared" si="53"/>
        <v>0</v>
      </c>
      <c r="J51" s="33">
        <f t="shared" si="53"/>
        <v>365.32034315290383</v>
      </c>
      <c r="K51" s="37">
        <f t="shared" si="14"/>
        <v>1.1662788515353295E-2</v>
      </c>
      <c r="L51" s="36">
        <v>90.277201874999975</v>
      </c>
      <c r="M51" s="31">
        <f t="shared" si="15"/>
        <v>79.182133764562479</v>
      </c>
      <c r="N51" s="31">
        <f t="shared" si="16"/>
        <v>11.095068110437497</v>
      </c>
      <c r="O51" s="31">
        <f t="shared" si="17"/>
        <v>89.365946169175089</v>
      </c>
      <c r="P51" s="76"/>
      <c r="Q51" s="45">
        <v>89.365946169175089</v>
      </c>
      <c r="R51" s="37">
        <f t="shared" si="18"/>
        <v>-1.0093973748617424E-2</v>
      </c>
      <c r="S51" s="36">
        <v>90.277201874999975</v>
      </c>
      <c r="T51" s="31">
        <f t="shared" si="19"/>
        <v>79.182133764562479</v>
      </c>
      <c r="U51" s="31">
        <f t="shared" si="20"/>
        <v>11.095068110437497</v>
      </c>
      <c r="V51" s="31">
        <f t="shared" si="21"/>
        <v>87.038206634011203</v>
      </c>
      <c r="W51" s="31"/>
      <c r="X51" s="45">
        <v>87.038206634011203</v>
      </c>
      <c r="Y51" s="37">
        <f t="shared" si="2"/>
        <v>-3.5878330007099279E-2</v>
      </c>
      <c r="Z51" s="36">
        <v>90.277201874999975</v>
      </c>
      <c r="AA51" s="31">
        <f t="shared" si="22"/>
        <v>79.182133764562479</v>
      </c>
      <c r="AB51" s="31">
        <f t="shared" si="23"/>
        <v>11.095068110437497</v>
      </c>
      <c r="AC51" s="31">
        <f t="shared" si="24"/>
        <v>80.953705510705021</v>
      </c>
      <c r="AD51" s="31"/>
      <c r="AE51" s="48">
        <v>80.953705510705021</v>
      </c>
      <c r="AF51" s="37">
        <f t="shared" si="3"/>
        <v>-0.10327631085868716</v>
      </c>
      <c r="AG51" s="36">
        <v>90.277201874999975</v>
      </c>
      <c r="AH51" s="31">
        <f t="shared" si="25"/>
        <v>79.182133764562479</v>
      </c>
      <c r="AI51" s="31">
        <f t="shared" si="26"/>
        <v>11.095068110437497</v>
      </c>
      <c r="AJ51" s="31">
        <f t="shared" si="27"/>
        <v>107.96248483901253</v>
      </c>
      <c r="AK51" s="31"/>
      <c r="AL51" s="48">
        <v>107.96248483901253</v>
      </c>
      <c r="AM51" s="37">
        <f t="shared" si="4"/>
        <v>0.19589976867581727</v>
      </c>
      <c r="AN51" s="36">
        <v>90.277201874999975</v>
      </c>
      <c r="AO51" s="31">
        <f t="shared" si="28"/>
        <v>79.182133764562479</v>
      </c>
      <c r="AP51" s="31">
        <f t="shared" si="29"/>
        <v>11.095068110437497</v>
      </c>
      <c r="AQ51" s="31">
        <f t="shared" si="30"/>
        <v>0</v>
      </c>
      <c r="AR51" s="31"/>
      <c r="AS51" s="48">
        <v>0</v>
      </c>
      <c r="AT51" s="37">
        <f t="shared" si="5"/>
        <v>-1</v>
      </c>
      <c r="AU51" s="36">
        <v>90.277201874999975</v>
      </c>
      <c r="AV51" s="31">
        <f t="shared" si="31"/>
        <v>79.182133764562479</v>
      </c>
      <c r="AW51" s="31">
        <f t="shared" si="32"/>
        <v>11.095068110437497</v>
      </c>
      <c r="AX51" s="31">
        <f t="shared" si="33"/>
        <v>0</v>
      </c>
      <c r="AY51" s="31"/>
      <c r="AZ51" s="48">
        <v>0</v>
      </c>
      <c r="BA51" s="37">
        <f t="shared" si="6"/>
        <v>-1</v>
      </c>
      <c r="BB51" s="36">
        <v>90.277201874999975</v>
      </c>
      <c r="BC51" s="31">
        <f t="shared" si="34"/>
        <v>79.182133764562479</v>
      </c>
      <c r="BD51" s="31">
        <f t="shared" si="35"/>
        <v>11.095068110437497</v>
      </c>
      <c r="BE51" s="31">
        <f t="shared" si="36"/>
        <v>0</v>
      </c>
      <c r="BF51" s="31"/>
      <c r="BG51" s="48">
        <v>0</v>
      </c>
      <c r="BH51" s="37">
        <f t="shared" si="7"/>
        <v>-1</v>
      </c>
      <c r="BI51" s="36">
        <v>90.277201874999975</v>
      </c>
      <c r="BJ51" s="31">
        <f t="shared" si="37"/>
        <v>79.182133764562479</v>
      </c>
      <c r="BK51" s="31">
        <f t="shared" si="38"/>
        <v>11.095068110437497</v>
      </c>
      <c r="BL51" s="31">
        <f t="shared" si="39"/>
        <v>0</v>
      </c>
      <c r="BM51" s="31"/>
      <c r="BN51" s="48">
        <v>0</v>
      </c>
      <c r="BO51" s="37">
        <f t="shared" si="8"/>
        <v>-1</v>
      </c>
      <c r="BP51" s="36">
        <v>90.277201874999975</v>
      </c>
      <c r="BQ51" s="31">
        <f t="shared" si="40"/>
        <v>79.182133764562479</v>
      </c>
      <c r="BR51" s="31">
        <f t="shared" si="41"/>
        <v>11.095068110437497</v>
      </c>
      <c r="BS51" s="31">
        <f t="shared" si="42"/>
        <v>0</v>
      </c>
      <c r="BT51" s="31"/>
      <c r="BU51" s="48">
        <v>0</v>
      </c>
      <c r="BV51" s="37">
        <f t="shared" si="9"/>
        <v>-1</v>
      </c>
      <c r="BW51" s="36">
        <v>90.277201874999975</v>
      </c>
      <c r="BX51" s="31">
        <f t="shared" si="43"/>
        <v>79.182133764562479</v>
      </c>
      <c r="BY51" s="31">
        <f t="shared" si="44"/>
        <v>11.095068110437497</v>
      </c>
      <c r="BZ51" s="31">
        <f t="shared" si="45"/>
        <v>0</v>
      </c>
      <c r="CA51" s="31"/>
      <c r="CB51" s="48">
        <v>0</v>
      </c>
      <c r="CC51" s="37">
        <f t="shared" si="10"/>
        <v>-1</v>
      </c>
      <c r="CD51" s="36">
        <v>90.277201874999975</v>
      </c>
      <c r="CE51" s="31">
        <f t="shared" si="46"/>
        <v>79.182133764562479</v>
      </c>
      <c r="CF51" s="31">
        <f t="shared" si="47"/>
        <v>11.095068110437497</v>
      </c>
      <c r="CG51" s="31">
        <f t="shared" si="48"/>
        <v>0</v>
      </c>
      <c r="CH51" s="31"/>
      <c r="CI51" s="27">
        <v>0</v>
      </c>
      <c r="CJ51" s="37">
        <f t="shared" si="11"/>
        <v>-1</v>
      </c>
      <c r="CK51" s="36">
        <v>90.277201874999975</v>
      </c>
      <c r="CL51" s="31">
        <f t="shared" si="49"/>
        <v>79.182133764562479</v>
      </c>
      <c r="CM51" s="31">
        <f t="shared" si="50"/>
        <v>11.095068110437497</v>
      </c>
      <c r="CN51" s="31">
        <f t="shared" si="51"/>
        <v>0</v>
      </c>
      <c r="CO51" s="31"/>
      <c r="CP51" s="48">
        <v>0</v>
      </c>
      <c r="CQ51" s="37">
        <f t="shared" si="12"/>
        <v>-1</v>
      </c>
    </row>
    <row r="52" spans="1:95" s="26" customFormat="1" ht="16" customHeight="1" x14ac:dyDescent="0.2">
      <c r="A52" s="29" t="s">
        <v>76</v>
      </c>
      <c r="B52" s="30">
        <f t="shared" si="52"/>
        <v>3499.9999999999995</v>
      </c>
      <c r="C52" s="31">
        <f t="shared" si="52"/>
        <v>3069.85</v>
      </c>
      <c r="D52" s="32">
        <f t="shared" si="52"/>
        <v>430.14999999999986</v>
      </c>
      <c r="E52" s="30">
        <f t="shared" si="54"/>
        <v>1166.6666666666667</v>
      </c>
      <c r="F52" s="33">
        <f t="shared" si="54"/>
        <v>1023.2833333333334</v>
      </c>
      <c r="G52" s="34">
        <f t="shared" si="54"/>
        <v>143.38333333333333</v>
      </c>
      <c r="H52" s="31">
        <f t="shared" si="53"/>
        <v>1224.685025753274</v>
      </c>
      <c r="I52" s="33">
        <f t="shared" si="53"/>
        <v>0</v>
      </c>
      <c r="J52" s="33">
        <f t="shared" si="53"/>
        <v>1224.685025753274</v>
      </c>
      <c r="K52" s="37">
        <f t="shared" si="14"/>
        <v>4.9730022074234714E-2</v>
      </c>
      <c r="L52" s="36">
        <v>291.66666666666669</v>
      </c>
      <c r="M52" s="31">
        <f t="shared" si="15"/>
        <v>255.82083333333335</v>
      </c>
      <c r="N52" s="31">
        <f t="shared" si="16"/>
        <v>35.845833333333331</v>
      </c>
      <c r="O52" s="31">
        <f t="shared" si="17"/>
        <v>181.6328158567969</v>
      </c>
      <c r="P52" s="31"/>
      <c r="Q52" s="33">
        <v>181.6328158567969</v>
      </c>
      <c r="R52" s="37">
        <f t="shared" si="18"/>
        <v>-0.37725891706241066</v>
      </c>
      <c r="S52" s="36">
        <v>291.66666666666669</v>
      </c>
      <c r="T52" s="31">
        <f t="shared" si="19"/>
        <v>255.82083333333335</v>
      </c>
      <c r="U52" s="31">
        <f t="shared" si="20"/>
        <v>35.845833333333331</v>
      </c>
      <c r="V52" s="31">
        <f t="shared" si="21"/>
        <v>121.48962684448743</v>
      </c>
      <c r="W52" s="31"/>
      <c r="X52" s="33">
        <v>121.48962684448743</v>
      </c>
      <c r="Y52" s="37">
        <f t="shared" si="2"/>
        <v>-0.58346413653318596</v>
      </c>
      <c r="Z52" s="36">
        <v>291.66666666666669</v>
      </c>
      <c r="AA52" s="31">
        <f t="shared" si="22"/>
        <v>255.82083333333335</v>
      </c>
      <c r="AB52" s="31">
        <f t="shared" si="23"/>
        <v>35.845833333333331</v>
      </c>
      <c r="AC52" s="31">
        <f t="shared" si="24"/>
        <v>557.86378176324331</v>
      </c>
      <c r="AD52" s="31"/>
      <c r="AE52" s="27">
        <v>557.86378176324331</v>
      </c>
      <c r="AF52" s="37">
        <f t="shared" si="3"/>
        <v>0.91267582318826257</v>
      </c>
      <c r="AG52" s="36">
        <v>291.66666666666669</v>
      </c>
      <c r="AH52" s="31">
        <f t="shared" si="25"/>
        <v>255.82083333333335</v>
      </c>
      <c r="AI52" s="31">
        <f t="shared" si="26"/>
        <v>35.845833333333331</v>
      </c>
      <c r="AJ52" s="31">
        <f t="shared" si="27"/>
        <v>363.69880128874644</v>
      </c>
      <c r="AK52" s="31"/>
      <c r="AL52" s="27">
        <v>363.69880128874644</v>
      </c>
      <c r="AM52" s="37">
        <f t="shared" si="4"/>
        <v>0.24696731870427335</v>
      </c>
      <c r="AN52" s="36">
        <v>291.66666666666669</v>
      </c>
      <c r="AO52" s="31">
        <f t="shared" si="28"/>
        <v>255.82083333333335</v>
      </c>
      <c r="AP52" s="31">
        <f t="shared" si="29"/>
        <v>35.845833333333331</v>
      </c>
      <c r="AQ52" s="31">
        <f t="shared" si="30"/>
        <v>0</v>
      </c>
      <c r="AR52" s="31"/>
      <c r="AS52" s="27">
        <v>0</v>
      </c>
      <c r="AT52" s="37">
        <f t="shared" si="5"/>
        <v>-1</v>
      </c>
      <c r="AU52" s="36">
        <v>291.66666666666669</v>
      </c>
      <c r="AV52" s="31">
        <f t="shared" si="31"/>
        <v>255.82083333333335</v>
      </c>
      <c r="AW52" s="31">
        <f t="shared" si="32"/>
        <v>35.845833333333331</v>
      </c>
      <c r="AX52" s="31">
        <f t="shared" si="33"/>
        <v>0</v>
      </c>
      <c r="AY52" s="31"/>
      <c r="AZ52" s="27">
        <v>0</v>
      </c>
      <c r="BA52" s="37">
        <f t="shared" si="6"/>
        <v>-1</v>
      </c>
      <c r="BB52" s="36">
        <v>291.66666666666669</v>
      </c>
      <c r="BC52" s="31">
        <f t="shared" si="34"/>
        <v>255.82083333333335</v>
      </c>
      <c r="BD52" s="31">
        <f t="shared" si="35"/>
        <v>35.845833333333331</v>
      </c>
      <c r="BE52" s="31">
        <f t="shared" si="36"/>
        <v>0</v>
      </c>
      <c r="BF52" s="31"/>
      <c r="BG52" s="27">
        <v>0</v>
      </c>
      <c r="BH52" s="37">
        <f t="shared" si="7"/>
        <v>-1</v>
      </c>
      <c r="BI52" s="36">
        <v>291.66666666666669</v>
      </c>
      <c r="BJ52" s="31">
        <f t="shared" si="37"/>
        <v>255.82083333333335</v>
      </c>
      <c r="BK52" s="31">
        <f t="shared" si="38"/>
        <v>35.845833333333331</v>
      </c>
      <c r="BL52" s="31">
        <f t="shared" si="39"/>
        <v>0</v>
      </c>
      <c r="BM52" s="31"/>
      <c r="BN52" s="27">
        <v>0</v>
      </c>
      <c r="BO52" s="37">
        <f t="shared" si="8"/>
        <v>-1</v>
      </c>
      <c r="BP52" s="36">
        <v>291.66666666666669</v>
      </c>
      <c r="BQ52" s="31">
        <f t="shared" si="40"/>
        <v>255.82083333333335</v>
      </c>
      <c r="BR52" s="31">
        <f t="shared" si="41"/>
        <v>35.845833333333331</v>
      </c>
      <c r="BS52" s="31">
        <f t="shared" si="42"/>
        <v>0</v>
      </c>
      <c r="BT52" s="31"/>
      <c r="BU52" s="27">
        <v>0</v>
      </c>
      <c r="BV52" s="37">
        <f t="shared" si="9"/>
        <v>-1</v>
      </c>
      <c r="BW52" s="36">
        <v>291.66666666666669</v>
      </c>
      <c r="BX52" s="31">
        <f t="shared" si="43"/>
        <v>255.82083333333335</v>
      </c>
      <c r="BY52" s="31">
        <f t="shared" si="44"/>
        <v>35.845833333333331</v>
      </c>
      <c r="BZ52" s="31">
        <f t="shared" si="45"/>
        <v>0</v>
      </c>
      <c r="CA52" s="31"/>
      <c r="CB52" s="27">
        <v>0</v>
      </c>
      <c r="CC52" s="37">
        <f t="shared" si="10"/>
        <v>-1</v>
      </c>
      <c r="CD52" s="36">
        <v>291.66666666666669</v>
      </c>
      <c r="CE52" s="31">
        <f t="shared" si="46"/>
        <v>255.82083333333335</v>
      </c>
      <c r="CF52" s="31">
        <f t="shared" si="47"/>
        <v>35.845833333333331</v>
      </c>
      <c r="CG52" s="31">
        <f t="shared" si="48"/>
        <v>0</v>
      </c>
      <c r="CH52" s="31"/>
      <c r="CI52" s="27">
        <v>0</v>
      </c>
      <c r="CJ52" s="37">
        <f t="shared" si="11"/>
        <v>-1</v>
      </c>
      <c r="CK52" s="36">
        <v>291.66666666666669</v>
      </c>
      <c r="CL52" s="31">
        <f t="shared" si="49"/>
        <v>255.82083333333335</v>
      </c>
      <c r="CM52" s="31">
        <f t="shared" si="50"/>
        <v>35.845833333333331</v>
      </c>
      <c r="CN52" s="31">
        <f t="shared" si="51"/>
        <v>0</v>
      </c>
      <c r="CO52" s="31"/>
      <c r="CP52" s="27">
        <v>0</v>
      </c>
      <c r="CQ52" s="37">
        <f t="shared" si="12"/>
        <v>-1</v>
      </c>
    </row>
    <row r="53" spans="1:95" s="26" customFormat="1" ht="16" customHeight="1" x14ac:dyDescent="0.2">
      <c r="A53" s="38" t="s">
        <v>77</v>
      </c>
      <c r="B53" s="30">
        <f t="shared" si="52"/>
        <v>3062.5</v>
      </c>
      <c r="C53" s="31">
        <f t="shared" si="52"/>
        <v>2686.1187499999996</v>
      </c>
      <c r="D53" s="32">
        <f t="shared" si="52"/>
        <v>376.38124999999991</v>
      </c>
      <c r="E53" s="30">
        <f t="shared" si="54"/>
        <v>1020.8333333333333</v>
      </c>
      <c r="F53" s="33">
        <f t="shared" si="54"/>
        <v>895.37291666666658</v>
      </c>
      <c r="G53" s="34">
        <f t="shared" si="54"/>
        <v>125.46041666666665</v>
      </c>
      <c r="H53" s="31">
        <f t="shared" si="53"/>
        <v>47.940058253715343</v>
      </c>
      <c r="I53" s="33">
        <f t="shared" si="53"/>
        <v>0</v>
      </c>
      <c r="J53" s="33">
        <f t="shared" si="53"/>
        <v>47.940058253715343</v>
      </c>
      <c r="K53" s="37">
        <f t="shared" si="14"/>
        <v>-0.95303831028207475</v>
      </c>
      <c r="L53" s="36">
        <v>255.20833333333331</v>
      </c>
      <c r="M53" s="31">
        <f t="shared" si="15"/>
        <v>223.84322916666665</v>
      </c>
      <c r="N53" s="31">
        <f t="shared" si="16"/>
        <v>31.365104166666661</v>
      </c>
      <c r="O53" s="31">
        <f t="shared" si="17"/>
        <v>0</v>
      </c>
      <c r="P53" s="31"/>
      <c r="Q53" s="33">
        <v>0</v>
      </c>
      <c r="R53" s="37">
        <f t="shared" si="18"/>
        <v>-1</v>
      </c>
      <c r="S53" s="36">
        <v>255.20833333333331</v>
      </c>
      <c r="T53" s="31">
        <f t="shared" si="19"/>
        <v>223.84322916666665</v>
      </c>
      <c r="U53" s="31">
        <f t="shared" si="20"/>
        <v>31.365104166666661</v>
      </c>
      <c r="V53" s="31">
        <f t="shared" si="21"/>
        <v>9.436096017921848</v>
      </c>
      <c r="W53" s="31"/>
      <c r="X53" s="33">
        <v>9.436096017921848</v>
      </c>
      <c r="Y53" s="37">
        <f t="shared" si="2"/>
        <v>-0.96302590948079603</v>
      </c>
      <c r="Z53" s="36">
        <v>255.20833333333331</v>
      </c>
      <c r="AA53" s="31">
        <f t="shared" si="22"/>
        <v>223.84322916666665</v>
      </c>
      <c r="AB53" s="31">
        <f t="shared" si="23"/>
        <v>31.365104166666661</v>
      </c>
      <c r="AC53" s="31">
        <f t="shared" si="24"/>
        <v>38.503962235793495</v>
      </c>
      <c r="AD53" s="31"/>
      <c r="AE53" s="27">
        <v>38.503962235793495</v>
      </c>
      <c r="AF53" s="37">
        <f t="shared" si="3"/>
        <v>-0.84912733164750298</v>
      </c>
      <c r="AG53" s="36">
        <v>255.20833333333331</v>
      </c>
      <c r="AH53" s="31">
        <f t="shared" si="25"/>
        <v>223.84322916666665</v>
      </c>
      <c r="AI53" s="31">
        <f t="shared" si="26"/>
        <v>31.365104166666661</v>
      </c>
      <c r="AJ53" s="31">
        <f t="shared" si="27"/>
        <v>0</v>
      </c>
      <c r="AK53" s="31"/>
      <c r="AL53" s="27">
        <v>0</v>
      </c>
      <c r="AM53" s="37">
        <f t="shared" si="4"/>
        <v>-1</v>
      </c>
      <c r="AN53" s="36">
        <v>255.20833333333331</v>
      </c>
      <c r="AO53" s="31">
        <f t="shared" si="28"/>
        <v>223.84322916666665</v>
      </c>
      <c r="AP53" s="31">
        <f t="shared" si="29"/>
        <v>31.365104166666661</v>
      </c>
      <c r="AQ53" s="31">
        <f t="shared" si="30"/>
        <v>0</v>
      </c>
      <c r="AR53" s="31"/>
      <c r="AS53" s="27">
        <v>0</v>
      </c>
      <c r="AT53" s="37">
        <f t="shared" si="5"/>
        <v>-1</v>
      </c>
      <c r="AU53" s="36">
        <v>255.20833333333331</v>
      </c>
      <c r="AV53" s="31">
        <f t="shared" si="31"/>
        <v>223.84322916666665</v>
      </c>
      <c r="AW53" s="31">
        <f t="shared" si="32"/>
        <v>31.365104166666661</v>
      </c>
      <c r="AX53" s="31">
        <f t="shared" si="33"/>
        <v>0</v>
      </c>
      <c r="AY53" s="31"/>
      <c r="AZ53" s="27">
        <v>0</v>
      </c>
      <c r="BA53" s="37">
        <f t="shared" si="6"/>
        <v>-1</v>
      </c>
      <c r="BB53" s="36">
        <v>255.20833333333331</v>
      </c>
      <c r="BC53" s="31">
        <f t="shared" si="34"/>
        <v>223.84322916666665</v>
      </c>
      <c r="BD53" s="31">
        <f t="shared" si="35"/>
        <v>31.365104166666661</v>
      </c>
      <c r="BE53" s="31">
        <f t="shared" si="36"/>
        <v>0</v>
      </c>
      <c r="BF53" s="31"/>
      <c r="BG53" s="27">
        <v>0</v>
      </c>
      <c r="BH53" s="37">
        <f t="shared" si="7"/>
        <v>-1</v>
      </c>
      <c r="BI53" s="36">
        <v>255.20833333333331</v>
      </c>
      <c r="BJ53" s="31">
        <f t="shared" si="37"/>
        <v>223.84322916666665</v>
      </c>
      <c r="BK53" s="31">
        <f t="shared" si="38"/>
        <v>31.365104166666661</v>
      </c>
      <c r="BL53" s="31">
        <f t="shared" si="39"/>
        <v>0</v>
      </c>
      <c r="BM53" s="31"/>
      <c r="BN53" s="27">
        <v>0</v>
      </c>
      <c r="BO53" s="37">
        <f t="shared" si="8"/>
        <v>-1</v>
      </c>
      <c r="BP53" s="36">
        <v>255.20833333333331</v>
      </c>
      <c r="BQ53" s="31">
        <f t="shared" si="40"/>
        <v>223.84322916666665</v>
      </c>
      <c r="BR53" s="31">
        <f t="shared" si="41"/>
        <v>31.365104166666661</v>
      </c>
      <c r="BS53" s="31">
        <f t="shared" si="42"/>
        <v>0</v>
      </c>
      <c r="BT53" s="31"/>
      <c r="BU53" s="27">
        <v>0</v>
      </c>
      <c r="BV53" s="37">
        <f t="shared" si="9"/>
        <v>-1</v>
      </c>
      <c r="BW53" s="36">
        <v>255.20833333333331</v>
      </c>
      <c r="BX53" s="31">
        <f t="shared" si="43"/>
        <v>223.84322916666665</v>
      </c>
      <c r="BY53" s="31">
        <f t="shared" si="44"/>
        <v>31.365104166666661</v>
      </c>
      <c r="BZ53" s="31">
        <f t="shared" si="45"/>
        <v>0</v>
      </c>
      <c r="CA53" s="31"/>
      <c r="CB53" s="27">
        <v>0</v>
      </c>
      <c r="CC53" s="37">
        <f t="shared" si="10"/>
        <v>-1</v>
      </c>
      <c r="CD53" s="36">
        <v>255.20833333333331</v>
      </c>
      <c r="CE53" s="31">
        <f t="shared" si="46"/>
        <v>223.84322916666665</v>
      </c>
      <c r="CF53" s="31">
        <f t="shared" si="47"/>
        <v>31.365104166666661</v>
      </c>
      <c r="CG53" s="31">
        <f t="shared" si="48"/>
        <v>0</v>
      </c>
      <c r="CH53" s="31"/>
      <c r="CI53" s="27">
        <v>0</v>
      </c>
      <c r="CJ53" s="37">
        <f t="shared" si="11"/>
        <v>-1</v>
      </c>
      <c r="CK53" s="36">
        <v>255.20833333333331</v>
      </c>
      <c r="CL53" s="31">
        <f t="shared" si="49"/>
        <v>223.84322916666665</v>
      </c>
      <c r="CM53" s="31">
        <f t="shared" si="50"/>
        <v>31.365104166666661</v>
      </c>
      <c r="CN53" s="31">
        <f t="shared" si="51"/>
        <v>0</v>
      </c>
      <c r="CO53" s="31"/>
      <c r="CP53" s="27">
        <v>0</v>
      </c>
      <c r="CQ53" s="37">
        <f t="shared" si="12"/>
        <v>-1</v>
      </c>
    </row>
    <row r="54" spans="1:95" s="26" customFormat="1" ht="16" customHeight="1" thickBot="1" x14ac:dyDescent="0.25">
      <c r="A54" s="39" t="s">
        <v>78</v>
      </c>
      <c r="B54" s="50">
        <f t="shared" si="52"/>
        <v>52991.466167594772</v>
      </c>
      <c r="C54" s="40">
        <f t="shared" si="52"/>
        <v>46478.814975597372</v>
      </c>
      <c r="D54" s="51">
        <f t="shared" si="52"/>
        <v>6512.6511919973973</v>
      </c>
      <c r="E54" s="52">
        <f t="shared" si="54"/>
        <v>30280.837810054156</v>
      </c>
      <c r="F54" s="53">
        <f t="shared" si="54"/>
        <v>26559.322843198501</v>
      </c>
      <c r="G54" s="54">
        <f t="shared" si="54"/>
        <v>3721.5149668556555</v>
      </c>
      <c r="H54" s="40">
        <f t="shared" si="53"/>
        <v>8884.6500954369258</v>
      </c>
      <c r="I54" s="53">
        <f t="shared" si="53"/>
        <v>0</v>
      </c>
      <c r="J54" s="53">
        <f t="shared" si="53"/>
        <v>8884.6500954369258</v>
      </c>
      <c r="K54" s="60">
        <f t="shared" si="14"/>
        <v>-0.70659166859356337</v>
      </c>
      <c r="L54" s="87">
        <v>7570.209452513539</v>
      </c>
      <c r="M54" s="40">
        <f t="shared" si="15"/>
        <v>6639.8307107996252</v>
      </c>
      <c r="N54" s="40">
        <f t="shared" si="16"/>
        <v>930.37874171391388</v>
      </c>
      <c r="O54" s="40">
        <f t="shared" si="17"/>
        <v>0</v>
      </c>
      <c r="P54" s="40"/>
      <c r="Q54" s="58">
        <v>0</v>
      </c>
      <c r="R54" s="60">
        <f t="shared" si="18"/>
        <v>-1</v>
      </c>
      <c r="S54" s="87">
        <v>7570.209452513539</v>
      </c>
      <c r="T54" s="40">
        <f t="shared" si="19"/>
        <v>6639.8307107996252</v>
      </c>
      <c r="U54" s="40">
        <f t="shared" si="20"/>
        <v>930.37874171391388</v>
      </c>
      <c r="V54" s="40">
        <f t="shared" si="21"/>
        <v>4690.014499183113</v>
      </c>
      <c r="W54" s="40"/>
      <c r="X54" s="58">
        <v>4690.014499183113</v>
      </c>
      <c r="Y54" s="60">
        <f t="shared" si="2"/>
        <v>-0.38046436778233583</v>
      </c>
      <c r="Z54" s="87">
        <v>7570.209452513539</v>
      </c>
      <c r="AA54" s="40">
        <f t="shared" si="22"/>
        <v>6639.8307107996252</v>
      </c>
      <c r="AB54" s="40">
        <f t="shared" si="23"/>
        <v>930.37874171391388</v>
      </c>
      <c r="AC54" s="40">
        <f t="shared" si="24"/>
        <v>4194.6355962538137</v>
      </c>
      <c r="AD54" s="40"/>
      <c r="AE54" s="59">
        <v>4194.6355962538137</v>
      </c>
      <c r="AF54" s="60">
        <f t="shared" si="3"/>
        <v>-0.44590230659191765</v>
      </c>
      <c r="AG54" s="87">
        <v>7570.209452513539</v>
      </c>
      <c r="AH54" s="40">
        <f t="shared" si="25"/>
        <v>6639.8307107996252</v>
      </c>
      <c r="AI54" s="40">
        <f t="shared" si="26"/>
        <v>930.37874171391388</v>
      </c>
      <c r="AJ54" s="40">
        <f t="shared" si="27"/>
        <v>0</v>
      </c>
      <c r="AK54" s="40"/>
      <c r="AL54" s="59">
        <v>0</v>
      </c>
      <c r="AM54" s="60">
        <f t="shared" si="4"/>
        <v>-1</v>
      </c>
      <c r="AN54" s="56">
        <v>7570.209452513539</v>
      </c>
      <c r="AO54" s="40">
        <f t="shared" si="28"/>
        <v>6639.8307107996252</v>
      </c>
      <c r="AP54" s="40">
        <f t="shared" si="29"/>
        <v>930.37874171391388</v>
      </c>
      <c r="AQ54" s="40">
        <f t="shared" si="30"/>
        <v>0</v>
      </c>
      <c r="AR54" s="40"/>
      <c r="AS54" s="59">
        <v>0</v>
      </c>
      <c r="AT54" s="60">
        <f t="shared" si="5"/>
        <v>-1</v>
      </c>
      <c r="AU54" s="56">
        <v>7570.209452513539</v>
      </c>
      <c r="AV54" s="40">
        <f t="shared" si="31"/>
        <v>6639.8307107996252</v>
      </c>
      <c r="AW54" s="40">
        <f t="shared" si="32"/>
        <v>930.37874171391388</v>
      </c>
      <c r="AX54" s="40">
        <f t="shared" si="33"/>
        <v>0</v>
      </c>
      <c r="AY54" s="40"/>
      <c r="AZ54" s="59">
        <v>0</v>
      </c>
      <c r="BA54" s="60">
        <f t="shared" si="6"/>
        <v>-1</v>
      </c>
      <c r="BB54" s="56">
        <v>7570.209452513539</v>
      </c>
      <c r="BC54" s="40">
        <f t="shared" si="34"/>
        <v>6639.8307107996252</v>
      </c>
      <c r="BD54" s="40">
        <f t="shared" si="35"/>
        <v>930.37874171391388</v>
      </c>
      <c r="BE54" s="40">
        <f t="shared" si="36"/>
        <v>0</v>
      </c>
      <c r="BF54" s="40"/>
      <c r="BG54" s="59">
        <v>0</v>
      </c>
      <c r="BH54" s="60">
        <f t="shared" si="7"/>
        <v>-1</v>
      </c>
      <c r="BI54" s="56">
        <v>0</v>
      </c>
      <c r="BJ54" s="40">
        <f t="shared" si="37"/>
        <v>0</v>
      </c>
      <c r="BK54" s="40">
        <f t="shared" si="38"/>
        <v>0</v>
      </c>
      <c r="BL54" s="40">
        <f t="shared" si="39"/>
        <v>0</v>
      </c>
      <c r="BM54" s="40"/>
      <c r="BN54" s="59">
        <v>0</v>
      </c>
      <c r="BO54" s="60" t="str">
        <f t="shared" si="8"/>
        <v/>
      </c>
      <c r="BP54" s="56">
        <v>0</v>
      </c>
      <c r="BQ54" s="40">
        <f t="shared" si="40"/>
        <v>0</v>
      </c>
      <c r="BR54" s="40">
        <f t="shared" si="41"/>
        <v>0</v>
      </c>
      <c r="BS54" s="40">
        <f t="shared" si="42"/>
        <v>0</v>
      </c>
      <c r="BT54" s="40"/>
      <c r="BU54" s="59">
        <v>0</v>
      </c>
      <c r="BV54" s="60" t="str">
        <f t="shared" si="9"/>
        <v/>
      </c>
      <c r="BW54" s="87">
        <v>0</v>
      </c>
      <c r="BX54" s="40">
        <f t="shared" si="43"/>
        <v>0</v>
      </c>
      <c r="BY54" s="40">
        <f t="shared" si="44"/>
        <v>0</v>
      </c>
      <c r="BZ54" s="40">
        <f t="shared" si="45"/>
        <v>0</v>
      </c>
      <c r="CA54" s="40"/>
      <c r="CB54" s="61">
        <v>0</v>
      </c>
      <c r="CC54" s="60" t="str">
        <f t="shared" si="10"/>
        <v/>
      </c>
      <c r="CD54" s="87">
        <v>0</v>
      </c>
      <c r="CE54" s="40">
        <f t="shared" si="46"/>
        <v>0</v>
      </c>
      <c r="CF54" s="40">
        <f t="shared" si="47"/>
        <v>0</v>
      </c>
      <c r="CG54" s="40">
        <f t="shared" si="48"/>
        <v>0</v>
      </c>
      <c r="CH54" s="40"/>
      <c r="CI54" s="27">
        <v>0</v>
      </c>
      <c r="CJ54" s="60" t="str">
        <f t="shared" si="11"/>
        <v/>
      </c>
      <c r="CK54" s="87">
        <v>0</v>
      </c>
      <c r="CL54" s="40">
        <f t="shared" si="49"/>
        <v>0</v>
      </c>
      <c r="CM54" s="40">
        <f t="shared" si="50"/>
        <v>0</v>
      </c>
      <c r="CN54" s="40">
        <f t="shared" si="51"/>
        <v>0</v>
      </c>
      <c r="CO54" s="40"/>
      <c r="CP54" s="61">
        <v>0</v>
      </c>
      <c r="CQ54" s="60" t="str">
        <f t="shared" si="12"/>
        <v/>
      </c>
    </row>
    <row r="55" spans="1:95" s="26" customFormat="1" ht="16" customHeight="1" thickBot="1" x14ac:dyDescent="0.25">
      <c r="A55" s="119" t="s">
        <v>79</v>
      </c>
      <c r="B55" s="63">
        <f t="shared" ref="B55:J55" si="55">SUM(B4:B54)</f>
        <v>2711088.0327408952</v>
      </c>
      <c r="C55" s="64">
        <f t="shared" si="55"/>
        <v>2377895.3135170396</v>
      </c>
      <c r="D55" s="65">
        <f t="shared" si="55"/>
        <v>333192.71922385605</v>
      </c>
      <c r="E55" s="63">
        <f t="shared" si="55"/>
        <v>1124626.1861461482</v>
      </c>
      <c r="F55" s="66">
        <f t="shared" si="55"/>
        <v>986409.62786878634</v>
      </c>
      <c r="G55" s="67">
        <f t="shared" si="55"/>
        <v>138216.55827736156</v>
      </c>
      <c r="H55" s="64">
        <f t="shared" si="55"/>
        <v>1244761.8474399734</v>
      </c>
      <c r="I55" s="66">
        <f t="shared" si="55"/>
        <v>0</v>
      </c>
      <c r="J55" s="66">
        <f t="shared" si="55"/>
        <v>1244761.8474399734</v>
      </c>
      <c r="K55" s="120">
        <f>+J55/E55-1</f>
        <v>0.1068227494377525</v>
      </c>
      <c r="L55" s="121">
        <f t="shared" ref="L55:Q55" si="56">SUM(L4:L54)</f>
        <v>260913.19771637121</v>
      </c>
      <c r="M55" s="121">
        <f t="shared" si="56"/>
        <v>228846.9657170292</v>
      </c>
      <c r="N55" s="121">
        <f t="shared" si="56"/>
        <v>32066.231999342028</v>
      </c>
      <c r="O55" s="122">
        <f t="shared" si="56"/>
        <v>443991.65135255264</v>
      </c>
      <c r="P55" s="122">
        <f t="shared" si="56"/>
        <v>0</v>
      </c>
      <c r="Q55" s="123">
        <f t="shared" si="56"/>
        <v>443991.65135255264</v>
      </c>
      <c r="R55" s="120">
        <f>+Q55/L55-1</f>
        <v>0.70168337684166904</v>
      </c>
      <c r="S55" s="121">
        <f t="shared" ref="S55:X55" si="57">SUM(S4:S54)</f>
        <v>248976.63411795493</v>
      </c>
      <c r="T55" s="121">
        <f t="shared" si="57"/>
        <v>218377.40578485825</v>
      </c>
      <c r="U55" s="121">
        <f t="shared" si="57"/>
        <v>30599.22833309666</v>
      </c>
      <c r="V55" s="122">
        <f t="shared" si="57"/>
        <v>128033.52191674826</v>
      </c>
      <c r="W55" s="122">
        <f t="shared" si="57"/>
        <v>0</v>
      </c>
      <c r="X55" s="123">
        <f t="shared" si="57"/>
        <v>128033.52191674826</v>
      </c>
      <c r="Y55" s="120">
        <f>+X55/S55-1</f>
        <v>-0.48576089330498695</v>
      </c>
      <c r="Z55" s="121">
        <f t="shared" ref="Z55:AE55" si="58">SUM(Z4:Z54)</f>
        <v>334922.78064451489</v>
      </c>
      <c r="AA55" s="121">
        <f t="shared" si="58"/>
        <v>293760.77090330399</v>
      </c>
      <c r="AB55" s="121">
        <f t="shared" si="58"/>
        <v>41162.009741210881</v>
      </c>
      <c r="AC55" s="122">
        <f t="shared" si="58"/>
        <v>177865.96865407957</v>
      </c>
      <c r="AD55" s="122">
        <f t="shared" si="58"/>
        <v>0</v>
      </c>
      <c r="AE55" s="124">
        <f t="shared" si="58"/>
        <v>177865.96865407957</v>
      </c>
      <c r="AF55" s="120">
        <f>+AE55/Z55-1</f>
        <v>-0.46893439642475232</v>
      </c>
      <c r="AG55" s="121">
        <f t="shared" ref="AG55:AL55" si="59">SUM(AG4:AG54)</f>
        <v>279813.57366730674</v>
      </c>
      <c r="AH55" s="121">
        <f t="shared" si="59"/>
        <v>245424.48546359473</v>
      </c>
      <c r="AI55" s="121">
        <f t="shared" si="59"/>
        <v>34389.088203711995</v>
      </c>
      <c r="AJ55" s="122">
        <f t="shared" si="59"/>
        <v>494870.70551659312</v>
      </c>
      <c r="AK55" s="122">
        <f t="shared" si="59"/>
        <v>0</v>
      </c>
      <c r="AL55" s="124">
        <f t="shared" si="59"/>
        <v>494870.70551659312</v>
      </c>
      <c r="AM55" s="120">
        <f>+AL55/AG55-1</f>
        <v>0.76857290742080075</v>
      </c>
      <c r="AN55" s="121">
        <f t="shared" ref="AN55:AS55" si="60">SUM(AN4:AN54)</f>
        <v>293418.0712995386</v>
      </c>
      <c r="AO55" s="121">
        <f t="shared" si="60"/>
        <v>257356.99033682531</v>
      </c>
      <c r="AP55" s="121">
        <f t="shared" si="60"/>
        <v>36061.080962713284</v>
      </c>
      <c r="AQ55" s="121">
        <f t="shared" si="60"/>
        <v>0</v>
      </c>
      <c r="AR55" s="122">
        <f t="shared" si="60"/>
        <v>0</v>
      </c>
      <c r="AS55" s="124">
        <f t="shared" si="60"/>
        <v>0</v>
      </c>
      <c r="AT55" s="120">
        <f>+AS55/AN55-1</f>
        <v>-1</v>
      </c>
      <c r="AU55" s="121">
        <f t="shared" ref="AU55:AZ55" si="61">SUM(AU4:AU54)</f>
        <v>272744.40346051502</v>
      </c>
      <c r="AV55" s="121">
        <f t="shared" si="61"/>
        <v>239224.11627521765</v>
      </c>
      <c r="AW55" s="121">
        <f t="shared" si="61"/>
        <v>33520.287185297282</v>
      </c>
      <c r="AX55" s="122">
        <f t="shared" si="61"/>
        <v>0</v>
      </c>
      <c r="AY55" s="122">
        <f t="shared" si="61"/>
        <v>0</v>
      </c>
      <c r="AZ55" s="124">
        <f t="shared" si="61"/>
        <v>0</v>
      </c>
      <c r="BA55" s="120">
        <f>+AZ55/AU55-1</f>
        <v>-1</v>
      </c>
      <c r="BB55" s="121">
        <f t="shared" ref="BB55:BG55" si="62">SUM(BB4:BB54)</f>
        <v>285340.35513175913</v>
      </c>
      <c r="BC55" s="121">
        <f t="shared" si="62"/>
        <v>250272.02548606592</v>
      </c>
      <c r="BD55" s="121">
        <f t="shared" si="62"/>
        <v>35068.329645693193</v>
      </c>
      <c r="BE55" s="122">
        <f t="shared" si="62"/>
        <v>0</v>
      </c>
      <c r="BF55" s="122">
        <f t="shared" si="62"/>
        <v>0</v>
      </c>
      <c r="BG55" s="124">
        <f t="shared" si="62"/>
        <v>0</v>
      </c>
      <c r="BH55" s="120">
        <f>+BG55/BB55-1</f>
        <v>-1</v>
      </c>
      <c r="BI55" s="121">
        <f t="shared" ref="BI55:BN55" si="63">SUM(BI4:BI54)</f>
        <v>190235.55430642058</v>
      </c>
      <c r="BJ55" s="121">
        <f t="shared" si="63"/>
        <v>166855.60468216153</v>
      </c>
      <c r="BK55" s="121">
        <f t="shared" si="63"/>
        <v>23379.949624259094</v>
      </c>
      <c r="BL55" s="122">
        <f t="shared" si="63"/>
        <v>0</v>
      </c>
      <c r="BM55" s="122">
        <f t="shared" si="63"/>
        <v>0</v>
      </c>
      <c r="BN55" s="124">
        <f t="shared" si="63"/>
        <v>0</v>
      </c>
      <c r="BO55" s="120">
        <f>+BN55/BI55-1</f>
        <v>-1</v>
      </c>
      <c r="BP55" s="121">
        <f t="shared" ref="BP55:BU55" si="64">SUM(BP4:BP54)</f>
        <v>169115.81454390849</v>
      </c>
      <c r="BQ55" s="121">
        <f t="shared" si="64"/>
        <v>148331.48093646215</v>
      </c>
      <c r="BR55" s="121">
        <f t="shared" si="64"/>
        <v>20784.333607446355</v>
      </c>
      <c r="BS55" s="122">
        <f t="shared" si="64"/>
        <v>0</v>
      </c>
      <c r="BT55" s="122">
        <f t="shared" si="64"/>
        <v>0</v>
      </c>
      <c r="BU55" s="124">
        <f t="shared" si="64"/>
        <v>0</v>
      </c>
      <c r="BV55" s="120">
        <f>+BU55/BP55-1</f>
        <v>-1</v>
      </c>
      <c r="BW55" s="121">
        <f t="shared" ref="BW55:CB55" si="65">SUM(BW4:BW54)</f>
        <v>135523.16974334852</v>
      </c>
      <c r="BX55" s="121">
        <f t="shared" si="65"/>
        <v>118867.37218189104</v>
      </c>
      <c r="BY55" s="121">
        <f t="shared" si="65"/>
        <v>16655.797561457541</v>
      </c>
      <c r="BZ55" s="122">
        <f t="shared" si="65"/>
        <v>0</v>
      </c>
      <c r="CA55" s="122">
        <f t="shared" si="65"/>
        <v>0</v>
      </c>
      <c r="CB55" s="124">
        <f t="shared" si="65"/>
        <v>0</v>
      </c>
      <c r="CC55" s="120">
        <f>+CB55/BW55-1</f>
        <v>-1</v>
      </c>
      <c r="CD55" s="121">
        <f t="shared" ref="CD55:CI55" si="66">SUM(CD4:CD54)</f>
        <v>119479.88323790858</v>
      </c>
      <c r="CE55" s="121">
        <f t="shared" si="66"/>
        <v>104795.8055879696</v>
      </c>
      <c r="CF55" s="121">
        <f t="shared" si="66"/>
        <v>14684.077649938965</v>
      </c>
      <c r="CG55" s="122">
        <f t="shared" si="66"/>
        <v>0</v>
      </c>
      <c r="CH55" s="122">
        <f t="shared" si="66"/>
        <v>0</v>
      </c>
      <c r="CI55" s="124">
        <f t="shared" si="66"/>
        <v>0</v>
      </c>
      <c r="CJ55" s="120">
        <f>+CI55/CD55-1</f>
        <v>-1</v>
      </c>
      <c r="CK55" s="121">
        <f t="shared" ref="CK55:CP55" si="67">SUM(CK4:CK54)</f>
        <v>120604.59487134859</v>
      </c>
      <c r="CL55" s="121">
        <f t="shared" si="67"/>
        <v>105782.29016165984</v>
      </c>
      <c r="CM55" s="121">
        <f t="shared" si="67"/>
        <v>14822.30470968874</v>
      </c>
      <c r="CN55" s="122">
        <f t="shared" si="67"/>
        <v>0</v>
      </c>
      <c r="CO55" s="122">
        <f t="shared" si="67"/>
        <v>0</v>
      </c>
      <c r="CP55" s="124">
        <f t="shared" si="67"/>
        <v>0</v>
      </c>
      <c r="CQ55" s="120">
        <f>+CP55/CK55-1</f>
        <v>-1</v>
      </c>
    </row>
    <row r="56" spans="1:95" s="26" customFormat="1" ht="16" customHeight="1" x14ac:dyDescent="0.2">
      <c r="A56" s="125" t="s">
        <v>80</v>
      </c>
      <c r="B56" s="75">
        <f>+L56+S56+Z56+AG56+AN56+AU56+BB56+BI56+BP56+BW56+CD56+CK56</f>
        <v>-33657.631920415224</v>
      </c>
      <c r="C56" s="76">
        <f t="shared" ref="C56:D57" si="68">+M56+T56+AA56+AH56+AO56+AV56+BC56+BJ56+BQ56+BX56+CE56+CL56</f>
        <v>-29521.108957396184</v>
      </c>
      <c r="D56" s="77">
        <f t="shared" si="68"/>
        <v>-4136.5229630190315</v>
      </c>
      <c r="E56" s="75">
        <f>+L56+S56+Z56+AG56</f>
        <v>-11219.210640138408</v>
      </c>
      <c r="F56" s="78">
        <f t="shared" ref="F56:G57" si="69">+M56+T56+AA56+AH56</f>
        <v>-9840.3696524653969</v>
      </c>
      <c r="G56" s="79">
        <f t="shared" si="69"/>
        <v>-1378.8409876730102</v>
      </c>
      <c r="H56" s="76">
        <f t="shared" ref="H56:J57" si="70">+O56+V56+AC56+AJ56+AQ56+AX56+BE56+BL56+BS56+BZ56+CG56+CN56</f>
        <v>-25949.731347372213</v>
      </c>
      <c r="I56" s="78">
        <f t="shared" si="70"/>
        <v>0</v>
      </c>
      <c r="J56" s="78">
        <f t="shared" si="70"/>
        <v>-25949.731347372213</v>
      </c>
      <c r="K56" s="25">
        <f t="shared" ref="K56:K57" si="71">IF(E56=0,"",(+J56/E56-1))</f>
        <v>1.3129730049396842</v>
      </c>
      <c r="L56" s="23">
        <v>-2804.802660034602</v>
      </c>
      <c r="M56" s="18">
        <f t="shared" ref="M56:M57" si="72">L56-N56</f>
        <v>-2460.0924131163492</v>
      </c>
      <c r="N56" s="18">
        <f t="shared" ref="N56:N57" si="73">+L56*12.29%</f>
        <v>-344.71024691825255</v>
      </c>
      <c r="O56" s="18">
        <f t="shared" ref="O56:O57" si="74">+Q56-P56</f>
        <v>0</v>
      </c>
      <c r="P56" s="18"/>
      <c r="Q56" s="20">
        <v>0</v>
      </c>
      <c r="R56" s="25">
        <f t="shared" ref="R56:R57" si="75">IF(L56=0,"",(+Q56/L56-1))</f>
        <v>-1</v>
      </c>
      <c r="S56" s="23">
        <v>-2804.802660034602</v>
      </c>
      <c r="T56" s="18">
        <f t="shared" ref="T56:T57" si="76">S56-U56</f>
        <v>-2460.0924131163492</v>
      </c>
      <c r="U56" s="18">
        <f t="shared" ref="U56:U57" si="77">+S56*12.29%</f>
        <v>-344.71024691825255</v>
      </c>
      <c r="V56" s="18">
        <f t="shared" ref="V56:V57" si="78">+X56-W56</f>
        <v>-10199.306680828882</v>
      </c>
      <c r="W56" s="18"/>
      <c r="X56" s="20">
        <v>-10199.306680828882</v>
      </c>
      <c r="Y56" s="25">
        <f>IF(S56=0,"",(+X56/S56-1))</f>
        <v>2.6363722931947935</v>
      </c>
      <c r="Z56" s="23">
        <v>-2804.802660034602</v>
      </c>
      <c r="AA56" s="18">
        <f t="shared" ref="AA56:AA57" si="79">Z56-AB56</f>
        <v>-2460.0924131163492</v>
      </c>
      <c r="AB56" s="18">
        <f t="shared" ref="AB56:AB57" si="80">+Z56*12.29%</f>
        <v>-344.71024691825255</v>
      </c>
      <c r="AC56" s="18">
        <f t="shared" ref="AC56:AC57" si="81">+AE56-AD56</f>
        <v>1406.711632132937</v>
      </c>
      <c r="AD56" s="18"/>
      <c r="AE56" s="24">
        <v>1406.711632132937</v>
      </c>
      <c r="AF56" s="25">
        <f t="shared" ref="AF56:AF57" si="82">IF(Z56=0,"",(+AE56/Z56-1))</f>
        <v>-1.5015367577109981</v>
      </c>
      <c r="AG56" s="23">
        <v>-2804.802660034602</v>
      </c>
      <c r="AH56" s="18">
        <f t="shared" ref="AH56:AH57" si="83">AG56-AI56</f>
        <v>-2460.0924131163492</v>
      </c>
      <c r="AI56" s="18">
        <f t="shared" ref="AI56:AI57" si="84">+AG56*12.29%</f>
        <v>-344.71024691825255</v>
      </c>
      <c r="AJ56" s="18">
        <f t="shared" ref="AJ56:AJ57" si="85">+AL56-AK56</f>
        <v>-17157.136298676269</v>
      </c>
      <c r="AK56" s="18"/>
      <c r="AL56" s="24">
        <v>-17157.136298676269</v>
      </c>
      <c r="AM56" s="25">
        <f t="shared" ref="AM56:AM57" si="86">IF(AG56=0,"",(+AL56/AG56-1))</f>
        <v>5.1170564842749426</v>
      </c>
      <c r="AN56" s="23">
        <v>-2804.802660034602</v>
      </c>
      <c r="AO56" s="18">
        <f t="shared" ref="AO56:AO57" si="87">AN56-AP56</f>
        <v>-2460.0924131163492</v>
      </c>
      <c r="AP56" s="18">
        <f t="shared" ref="AP56:AP57" si="88">+AN56*12.29%</f>
        <v>-344.71024691825255</v>
      </c>
      <c r="AQ56" s="18">
        <f t="shared" ref="AQ56:AQ57" si="89">+AS56-AR56</f>
        <v>0</v>
      </c>
      <c r="AR56" s="18"/>
      <c r="AS56" s="24">
        <v>0</v>
      </c>
      <c r="AT56" s="25">
        <f t="shared" ref="AT56:AT57" si="90">IF(AN56=0,"",(+AS56/AN56-1))</f>
        <v>-1</v>
      </c>
      <c r="AU56" s="23">
        <v>-2804.802660034602</v>
      </c>
      <c r="AV56" s="18">
        <f t="shared" ref="AV56:AV57" si="91">AU56-AW56</f>
        <v>-2460.0924131163492</v>
      </c>
      <c r="AW56" s="18">
        <f t="shared" ref="AW56:AW57" si="92">+AU56*12.29%</f>
        <v>-344.71024691825255</v>
      </c>
      <c r="AX56" s="18">
        <f t="shared" ref="AX56:AX57" si="93">+AZ56-AY56</f>
        <v>0</v>
      </c>
      <c r="AY56" s="18"/>
      <c r="AZ56" s="24">
        <v>0</v>
      </c>
      <c r="BA56" s="25">
        <f t="shared" ref="BA56:BA57" si="94">IF(AU56=0,"",(+AZ56/AU56-1))</f>
        <v>-1</v>
      </c>
      <c r="BB56" s="23">
        <v>-2804.802660034602</v>
      </c>
      <c r="BC56" s="18">
        <f t="shared" ref="BC56:BC57" si="95">BB56-BD56</f>
        <v>-2460.0924131163492</v>
      </c>
      <c r="BD56" s="18">
        <f t="shared" ref="BD56:BD57" si="96">+BB56*12.29%</f>
        <v>-344.71024691825255</v>
      </c>
      <c r="BE56" s="18">
        <f t="shared" ref="BE56:BE57" si="97">+BG56-BF56</f>
        <v>0</v>
      </c>
      <c r="BF56" s="18"/>
      <c r="BG56" s="24">
        <v>0</v>
      </c>
      <c r="BH56" s="25">
        <f t="shared" ref="BH56:BH57" si="98">IF(BB56=0,"",(+BG56/BB56-1))</f>
        <v>-1</v>
      </c>
      <c r="BI56" s="23">
        <v>-2804.802660034602</v>
      </c>
      <c r="BJ56" s="18">
        <f t="shared" ref="BJ56:BJ57" si="99">BI56-BK56</f>
        <v>-2460.0924131163492</v>
      </c>
      <c r="BK56" s="18">
        <f t="shared" ref="BK56:BK57" si="100">+BI56*12.29%</f>
        <v>-344.71024691825255</v>
      </c>
      <c r="BL56" s="18">
        <f t="shared" ref="BL56:BL57" si="101">+BN56-BM56</f>
        <v>0</v>
      </c>
      <c r="BM56" s="18"/>
      <c r="BN56" s="24">
        <v>0</v>
      </c>
      <c r="BO56" s="25">
        <f t="shared" ref="BO56:BO57" si="102">IF(BI56=0,"",(+BN56/BI56-1))</f>
        <v>-1</v>
      </c>
      <c r="BP56" s="23">
        <v>-2804.802660034602</v>
      </c>
      <c r="BQ56" s="18">
        <f t="shared" ref="BQ56:BQ57" si="103">BP56-BR56</f>
        <v>-2460.0924131163492</v>
      </c>
      <c r="BR56" s="18">
        <f t="shared" ref="BR56:BR57" si="104">+BP56*12.29%</f>
        <v>-344.71024691825255</v>
      </c>
      <c r="BS56" s="18">
        <f t="shared" ref="BS56:BS57" si="105">+BU56-BT56</f>
        <v>0</v>
      </c>
      <c r="BT56" s="18"/>
      <c r="BU56" s="24">
        <v>0</v>
      </c>
      <c r="BV56" s="25">
        <f t="shared" ref="BV56:BV57" si="106">IF(BP56=0,"",(+BU56/BP56-1))</f>
        <v>-1</v>
      </c>
      <c r="BW56" s="23">
        <v>-2804.802660034602</v>
      </c>
      <c r="BX56" s="18">
        <f t="shared" ref="BX56:BX57" si="107">BW56-BY56</f>
        <v>-2460.0924131163492</v>
      </c>
      <c r="BY56" s="18">
        <f t="shared" ref="BY56:BY57" si="108">+BW56*12.29%</f>
        <v>-344.71024691825255</v>
      </c>
      <c r="BZ56" s="18">
        <f t="shared" ref="BZ56:BZ57" si="109">+CB56-CA56</f>
        <v>0</v>
      </c>
      <c r="CA56" s="18"/>
      <c r="CB56" s="24">
        <v>0</v>
      </c>
      <c r="CC56" s="25">
        <f t="shared" ref="CC56:CC57" si="110">IF(BW56=0,"",(+CB56/BW56-1))</f>
        <v>-1</v>
      </c>
      <c r="CD56" s="23">
        <v>-2804.802660034602</v>
      </c>
      <c r="CE56" s="18">
        <f t="shared" ref="CE56:CE57" si="111">CD56-CF56</f>
        <v>-2460.0924131163492</v>
      </c>
      <c r="CF56" s="18">
        <f t="shared" ref="CF56:CF57" si="112">+CD56*12.29%</f>
        <v>-344.71024691825255</v>
      </c>
      <c r="CG56" s="18">
        <f t="shared" ref="CG56:CG57" si="113">+CI56-CH56</f>
        <v>0</v>
      </c>
      <c r="CH56" s="18"/>
      <c r="CI56" s="27">
        <v>0</v>
      </c>
      <c r="CJ56" s="25">
        <f t="shared" ref="CJ56:CJ57" si="114">IF(CD56=0,"",(+CI56/CD56-1))</f>
        <v>-1</v>
      </c>
      <c r="CK56" s="23">
        <v>-2804.802660034602</v>
      </c>
      <c r="CL56" s="18">
        <f t="shared" ref="CL56:CL57" si="115">CK56-CM56</f>
        <v>-2460.0924131163492</v>
      </c>
      <c r="CM56" s="18">
        <f t="shared" ref="CM56:CM57" si="116">+CK56*12.29%</f>
        <v>-344.71024691825255</v>
      </c>
      <c r="CN56" s="18">
        <f t="shared" ref="CN56:CN57" si="117">+CP56-CO56</f>
        <v>0</v>
      </c>
      <c r="CO56" s="18"/>
      <c r="CP56" s="24">
        <v>0</v>
      </c>
      <c r="CQ56" s="25">
        <f t="shared" ref="CQ56:CQ57" si="118">IF(CK56=0,"",(+CP56/CK56-1))</f>
        <v>-1</v>
      </c>
    </row>
    <row r="57" spans="1:95" s="26" customFormat="1" ht="16" customHeight="1" thickBot="1" x14ac:dyDescent="0.25">
      <c r="A57" s="126" t="s">
        <v>81</v>
      </c>
      <c r="B57" s="52">
        <f>+L57+S57+Z57+AG57+AN57+AU57+BB57+BI57+BP57+BW57+CD57+CK57</f>
        <v>-11219.210640138406</v>
      </c>
      <c r="C57" s="40">
        <f t="shared" si="68"/>
        <v>-9840.3696524653951</v>
      </c>
      <c r="D57" s="51">
        <f t="shared" si="68"/>
        <v>-1378.8409876730102</v>
      </c>
      <c r="E57" s="50">
        <f>+L57+S57+Z57+AG57</f>
        <v>-3739.7368800461359</v>
      </c>
      <c r="F57" s="58">
        <f t="shared" si="69"/>
        <v>-3280.1232174884658</v>
      </c>
      <c r="G57" s="85">
        <f t="shared" si="69"/>
        <v>-459.61366255767007</v>
      </c>
      <c r="H57" s="57">
        <f t="shared" si="70"/>
        <v>-6626.4050127226928</v>
      </c>
      <c r="I57" s="58">
        <f t="shared" si="70"/>
        <v>0</v>
      </c>
      <c r="J57" s="58">
        <f t="shared" si="70"/>
        <v>-6626.4050127226928</v>
      </c>
      <c r="K57" s="127">
        <f t="shared" si="71"/>
        <v>0.77189070388314196</v>
      </c>
      <c r="L57" s="87">
        <v>-934.93422001153397</v>
      </c>
      <c r="M57" s="128">
        <f t="shared" si="72"/>
        <v>-820.03080437211645</v>
      </c>
      <c r="N57" s="128">
        <f t="shared" si="73"/>
        <v>-114.90341563941752</v>
      </c>
      <c r="O57" s="128">
        <f t="shared" si="74"/>
        <v>-3686.7333819160081</v>
      </c>
      <c r="P57" s="128"/>
      <c r="Q57" s="129">
        <v>-3686.7333819160081</v>
      </c>
      <c r="R57" s="60">
        <f t="shared" si="75"/>
        <v>2.9433077782419024</v>
      </c>
      <c r="S57" s="56">
        <v>-934.93422001153397</v>
      </c>
      <c r="T57" s="128">
        <f t="shared" si="76"/>
        <v>-820.03080437211645</v>
      </c>
      <c r="U57" s="128">
        <f t="shared" si="77"/>
        <v>-114.90341563941752</v>
      </c>
      <c r="V57" s="128">
        <f t="shared" si="78"/>
        <v>-544.71905410997385</v>
      </c>
      <c r="W57" s="128"/>
      <c r="X57" s="129">
        <v>-544.71905410997385</v>
      </c>
      <c r="Y57" s="127">
        <f>IF(S57=0,"",(+X57/S57-1))</f>
        <v>-0.41737178675174191</v>
      </c>
      <c r="Z57" s="56">
        <v>-934.93422001153397</v>
      </c>
      <c r="AA57" s="128">
        <f t="shared" si="79"/>
        <v>-820.03080437211645</v>
      </c>
      <c r="AB57" s="128">
        <f t="shared" si="80"/>
        <v>-114.90341563941752</v>
      </c>
      <c r="AC57" s="128">
        <f t="shared" si="81"/>
        <v>-2394.9525766967113</v>
      </c>
      <c r="AD57" s="128"/>
      <c r="AE57" s="130">
        <v>-2394.9525766967113</v>
      </c>
      <c r="AF57" s="127">
        <f t="shared" si="82"/>
        <v>1.5616268240424076</v>
      </c>
      <c r="AG57" s="56">
        <v>-934.93422001153397</v>
      </c>
      <c r="AH57" s="128">
        <f t="shared" si="83"/>
        <v>-820.03080437211645</v>
      </c>
      <c r="AI57" s="128">
        <f t="shared" si="84"/>
        <v>-114.90341563941752</v>
      </c>
      <c r="AJ57" s="128">
        <f t="shared" si="85"/>
        <v>0</v>
      </c>
      <c r="AK57" s="128"/>
      <c r="AL57" s="130">
        <v>0</v>
      </c>
      <c r="AM57" s="127">
        <f t="shared" si="86"/>
        <v>-1</v>
      </c>
      <c r="AN57" s="56">
        <v>-934.93422001153397</v>
      </c>
      <c r="AO57" s="128">
        <f t="shared" si="87"/>
        <v>-820.03080437211645</v>
      </c>
      <c r="AP57" s="128">
        <f t="shared" si="88"/>
        <v>-114.90341563941752</v>
      </c>
      <c r="AQ57" s="128">
        <f t="shared" si="89"/>
        <v>0</v>
      </c>
      <c r="AR57" s="128"/>
      <c r="AS57" s="130">
        <v>0</v>
      </c>
      <c r="AT57" s="127">
        <f t="shared" si="90"/>
        <v>-1</v>
      </c>
      <c r="AU57" s="56">
        <v>-934.93422001153397</v>
      </c>
      <c r="AV57" s="128">
        <f t="shared" si="91"/>
        <v>-820.03080437211645</v>
      </c>
      <c r="AW57" s="128">
        <f t="shared" si="92"/>
        <v>-114.90341563941752</v>
      </c>
      <c r="AX57" s="128">
        <f t="shared" si="93"/>
        <v>0</v>
      </c>
      <c r="AY57" s="128"/>
      <c r="AZ57" s="130">
        <v>0</v>
      </c>
      <c r="BA57" s="127">
        <f t="shared" si="94"/>
        <v>-1</v>
      </c>
      <c r="BB57" s="56">
        <v>-934.93422001153397</v>
      </c>
      <c r="BC57" s="128">
        <f t="shared" si="95"/>
        <v>-820.03080437211645</v>
      </c>
      <c r="BD57" s="128">
        <f t="shared" si="96"/>
        <v>-114.90341563941752</v>
      </c>
      <c r="BE57" s="128">
        <f t="shared" si="97"/>
        <v>0</v>
      </c>
      <c r="BF57" s="128"/>
      <c r="BG57" s="130">
        <v>0</v>
      </c>
      <c r="BH57" s="127">
        <f t="shared" si="98"/>
        <v>-1</v>
      </c>
      <c r="BI57" s="87">
        <v>-934.93422001153397</v>
      </c>
      <c r="BJ57" s="128">
        <f t="shared" si="99"/>
        <v>-820.03080437211645</v>
      </c>
      <c r="BK57" s="128">
        <f t="shared" si="100"/>
        <v>-114.90341563941752</v>
      </c>
      <c r="BL57" s="128">
        <f t="shared" si="101"/>
        <v>0</v>
      </c>
      <c r="BM57" s="128"/>
      <c r="BN57" s="130">
        <v>0</v>
      </c>
      <c r="BO57" s="127">
        <f t="shared" si="102"/>
        <v>-1</v>
      </c>
      <c r="BP57" s="56">
        <v>-934.93422001153397</v>
      </c>
      <c r="BQ57" s="128">
        <f t="shared" si="103"/>
        <v>-820.03080437211645</v>
      </c>
      <c r="BR57" s="128">
        <f t="shared" si="104"/>
        <v>-114.90341563941752</v>
      </c>
      <c r="BS57" s="128">
        <f t="shared" si="105"/>
        <v>0</v>
      </c>
      <c r="BT57" s="128"/>
      <c r="BU57" s="59">
        <v>0</v>
      </c>
      <c r="BV57" s="127">
        <f t="shared" si="106"/>
        <v>-1</v>
      </c>
      <c r="BW57" s="56">
        <v>-934.93422001153397</v>
      </c>
      <c r="BX57" s="128">
        <f t="shared" si="107"/>
        <v>-820.03080437211645</v>
      </c>
      <c r="BY57" s="128">
        <f t="shared" si="108"/>
        <v>-114.90341563941752</v>
      </c>
      <c r="BZ57" s="128">
        <f t="shared" si="109"/>
        <v>0</v>
      </c>
      <c r="CA57" s="128"/>
      <c r="CB57" s="59">
        <v>0</v>
      </c>
      <c r="CC57" s="127">
        <f t="shared" si="110"/>
        <v>-1</v>
      </c>
      <c r="CD57" s="56">
        <v>-934.93422001153397</v>
      </c>
      <c r="CE57" s="128">
        <f t="shared" si="111"/>
        <v>-820.03080437211645</v>
      </c>
      <c r="CF57" s="128">
        <f t="shared" si="112"/>
        <v>-114.90341563941752</v>
      </c>
      <c r="CG57" s="128">
        <f t="shared" si="113"/>
        <v>0</v>
      </c>
      <c r="CH57" s="128"/>
      <c r="CI57" s="27">
        <v>0</v>
      </c>
      <c r="CJ57" s="127">
        <f t="shared" si="114"/>
        <v>-1</v>
      </c>
      <c r="CK57" s="56">
        <v>-934.93422001153397</v>
      </c>
      <c r="CL57" s="128">
        <f t="shared" si="115"/>
        <v>-820.03080437211645</v>
      </c>
      <c r="CM57" s="128">
        <f t="shared" si="116"/>
        <v>-114.90341563941752</v>
      </c>
      <c r="CN57" s="128">
        <f t="shared" si="117"/>
        <v>0</v>
      </c>
      <c r="CO57" s="128"/>
      <c r="CP57" s="59">
        <v>0</v>
      </c>
      <c r="CQ57" s="127">
        <f t="shared" si="118"/>
        <v>-1</v>
      </c>
    </row>
    <row r="58" spans="1:95" s="26" customFormat="1" ht="16" customHeight="1" thickBot="1" x14ac:dyDescent="0.25">
      <c r="A58" s="131" t="s">
        <v>82</v>
      </c>
      <c r="B58" s="89">
        <f>+B55+B56+B57</f>
        <v>2666211.1901803412</v>
      </c>
      <c r="C58" s="90">
        <f t="shared" ref="C58:D58" si="119">+C55+C56+C57</f>
        <v>2338533.8349071778</v>
      </c>
      <c r="D58" s="91">
        <f t="shared" si="119"/>
        <v>327677.35527316399</v>
      </c>
      <c r="E58" s="92">
        <f t="shared" ref="E58:J58" si="120">SUM(E55:E57)</f>
        <v>1109667.2386259637</v>
      </c>
      <c r="F58" s="93">
        <f t="shared" si="120"/>
        <v>973289.13499883236</v>
      </c>
      <c r="G58" s="94">
        <f t="shared" si="120"/>
        <v>136378.10362713088</v>
      </c>
      <c r="H58" s="95">
        <f t="shared" si="120"/>
        <v>1212185.7110798785</v>
      </c>
      <c r="I58" s="96">
        <f t="shared" si="120"/>
        <v>0</v>
      </c>
      <c r="J58" s="96">
        <f t="shared" si="120"/>
        <v>1212185.7110798785</v>
      </c>
      <c r="K58" s="132">
        <f>+J58/E55-1</f>
        <v>7.7856558928062869E-2</v>
      </c>
      <c r="L58" s="98">
        <f>+L55+L56+L57</f>
        <v>257173.4608363251</v>
      </c>
      <c r="M58" s="98">
        <f>+M55+M56+M57</f>
        <v>225566.84249954071</v>
      </c>
      <c r="N58" s="98">
        <f>+N55+N56+N57</f>
        <v>31606.618336784355</v>
      </c>
      <c r="O58" s="99">
        <f t="shared" ref="O58:P58" si="121">+O55+O56+O57</f>
        <v>440304.91797063663</v>
      </c>
      <c r="P58" s="99">
        <f t="shared" si="121"/>
        <v>0</v>
      </c>
      <c r="Q58" s="100">
        <f>SUM(Q55:Q57)</f>
        <v>440304.91797063663</v>
      </c>
      <c r="R58" s="103">
        <f>+Q58/L55-1</f>
        <v>0.68755326225113111</v>
      </c>
      <c r="S58" s="133">
        <f>+S55+S56+S57</f>
        <v>245236.89723790882</v>
      </c>
      <c r="T58" s="133">
        <f>+T55+T56+T57</f>
        <v>215097.28256736975</v>
      </c>
      <c r="U58" s="121">
        <f t="shared" ref="U58" si="122">SUM(U7:U57)</f>
        <v>58244.233663699953</v>
      </c>
      <c r="V58" s="99">
        <f t="shared" ref="V58:W58" si="123">+V55+V56+V57</f>
        <v>117289.4961818094</v>
      </c>
      <c r="W58" s="99">
        <f t="shared" si="123"/>
        <v>0</v>
      </c>
      <c r="X58" s="134">
        <f>SUM(X55:X57)</f>
        <v>117289.4961818094</v>
      </c>
      <c r="Y58" s="132">
        <f>+X58/S55-1</f>
        <v>-0.52891364044128553</v>
      </c>
      <c r="Z58" s="133">
        <f>+Z55+Z56+Z57</f>
        <v>331183.04376446875</v>
      </c>
      <c r="AA58" s="133">
        <f>+AA55+AA56+AA57</f>
        <v>290480.64768581552</v>
      </c>
      <c r="AB58" s="133">
        <f>+AB55+AB56+AB57</f>
        <v>40702.396078653212</v>
      </c>
      <c r="AC58" s="99">
        <f t="shared" ref="AC58:AD58" si="124">+AC55+AC56+AC57</f>
        <v>176877.72770951581</v>
      </c>
      <c r="AD58" s="99">
        <f t="shared" si="124"/>
        <v>0</v>
      </c>
      <c r="AE58" s="135">
        <f>SUM(AE55:AE57)</f>
        <v>176877.72770951581</v>
      </c>
      <c r="AF58" s="132">
        <f>+AE58/Z55-1</f>
        <v>-0.47188504953548438</v>
      </c>
      <c r="AG58" s="133">
        <f>+AG55+AG56+AG57</f>
        <v>276073.8367872606</v>
      </c>
      <c r="AH58" s="133">
        <f>+AH55+AH56+AH57</f>
        <v>242144.36224610623</v>
      </c>
      <c r="AI58" s="98">
        <f>+AI55+AI56+AI57</f>
        <v>33929.474541154326</v>
      </c>
      <c r="AJ58" s="99">
        <f t="shared" ref="AJ58:AK58" si="125">+AJ55+AJ56+AJ57</f>
        <v>477713.56921791687</v>
      </c>
      <c r="AK58" s="99">
        <f t="shared" si="125"/>
        <v>0</v>
      </c>
      <c r="AL58" s="135">
        <f>SUM(AL55:AL57)</f>
        <v>477713.56921791687</v>
      </c>
      <c r="AM58" s="132">
        <f>+AL58/AG55-1</f>
        <v>0.70725659572866051</v>
      </c>
      <c r="AN58" s="133">
        <f>+AN55+AN56+AN57</f>
        <v>289678.33441949246</v>
      </c>
      <c r="AO58" s="133">
        <f>+AO55+AO56+AO57</f>
        <v>254076.86711933682</v>
      </c>
      <c r="AP58" s="98">
        <f>+AP55+AP56+AP57</f>
        <v>35601.467300155615</v>
      </c>
      <c r="AQ58" s="99">
        <f t="shared" ref="AQ58:AR58" si="126">+AQ55+AQ56+AQ57</f>
        <v>0</v>
      </c>
      <c r="AR58" s="99">
        <f t="shared" si="126"/>
        <v>0</v>
      </c>
      <c r="AS58" s="135">
        <f>SUM(AS55:AS57)</f>
        <v>0</v>
      </c>
      <c r="AT58" s="132">
        <f>+AS58/AN55-1</f>
        <v>-1</v>
      </c>
      <c r="AU58" s="133">
        <f>+AU55+AU56+AU57</f>
        <v>269004.66658046888</v>
      </c>
      <c r="AV58" s="133">
        <f>+AV55+AV56+AV57</f>
        <v>235943.99305772915</v>
      </c>
      <c r="AW58" s="98">
        <f>+AW55+AW56+AW57</f>
        <v>33060.673522739613</v>
      </c>
      <c r="AX58" s="99">
        <f t="shared" ref="AX58:AY58" si="127">+AX55+AX56+AX57</f>
        <v>0</v>
      </c>
      <c r="AY58" s="99">
        <f t="shared" si="127"/>
        <v>0</v>
      </c>
      <c r="AZ58" s="135">
        <f>SUM(AZ55:AZ57)</f>
        <v>0</v>
      </c>
      <c r="BA58" s="132">
        <f>+AZ58/AU55-1</f>
        <v>-1</v>
      </c>
      <c r="BB58" s="133">
        <f>+BB55+BB56+BB57</f>
        <v>281600.61825171299</v>
      </c>
      <c r="BC58" s="133">
        <f>+BC55+BC56+BC57</f>
        <v>246991.90226857743</v>
      </c>
      <c r="BD58" s="98">
        <f>+BD55+BD56+BD57</f>
        <v>34608.715983135524</v>
      </c>
      <c r="BE58" s="99">
        <f t="shared" ref="BE58:BF58" si="128">+BE55+BE56+BE57</f>
        <v>0</v>
      </c>
      <c r="BF58" s="99">
        <f t="shared" si="128"/>
        <v>0</v>
      </c>
      <c r="BG58" s="135">
        <f>SUM(BG55:BG57)</f>
        <v>0</v>
      </c>
      <c r="BH58" s="132">
        <f>+BG58/BB55-1</f>
        <v>-1</v>
      </c>
      <c r="BI58" s="136">
        <f>+BI55+BI56+BI57</f>
        <v>186495.81742637447</v>
      </c>
      <c r="BJ58" s="133">
        <f>+BJ55+BJ56+BJ57</f>
        <v>163575.48146467304</v>
      </c>
      <c r="BK58" s="98">
        <f>+BK55+BK56+BK57</f>
        <v>22920.335961701421</v>
      </c>
      <c r="BL58" s="99">
        <f t="shared" ref="BL58:BM58" si="129">+BL55+BL56+BL57</f>
        <v>0</v>
      </c>
      <c r="BM58" s="99">
        <f t="shared" si="129"/>
        <v>0</v>
      </c>
      <c r="BN58" s="135">
        <f>SUM(BN55:BN57)</f>
        <v>0</v>
      </c>
      <c r="BO58" s="132">
        <f>+BN58/BI55-1</f>
        <v>-1</v>
      </c>
      <c r="BP58" s="133">
        <f>+BP55+BP56+BP57</f>
        <v>165376.07766386238</v>
      </c>
      <c r="BQ58" s="133">
        <f>+BQ55+BQ56+BQ57</f>
        <v>145051.35771897365</v>
      </c>
      <c r="BR58" s="98">
        <f>+BR55+BR56+BR57</f>
        <v>20324.719944888682</v>
      </c>
      <c r="BS58" s="99">
        <f t="shared" ref="BS58:BT58" si="130">+BS55+BS56+BS57</f>
        <v>0</v>
      </c>
      <c r="BT58" s="99">
        <f t="shared" si="130"/>
        <v>0</v>
      </c>
      <c r="BU58" s="137">
        <f>SUM(BU55:BU57)</f>
        <v>0</v>
      </c>
      <c r="BV58" s="132">
        <f>+BU58/BP55-1</f>
        <v>-1</v>
      </c>
      <c r="BW58" s="133">
        <f>+BW55+BW56+BW57</f>
        <v>131783.43286330241</v>
      </c>
      <c r="BX58" s="133">
        <f>+BX55+BX56+BX57</f>
        <v>115587.24896440258</v>
      </c>
      <c r="BY58" s="98">
        <f>+BY55+BY56+BY57</f>
        <v>16196.183898899872</v>
      </c>
      <c r="BZ58" s="99">
        <f t="shared" ref="BZ58:CA58" si="131">+BZ55+BZ56+BZ57</f>
        <v>0</v>
      </c>
      <c r="CA58" s="99">
        <f t="shared" si="131"/>
        <v>0</v>
      </c>
      <c r="CB58" s="137">
        <f>SUM(CB55:CB57)</f>
        <v>0</v>
      </c>
      <c r="CC58" s="132">
        <f>+CB58/BW55-1</f>
        <v>-1</v>
      </c>
      <c r="CD58" s="133">
        <f>+CD55+CD56+CD57</f>
        <v>115740.14635786244</v>
      </c>
      <c r="CE58" s="133">
        <f>+CE55+CE56+CE57</f>
        <v>101515.68237048114</v>
      </c>
      <c r="CF58" s="98">
        <f>+CF55+CF56+CF57</f>
        <v>14224.463987381296</v>
      </c>
      <c r="CG58" s="99">
        <f t="shared" ref="CG58:CH58" si="132">+CG55+CG56+CG57</f>
        <v>0</v>
      </c>
      <c r="CH58" s="99">
        <f t="shared" si="132"/>
        <v>0</v>
      </c>
      <c r="CI58" s="137">
        <f>SUM(CI55:CI57)</f>
        <v>0</v>
      </c>
      <c r="CJ58" s="132">
        <f>+CI58/CD55-1</f>
        <v>-1</v>
      </c>
      <c r="CK58" s="133">
        <f>+CK55+CK56+CK57</f>
        <v>116864.85799130244</v>
      </c>
      <c r="CL58" s="133">
        <f>+CL55+CL56+CL57</f>
        <v>102502.16694417137</v>
      </c>
      <c r="CM58" s="98">
        <f>+CM55+CM56+CM57</f>
        <v>14362.691047131071</v>
      </c>
      <c r="CN58" s="99">
        <f t="shared" ref="CN58:CO58" si="133">+CN55+CN56+CN57</f>
        <v>0</v>
      </c>
      <c r="CO58" s="99">
        <f t="shared" si="133"/>
        <v>0</v>
      </c>
      <c r="CP58" s="137">
        <f>SUM(CP55:CP57)</f>
        <v>0</v>
      </c>
      <c r="CQ58" s="132">
        <f>+CP58/CK55-1</f>
        <v>-1</v>
      </c>
    </row>
    <row r="59" spans="1:95" ht="14.25" customHeight="1" x14ac:dyDescent="0.2">
      <c r="A59" s="104"/>
      <c r="B59" s="104"/>
      <c r="C59" s="104"/>
      <c r="D59" s="104"/>
      <c r="E59" s="104"/>
      <c r="F59" s="104"/>
      <c r="G59" s="104"/>
      <c r="H59" s="104"/>
      <c r="I59" s="104"/>
      <c r="J59" s="104">
        <v>0</v>
      </c>
      <c r="K59" s="104"/>
      <c r="L59" s="104"/>
      <c r="M59" s="104"/>
      <c r="N59" s="104"/>
      <c r="O59" s="104"/>
      <c r="P59" s="104"/>
      <c r="Q59" s="104">
        <v>0</v>
      </c>
      <c r="R59" s="104"/>
      <c r="S59" s="104"/>
      <c r="T59" s="104"/>
      <c r="U59" s="104"/>
      <c r="V59" s="104"/>
      <c r="W59" s="104"/>
      <c r="X59" s="104">
        <v>0</v>
      </c>
      <c r="Y59" s="104"/>
      <c r="Z59" s="104"/>
      <c r="AA59" s="104"/>
      <c r="AB59" s="104"/>
      <c r="AC59" s="104"/>
      <c r="AD59" s="104"/>
      <c r="AE59" s="104">
        <v>0</v>
      </c>
      <c r="AF59" s="104"/>
      <c r="AG59" s="104"/>
      <c r="AH59" s="104"/>
      <c r="AI59" s="104"/>
      <c r="AJ59" s="104"/>
      <c r="AK59" s="104"/>
      <c r="AL59" s="104">
        <v>0</v>
      </c>
      <c r="AM59" s="104"/>
      <c r="AN59" s="104"/>
      <c r="AO59" s="104"/>
      <c r="AP59" s="104"/>
      <c r="AQ59" s="104"/>
      <c r="AR59" s="104"/>
      <c r="AS59" s="104">
        <v>0</v>
      </c>
      <c r="AT59" s="104"/>
      <c r="AU59" s="104"/>
      <c r="AV59" s="104"/>
      <c r="AW59" s="104"/>
      <c r="AX59" s="104"/>
      <c r="AY59" s="104"/>
      <c r="AZ59" s="104">
        <v>0</v>
      </c>
      <c r="BA59" s="104"/>
      <c r="BB59" s="104"/>
      <c r="BC59" s="104"/>
      <c r="BD59" s="104"/>
      <c r="BE59" s="104"/>
      <c r="BF59" s="104"/>
      <c r="BG59" s="104">
        <v>0</v>
      </c>
      <c r="BH59" s="104"/>
      <c r="BI59" s="104"/>
      <c r="BJ59" s="104"/>
      <c r="BK59" s="104"/>
      <c r="BL59" s="104"/>
      <c r="BM59" s="104"/>
      <c r="BN59" s="104">
        <v>0</v>
      </c>
      <c r="BO59" s="104"/>
      <c r="BP59" s="104"/>
      <c r="BQ59" s="104"/>
      <c r="BR59" s="104"/>
      <c r="BS59" s="104"/>
      <c r="BT59" s="104"/>
      <c r="BU59" s="104">
        <v>0</v>
      </c>
      <c r="BV59" s="104"/>
      <c r="BW59" s="104"/>
      <c r="BX59" s="104"/>
      <c r="BY59" s="104"/>
      <c r="BZ59" s="104"/>
      <c r="CA59" s="104"/>
      <c r="CB59" s="104">
        <v>0</v>
      </c>
      <c r="CC59" s="104"/>
      <c r="CD59" s="104"/>
      <c r="CE59" s="104"/>
      <c r="CF59" s="104"/>
      <c r="CG59" s="104"/>
      <c r="CH59" s="104"/>
      <c r="CI59" s="104">
        <v>0</v>
      </c>
      <c r="CJ59" s="104"/>
      <c r="CK59" s="104"/>
      <c r="CL59" s="104"/>
      <c r="CM59" s="104"/>
      <c r="CN59" s="104"/>
      <c r="CO59" s="104"/>
      <c r="CP59" s="104">
        <v>0</v>
      </c>
      <c r="CQ59" s="104"/>
    </row>
    <row r="60" spans="1:95" ht="14.25" customHeight="1" x14ac:dyDescent="0.2">
      <c r="S60" s="273"/>
      <c r="T60" s="273"/>
      <c r="U60" s="273"/>
      <c r="V60" s="273"/>
      <c r="W60" s="273"/>
      <c r="X60" s="274"/>
      <c r="Y60" s="274"/>
      <c r="Z60" s="273"/>
      <c r="AA60" s="273"/>
      <c r="AB60" s="273"/>
      <c r="AC60" s="273"/>
      <c r="AD60" s="273"/>
      <c r="AE60" s="274"/>
      <c r="AF60" s="274"/>
      <c r="AG60" s="273"/>
      <c r="AH60" s="273"/>
      <c r="AI60" s="273"/>
      <c r="AJ60" s="273"/>
      <c r="AK60" s="273"/>
      <c r="AL60" s="274"/>
      <c r="AM60" s="274"/>
      <c r="AN60" s="273"/>
      <c r="AO60" s="273"/>
      <c r="AP60" s="273"/>
      <c r="AQ60" s="273"/>
      <c r="AR60" s="273"/>
      <c r="AS60" s="274"/>
      <c r="AT60" s="274"/>
      <c r="AU60" s="273"/>
      <c r="AV60" s="273"/>
      <c r="AW60" s="273"/>
      <c r="AX60" s="273"/>
      <c r="AY60" s="273"/>
      <c r="AZ60" s="274"/>
      <c r="BA60" s="274"/>
    </row>
    <row r="61" spans="1:95" ht="14.25" customHeight="1" x14ac:dyDescent="0.2">
      <c r="Q61" s="138"/>
      <c r="Y61" s="111"/>
      <c r="AF61" s="111"/>
      <c r="AM61" s="139"/>
      <c r="AT61" s="139"/>
      <c r="BA61" s="139"/>
    </row>
    <row r="62" spans="1:95" ht="14.25" customHeight="1" x14ac:dyDescent="0.2">
      <c r="Y62" s="111"/>
      <c r="AF62" s="111"/>
      <c r="AM62" s="139"/>
      <c r="AT62" s="139"/>
      <c r="BA62" s="139"/>
    </row>
    <row r="63" spans="1:95" ht="14.25" customHeight="1" x14ac:dyDescent="0.2">
      <c r="Y63" s="111"/>
      <c r="AF63" s="111"/>
      <c r="AM63" s="139"/>
      <c r="AT63" s="139"/>
      <c r="BA63" s="139"/>
    </row>
    <row r="64" spans="1:95" ht="14.25" customHeight="1" x14ac:dyDescent="0.2">
      <c r="Y64" s="111"/>
      <c r="AF64" s="111"/>
      <c r="AM64" s="139"/>
      <c r="AT64" s="139"/>
    </row>
    <row r="65" spans="25:53" ht="14.25" customHeight="1" x14ac:dyDescent="0.2">
      <c r="Y65" s="111"/>
      <c r="AF65" s="111"/>
      <c r="AM65" s="139"/>
      <c r="AT65" s="139"/>
    </row>
    <row r="66" spans="25:53" ht="14.25" customHeight="1" x14ac:dyDescent="0.2">
      <c r="Y66" s="111"/>
      <c r="AF66" s="111"/>
      <c r="AM66" s="139"/>
      <c r="AT66" s="139"/>
    </row>
    <row r="67" spans="25:53" ht="14.25" customHeight="1" x14ac:dyDescent="0.2">
      <c r="Y67" s="111"/>
      <c r="AF67" s="111"/>
      <c r="AM67" s="139"/>
      <c r="AT67" s="139"/>
    </row>
    <row r="68" spans="25:53" ht="14.25" customHeight="1" x14ac:dyDescent="0.2">
      <c r="Y68" s="111"/>
      <c r="AF68" s="111"/>
      <c r="AM68" s="139"/>
      <c r="AT68" s="139"/>
    </row>
    <row r="69" spans="25:53" ht="14.25" customHeight="1" x14ac:dyDescent="0.2">
      <c r="Y69" s="111"/>
      <c r="AF69" s="111"/>
      <c r="AM69" s="139"/>
    </row>
    <row r="70" spans="25:53" ht="14.25" customHeight="1" x14ac:dyDescent="0.2">
      <c r="Y70" s="111"/>
      <c r="AF70" s="111"/>
      <c r="AM70" s="139"/>
      <c r="AT70" s="139"/>
    </row>
    <row r="71" spans="25:53" ht="14.25" customHeight="1" x14ac:dyDescent="0.2">
      <c r="Y71" s="111"/>
      <c r="AF71" s="111"/>
      <c r="AM71" s="139"/>
      <c r="AT71" s="139"/>
      <c r="BA71" s="139"/>
    </row>
    <row r="72" spans="25:53" ht="14.25" customHeight="1" x14ac:dyDescent="0.2">
      <c r="Y72" s="111"/>
      <c r="AF72" s="111"/>
      <c r="AM72" s="139"/>
      <c r="AT72" s="139"/>
    </row>
    <row r="73" spans="25:53" ht="14.25" customHeight="1" x14ac:dyDescent="0.2">
      <c r="AF73" s="104"/>
      <c r="AM73" s="140"/>
      <c r="AT73" s="139"/>
      <c r="BA73" s="139"/>
    </row>
    <row r="74" spans="25:53" ht="14.25" customHeight="1" x14ac:dyDescent="0.2">
      <c r="Y74" s="141"/>
      <c r="AF74" s="104"/>
      <c r="AT74" s="140"/>
      <c r="BA74" s="140"/>
    </row>
    <row r="75" spans="25:53" ht="14.25" customHeight="1" x14ac:dyDescent="0.2">
      <c r="AF75" s="142"/>
    </row>
    <row r="76" spans="25:53" ht="14.25" customHeight="1" x14ac:dyDescent="0.2"/>
    <row r="77" spans="25:53" ht="14.25" customHeight="1" x14ac:dyDescent="0.2"/>
    <row r="78" spans="25:53" ht="14.25" customHeight="1" x14ac:dyDescent="0.2"/>
    <row r="79" spans="25:53" ht="14.25" customHeight="1" x14ac:dyDescent="0.2"/>
    <row r="80" spans="25:53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18">
    <mergeCell ref="CK2:CQ2"/>
    <mergeCell ref="S60:Y60"/>
    <mergeCell ref="Z60:AF60"/>
    <mergeCell ref="AG60:AM60"/>
    <mergeCell ref="AN60:AT60"/>
    <mergeCell ref="AU60:BA60"/>
    <mergeCell ref="AU2:BA2"/>
    <mergeCell ref="BB2:BH2"/>
    <mergeCell ref="BI2:BO2"/>
    <mergeCell ref="BP2:BV2"/>
    <mergeCell ref="BW2:CC2"/>
    <mergeCell ref="CD2:CJ2"/>
    <mergeCell ref="AN2:AT2"/>
    <mergeCell ref="B2:K2"/>
    <mergeCell ref="L2:R2"/>
    <mergeCell ref="S2:Y2"/>
    <mergeCell ref="Z2:AF2"/>
    <mergeCell ref="AG2:AM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AD066-460B-3B4D-90CD-09443EE35AD8}">
  <sheetPr>
    <pageSetUpPr fitToPage="1"/>
  </sheetPr>
  <dimension ref="A1:CU1000"/>
  <sheetViews>
    <sheetView zoomScale="85" zoomScaleNormal="85" workbookViewId="0">
      <pane xSplit="11" ySplit="3" topLeftCell="L23" activePane="bottomRight" state="frozen"/>
      <selection activeCell="J2" sqref="J2:P58"/>
      <selection pane="topRight" activeCell="J2" sqref="J2:P58"/>
      <selection pane="bottomLeft" activeCell="J2" sqref="J2:P58"/>
      <selection pane="bottomRight" activeCell="L55" sqref="L55"/>
    </sheetView>
  </sheetViews>
  <sheetFormatPr baseColWidth="10" defaultColWidth="14.5" defaultRowHeight="15" customHeight="1" x14ac:dyDescent="0.2"/>
  <cols>
    <col min="1" max="1" width="32.33203125" customWidth="1"/>
    <col min="2" max="37" width="11.5" customWidth="1"/>
    <col min="38" max="38" width="12" customWidth="1"/>
    <col min="39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1599741.5344800001</v>
      </c>
      <c r="C4" s="18">
        <f t="shared" si="0"/>
        <v>1403133.2998924083</v>
      </c>
      <c r="D4" s="19">
        <f t="shared" si="0"/>
        <v>196608.23458759199</v>
      </c>
      <c r="E4" s="17">
        <f>+L4+S4+Z4+AG4</f>
        <v>563488.72080000001</v>
      </c>
      <c r="F4" s="20">
        <f>+M4+T4+AA4+AH4</f>
        <v>494235.95701367996</v>
      </c>
      <c r="G4" s="21">
        <f>+N4+U4+AB4+AI4</f>
        <v>69252.763786319993</v>
      </c>
      <c r="H4" s="18">
        <f t="shared" ref="H4:J35" si="1">+O4+V4+AC4+AJ4+AQ4+AX4+BE4+BL4+BS4+BZ4+CG4+CN4</f>
        <v>379988.35272999998</v>
      </c>
      <c r="I4" s="20">
        <f t="shared" si="1"/>
        <v>142691.63727000001</v>
      </c>
      <c r="J4" s="20">
        <f t="shared" si="1"/>
        <v>522679.99</v>
      </c>
      <c r="K4" s="25">
        <f t="shared" ref="K4:K54" si="2">IF(E4=0,"",(+J4/E4-1))</f>
        <v>-7.2421557510614853E-2</v>
      </c>
      <c r="L4" s="23">
        <v>123363.4302</v>
      </c>
      <c r="M4" s="18">
        <f>L4-N4</f>
        <v>108202.06462842</v>
      </c>
      <c r="N4" s="18">
        <f>+L4*12.29%</f>
        <v>15161.36557158</v>
      </c>
      <c r="O4" s="18">
        <f>+Q4-P4</f>
        <v>98962.293399999995</v>
      </c>
      <c r="P4" s="18">
        <f>+Q4*27.3%</f>
        <v>37161.906600000009</v>
      </c>
      <c r="Q4" s="20">
        <f>193323.03-Q5-Q6-Q7-Q8-Q9</f>
        <v>136124.20000000001</v>
      </c>
      <c r="R4" s="25">
        <f t="shared" ref="R4:R54" si="3">IF(L4=0,"",(+Q4/L4-1))</f>
        <v>0.10344045864574225</v>
      </c>
      <c r="S4" s="23">
        <v>193398.4302</v>
      </c>
      <c r="T4" s="18">
        <f>S4-U4</f>
        <v>169629.76312841999</v>
      </c>
      <c r="U4" s="18">
        <f>+S4*12.29%</f>
        <v>23768.667071579999</v>
      </c>
      <c r="V4" s="18">
        <f>+X4-W4</f>
        <v>90163.492369999993</v>
      </c>
      <c r="W4" s="18">
        <f>+X4*27.3%</f>
        <v>33857.817629999998</v>
      </c>
      <c r="X4" s="147">
        <f>178751.68-X5-X6-X7-X8-X9</f>
        <v>124021.30999999998</v>
      </c>
      <c r="Y4" s="25">
        <f t="shared" ref="Y4:Y54" si="4">IF(S4=0,"",(+X4/S4-1))</f>
        <v>-0.35872638742855745</v>
      </c>
      <c r="Z4" s="23">
        <v>123363.4302</v>
      </c>
      <c r="AA4" s="18">
        <f>Z4-AB4</f>
        <v>108202.06462842</v>
      </c>
      <c r="AB4" s="18">
        <f>+Z4*12.29%</f>
        <v>15161.36557158</v>
      </c>
      <c r="AC4" s="18">
        <f>+AE4-AD4</f>
        <v>66070.566970000014</v>
      </c>
      <c r="AD4" s="18">
        <f>+AE4*27.3%</f>
        <v>24810.543030000004</v>
      </c>
      <c r="AE4" s="24">
        <f>136039.67-AE5-AE6-AE7-AE8-AE9</f>
        <v>90881.110000000015</v>
      </c>
      <c r="AF4" s="25">
        <f t="shared" ref="AF4:AF54" si="5">IF(Z4=0,"",(+AE4/Z4-1))</f>
        <v>-0.2633059095984831</v>
      </c>
      <c r="AG4" s="23">
        <v>123363.4302</v>
      </c>
      <c r="AH4" s="18">
        <f>AG4-AI4</f>
        <v>108202.06462842</v>
      </c>
      <c r="AI4" s="18">
        <f>+AG4*12.29%</f>
        <v>15161.36557158</v>
      </c>
      <c r="AJ4" s="18">
        <f>+AL4-AK4</f>
        <v>124791.99999</v>
      </c>
      <c r="AK4" s="18">
        <f>+AL4*27.3%</f>
        <v>46861.370009999999</v>
      </c>
      <c r="AL4" s="24">
        <f>209291.89-AL5-AL6-AL7-AL8-AL9</f>
        <v>171653.37</v>
      </c>
      <c r="AM4" s="25">
        <f t="shared" ref="AM4:AM54" si="6">IF(AG4=0,"",(+AL4/AG4-1))</f>
        <v>0.39144452875305991</v>
      </c>
      <c r="AN4" s="23">
        <v>123363.4302</v>
      </c>
      <c r="AO4" s="18">
        <f>AN4-AP4</f>
        <v>108202.06462842</v>
      </c>
      <c r="AP4" s="18">
        <f>+AN4*12.29%</f>
        <v>15161.36557158</v>
      </c>
      <c r="AQ4" s="18">
        <f>+AS4-AR4</f>
        <v>0</v>
      </c>
      <c r="AR4" s="18">
        <f>+AS4*27.3%</f>
        <v>0</v>
      </c>
      <c r="AS4" s="24"/>
      <c r="AT4" s="25">
        <f t="shared" ref="AT4:AT54" si="7">IF(AN4=0,"",(+AS4/AN4-1))</f>
        <v>-1</v>
      </c>
      <c r="AU4" s="23">
        <v>123363.4302</v>
      </c>
      <c r="AV4" s="18">
        <f>AU4-AW4</f>
        <v>108202.06462842</v>
      </c>
      <c r="AW4" s="18">
        <f>+AU4*12.29%</f>
        <v>15161.36557158</v>
      </c>
      <c r="AX4" s="18">
        <f>+AZ4-AY4</f>
        <v>0</v>
      </c>
      <c r="AY4" s="18">
        <f>+AZ4*27.3%</f>
        <v>0</v>
      </c>
      <c r="AZ4" s="24"/>
      <c r="BA4" s="25">
        <f t="shared" ref="BA4:BA54" si="8">IF(AU4=0,"",(+AZ4/AU4-1))</f>
        <v>-1</v>
      </c>
      <c r="BB4" s="23">
        <v>123363.4302</v>
      </c>
      <c r="BC4" s="18">
        <f>BB4-BD4</f>
        <v>108202.06462842</v>
      </c>
      <c r="BD4" s="18">
        <f>+BB4*12.29%</f>
        <v>15161.36557158</v>
      </c>
      <c r="BE4" s="18">
        <f>+BG4-BF4</f>
        <v>0</v>
      </c>
      <c r="BF4" s="18">
        <f>+BG4*27.3%</f>
        <v>0</v>
      </c>
      <c r="BG4" s="24"/>
      <c r="BH4" s="25">
        <f t="shared" ref="BH4:BH54" si="9">IF(BB4=0,"",(+BG4/BB4-1))</f>
        <v>-1</v>
      </c>
      <c r="BI4" s="23">
        <v>133232.50461599999</v>
      </c>
      <c r="BJ4" s="18">
        <f>BI4-BK4</f>
        <v>116858.22979869359</v>
      </c>
      <c r="BK4" s="18">
        <f>+BI4*12.29%</f>
        <v>16374.274817306397</v>
      </c>
      <c r="BL4" s="18">
        <f>+BN4-BM4</f>
        <v>0</v>
      </c>
      <c r="BM4" s="18">
        <f>+BN4*27.3%</f>
        <v>0</v>
      </c>
      <c r="BN4" s="24"/>
      <c r="BO4" s="25">
        <f t="shared" ref="BO4:BO54" si="10">IF(BI4=0,"",(+BN4/BI4-1))</f>
        <v>-1</v>
      </c>
      <c r="BP4" s="23">
        <v>133232.50461599999</v>
      </c>
      <c r="BQ4" s="18">
        <f>BP4-BR4</f>
        <v>116858.22979869359</v>
      </c>
      <c r="BR4" s="18">
        <f>+BP4*12.29%</f>
        <v>16374.274817306397</v>
      </c>
      <c r="BS4" s="18">
        <f>+BU4-BT4</f>
        <v>0</v>
      </c>
      <c r="BT4" s="18">
        <f>+BU4*27.3%</f>
        <v>0</v>
      </c>
      <c r="BU4" s="24"/>
      <c r="BV4" s="25">
        <f t="shared" ref="BV4:BV54" si="11">IF(BP4=0,"",(+BU4/BP4-1))</f>
        <v>-1</v>
      </c>
      <c r="BW4" s="23">
        <v>133232.50461599999</v>
      </c>
      <c r="BX4" s="18">
        <f>BW4-BY4</f>
        <v>116858.22979869359</v>
      </c>
      <c r="BY4" s="18">
        <f>+BW4*12.29%</f>
        <v>16374.274817306397</v>
      </c>
      <c r="BZ4" s="18">
        <f>+CB4-CA4</f>
        <v>0</v>
      </c>
      <c r="CA4" s="18">
        <f>+CB4*27.3%</f>
        <v>0</v>
      </c>
      <c r="CB4" s="24"/>
      <c r="CC4" s="25">
        <f t="shared" ref="CC4:CC54" si="12">IF(BW4=0,"",(+CB4/BW4-1))</f>
        <v>-1</v>
      </c>
      <c r="CD4" s="23">
        <v>133232.50461599999</v>
      </c>
      <c r="CE4" s="18">
        <f>CD4-CF4</f>
        <v>116858.22979869359</v>
      </c>
      <c r="CF4" s="18">
        <f>+CD4*12.29%</f>
        <v>16374.274817306397</v>
      </c>
      <c r="CG4" s="18">
        <f>+CI4-CH4</f>
        <v>0</v>
      </c>
      <c r="CH4" s="18">
        <f>+CI4*27.3%</f>
        <v>0</v>
      </c>
      <c r="CI4" s="24"/>
      <c r="CJ4" s="25">
        <f t="shared" ref="CJ4:CJ54" si="13">IF(CD4=0,"",(+CI4/CD4-1))</f>
        <v>-1</v>
      </c>
      <c r="CK4" s="23">
        <v>133232.50461599999</v>
      </c>
      <c r="CL4" s="18">
        <f>CK4-CM4</f>
        <v>116858.22979869359</v>
      </c>
      <c r="CM4" s="18">
        <f>+CK4*12.29%</f>
        <v>16374.274817306397</v>
      </c>
      <c r="CN4" s="18">
        <f>+CP4-CO4</f>
        <v>0</v>
      </c>
      <c r="CO4" s="18">
        <f>+CP4*27.3%</f>
        <v>0</v>
      </c>
      <c r="CP4" s="24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95000.000000000015</v>
      </c>
      <c r="C5" s="31">
        <f t="shared" si="0"/>
        <v>83324.5</v>
      </c>
      <c r="D5" s="32">
        <f t="shared" si="0"/>
        <v>11675.500000000002</v>
      </c>
      <c r="E5" s="30">
        <f t="shared" ref="E5:G36" si="15">+L5+S5+Z5+AG5</f>
        <v>31666.666666666668</v>
      </c>
      <c r="F5" s="33">
        <f t="shared" si="15"/>
        <v>27774.833333333336</v>
      </c>
      <c r="G5" s="34">
        <f t="shared" si="15"/>
        <v>3891.8333333333335</v>
      </c>
      <c r="H5" s="31">
        <f t="shared" si="1"/>
        <v>37118.911549999997</v>
      </c>
      <c r="I5" s="33">
        <f t="shared" si="1"/>
        <v>13938.738450000001</v>
      </c>
      <c r="J5" s="33">
        <f t="shared" si="1"/>
        <v>51057.649999999994</v>
      </c>
      <c r="K5" s="37">
        <f t="shared" si="2"/>
        <v>0.61234684210526291</v>
      </c>
      <c r="L5" s="36">
        <v>7916.666666666667</v>
      </c>
      <c r="M5" s="31">
        <f t="shared" ref="M5:M54" si="16">L5-N5</f>
        <v>6943.7083333333339</v>
      </c>
      <c r="N5" s="31">
        <f t="shared" ref="N5:N54" si="17">+L5*12.29%</f>
        <v>972.95833333333337</v>
      </c>
      <c r="O5" s="31">
        <f t="shared" ref="O5:O54" si="18">+Q5-P5</f>
        <v>10064.4426</v>
      </c>
      <c r="P5" s="31">
        <f t="shared" ref="P5:P54" si="19">+Q5*27.3%</f>
        <v>3779.3574000000008</v>
      </c>
      <c r="Q5" s="33">
        <f>241.36+8349.26+5253.18</f>
        <v>13843.800000000001</v>
      </c>
      <c r="R5" s="37">
        <f t="shared" si="3"/>
        <v>0.74869052631578947</v>
      </c>
      <c r="S5" s="36">
        <v>7916.666666666667</v>
      </c>
      <c r="T5" s="31">
        <f t="shared" ref="T5:T54" si="20">S5-U5</f>
        <v>6943.7083333333339</v>
      </c>
      <c r="U5" s="31">
        <f t="shared" ref="U5:U54" si="21">+S5*12.29%</f>
        <v>972.95833333333337</v>
      </c>
      <c r="V5" s="31">
        <f t="shared" ref="V5:V54" si="22">+X5-W5</f>
        <v>11527.660959999999</v>
      </c>
      <c r="W5" s="31">
        <f t="shared" ref="W5:W54" si="23">+X5*27.3%</f>
        <v>4328.8190400000003</v>
      </c>
      <c r="X5" s="148">
        <f>168.95+8164.38+7523.15</f>
        <v>15856.48</v>
      </c>
      <c r="Y5" s="37">
        <f t="shared" si="4"/>
        <v>1.0029237894736842</v>
      </c>
      <c r="Z5" s="36">
        <v>7916.666666666667</v>
      </c>
      <c r="AA5" s="31">
        <f t="shared" ref="AA5:AA54" si="24">Z5-AB5</f>
        <v>6943.7083333333339</v>
      </c>
      <c r="AB5" s="31">
        <f t="shared" ref="AB5:AB54" si="25">+Z5*12.29%</f>
        <v>972.95833333333337</v>
      </c>
      <c r="AC5" s="31">
        <f t="shared" ref="AC5:AC54" si="26">+AE5-AD5</f>
        <v>7604.5217799999991</v>
      </c>
      <c r="AD5" s="31">
        <f t="shared" ref="AD5:AD54" si="27">+AE5*27.3%</f>
        <v>2855.6182199999998</v>
      </c>
      <c r="AE5" s="27">
        <f>6576.11+3884.03</f>
        <v>10460.14</v>
      </c>
      <c r="AF5" s="37">
        <f t="shared" si="5"/>
        <v>0.32128084210526309</v>
      </c>
      <c r="AG5" s="36">
        <v>7916.666666666667</v>
      </c>
      <c r="AH5" s="31">
        <f t="shared" ref="AH5:AH54" si="28">AG5-AI5</f>
        <v>6943.7083333333339</v>
      </c>
      <c r="AI5" s="31">
        <f t="shared" ref="AI5:AI54" si="29">+AG5*12.29%</f>
        <v>972.95833333333337</v>
      </c>
      <c r="AJ5" s="31">
        <f t="shared" ref="AJ5:AJ54" si="30">+AL5-AK5</f>
        <v>7922.2862099999993</v>
      </c>
      <c r="AK5" s="31">
        <f t="shared" ref="AK5:AK54" si="31">+AL5*27.3%</f>
        <v>2974.9437900000003</v>
      </c>
      <c r="AL5" s="27">
        <f>7939.36+2957.87</f>
        <v>10897.23</v>
      </c>
      <c r="AM5" s="37">
        <f t="shared" si="6"/>
        <v>0.37649221052631576</v>
      </c>
      <c r="AN5" s="36">
        <v>7916.666666666667</v>
      </c>
      <c r="AO5" s="31">
        <f t="shared" ref="AO5:AO54" si="32">AN5-AP5</f>
        <v>6943.7083333333339</v>
      </c>
      <c r="AP5" s="31">
        <f t="shared" ref="AP5:AP54" si="33">+AN5*12.29%</f>
        <v>972.95833333333337</v>
      </c>
      <c r="AQ5" s="31">
        <f t="shared" ref="AQ5:AQ54" si="34">+AS5-AR5</f>
        <v>0</v>
      </c>
      <c r="AR5" s="31">
        <f t="shared" ref="AR5:AR54" si="35">+AS5*27.3%</f>
        <v>0</v>
      </c>
      <c r="AS5" s="27"/>
      <c r="AT5" s="37">
        <f t="shared" si="7"/>
        <v>-1</v>
      </c>
      <c r="AU5" s="36">
        <v>7916.666666666667</v>
      </c>
      <c r="AV5" s="31">
        <f t="shared" ref="AV5:AV54" si="36">AU5-AW5</f>
        <v>6943.7083333333339</v>
      </c>
      <c r="AW5" s="31">
        <f t="shared" ref="AW5:AW54" si="37">+AU5*12.29%</f>
        <v>972.95833333333337</v>
      </c>
      <c r="AX5" s="31">
        <f t="shared" ref="AX5:AX54" si="38">+AZ5-AY5</f>
        <v>0</v>
      </c>
      <c r="AY5" s="31">
        <f t="shared" ref="AY5:AY54" si="39">+AZ5*27.3%</f>
        <v>0</v>
      </c>
      <c r="AZ5" s="27"/>
      <c r="BA5" s="37">
        <f t="shared" si="8"/>
        <v>-1</v>
      </c>
      <c r="BB5" s="36">
        <v>7916.666666666667</v>
      </c>
      <c r="BC5" s="31">
        <f t="shared" ref="BC5:BC54" si="40">BB5-BD5</f>
        <v>6943.7083333333339</v>
      </c>
      <c r="BD5" s="31">
        <f t="shared" ref="BD5:BD54" si="41">+BB5*12.29%</f>
        <v>972.95833333333337</v>
      </c>
      <c r="BE5" s="31">
        <f t="shared" ref="BE5:BE54" si="42">+BG5-BF5</f>
        <v>0</v>
      </c>
      <c r="BF5" s="31">
        <f t="shared" ref="BF5:BF54" si="43">+BG5*27.3%</f>
        <v>0</v>
      </c>
      <c r="BG5" s="27"/>
      <c r="BH5" s="37">
        <f t="shared" si="9"/>
        <v>-1</v>
      </c>
      <c r="BI5" s="36">
        <v>7916.666666666667</v>
      </c>
      <c r="BJ5" s="31">
        <f t="shared" ref="BJ5:BJ54" si="44">BI5-BK5</f>
        <v>6943.7083333333339</v>
      </c>
      <c r="BK5" s="31">
        <f t="shared" ref="BK5:BK54" si="45">+BI5*12.29%</f>
        <v>972.95833333333337</v>
      </c>
      <c r="BL5" s="31">
        <f t="shared" ref="BL5:BL54" si="46">+BN5-BM5</f>
        <v>0</v>
      </c>
      <c r="BM5" s="31">
        <f t="shared" ref="BM5:BM54" si="47">+BN5*27.3%</f>
        <v>0</v>
      </c>
      <c r="BN5" s="27"/>
      <c r="BO5" s="37">
        <f t="shared" si="10"/>
        <v>-1</v>
      </c>
      <c r="BP5" s="36">
        <v>7916.666666666667</v>
      </c>
      <c r="BQ5" s="31">
        <f t="shared" ref="BQ5:BQ54" si="48">BP5-BR5</f>
        <v>6943.7083333333339</v>
      </c>
      <c r="BR5" s="31">
        <f t="shared" ref="BR5:BR54" si="49">+BP5*12.29%</f>
        <v>972.95833333333337</v>
      </c>
      <c r="BS5" s="31">
        <f t="shared" ref="BS5:BS54" si="50">+BU5-BT5</f>
        <v>0</v>
      </c>
      <c r="BT5" s="31">
        <f t="shared" ref="BT5:BT54" si="51">+BU5*27.3%</f>
        <v>0</v>
      </c>
      <c r="BU5" s="27"/>
      <c r="BV5" s="37">
        <f t="shared" si="11"/>
        <v>-1</v>
      </c>
      <c r="BW5" s="36">
        <v>7916.666666666667</v>
      </c>
      <c r="BX5" s="31">
        <f t="shared" ref="BX5:BX54" si="52">BW5-BY5</f>
        <v>6943.7083333333339</v>
      </c>
      <c r="BY5" s="31">
        <f t="shared" ref="BY5:BY54" si="53">+BW5*12.29%</f>
        <v>972.95833333333337</v>
      </c>
      <c r="BZ5" s="31">
        <f t="shared" ref="BZ5:BZ54" si="54">+CB5-CA5</f>
        <v>0</v>
      </c>
      <c r="CA5" s="31">
        <f t="shared" ref="CA5:CA54" si="55">+CB5*27.3%</f>
        <v>0</v>
      </c>
      <c r="CB5" s="27"/>
      <c r="CC5" s="37">
        <f t="shared" si="12"/>
        <v>-1</v>
      </c>
      <c r="CD5" s="36">
        <v>7916.666666666667</v>
      </c>
      <c r="CE5" s="31">
        <f t="shared" ref="CE5:CE54" si="56">CD5-CF5</f>
        <v>6943.7083333333339</v>
      </c>
      <c r="CF5" s="31">
        <f t="shared" ref="CF5:CF54" si="57">+CD5*12.29%</f>
        <v>972.95833333333337</v>
      </c>
      <c r="CG5" s="31">
        <f t="shared" ref="CG5:CG54" si="58">+CI5-CH5</f>
        <v>0</v>
      </c>
      <c r="CH5" s="31">
        <f t="shared" ref="CH5:CH54" si="59">+CI5*27.3%</f>
        <v>0</v>
      </c>
      <c r="CI5" s="27"/>
      <c r="CJ5" s="37">
        <f t="shared" si="13"/>
        <v>-1</v>
      </c>
      <c r="CK5" s="36">
        <v>7916.666666666667</v>
      </c>
      <c r="CL5" s="31">
        <f t="shared" ref="CL5:CL54" si="60">CK5-CM5</f>
        <v>6943.7083333333339</v>
      </c>
      <c r="CM5" s="31">
        <f t="shared" ref="CM5:CM54" si="61">+CK5*12.29%</f>
        <v>972.95833333333337</v>
      </c>
      <c r="CN5" s="31">
        <f t="shared" ref="CN5:CN54" si="62">+CP5-CO5</f>
        <v>0</v>
      </c>
      <c r="CO5" s="31">
        <f t="shared" ref="CO5:CO54" si="63">+CP5*27.3%</f>
        <v>0</v>
      </c>
      <c r="CP5" s="27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193701.23923880002</v>
      </c>
      <c r="C6" s="31">
        <f t="shared" si="0"/>
        <v>169895.35693635148</v>
      </c>
      <c r="D6" s="32">
        <f t="shared" si="0"/>
        <v>23805.882302448514</v>
      </c>
      <c r="E6" s="30">
        <f t="shared" si="15"/>
        <v>62596.84061466666</v>
      </c>
      <c r="F6" s="33">
        <f t="shared" si="15"/>
        <v>54903.68890312413</v>
      </c>
      <c r="G6" s="34">
        <f t="shared" si="15"/>
        <v>7693.1517115425322</v>
      </c>
      <c r="H6" s="31">
        <f t="shared" si="1"/>
        <v>46941.990149999998</v>
      </c>
      <c r="I6" s="33">
        <f t="shared" si="1"/>
        <v>17627.459850000003</v>
      </c>
      <c r="J6" s="33">
        <f t="shared" si="1"/>
        <v>64569.450000000004</v>
      </c>
      <c r="K6" s="37">
        <f t="shared" si="2"/>
        <v>3.1512922472818117E-2</v>
      </c>
      <c r="L6" s="36">
        <v>15649.210153666665</v>
      </c>
      <c r="M6" s="31">
        <f t="shared" si="16"/>
        <v>13725.922225781032</v>
      </c>
      <c r="N6" s="31">
        <f t="shared" si="17"/>
        <v>1923.2879278856331</v>
      </c>
      <c r="O6" s="31">
        <f t="shared" si="18"/>
        <v>12063.85254</v>
      </c>
      <c r="P6" s="31">
        <f t="shared" si="19"/>
        <v>4530.1674600000006</v>
      </c>
      <c r="Q6" s="33">
        <v>16594.02</v>
      </c>
      <c r="R6" s="37">
        <f t="shared" si="3"/>
        <v>6.0374283242145887E-2</v>
      </c>
      <c r="S6" s="36">
        <v>15649.210153666665</v>
      </c>
      <c r="T6" s="31">
        <f t="shared" si="20"/>
        <v>13725.922225781032</v>
      </c>
      <c r="U6" s="31">
        <f t="shared" si="21"/>
        <v>1923.2879278856331</v>
      </c>
      <c r="V6" s="31">
        <f t="shared" si="22"/>
        <v>11650.42218</v>
      </c>
      <c r="W6" s="31">
        <f t="shared" si="23"/>
        <v>4374.9178200000006</v>
      </c>
      <c r="X6" s="148">
        <v>16025.34</v>
      </c>
      <c r="Y6" s="37">
        <f t="shared" si="4"/>
        <v>2.4035069031596246E-2</v>
      </c>
      <c r="Z6" s="36">
        <v>15649.210153666665</v>
      </c>
      <c r="AA6" s="31">
        <f t="shared" si="24"/>
        <v>13725.922225781032</v>
      </c>
      <c r="AB6" s="31">
        <f t="shared" si="25"/>
        <v>1923.2879278856331</v>
      </c>
      <c r="AC6" s="31">
        <f t="shared" si="26"/>
        <v>12056.160879999999</v>
      </c>
      <c r="AD6" s="31">
        <f t="shared" si="27"/>
        <v>4527.2791200000001</v>
      </c>
      <c r="AE6" s="27">
        <v>16583.439999999999</v>
      </c>
      <c r="AF6" s="37">
        <f t="shared" si="5"/>
        <v>5.9698210782506589E-2</v>
      </c>
      <c r="AG6" s="36">
        <v>15649.210153666665</v>
      </c>
      <c r="AH6" s="31">
        <f t="shared" si="28"/>
        <v>13725.922225781032</v>
      </c>
      <c r="AI6" s="31">
        <f t="shared" si="29"/>
        <v>1923.2879278856331</v>
      </c>
      <c r="AJ6" s="31">
        <f t="shared" si="30"/>
        <v>11171.554550000001</v>
      </c>
      <c r="AK6" s="31">
        <f t="shared" si="31"/>
        <v>4195.0954499999998</v>
      </c>
      <c r="AL6" s="27">
        <v>15366.65</v>
      </c>
      <c r="AM6" s="37">
        <f t="shared" si="6"/>
        <v>-1.8055873164976366E-2</v>
      </c>
      <c r="AN6" s="36">
        <v>15649.210153666665</v>
      </c>
      <c r="AO6" s="31">
        <f t="shared" si="32"/>
        <v>13725.922225781032</v>
      </c>
      <c r="AP6" s="31">
        <f t="shared" si="33"/>
        <v>1923.2879278856331</v>
      </c>
      <c r="AQ6" s="31">
        <f t="shared" si="34"/>
        <v>0</v>
      </c>
      <c r="AR6" s="31">
        <f t="shared" si="35"/>
        <v>0</v>
      </c>
      <c r="AS6" s="27"/>
      <c r="AT6" s="37">
        <f t="shared" si="7"/>
        <v>-1</v>
      </c>
      <c r="AU6" s="36">
        <v>15649.210153666665</v>
      </c>
      <c r="AV6" s="31">
        <f t="shared" si="36"/>
        <v>13725.922225781032</v>
      </c>
      <c r="AW6" s="31">
        <f t="shared" si="37"/>
        <v>1923.2879278856331</v>
      </c>
      <c r="AX6" s="31">
        <f t="shared" si="38"/>
        <v>0</v>
      </c>
      <c r="AY6" s="31">
        <f t="shared" si="39"/>
        <v>0</v>
      </c>
      <c r="AZ6" s="27"/>
      <c r="BA6" s="37">
        <f t="shared" si="8"/>
        <v>-1</v>
      </c>
      <c r="BB6" s="36">
        <v>15649.210153666665</v>
      </c>
      <c r="BC6" s="31">
        <f t="shared" si="40"/>
        <v>13725.922225781032</v>
      </c>
      <c r="BD6" s="31">
        <f t="shared" si="41"/>
        <v>1923.2879278856331</v>
      </c>
      <c r="BE6" s="31">
        <f t="shared" si="42"/>
        <v>0</v>
      </c>
      <c r="BF6" s="31">
        <f t="shared" si="43"/>
        <v>0</v>
      </c>
      <c r="BG6" s="27"/>
      <c r="BH6" s="37">
        <f t="shared" si="9"/>
        <v>-1</v>
      </c>
      <c r="BI6" s="36">
        <v>16831.353632626666</v>
      </c>
      <c r="BJ6" s="31">
        <f t="shared" si="44"/>
        <v>14762.780271176849</v>
      </c>
      <c r="BK6" s="31">
        <f t="shared" si="45"/>
        <v>2068.5733614498172</v>
      </c>
      <c r="BL6" s="31">
        <f t="shared" si="46"/>
        <v>0</v>
      </c>
      <c r="BM6" s="31">
        <f t="shared" si="47"/>
        <v>0</v>
      </c>
      <c r="BN6" s="27"/>
      <c r="BO6" s="37">
        <f t="shared" si="10"/>
        <v>-1</v>
      </c>
      <c r="BP6" s="36">
        <v>16831.353632626666</v>
      </c>
      <c r="BQ6" s="31">
        <f t="shared" si="48"/>
        <v>14762.780271176849</v>
      </c>
      <c r="BR6" s="31">
        <f t="shared" si="49"/>
        <v>2068.5733614498172</v>
      </c>
      <c r="BS6" s="31">
        <f t="shared" si="50"/>
        <v>0</v>
      </c>
      <c r="BT6" s="31">
        <f t="shared" si="51"/>
        <v>0</v>
      </c>
      <c r="BU6" s="27"/>
      <c r="BV6" s="37">
        <f t="shared" si="11"/>
        <v>-1</v>
      </c>
      <c r="BW6" s="36">
        <v>16831.353632626666</v>
      </c>
      <c r="BX6" s="31">
        <f t="shared" si="52"/>
        <v>14762.780271176849</v>
      </c>
      <c r="BY6" s="31">
        <f t="shared" si="53"/>
        <v>2068.5733614498172</v>
      </c>
      <c r="BZ6" s="31">
        <f t="shared" si="54"/>
        <v>0</v>
      </c>
      <c r="CA6" s="31">
        <f t="shared" si="55"/>
        <v>0</v>
      </c>
      <c r="CB6" s="27"/>
      <c r="CC6" s="37">
        <f t="shared" si="12"/>
        <v>-1</v>
      </c>
      <c r="CD6" s="36">
        <v>16831.353632626666</v>
      </c>
      <c r="CE6" s="31">
        <f t="shared" si="56"/>
        <v>14762.780271176849</v>
      </c>
      <c r="CF6" s="31">
        <f t="shared" si="57"/>
        <v>2068.5733614498172</v>
      </c>
      <c r="CG6" s="31">
        <f t="shared" si="58"/>
        <v>0</v>
      </c>
      <c r="CH6" s="31">
        <f t="shared" si="59"/>
        <v>0</v>
      </c>
      <c r="CI6" s="27"/>
      <c r="CJ6" s="37">
        <f t="shared" si="13"/>
        <v>-1</v>
      </c>
      <c r="CK6" s="36">
        <v>16831.353632626666</v>
      </c>
      <c r="CL6" s="31">
        <f t="shared" si="60"/>
        <v>14762.780271176849</v>
      </c>
      <c r="CM6" s="31">
        <f t="shared" si="61"/>
        <v>2068.5733614498172</v>
      </c>
      <c r="CN6" s="31">
        <f t="shared" si="62"/>
        <v>0</v>
      </c>
      <c r="CO6" s="31">
        <f t="shared" si="63"/>
        <v>0</v>
      </c>
      <c r="CP6" s="27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150285.44423699996</v>
      </c>
      <c r="C7" s="31">
        <f t="shared" si="0"/>
        <v>131815.36314027268</v>
      </c>
      <c r="D7" s="32">
        <f t="shared" si="0"/>
        <v>18470.081096727296</v>
      </c>
      <c r="E7" s="30">
        <f t="shared" si="15"/>
        <v>48566.514269999992</v>
      </c>
      <c r="F7" s="33">
        <f t="shared" si="15"/>
        <v>42597.689666216997</v>
      </c>
      <c r="G7" s="34">
        <f t="shared" si="15"/>
        <v>5968.8246037829986</v>
      </c>
      <c r="H7" s="31">
        <f t="shared" si="1"/>
        <v>34310.357879999996</v>
      </c>
      <c r="I7" s="33">
        <f t="shared" si="1"/>
        <v>12884.082120000001</v>
      </c>
      <c r="J7" s="33">
        <f t="shared" si="1"/>
        <v>47194.44</v>
      </c>
      <c r="K7" s="37">
        <f t="shared" si="2"/>
        <v>-2.8251446302530625E-2</v>
      </c>
      <c r="L7" s="36">
        <v>12141.628567499998</v>
      </c>
      <c r="M7" s="31">
        <f t="shared" si="16"/>
        <v>10649.422416554249</v>
      </c>
      <c r="N7" s="31">
        <f t="shared" si="17"/>
        <v>1492.2061509457496</v>
      </c>
      <c r="O7" s="31">
        <f t="shared" si="18"/>
        <v>9077.8963299999996</v>
      </c>
      <c r="P7" s="31">
        <f t="shared" si="19"/>
        <v>3408.8936700000004</v>
      </c>
      <c r="Q7" s="33">
        <v>12486.79</v>
      </c>
      <c r="R7" s="37">
        <f t="shared" si="3"/>
        <v>2.8427935394425674E-2</v>
      </c>
      <c r="S7" s="36">
        <v>12141.628567499998</v>
      </c>
      <c r="T7" s="31">
        <f t="shared" si="20"/>
        <v>10649.422416554249</v>
      </c>
      <c r="U7" s="31">
        <f t="shared" si="21"/>
        <v>1492.2061509457496</v>
      </c>
      <c r="V7" s="31">
        <f t="shared" si="22"/>
        <v>8362.0267000000003</v>
      </c>
      <c r="W7" s="31">
        <f t="shared" si="23"/>
        <v>3140.0733000000005</v>
      </c>
      <c r="X7" s="148">
        <f>11502.1</f>
        <v>11502.1</v>
      </c>
      <c r="Y7" s="37">
        <f t="shared" si="4"/>
        <v>-5.2672387723328162E-2</v>
      </c>
      <c r="Z7" s="36">
        <v>12141.628567499998</v>
      </c>
      <c r="AA7" s="31">
        <f t="shared" si="24"/>
        <v>10649.422416554249</v>
      </c>
      <c r="AB7" s="31">
        <f t="shared" si="25"/>
        <v>1492.2061509457496</v>
      </c>
      <c r="AC7" s="31">
        <f t="shared" si="26"/>
        <v>8601.0715700000001</v>
      </c>
      <c r="AD7" s="31">
        <f t="shared" si="27"/>
        <v>3229.8384300000002</v>
      </c>
      <c r="AE7" s="27">
        <v>11830.91</v>
      </c>
      <c r="AF7" s="37">
        <f t="shared" si="5"/>
        <v>-2.559117714502579E-2</v>
      </c>
      <c r="AG7" s="36">
        <v>12141.628567499998</v>
      </c>
      <c r="AH7" s="31">
        <f t="shared" si="28"/>
        <v>10649.422416554249</v>
      </c>
      <c r="AI7" s="31">
        <f t="shared" si="29"/>
        <v>1492.2061509457496</v>
      </c>
      <c r="AJ7" s="31">
        <f t="shared" si="30"/>
        <v>8269.3632799999996</v>
      </c>
      <c r="AK7" s="31">
        <f t="shared" si="31"/>
        <v>3105.2767200000003</v>
      </c>
      <c r="AL7" s="27">
        <v>11374.64</v>
      </c>
      <c r="AM7" s="37">
        <f t="shared" si="6"/>
        <v>-6.3170155736194111E-2</v>
      </c>
      <c r="AN7" s="36">
        <v>12141.628567499998</v>
      </c>
      <c r="AO7" s="31">
        <f t="shared" si="32"/>
        <v>10649.422416554249</v>
      </c>
      <c r="AP7" s="31">
        <f t="shared" si="33"/>
        <v>1492.2061509457496</v>
      </c>
      <c r="AQ7" s="31">
        <f t="shared" si="34"/>
        <v>0</v>
      </c>
      <c r="AR7" s="31">
        <f t="shared" si="35"/>
        <v>0</v>
      </c>
      <c r="AS7" s="27"/>
      <c r="AT7" s="37">
        <f t="shared" si="7"/>
        <v>-1</v>
      </c>
      <c r="AU7" s="36">
        <v>12141.628567499998</v>
      </c>
      <c r="AV7" s="31">
        <f t="shared" si="36"/>
        <v>10649.422416554249</v>
      </c>
      <c r="AW7" s="31">
        <f t="shared" si="37"/>
        <v>1492.2061509457496</v>
      </c>
      <c r="AX7" s="31">
        <f t="shared" si="38"/>
        <v>0</v>
      </c>
      <c r="AY7" s="31">
        <f t="shared" si="39"/>
        <v>0</v>
      </c>
      <c r="AZ7" s="27"/>
      <c r="BA7" s="37">
        <f t="shared" si="8"/>
        <v>-1</v>
      </c>
      <c r="BB7" s="36">
        <v>12141.628567499998</v>
      </c>
      <c r="BC7" s="31">
        <f t="shared" si="40"/>
        <v>10649.422416554249</v>
      </c>
      <c r="BD7" s="31">
        <f t="shared" si="41"/>
        <v>1492.2061509457496</v>
      </c>
      <c r="BE7" s="31">
        <f t="shared" si="42"/>
        <v>0</v>
      </c>
      <c r="BF7" s="31">
        <f t="shared" si="43"/>
        <v>0</v>
      </c>
      <c r="BG7" s="27"/>
      <c r="BH7" s="37">
        <f t="shared" si="9"/>
        <v>-1</v>
      </c>
      <c r="BI7" s="36">
        <v>13058.808852899998</v>
      </c>
      <c r="BJ7" s="31">
        <f t="shared" si="44"/>
        <v>11453.881244878588</v>
      </c>
      <c r="BK7" s="31">
        <f t="shared" si="45"/>
        <v>1604.9276080214097</v>
      </c>
      <c r="BL7" s="31">
        <f t="shared" si="46"/>
        <v>0</v>
      </c>
      <c r="BM7" s="31">
        <f t="shared" si="47"/>
        <v>0</v>
      </c>
      <c r="BN7" s="27"/>
      <c r="BO7" s="37">
        <f t="shared" si="10"/>
        <v>-1</v>
      </c>
      <c r="BP7" s="36">
        <v>13058.808852899998</v>
      </c>
      <c r="BQ7" s="31">
        <f t="shared" si="48"/>
        <v>11453.881244878588</v>
      </c>
      <c r="BR7" s="31">
        <f t="shared" si="49"/>
        <v>1604.9276080214097</v>
      </c>
      <c r="BS7" s="31">
        <f t="shared" si="50"/>
        <v>0</v>
      </c>
      <c r="BT7" s="31">
        <f t="shared" si="51"/>
        <v>0</v>
      </c>
      <c r="BU7" s="27"/>
      <c r="BV7" s="37">
        <f t="shared" si="11"/>
        <v>-1</v>
      </c>
      <c r="BW7" s="36">
        <v>13058.808852899998</v>
      </c>
      <c r="BX7" s="31">
        <f t="shared" si="52"/>
        <v>11453.881244878588</v>
      </c>
      <c r="BY7" s="31">
        <f t="shared" si="53"/>
        <v>1604.9276080214097</v>
      </c>
      <c r="BZ7" s="31">
        <f t="shared" si="54"/>
        <v>0</v>
      </c>
      <c r="CA7" s="31">
        <f t="shared" si="55"/>
        <v>0</v>
      </c>
      <c r="CB7" s="27"/>
      <c r="CC7" s="37">
        <f t="shared" si="12"/>
        <v>-1</v>
      </c>
      <c r="CD7" s="36">
        <v>13058.808852899998</v>
      </c>
      <c r="CE7" s="31">
        <f t="shared" si="56"/>
        <v>11453.881244878588</v>
      </c>
      <c r="CF7" s="31">
        <f t="shared" si="57"/>
        <v>1604.9276080214097</v>
      </c>
      <c r="CG7" s="31">
        <f t="shared" si="58"/>
        <v>0</v>
      </c>
      <c r="CH7" s="31">
        <f t="shared" si="59"/>
        <v>0</v>
      </c>
      <c r="CI7" s="27"/>
      <c r="CJ7" s="37">
        <f t="shared" si="13"/>
        <v>-1</v>
      </c>
      <c r="CK7" s="36">
        <v>13058.808852899998</v>
      </c>
      <c r="CL7" s="31">
        <f t="shared" si="60"/>
        <v>11453.881244878588</v>
      </c>
      <c r="CM7" s="31">
        <f t="shared" si="61"/>
        <v>1604.9276080214097</v>
      </c>
      <c r="CN7" s="31">
        <f t="shared" si="62"/>
        <v>0</v>
      </c>
      <c r="CO7" s="31">
        <f t="shared" si="63"/>
        <v>0</v>
      </c>
      <c r="CP7" s="27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127256.74847026668</v>
      </c>
      <c r="C8" s="31">
        <f t="shared" si="0"/>
        <v>111616.8940832709</v>
      </c>
      <c r="D8" s="32">
        <f t="shared" si="0"/>
        <v>15639.854386995776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148"/>
      <c r="Y8" s="37" t="str">
        <f t="shared" si="4"/>
        <v/>
      </c>
      <c r="Z8" s="36"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27"/>
      <c r="AF8" s="37" t="str">
        <f t="shared" si="5"/>
        <v/>
      </c>
      <c r="AG8" s="36"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27"/>
      <c r="AM8" s="37" t="str">
        <f t="shared" si="6"/>
        <v/>
      </c>
      <c r="AN8" s="36"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27"/>
      <c r="AT8" s="37" t="str">
        <f t="shared" si="7"/>
        <v/>
      </c>
      <c r="AU8" s="36"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27"/>
      <c r="BA8" s="37" t="str">
        <f t="shared" si="8"/>
        <v/>
      </c>
      <c r="BB8" s="36">
        <v>127256.74847026668</v>
      </c>
      <c r="BC8" s="31">
        <f t="shared" si="40"/>
        <v>111616.8940832709</v>
      </c>
      <c r="BD8" s="31">
        <f t="shared" si="41"/>
        <v>15639.854386995776</v>
      </c>
      <c r="BE8" s="31">
        <f t="shared" si="42"/>
        <v>0</v>
      </c>
      <c r="BF8" s="31">
        <f t="shared" si="43"/>
        <v>0</v>
      </c>
      <c r="BG8" s="27"/>
      <c r="BH8" s="37">
        <f t="shared" si="9"/>
        <v>-1</v>
      </c>
      <c r="BI8" s="36"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27"/>
      <c r="BO8" s="37" t="str">
        <f t="shared" si="10"/>
        <v/>
      </c>
      <c r="BP8" s="36"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27"/>
      <c r="BV8" s="37" t="str">
        <f t="shared" si="11"/>
        <v/>
      </c>
      <c r="BW8" s="36"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27"/>
      <c r="CC8" s="37" t="str">
        <f t="shared" si="12"/>
        <v/>
      </c>
      <c r="CD8" s="36"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27"/>
      <c r="CJ8" s="37" t="str">
        <f t="shared" si="13"/>
        <v/>
      </c>
      <c r="CK8" s="36"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27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70660.524658799986</v>
      </c>
      <c r="C9" s="31">
        <f t="shared" si="0"/>
        <v>61976.346178233478</v>
      </c>
      <c r="D9" s="32">
        <f t="shared" si="0"/>
        <v>8684.1784805665175</v>
      </c>
      <c r="E9" s="30">
        <f t="shared" si="15"/>
        <v>22834.782147999998</v>
      </c>
      <c r="F9" s="33">
        <f t="shared" si="15"/>
        <v>20028.387422010797</v>
      </c>
      <c r="G9" s="34">
        <f t="shared" si="15"/>
        <v>2806.3947259891997</v>
      </c>
      <c r="H9" s="31">
        <f t="shared" si="1"/>
        <v>23194.74598</v>
      </c>
      <c r="I9" s="33">
        <f t="shared" si="1"/>
        <v>8709.9940200000001</v>
      </c>
      <c r="J9" s="33">
        <f t="shared" si="1"/>
        <v>31904.739999999998</v>
      </c>
      <c r="K9" s="37">
        <f t="shared" si="2"/>
        <v>0.39719922849337963</v>
      </c>
      <c r="L9" s="36">
        <v>5708.6955369999996</v>
      </c>
      <c r="M9" s="31">
        <f t="shared" si="16"/>
        <v>5007.0968555026993</v>
      </c>
      <c r="N9" s="31">
        <f t="shared" si="17"/>
        <v>701.59868149729994</v>
      </c>
      <c r="O9" s="31">
        <f t="shared" si="18"/>
        <v>10377.35794</v>
      </c>
      <c r="P9" s="31">
        <f t="shared" si="19"/>
        <v>3896.8620599999999</v>
      </c>
      <c r="Q9" s="33">
        <f>14274.22</f>
        <v>14274.22</v>
      </c>
      <c r="R9" s="37">
        <f t="shared" si="3"/>
        <v>1.5004346277505816</v>
      </c>
      <c r="S9" s="36">
        <v>5708.6955369999996</v>
      </c>
      <c r="T9" s="31">
        <f t="shared" si="20"/>
        <v>5007.0968555026993</v>
      </c>
      <c r="U9" s="31">
        <f t="shared" si="21"/>
        <v>701.59868149729994</v>
      </c>
      <c r="V9" s="31">
        <f t="shared" si="22"/>
        <v>8248.8691500000004</v>
      </c>
      <c r="W9" s="31">
        <f t="shared" si="23"/>
        <v>3097.5808500000003</v>
      </c>
      <c r="X9" s="148">
        <f>11346.45</f>
        <v>11346.45</v>
      </c>
      <c r="Y9" s="37">
        <f t="shared" si="4"/>
        <v>0.98757315510343724</v>
      </c>
      <c r="Z9" s="36">
        <v>5708.6955369999996</v>
      </c>
      <c r="AA9" s="31">
        <f t="shared" si="24"/>
        <v>5007.0968555026993</v>
      </c>
      <c r="AB9" s="31">
        <f t="shared" si="25"/>
        <v>701.59868149729994</v>
      </c>
      <c r="AC9" s="31">
        <f t="shared" si="26"/>
        <v>4568.5188899999994</v>
      </c>
      <c r="AD9" s="31">
        <f t="shared" si="27"/>
        <v>1715.5511100000001</v>
      </c>
      <c r="AE9" s="27">
        <f>6284.07</f>
        <v>6284.07</v>
      </c>
      <c r="AF9" s="37">
        <f t="shared" si="5"/>
        <v>0.10078913111950039</v>
      </c>
      <c r="AG9" s="36">
        <v>5708.6955369999996</v>
      </c>
      <c r="AH9" s="31">
        <f t="shared" si="28"/>
        <v>5007.0968555026993</v>
      </c>
      <c r="AI9" s="31">
        <f t="shared" si="29"/>
        <v>701.59868149729994</v>
      </c>
      <c r="AJ9" s="31">
        <f t="shared" si="30"/>
        <v>0</v>
      </c>
      <c r="AK9" s="31">
        <f t="shared" si="31"/>
        <v>0</v>
      </c>
      <c r="AL9" s="27"/>
      <c r="AM9" s="37">
        <f t="shared" si="6"/>
        <v>-1</v>
      </c>
      <c r="AN9" s="36">
        <v>5708.6955369999996</v>
      </c>
      <c r="AO9" s="31">
        <f t="shared" si="32"/>
        <v>5007.0968555026993</v>
      </c>
      <c r="AP9" s="31">
        <f t="shared" si="33"/>
        <v>701.59868149729994</v>
      </c>
      <c r="AQ9" s="31">
        <f t="shared" si="34"/>
        <v>0</v>
      </c>
      <c r="AR9" s="31">
        <f t="shared" si="35"/>
        <v>0</v>
      </c>
      <c r="AS9" s="27"/>
      <c r="AT9" s="37">
        <f t="shared" si="7"/>
        <v>-1</v>
      </c>
      <c r="AU9" s="36">
        <v>5708.6955369999996</v>
      </c>
      <c r="AV9" s="31">
        <f t="shared" si="36"/>
        <v>5007.0968555026993</v>
      </c>
      <c r="AW9" s="31">
        <f t="shared" si="37"/>
        <v>701.59868149729994</v>
      </c>
      <c r="AX9" s="31">
        <f t="shared" si="38"/>
        <v>0</v>
      </c>
      <c r="AY9" s="31">
        <f t="shared" si="39"/>
        <v>0</v>
      </c>
      <c r="AZ9" s="27"/>
      <c r="BA9" s="37">
        <f t="shared" si="8"/>
        <v>-1</v>
      </c>
      <c r="BB9" s="36">
        <v>5708.6955369999996</v>
      </c>
      <c r="BC9" s="31">
        <f t="shared" si="40"/>
        <v>5007.0968555026993</v>
      </c>
      <c r="BD9" s="31">
        <f t="shared" si="41"/>
        <v>701.59868149729994</v>
      </c>
      <c r="BE9" s="31">
        <f t="shared" si="42"/>
        <v>0</v>
      </c>
      <c r="BF9" s="31">
        <f t="shared" si="43"/>
        <v>0</v>
      </c>
      <c r="BG9" s="27"/>
      <c r="BH9" s="37">
        <f t="shared" si="9"/>
        <v>-1</v>
      </c>
      <c r="BI9" s="36">
        <v>6139.9311799599991</v>
      </c>
      <c r="BJ9" s="31">
        <f t="shared" si="44"/>
        <v>5385.3336379429156</v>
      </c>
      <c r="BK9" s="31">
        <f t="shared" si="45"/>
        <v>754.59754201708381</v>
      </c>
      <c r="BL9" s="31">
        <f t="shared" si="46"/>
        <v>0</v>
      </c>
      <c r="BM9" s="31">
        <f t="shared" si="47"/>
        <v>0</v>
      </c>
      <c r="BN9" s="27"/>
      <c r="BO9" s="37">
        <f t="shared" si="10"/>
        <v>-1</v>
      </c>
      <c r="BP9" s="36">
        <v>6139.9311799599991</v>
      </c>
      <c r="BQ9" s="31">
        <f t="shared" si="48"/>
        <v>5385.3336379429156</v>
      </c>
      <c r="BR9" s="31">
        <f t="shared" si="49"/>
        <v>754.59754201708381</v>
      </c>
      <c r="BS9" s="31">
        <f t="shared" si="50"/>
        <v>0</v>
      </c>
      <c r="BT9" s="31">
        <f t="shared" si="51"/>
        <v>0</v>
      </c>
      <c r="BU9" s="27"/>
      <c r="BV9" s="37">
        <f t="shared" si="11"/>
        <v>-1</v>
      </c>
      <c r="BW9" s="36">
        <v>6139.9311799599991</v>
      </c>
      <c r="BX9" s="31">
        <f t="shared" si="52"/>
        <v>5385.3336379429156</v>
      </c>
      <c r="BY9" s="31">
        <f t="shared" si="53"/>
        <v>754.59754201708381</v>
      </c>
      <c r="BZ9" s="31">
        <f t="shared" si="54"/>
        <v>0</v>
      </c>
      <c r="CA9" s="31">
        <f t="shared" si="55"/>
        <v>0</v>
      </c>
      <c r="CB9" s="27"/>
      <c r="CC9" s="37">
        <f t="shared" si="12"/>
        <v>-1</v>
      </c>
      <c r="CD9" s="36">
        <v>6139.9311799599991</v>
      </c>
      <c r="CE9" s="31">
        <f t="shared" si="56"/>
        <v>5385.3336379429156</v>
      </c>
      <c r="CF9" s="31">
        <f t="shared" si="57"/>
        <v>754.59754201708381</v>
      </c>
      <c r="CG9" s="31">
        <f t="shared" si="58"/>
        <v>0</v>
      </c>
      <c r="CH9" s="31">
        <f t="shared" si="59"/>
        <v>0</v>
      </c>
      <c r="CI9" s="27"/>
      <c r="CJ9" s="37">
        <f t="shared" si="13"/>
        <v>-1</v>
      </c>
      <c r="CK9" s="36">
        <v>6139.9311799599991</v>
      </c>
      <c r="CL9" s="31">
        <f t="shared" si="60"/>
        <v>5385.3336379429156</v>
      </c>
      <c r="CM9" s="31">
        <f t="shared" si="61"/>
        <v>754.59754201708381</v>
      </c>
      <c r="CN9" s="31">
        <f t="shared" si="62"/>
        <v>0</v>
      </c>
      <c r="CO9" s="31">
        <f t="shared" si="63"/>
        <v>0</v>
      </c>
      <c r="CP9" s="27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86400</v>
      </c>
      <c r="C10" s="31">
        <f t="shared" si="0"/>
        <v>75781.440000000002</v>
      </c>
      <c r="D10" s="32">
        <f t="shared" si="0"/>
        <v>10618.559999999998</v>
      </c>
      <c r="E10" s="30">
        <f t="shared" si="15"/>
        <v>28800</v>
      </c>
      <c r="F10" s="33">
        <f t="shared" si="15"/>
        <v>25260.48</v>
      </c>
      <c r="G10" s="34">
        <f t="shared" si="15"/>
        <v>3539.52</v>
      </c>
      <c r="H10" s="31">
        <f t="shared" si="1"/>
        <v>30222.633170000001</v>
      </c>
      <c r="I10" s="33">
        <f t="shared" si="1"/>
        <v>11349.076830000002</v>
      </c>
      <c r="J10" s="33">
        <f t="shared" si="1"/>
        <v>41571.71</v>
      </c>
      <c r="K10" s="37">
        <f t="shared" si="2"/>
        <v>0.44346215277777778</v>
      </c>
      <c r="L10" s="36">
        <v>7200</v>
      </c>
      <c r="M10" s="31">
        <f t="shared" si="16"/>
        <v>6315.12</v>
      </c>
      <c r="N10" s="31">
        <f t="shared" si="17"/>
        <v>884.88</v>
      </c>
      <c r="O10" s="31">
        <f t="shared" si="18"/>
        <v>12988.240309999999</v>
      </c>
      <c r="P10" s="31">
        <f t="shared" si="19"/>
        <v>4877.2896899999996</v>
      </c>
      <c r="Q10" s="33">
        <f>5058.31+1400+2800+8607.22</f>
        <v>17865.53</v>
      </c>
      <c r="R10" s="37">
        <f t="shared" si="3"/>
        <v>1.4813236111111108</v>
      </c>
      <c r="S10" s="36">
        <v>7200</v>
      </c>
      <c r="T10" s="31">
        <f t="shared" si="20"/>
        <v>6315.12</v>
      </c>
      <c r="U10" s="31">
        <f t="shared" si="21"/>
        <v>884.88</v>
      </c>
      <c r="V10" s="31">
        <f t="shared" si="22"/>
        <v>4537.3378599999996</v>
      </c>
      <c r="W10" s="31">
        <f t="shared" si="23"/>
        <v>1703.8421400000002</v>
      </c>
      <c r="X10" s="148">
        <f>6241.18</f>
        <v>6241.18</v>
      </c>
      <c r="Y10" s="37">
        <f t="shared" si="4"/>
        <v>-0.13316944444444445</v>
      </c>
      <c r="Z10" s="36">
        <v>7200</v>
      </c>
      <c r="AA10" s="31">
        <f t="shared" si="24"/>
        <v>6315.12</v>
      </c>
      <c r="AB10" s="31">
        <f t="shared" si="25"/>
        <v>884.88</v>
      </c>
      <c r="AC10" s="31">
        <f t="shared" si="26"/>
        <v>6349.8215600000003</v>
      </c>
      <c r="AD10" s="31">
        <f t="shared" si="27"/>
        <v>2384.4584400000003</v>
      </c>
      <c r="AE10" s="27">
        <v>8734.2800000000007</v>
      </c>
      <c r="AF10" s="37">
        <f t="shared" si="5"/>
        <v>0.21309444444444448</v>
      </c>
      <c r="AG10" s="36">
        <v>7200</v>
      </c>
      <c r="AH10" s="31">
        <f t="shared" si="28"/>
        <v>6315.12</v>
      </c>
      <c r="AI10" s="31">
        <f t="shared" si="29"/>
        <v>884.88</v>
      </c>
      <c r="AJ10" s="31">
        <f t="shared" si="30"/>
        <v>6347.2334400000009</v>
      </c>
      <c r="AK10" s="31">
        <f t="shared" si="31"/>
        <v>2383.4865600000003</v>
      </c>
      <c r="AL10" s="27">
        <f>1460.7+7270.02</f>
        <v>8730.7200000000012</v>
      </c>
      <c r="AM10" s="37">
        <f t="shared" si="6"/>
        <v>0.21260000000000012</v>
      </c>
      <c r="AN10" s="36">
        <v>7200</v>
      </c>
      <c r="AO10" s="31">
        <f t="shared" si="32"/>
        <v>6315.12</v>
      </c>
      <c r="AP10" s="31">
        <f t="shared" si="33"/>
        <v>884.88</v>
      </c>
      <c r="AQ10" s="31">
        <f t="shared" si="34"/>
        <v>0</v>
      </c>
      <c r="AR10" s="31">
        <f t="shared" si="35"/>
        <v>0</v>
      </c>
      <c r="AS10" s="27"/>
      <c r="AT10" s="37">
        <f t="shared" si="7"/>
        <v>-1</v>
      </c>
      <c r="AU10" s="36">
        <v>7200</v>
      </c>
      <c r="AV10" s="31">
        <f t="shared" si="36"/>
        <v>6315.12</v>
      </c>
      <c r="AW10" s="31">
        <f t="shared" si="37"/>
        <v>884.88</v>
      </c>
      <c r="AX10" s="31">
        <f t="shared" si="38"/>
        <v>0</v>
      </c>
      <c r="AY10" s="31">
        <f t="shared" si="39"/>
        <v>0</v>
      </c>
      <c r="AZ10" s="27"/>
      <c r="BA10" s="37">
        <f t="shared" si="8"/>
        <v>-1</v>
      </c>
      <c r="BB10" s="36">
        <v>7200</v>
      </c>
      <c r="BC10" s="31">
        <f t="shared" si="40"/>
        <v>6315.12</v>
      </c>
      <c r="BD10" s="31">
        <f t="shared" si="41"/>
        <v>884.88</v>
      </c>
      <c r="BE10" s="31">
        <f t="shared" si="42"/>
        <v>0</v>
      </c>
      <c r="BF10" s="31">
        <f t="shared" si="43"/>
        <v>0</v>
      </c>
      <c r="BG10" s="27"/>
      <c r="BH10" s="37">
        <f t="shared" si="9"/>
        <v>-1</v>
      </c>
      <c r="BI10" s="36">
        <v>7200</v>
      </c>
      <c r="BJ10" s="31">
        <f t="shared" si="44"/>
        <v>6315.12</v>
      </c>
      <c r="BK10" s="31">
        <f t="shared" si="45"/>
        <v>884.88</v>
      </c>
      <c r="BL10" s="31">
        <f t="shared" si="46"/>
        <v>0</v>
      </c>
      <c r="BM10" s="31">
        <f t="shared" si="47"/>
        <v>0</v>
      </c>
      <c r="BN10" s="27"/>
      <c r="BO10" s="37">
        <f t="shared" si="10"/>
        <v>-1</v>
      </c>
      <c r="BP10" s="36">
        <v>7200</v>
      </c>
      <c r="BQ10" s="31">
        <f t="shared" si="48"/>
        <v>6315.12</v>
      </c>
      <c r="BR10" s="31">
        <f t="shared" si="49"/>
        <v>884.88</v>
      </c>
      <c r="BS10" s="31">
        <f t="shared" si="50"/>
        <v>0</v>
      </c>
      <c r="BT10" s="31">
        <f t="shared" si="51"/>
        <v>0</v>
      </c>
      <c r="BU10" s="27"/>
      <c r="BV10" s="37">
        <f t="shared" si="11"/>
        <v>-1</v>
      </c>
      <c r="BW10" s="36">
        <v>7200</v>
      </c>
      <c r="BX10" s="31">
        <f t="shared" si="52"/>
        <v>6315.12</v>
      </c>
      <c r="BY10" s="31">
        <f t="shared" si="53"/>
        <v>884.88</v>
      </c>
      <c r="BZ10" s="31">
        <f t="shared" si="54"/>
        <v>0</v>
      </c>
      <c r="CA10" s="31">
        <f t="shared" si="55"/>
        <v>0</v>
      </c>
      <c r="CB10" s="27"/>
      <c r="CC10" s="37">
        <f t="shared" si="12"/>
        <v>-1</v>
      </c>
      <c r="CD10" s="36">
        <v>7200</v>
      </c>
      <c r="CE10" s="31">
        <f t="shared" si="56"/>
        <v>6315.12</v>
      </c>
      <c r="CF10" s="31">
        <f t="shared" si="57"/>
        <v>884.88</v>
      </c>
      <c r="CG10" s="31">
        <f t="shared" si="58"/>
        <v>0</v>
      </c>
      <c r="CH10" s="31">
        <f t="shared" si="59"/>
        <v>0</v>
      </c>
      <c r="CI10" s="27"/>
      <c r="CJ10" s="37">
        <f t="shared" si="13"/>
        <v>-1</v>
      </c>
      <c r="CK10" s="36">
        <v>7200</v>
      </c>
      <c r="CL10" s="31">
        <f t="shared" si="60"/>
        <v>6315.12</v>
      </c>
      <c r="CM10" s="31">
        <f t="shared" si="61"/>
        <v>884.88</v>
      </c>
      <c r="CN10" s="31">
        <f t="shared" si="62"/>
        <v>0</v>
      </c>
      <c r="CO10" s="31">
        <f t="shared" si="63"/>
        <v>0</v>
      </c>
      <c r="CP10" s="27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2196.6523099999999</v>
      </c>
      <c r="I11" s="33">
        <f t="shared" si="1"/>
        <v>824.87769000000014</v>
      </c>
      <c r="J11" s="33">
        <f t="shared" si="1"/>
        <v>3021.53</v>
      </c>
      <c r="K11" s="37" t="str">
        <f t="shared" si="2"/>
        <v/>
      </c>
      <c r="L11" s="36"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148"/>
      <c r="Y11" s="37" t="str">
        <f t="shared" si="4"/>
        <v/>
      </c>
      <c r="Z11" s="36">
        <v>0</v>
      </c>
      <c r="AA11" s="31">
        <f t="shared" si="24"/>
        <v>0</v>
      </c>
      <c r="AB11" s="31">
        <f t="shared" si="25"/>
        <v>0</v>
      </c>
      <c r="AC11" s="31">
        <f t="shared" si="26"/>
        <v>2196.6523099999999</v>
      </c>
      <c r="AD11" s="31">
        <f t="shared" si="27"/>
        <v>824.87769000000014</v>
      </c>
      <c r="AE11" s="33">
        <f>3021.53</f>
        <v>3021.53</v>
      </c>
      <c r="AF11" s="37" t="str">
        <f t="shared" si="5"/>
        <v/>
      </c>
      <c r="AG11" s="36">
        <v>0</v>
      </c>
      <c r="AH11" s="31">
        <f t="shared" si="28"/>
        <v>0</v>
      </c>
      <c r="AI11" s="31">
        <f t="shared" si="29"/>
        <v>0</v>
      </c>
      <c r="AJ11" s="31">
        <f t="shared" si="30"/>
        <v>0</v>
      </c>
      <c r="AK11" s="31">
        <f t="shared" si="31"/>
        <v>0</v>
      </c>
      <c r="AL11" s="27"/>
      <c r="AM11" s="37" t="str">
        <f t="shared" si="6"/>
        <v/>
      </c>
      <c r="AN11" s="36"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27"/>
      <c r="AT11" s="37" t="str">
        <f t="shared" si="7"/>
        <v/>
      </c>
      <c r="AU11" s="36"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27"/>
      <c r="BA11" s="37" t="str">
        <f t="shared" si="8"/>
        <v/>
      </c>
      <c r="BB11" s="36"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27"/>
      <c r="BH11" s="37" t="str">
        <f t="shared" si="9"/>
        <v/>
      </c>
      <c r="BI11" s="36"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27"/>
      <c r="BO11" s="37" t="str">
        <f t="shared" si="10"/>
        <v/>
      </c>
      <c r="BP11" s="36"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27"/>
      <c r="BV11" s="37" t="str">
        <f t="shared" si="11"/>
        <v/>
      </c>
      <c r="BW11" s="36"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27"/>
      <c r="CC11" s="37" t="str">
        <f t="shared" si="12"/>
        <v/>
      </c>
      <c r="CD11" s="36"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27"/>
      <c r="CJ11" s="37" t="str">
        <f t="shared" si="13"/>
        <v/>
      </c>
      <c r="CK11" s="36"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27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10826.338599999999</v>
      </c>
      <c r="I12" s="33">
        <f t="shared" si="1"/>
        <v>4065.4614000000006</v>
      </c>
      <c r="J12" s="33">
        <f t="shared" si="1"/>
        <v>14891.8</v>
      </c>
      <c r="K12" s="37">
        <f t="shared" si="2"/>
        <v>0.19901771336553931</v>
      </c>
      <c r="L12" s="36"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4457.9058399999994</v>
      </c>
      <c r="P12" s="31">
        <f t="shared" si="19"/>
        <v>1674.0141600000002</v>
      </c>
      <c r="Q12" s="33">
        <f>2919.96+3211.96</f>
        <v>6131.92</v>
      </c>
      <c r="R12" s="37">
        <f t="shared" si="3"/>
        <v>0.97485346215780999</v>
      </c>
      <c r="S12" s="36"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2122.8109199999999</v>
      </c>
      <c r="W12" s="31">
        <f t="shared" si="23"/>
        <v>797.14908000000003</v>
      </c>
      <c r="X12" s="148">
        <f>2919.96</f>
        <v>2919.96</v>
      </c>
      <c r="Y12" s="37">
        <f t="shared" si="4"/>
        <v>-5.9594202898550663E-2</v>
      </c>
      <c r="Z12" s="36"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2122.8109199999999</v>
      </c>
      <c r="AD12" s="31">
        <f t="shared" si="27"/>
        <v>797.14908000000003</v>
      </c>
      <c r="AE12" s="27">
        <f>2919.96</f>
        <v>2919.96</v>
      </c>
      <c r="AF12" s="37">
        <f t="shared" si="5"/>
        <v>-5.9594202898550663E-2</v>
      </c>
      <c r="AG12" s="36"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2122.8109199999999</v>
      </c>
      <c r="AK12" s="31">
        <f t="shared" si="31"/>
        <v>797.14908000000003</v>
      </c>
      <c r="AL12" s="33">
        <f>2919.96</f>
        <v>2919.96</v>
      </c>
      <c r="AM12" s="37">
        <f t="shared" si="6"/>
        <v>-5.9594202898550663E-2</v>
      </c>
      <c r="AN12" s="36"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27"/>
      <c r="AT12" s="37">
        <f t="shared" si="7"/>
        <v>-1</v>
      </c>
      <c r="AU12" s="36"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27"/>
      <c r="BA12" s="37">
        <f t="shared" si="8"/>
        <v>-1</v>
      </c>
      <c r="BB12" s="36"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27"/>
      <c r="BH12" s="37">
        <f t="shared" si="9"/>
        <v>-1</v>
      </c>
      <c r="BI12" s="36"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27"/>
      <c r="BO12" s="37">
        <f t="shared" si="10"/>
        <v>-1</v>
      </c>
      <c r="BP12" s="36"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27"/>
      <c r="BV12" s="37">
        <f t="shared" si="11"/>
        <v>-1</v>
      </c>
      <c r="BW12" s="36"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27"/>
      <c r="CC12" s="37">
        <f t="shared" si="12"/>
        <v>-1</v>
      </c>
      <c r="CD12" s="36"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27"/>
      <c r="CJ12" s="37">
        <f t="shared" si="13"/>
        <v>-1</v>
      </c>
      <c r="CK12" s="36"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27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12000</v>
      </c>
      <c r="C13" s="31">
        <f t="shared" si="0"/>
        <v>10525.200000000003</v>
      </c>
      <c r="D13" s="32">
        <f t="shared" si="0"/>
        <v>1474.8000000000002</v>
      </c>
      <c r="E13" s="30">
        <f t="shared" si="15"/>
        <v>4000</v>
      </c>
      <c r="F13" s="33">
        <f t="shared" si="15"/>
        <v>3508.4</v>
      </c>
      <c r="G13" s="34">
        <f t="shared" si="15"/>
        <v>491.59999999999997</v>
      </c>
      <c r="H13" s="31">
        <f t="shared" si="1"/>
        <v>9809.7454199999993</v>
      </c>
      <c r="I13" s="33">
        <f t="shared" si="1"/>
        <v>3683.7145799999998</v>
      </c>
      <c r="J13" s="33">
        <f t="shared" si="1"/>
        <v>13493.46</v>
      </c>
      <c r="K13" s="37">
        <f t="shared" si="2"/>
        <v>2.3733649999999997</v>
      </c>
      <c r="L13" s="36">
        <v>1000</v>
      </c>
      <c r="M13" s="31">
        <f t="shared" si="16"/>
        <v>877.1</v>
      </c>
      <c r="N13" s="31">
        <f t="shared" si="17"/>
        <v>122.89999999999999</v>
      </c>
      <c r="O13" s="31">
        <f t="shared" si="18"/>
        <v>0</v>
      </c>
      <c r="P13" s="31">
        <f t="shared" si="19"/>
        <v>0</v>
      </c>
      <c r="Q13" s="33"/>
      <c r="R13" s="37">
        <f t="shared" si="3"/>
        <v>-1</v>
      </c>
      <c r="S13" s="36">
        <v>1000</v>
      </c>
      <c r="T13" s="31">
        <f t="shared" si="20"/>
        <v>877.1</v>
      </c>
      <c r="U13" s="31">
        <f t="shared" si="21"/>
        <v>122.89999999999999</v>
      </c>
      <c r="V13" s="31">
        <f t="shared" si="22"/>
        <v>0</v>
      </c>
      <c r="W13" s="31">
        <f t="shared" si="23"/>
        <v>0</v>
      </c>
      <c r="X13" s="148"/>
      <c r="Y13" s="37">
        <f t="shared" si="4"/>
        <v>-1</v>
      </c>
      <c r="Z13" s="36">
        <v>1000</v>
      </c>
      <c r="AA13" s="31">
        <f t="shared" si="24"/>
        <v>877.1</v>
      </c>
      <c r="AB13" s="31">
        <f t="shared" si="25"/>
        <v>122.89999999999999</v>
      </c>
      <c r="AC13" s="31">
        <f t="shared" si="26"/>
        <v>9809.7454199999993</v>
      </c>
      <c r="AD13" s="31">
        <f t="shared" si="27"/>
        <v>3683.7145799999998</v>
      </c>
      <c r="AE13" s="27">
        <f>13493.46</f>
        <v>13493.46</v>
      </c>
      <c r="AF13" s="37">
        <f t="shared" si="5"/>
        <v>12.493459999999999</v>
      </c>
      <c r="AG13" s="36">
        <v>1000</v>
      </c>
      <c r="AH13" s="31">
        <f t="shared" si="28"/>
        <v>877.1</v>
      </c>
      <c r="AI13" s="31">
        <f t="shared" si="29"/>
        <v>122.89999999999999</v>
      </c>
      <c r="AJ13" s="31">
        <f t="shared" si="30"/>
        <v>0</v>
      </c>
      <c r="AK13" s="31">
        <f t="shared" si="31"/>
        <v>0</v>
      </c>
      <c r="AL13" s="27"/>
      <c r="AM13" s="37">
        <f t="shared" si="6"/>
        <v>-1</v>
      </c>
      <c r="AN13" s="36">
        <v>1000</v>
      </c>
      <c r="AO13" s="31">
        <f t="shared" si="32"/>
        <v>877.1</v>
      </c>
      <c r="AP13" s="31">
        <f t="shared" si="33"/>
        <v>122.89999999999999</v>
      </c>
      <c r="AQ13" s="31">
        <f t="shared" si="34"/>
        <v>0</v>
      </c>
      <c r="AR13" s="31">
        <f t="shared" si="35"/>
        <v>0</v>
      </c>
      <c r="AS13" s="27"/>
      <c r="AT13" s="37">
        <f t="shared" si="7"/>
        <v>-1</v>
      </c>
      <c r="AU13" s="36">
        <v>1000</v>
      </c>
      <c r="AV13" s="31">
        <f t="shared" si="36"/>
        <v>877.1</v>
      </c>
      <c r="AW13" s="31">
        <f t="shared" si="37"/>
        <v>122.89999999999999</v>
      </c>
      <c r="AX13" s="31">
        <f t="shared" si="38"/>
        <v>0</v>
      </c>
      <c r="AY13" s="31">
        <f t="shared" si="39"/>
        <v>0</v>
      </c>
      <c r="AZ13" s="27"/>
      <c r="BA13" s="37">
        <f t="shared" si="8"/>
        <v>-1</v>
      </c>
      <c r="BB13" s="36">
        <v>1000</v>
      </c>
      <c r="BC13" s="31">
        <f t="shared" si="40"/>
        <v>877.1</v>
      </c>
      <c r="BD13" s="31">
        <f t="shared" si="41"/>
        <v>122.89999999999999</v>
      </c>
      <c r="BE13" s="31">
        <f t="shared" si="42"/>
        <v>0</v>
      </c>
      <c r="BF13" s="31">
        <f t="shared" si="43"/>
        <v>0</v>
      </c>
      <c r="BG13" s="27"/>
      <c r="BH13" s="37">
        <f t="shared" si="9"/>
        <v>-1</v>
      </c>
      <c r="BI13" s="36">
        <v>1000</v>
      </c>
      <c r="BJ13" s="31">
        <f t="shared" si="44"/>
        <v>877.1</v>
      </c>
      <c r="BK13" s="31">
        <f t="shared" si="45"/>
        <v>122.89999999999999</v>
      </c>
      <c r="BL13" s="31">
        <f t="shared" si="46"/>
        <v>0</v>
      </c>
      <c r="BM13" s="31">
        <f t="shared" si="47"/>
        <v>0</v>
      </c>
      <c r="BN13" s="27"/>
      <c r="BO13" s="37">
        <f t="shared" si="10"/>
        <v>-1</v>
      </c>
      <c r="BP13" s="36">
        <v>1000</v>
      </c>
      <c r="BQ13" s="31">
        <f t="shared" si="48"/>
        <v>877.1</v>
      </c>
      <c r="BR13" s="31">
        <f t="shared" si="49"/>
        <v>122.89999999999999</v>
      </c>
      <c r="BS13" s="31">
        <f t="shared" si="50"/>
        <v>0</v>
      </c>
      <c r="BT13" s="31">
        <f t="shared" si="51"/>
        <v>0</v>
      </c>
      <c r="BU13" s="27"/>
      <c r="BV13" s="37">
        <f t="shared" si="11"/>
        <v>-1</v>
      </c>
      <c r="BW13" s="36">
        <v>1000</v>
      </c>
      <c r="BX13" s="31">
        <f t="shared" si="52"/>
        <v>877.1</v>
      </c>
      <c r="BY13" s="31">
        <f t="shared" si="53"/>
        <v>122.89999999999999</v>
      </c>
      <c r="BZ13" s="31">
        <f t="shared" si="54"/>
        <v>0</v>
      </c>
      <c r="CA13" s="31">
        <f t="shared" si="55"/>
        <v>0</v>
      </c>
      <c r="CB13" s="27"/>
      <c r="CC13" s="37">
        <f t="shared" si="12"/>
        <v>-1</v>
      </c>
      <c r="CD13" s="36">
        <v>1000</v>
      </c>
      <c r="CE13" s="31">
        <f t="shared" si="56"/>
        <v>877.1</v>
      </c>
      <c r="CF13" s="31">
        <f t="shared" si="57"/>
        <v>122.89999999999999</v>
      </c>
      <c r="CG13" s="31">
        <f t="shared" si="58"/>
        <v>0</v>
      </c>
      <c r="CH13" s="31">
        <f t="shared" si="59"/>
        <v>0</v>
      </c>
      <c r="CI13" s="27"/>
      <c r="CJ13" s="37">
        <f t="shared" si="13"/>
        <v>-1</v>
      </c>
      <c r="CK13" s="36">
        <v>1000</v>
      </c>
      <c r="CL13" s="31">
        <f t="shared" si="60"/>
        <v>877.1</v>
      </c>
      <c r="CM13" s="31">
        <f t="shared" si="61"/>
        <v>122.89999999999999</v>
      </c>
      <c r="CN13" s="31">
        <f t="shared" si="62"/>
        <v>0</v>
      </c>
      <c r="CO13" s="31">
        <f t="shared" si="63"/>
        <v>0</v>
      </c>
      <c r="CP13" s="27"/>
      <c r="CQ13" s="37">
        <f t="shared" si="14"/>
        <v>-1</v>
      </c>
    </row>
    <row r="14" spans="1:99" s="26" customFormat="1" ht="16" customHeight="1" x14ac:dyDescent="0.2">
      <c r="A14" s="39" t="s">
        <v>38</v>
      </c>
      <c r="B14" s="30">
        <f t="shared" si="0"/>
        <v>85472.759999999966</v>
      </c>
      <c r="C14" s="31">
        <f t="shared" si="0"/>
        <v>74968.157796</v>
      </c>
      <c r="D14" s="32">
        <f t="shared" si="0"/>
        <v>10504.602204000001</v>
      </c>
      <c r="E14" s="30">
        <f t="shared" si="15"/>
        <v>28490.92</v>
      </c>
      <c r="F14" s="33">
        <f t="shared" si="15"/>
        <v>24989.385931999997</v>
      </c>
      <c r="G14" s="34">
        <f t="shared" si="15"/>
        <v>3501.5340679999995</v>
      </c>
      <c r="H14" s="31">
        <f t="shared" si="1"/>
        <v>26736.82084</v>
      </c>
      <c r="I14" s="33">
        <f t="shared" si="1"/>
        <v>10040.099160000002</v>
      </c>
      <c r="J14" s="33">
        <f t="shared" si="1"/>
        <v>36776.92</v>
      </c>
      <c r="K14" s="37">
        <f t="shared" si="2"/>
        <v>0.29082949936330604</v>
      </c>
      <c r="L14" s="36">
        <v>7122.73</v>
      </c>
      <c r="M14" s="31">
        <f t="shared" si="16"/>
        <v>6247.3464829999994</v>
      </c>
      <c r="N14" s="31">
        <f t="shared" si="17"/>
        <v>875.38351699999987</v>
      </c>
      <c r="O14" s="31">
        <f t="shared" si="18"/>
        <v>4441.72282</v>
      </c>
      <c r="P14" s="31">
        <f t="shared" si="19"/>
        <v>1667.9371800000001</v>
      </c>
      <c r="Q14" s="33">
        <f>6109.66</f>
        <v>6109.66</v>
      </c>
      <c r="R14" s="37">
        <f t="shared" si="3"/>
        <v>-0.14223057732077449</v>
      </c>
      <c r="S14" s="36">
        <v>7122.73</v>
      </c>
      <c r="T14" s="31">
        <f t="shared" si="20"/>
        <v>6247.3464829999994</v>
      </c>
      <c r="U14" s="31">
        <f t="shared" si="21"/>
        <v>875.38351699999987</v>
      </c>
      <c r="V14" s="31">
        <f t="shared" si="22"/>
        <v>12196.297399999999</v>
      </c>
      <c r="W14" s="31">
        <f t="shared" si="23"/>
        <v>4579.9026000000003</v>
      </c>
      <c r="X14" s="148">
        <f>16776.2</f>
        <v>16776.2</v>
      </c>
      <c r="Y14" s="37">
        <f t="shared" si="4"/>
        <v>1.355304777802893</v>
      </c>
      <c r="Z14" s="87">
        <v>7122.73</v>
      </c>
      <c r="AA14" s="40">
        <f t="shared" si="24"/>
        <v>6247.3464829999994</v>
      </c>
      <c r="AB14" s="40">
        <f t="shared" si="25"/>
        <v>875.38351699999987</v>
      </c>
      <c r="AC14" s="31">
        <f t="shared" si="26"/>
        <v>4985.5042800000001</v>
      </c>
      <c r="AD14" s="31">
        <f t="shared" si="27"/>
        <v>1872.1357200000002</v>
      </c>
      <c r="AE14" s="27">
        <f>6857.64</f>
        <v>6857.64</v>
      </c>
      <c r="AF14" s="37">
        <f t="shared" si="5"/>
        <v>-3.721747139088516E-2</v>
      </c>
      <c r="AG14" s="36">
        <v>7122.73</v>
      </c>
      <c r="AH14" s="31">
        <f t="shared" si="28"/>
        <v>6247.3464829999994</v>
      </c>
      <c r="AI14" s="31">
        <f t="shared" si="29"/>
        <v>875.38351699999987</v>
      </c>
      <c r="AJ14" s="31">
        <f t="shared" si="30"/>
        <v>5113.2963399999999</v>
      </c>
      <c r="AK14" s="31">
        <f t="shared" si="31"/>
        <v>1920.1236600000002</v>
      </c>
      <c r="AL14" s="33">
        <f>2343.42+4690</f>
        <v>7033.42</v>
      </c>
      <c r="AM14" s="37">
        <f t="shared" si="6"/>
        <v>-1.2538731638009559E-2</v>
      </c>
      <c r="AN14" s="36">
        <v>7122.73</v>
      </c>
      <c r="AO14" s="31">
        <f t="shared" si="32"/>
        <v>6247.3464829999994</v>
      </c>
      <c r="AP14" s="31">
        <f t="shared" si="33"/>
        <v>875.38351699999987</v>
      </c>
      <c r="AQ14" s="31">
        <f t="shared" si="34"/>
        <v>0</v>
      </c>
      <c r="AR14" s="31">
        <f t="shared" si="35"/>
        <v>0</v>
      </c>
      <c r="AS14" s="27"/>
      <c r="AT14" s="37">
        <f t="shared" si="7"/>
        <v>-1</v>
      </c>
      <c r="AU14" s="36">
        <v>7122.73</v>
      </c>
      <c r="AV14" s="31">
        <f t="shared" si="36"/>
        <v>6247.3464829999994</v>
      </c>
      <c r="AW14" s="31">
        <f t="shared" si="37"/>
        <v>875.38351699999987</v>
      </c>
      <c r="AX14" s="31">
        <f t="shared" si="38"/>
        <v>0</v>
      </c>
      <c r="AY14" s="31">
        <f t="shared" si="39"/>
        <v>0</v>
      </c>
      <c r="AZ14" s="27"/>
      <c r="BA14" s="37">
        <f t="shared" si="8"/>
        <v>-1</v>
      </c>
      <c r="BB14" s="36">
        <v>7122.73</v>
      </c>
      <c r="BC14" s="31">
        <f t="shared" si="40"/>
        <v>6247.3464829999994</v>
      </c>
      <c r="BD14" s="31">
        <f t="shared" si="41"/>
        <v>875.38351699999987</v>
      </c>
      <c r="BE14" s="31">
        <f t="shared" si="42"/>
        <v>0</v>
      </c>
      <c r="BF14" s="31">
        <f t="shared" si="43"/>
        <v>0</v>
      </c>
      <c r="BG14" s="27"/>
      <c r="BH14" s="37">
        <f t="shared" si="9"/>
        <v>-1</v>
      </c>
      <c r="BI14" s="36">
        <v>7122.73</v>
      </c>
      <c r="BJ14" s="31">
        <f t="shared" si="44"/>
        <v>6247.3464829999994</v>
      </c>
      <c r="BK14" s="31">
        <f t="shared" si="45"/>
        <v>875.38351699999987</v>
      </c>
      <c r="BL14" s="31">
        <f t="shared" si="46"/>
        <v>0</v>
      </c>
      <c r="BM14" s="31">
        <f t="shared" si="47"/>
        <v>0</v>
      </c>
      <c r="BN14" s="27"/>
      <c r="BO14" s="37">
        <f t="shared" si="10"/>
        <v>-1</v>
      </c>
      <c r="BP14" s="36">
        <v>7122.73</v>
      </c>
      <c r="BQ14" s="31">
        <f t="shared" si="48"/>
        <v>6247.3464829999994</v>
      </c>
      <c r="BR14" s="31">
        <f t="shared" si="49"/>
        <v>875.38351699999987</v>
      </c>
      <c r="BS14" s="31">
        <f t="shared" si="50"/>
        <v>0</v>
      </c>
      <c r="BT14" s="31">
        <f t="shared" si="51"/>
        <v>0</v>
      </c>
      <c r="BU14" s="27"/>
      <c r="BV14" s="37">
        <f t="shared" si="11"/>
        <v>-1</v>
      </c>
      <c r="BW14" s="36">
        <v>7122.73</v>
      </c>
      <c r="BX14" s="31">
        <f t="shared" si="52"/>
        <v>6247.3464829999994</v>
      </c>
      <c r="BY14" s="31">
        <f t="shared" si="53"/>
        <v>875.38351699999987</v>
      </c>
      <c r="BZ14" s="31">
        <f t="shared" si="54"/>
        <v>0</v>
      </c>
      <c r="CA14" s="31">
        <f t="shared" si="55"/>
        <v>0</v>
      </c>
      <c r="CB14" s="27"/>
      <c r="CC14" s="37">
        <f t="shared" si="12"/>
        <v>-1</v>
      </c>
      <c r="CD14" s="36">
        <v>7122.73</v>
      </c>
      <c r="CE14" s="31">
        <f t="shared" si="56"/>
        <v>6247.3464829999994</v>
      </c>
      <c r="CF14" s="31">
        <f t="shared" si="57"/>
        <v>875.38351699999987</v>
      </c>
      <c r="CG14" s="31">
        <f t="shared" si="58"/>
        <v>0</v>
      </c>
      <c r="CH14" s="31">
        <f t="shared" si="59"/>
        <v>0</v>
      </c>
      <c r="CI14" s="27"/>
      <c r="CJ14" s="37">
        <f t="shared" si="13"/>
        <v>-1</v>
      </c>
      <c r="CK14" s="36">
        <v>7122.73</v>
      </c>
      <c r="CL14" s="31">
        <f t="shared" si="60"/>
        <v>6247.3464829999994</v>
      </c>
      <c r="CM14" s="31">
        <f t="shared" si="61"/>
        <v>875.38351699999987</v>
      </c>
      <c r="CN14" s="31">
        <f t="shared" si="62"/>
        <v>0</v>
      </c>
      <c r="CO14" s="31">
        <f t="shared" si="63"/>
        <v>0</v>
      </c>
      <c r="CP14" s="27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193631.10000000003</v>
      </c>
      <c r="C15" s="31">
        <f t="shared" si="0"/>
        <v>169833.83781</v>
      </c>
      <c r="D15" s="32">
        <f t="shared" si="0"/>
        <v>23797.262190000001</v>
      </c>
      <c r="E15" s="30">
        <f t="shared" si="15"/>
        <v>64126.8</v>
      </c>
      <c r="F15" s="33">
        <f t="shared" si="15"/>
        <v>56245.616280000002</v>
      </c>
      <c r="G15" s="34">
        <f t="shared" si="15"/>
        <v>7881.18372</v>
      </c>
      <c r="H15" s="31">
        <f t="shared" si="1"/>
        <v>55869.455640000007</v>
      </c>
      <c r="I15" s="33">
        <f t="shared" si="1"/>
        <v>20979.864360000003</v>
      </c>
      <c r="J15" s="33">
        <f t="shared" si="1"/>
        <v>76849.320000000007</v>
      </c>
      <c r="K15" s="37">
        <f t="shared" si="2"/>
        <v>0.19839630232601668</v>
      </c>
      <c r="L15" s="36">
        <v>16031.7</v>
      </c>
      <c r="M15" s="40">
        <f t="shared" si="16"/>
        <v>14061.404070000001</v>
      </c>
      <c r="N15" s="40">
        <f t="shared" si="17"/>
        <v>1970.29593</v>
      </c>
      <c r="O15" s="40">
        <f t="shared" si="18"/>
        <v>11247.07531</v>
      </c>
      <c r="P15" s="40">
        <f t="shared" si="19"/>
        <v>4223.4546900000005</v>
      </c>
      <c r="Q15" s="115">
        <f>1101.06+24816.39-(16.91+10430.01)</f>
        <v>15470.53</v>
      </c>
      <c r="R15" s="37">
        <f t="shared" si="3"/>
        <v>-3.5003773773211844E-2</v>
      </c>
      <c r="S15" s="36">
        <v>16031.7</v>
      </c>
      <c r="T15" s="40">
        <f t="shared" si="20"/>
        <v>14061.404070000001</v>
      </c>
      <c r="U15" s="40">
        <f t="shared" si="21"/>
        <v>1970.29593</v>
      </c>
      <c r="V15" s="40">
        <f t="shared" si="22"/>
        <v>10632.222330000006</v>
      </c>
      <c r="W15" s="40">
        <f t="shared" si="23"/>
        <v>3992.5676700000026</v>
      </c>
      <c r="X15" s="149">
        <f>1113.84+140193.23-(37931.07+88751.21)</f>
        <v>14624.790000000008</v>
      </c>
      <c r="Y15" s="37">
        <f t="shared" si="4"/>
        <v>-8.7758004453675653E-2</v>
      </c>
      <c r="Z15" s="36">
        <v>16031.7</v>
      </c>
      <c r="AA15" s="40">
        <f t="shared" si="24"/>
        <v>14061.404070000001</v>
      </c>
      <c r="AB15" s="40">
        <f t="shared" si="25"/>
        <v>1970.29593</v>
      </c>
      <c r="AC15" s="40">
        <f t="shared" si="26"/>
        <v>15589.809810000002</v>
      </c>
      <c r="AD15" s="40">
        <f t="shared" si="27"/>
        <v>5854.2201900000009</v>
      </c>
      <c r="AE15" s="116">
        <f>1101.06+20342.97</f>
        <v>21444.030000000002</v>
      </c>
      <c r="AF15" s="37">
        <f t="shared" si="5"/>
        <v>0.33760175152978178</v>
      </c>
      <c r="AG15" s="36">
        <v>16031.7</v>
      </c>
      <c r="AH15" s="40">
        <f t="shared" si="28"/>
        <v>14061.404070000001</v>
      </c>
      <c r="AI15" s="40">
        <f t="shared" si="29"/>
        <v>1970.29593</v>
      </c>
      <c r="AJ15" s="40">
        <f t="shared" si="30"/>
        <v>18400.348189999997</v>
      </c>
      <c r="AK15" s="40">
        <f t="shared" si="31"/>
        <v>6909.6218099999996</v>
      </c>
      <c r="AL15" s="115">
        <f>1109.21+24200.76</f>
        <v>25309.969999999998</v>
      </c>
      <c r="AM15" s="37">
        <f t="shared" si="6"/>
        <v>0.57874523600117245</v>
      </c>
      <c r="AN15" s="36">
        <v>16031.7</v>
      </c>
      <c r="AO15" s="40">
        <f t="shared" si="32"/>
        <v>14061.404070000001</v>
      </c>
      <c r="AP15" s="40">
        <f t="shared" si="33"/>
        <v>1970.29593</v>
      </c>
      <c r="AQ15" s="40">
        <f t="shared" si="34"/>
        <v>0</v>
      </c>
      <c r="AR15" s="40">
        <f t="shared" si="35"/>
        <v>0</v>
      </c>
      <c r="AS15" s="116"/>
      <c r="AT15" s="37">
        <f t="shared" si="7"/>
        <v>-1</v>
      </c>
      <c r="AU15" s="36">
        <v>16031.7</v>
      </c>
      <c r="AV15" s="40">
        <f t="shared" si="36"/>
        <v>14061.404070000001</v>
      </c>
      <c r="AW15" s="40">
        <f t="shared" si="37"/>
        <v>1970.29593</v>
      </c>
      <c r="AX15" s="40">
        <f t="shared" si="38"/>
        <v>0</v>
      </c>
      <c r="AY15" s="40">
        <f t="shared" si="39"/>
        <v>0</v>
      </c>
      <c r="AZ15" s="116"/>
      <c r="BA15" s="37">
        <f t="shared" si="8"/>
        <v>-1</v>
      </c>
      <c r="BB15" s="36">
        <v>17282.400000000001</v>
      </c>
      <c r="BC15" s="40">
        <f t="shared" si="40"/>
        <v>15158.393040000001</v>
      </c>
      <c r="BD15" s="40">
        <f t="shared" si="41"/>
        <v>2124.0069600000002</v>
      </c>
      <c r="BE15" s="40">
        <f t="shared" si="42"/>
        <v>0</v>
      </c>
      <c r="BF15" s="40">
        <f t="shared" si="43"/>
        <v>0</v>
      </c>
      <c r="BG15" s="116"/>
      <c r="BH15" s="37">
        <f t="shared" si="9"/>
        <v>-1</v>
      </c>
      <c r="BI15" s="36">
        <v>16031.7</v>
      </c>
      <c r="BJ15" s="40">
        <f t="shared" si="44"/>
        <v>14061.404070000001</v>
      </c>
      <c r="BK15" s="40">
        <f t="shared" si="45"/>
        <v>1970.29593</v>
      </c>
      <c r="BL15" s="40">
        <f t="shared" si="46"/>
        <v>0</v>
      </c>
      <c r="BM15" s="40">
        <f t="shared" si="47"/>
        <v>0</v>
      </c>
      <c r="BN15" s="116"/>
      <c r="BO15" s="37">
        <f t="shared" si="10"/>
        <v>-1</v>
      </c>
      <c r="BP15" s="36">
        <v>16031.7</v>
      </c>
      <c r="BQ15" s="40">
        <f t="shared" si="48"/>
        <v>14061.404070000001</v>
      </c>
      <c r="BR15" s="40">
        <f t="shared" si="49"/>
        <v>1970.29593</v>
      </c>
      <c r="BS15" s="40">
        <f t="shared" si="50"/>
        <v>0</v>
      </c>
      <c r="BT15" s="40">
        <f t="shared" si="51"/>
        <v>0</v>
      </c>
      <c r="BU15" s="116"/>
      <c r="BV15" s="37">
        <f t="shared" si="11"/>
        <v>-1</v>
      </c>
      <c r="BW15" s="36">
        <v>16031.7</v>
      </c>
      <c r="BX15" s="40">
        <f t="shared" si="52"/>
        <v>14061.404070000001</v>
      </c>
      <c r="BY15" s="40">
        <f t="shared" si="53"/>
        <v>1970.29593</v>
      </c>
      <c r="BZ15" s="40">
        <f t="shared" si="54"/>
        <v>0</v>
      </c>
      <c r="CA15" s="40">
        <f t="shared" si="55"/>
        <v>0</v>
      </c>
      <c r="CB15" s="116"/>
      <c r="CC15" s="37">
        <f t="shared" si="12"/>
        <v>-1</v>
      </c>
      <c r="CD15" s="36">
        <v>16031.7</v>
      </c>
      <c r="CE15" s="40">
        <f t="shared" si="56"/>
        <v>14061.404070000001</v>
      </c>
      <c r="CF15" s="40">
        <f t="shared" si="57"/>
        <v>1970.29593</v>
      </c>
      <c r="CG15" s="40">
        <f t="shared" si="58"/>
        <v>0</v>
      </c>
      <c r="CH15" s="40">
        <f t="shared" si="59"/>
        <v>0</v>
      </c>
      <c r="CI15" s="116"/>
      <c r="CJ15" s="37">
        <f t="shared" si="13"/>
        <v>-1</v>
      </c>
      <c r="CK15" s="36">
        <v>16031.7</v>
      </c>
      <c r="CL15" s="40">
        <f t="shared" si="60"/>
        <v>14061.404070000001</v>
      </c>
      <c r="CM15" s="40">
        <f t="shared" si="61"/>
        <v>1970.29593</v>
      </c>
      <c r="CN15" s="40">
        <f t="shared" si="62"/>
        <v>0</v>
      </c>
      <c r="CO15" s="40">
        <f t="shared" si="63"/>
        <v>0</v>
      </c>
      <c r="CP15" s="116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199999.99999999997</v>
      </c>
      <c r="C16" s="31">
        <f t="shared" si="0"/>
        <v>175420.00000000003</v>
      </c>
      <c r="D16" s="32">
        <f t="shared" si="0"/>
        <v>24579.999999999996</v>
      </c>
      <c r="E16" s="30">
        <f t="shared" si="15"/>
        <v>66666.666666666672</v>
      </c>
      <c r="F16" s="33">
        <f t="shared" si="15"/>
        <v>58473.333333333336</v>
      </c>
      <c r="G16" s="34">
        <f t="shared" si="15"/>
        <v>8193.3333333333339</v>
      </c>
      <c r="H16" s="31">
        <f t="shared" si="1"/>
        <v>126151.63539</v>
      </c>
      <c r="I16" s="33">
        <f t="shared" si="1"/>
        <v>47371.934609999997</v>
      </c>
      <c r="J16" s="33">
        <f t="shared" si="1"/>
        <v>173523.57</v>
      </c>
      <c r="K16" s="37">
        <f t="shared" si="2"/>
        <v>1.6028535499999998</v>
      </c>
      <c r="L16" s="36">
        <v>16666.666666666668</v>
      </c>
      <c r="M16" s="31">
        <f t="shared" si="16"/>
        <v>14618.333333333334</v>
      </c>
      <c r="N16" s="31">
        <f t="shared" si="17"/>
        <v>2048.3333333333335</v>
      </c>
      <c r="O16" s="31">
        <f t="shared" si="18"/>
        <v>26174.217349999999</v>
      </c>
      <c r="P16" s="31">
        <f t="shared" si="19"/>
        <v>9828.8326500000021</v>
      </c>
      <c r="Q16" s="33">
        <f>36003.05</f>
        <v>36003.050000000003</v>
      </c>
      <c r="R16" s="37">
        <f t="shared" si="3"/>
        <v>1.160183</v>
      </c>
      <c r="S16" s="36">
        <v>16666.666666666668</v>
      </c>
      <c r="T16" s="31">
        <f t="shared" si="20"/>
        <v>14618.333333333334</v>
      </c>
      <c r="U16" s="31">
        <f t="shared" si="21"/>
        <v>2048.3333333333335</v>
      </c>
      <c r="V16" s="31">
        <f t="shared" si="22"/>
        <v>21336.795699999999</v>
      </c>
      <c r="W16" s="31">
        <f t="shared" si="23"/>
        <v>8012.3042999999998</v>
      </c>
      <c r="X16" s="148">
        <f>29349.1</f>
        <v>29349.1</v>
      </c>
      <c r="Y16" s="37">
        <f t="shared" si="4"/>
        <v>0.76094599999999968</v>
      </c>
      <c r="Z16" s="36">
        <v>16666.666666666668</v>
      </c>
      <c r="AA16" s="31">
        <f t="shared" si="24"/>
        <v>14618.333333333334</v>
      </c>
      <c r="AB16" s="31">
        <f t="shared" si="25"/>
        <v>2048.3333333333335</v>
      </c>
      <c r="AC16" s="31">
        <f t="shared" si="26"/>
        <v>13969.632150000001</v>
      </c>
      <c r="AD16" s="31">
        <f t="shared" si="27"/>
        <v>5245.8178500000004</v>
      </c>
      <c r="AE16" s="27">
        <f>19215.45</f>
        <v>19215.45</v>
      </c>
      <c r="AF16" s="37">
        <f t="shared" si="5"/>
        <v>0.15292700000000004</v>
      </c>
      <c r="AG16" s="36">
        <v>16666.666666666668</v>
      </c>
      <c r="AH16" s="31">
        <f t="shared" si="28"/>
        <v>14618.333333333334</v>
      </c>
      <c r="AI16" s="31">
        <f t="shared" si="29"/>
        <v>2048.3333333333335</v>
      </c>
      <c r="AJ16" s="31">
        <f t="shared" si="30"/>
        <v>64670.990189999997</v>
      </c>
      <c r="AK16" s="31">
        <f t="shared" si="31"/>
        <v>24284.979810000001</v>
      </c>
      <c r="AL16" s="27">
        <f>63962.61+24993.36</f>
        <v>88955.97</v>
      </c>
      <c r="AM16" s="37">
        <f t="shared" si="6"/>
        <v>4.3373581999999997</v>
      </c>
      <c r="AN16" s="36">
        <v>16666.666666666668</v>
      </c>
      <c r="AO16" s="31">
        <f t="shared" si="32"/>
        <v>14618.333333333334</v>
      </c>
      <c r="AP16" s="31">
        <f t="shared" si="33"/>
        <v>2048.3333333333335</v>
      </c>
      <c r="AQ16" s="31">
        <f t="shared" si="34"/>
        <v>0</v>
      </c>
      <c r="AR16" s="31">
        <f t="shared" si="35"/>
        <v>0</v>
      </c>
      <c r="AS16" s="27"/>
      <c r="AT16" s="37">
        <f t="shared" si="7"/>
        <v>-1</v>
      </c>
      <c r="AU16" s="36">
        <v>16666.666666666668</v>
      </c>
      <c r="AV16" s="31">
        <f t="shared" si="36"/>
        <v>14618.333333333334</v>
      </c>
      <c r="AW16" s="31">
        <f t="shared" si="37"/>
        <v>2048.3333333333335</v>
      </c>
      <c r="AX16" s="31">
        <f t="shared" si="38"/>
        <v>0</v>
      </c>
      <c r="AY16" s="31">
        <f t="shared" si="39"/>
        <v>0</v>
      </c>
      <c r="AZ16" s="27"/>
      <c r="BA16" s="37">
        <f t="shared" si="8"/>
        <v>-1</v>
      </c>
      <c r="BB16" s="36">
        <v>16666.666666666668</v>
      </c>
      <c r="BC16" s="31">
        <f t="shared" si="40"/>
        <v>14618.333333333334</v>
      </c>
      <c r="BD16" s="31">
        <f t="shared" si="41"/>
        <v>2048.3333333333335</v>
      </c>
      <c r="BE16" s="31">
        <f t="shared" si="42"/>
        <v>0</v>
      </c>
      <c r="BF16" s="31">
        <f t="shared" si="43"/>
        <v>0</v>
      </c>
      <c r="BG16" s="27"/>
      <c r="BH16" s="37">
        <f t="shared" si="9"/>
        <v>-1</v>
      </c>
      <c r="BI16" s="36">
        <v>16666.666666666668</v>
      </c>
      <c r="BJ16" s="31">
        <f t="shared" si="44"/>
        <v>14618.333333333334</v>
      </c>
      <c r="BK16" s="31">
        <f t="shared" si="45"/>
        <v>2048.3333333333335</v>
      </c>
      <c r="BL16" s="31">
        <f t="shared" si="46"/>
        <v>0</v>
      </c>
      <c r="BM16" s="31">
        <f t="shared" si="47"/>
        <v>0</v>
      </c>
      <c r="BN16" s="27"/>
      <c r="BO16" s="37">
        <f t="shared" si="10"/>
        <v>-1</v>
      </c>
      <c r="BP16" s="36">
        <v>16666.666666666668</v>
      </c>
      <c r="BQ16" s="31">
        <f t="shared" si="48"/>
        <v>14618.333333333334</v>
      </c>
      <c r="BR16" s="31">
        <f t="shared" si="49"/>
        <v>2048.3333333333335</v>
      </c>
      <c r="BS16" s="31">
        <f t="shared" si="50"/>
        <v>0</v>
      </c>
      <c r="BT16" s="31">
        <f t="shared" si="51"/>
        <v>0</v>
      </c>
      <c r="BU16" s="27"/>
      <c r="BV16" s="37">
        <f t="shared" si="11"/>
        <v>-1</v>
      </c>
      <c r="BW16" s="36">
        <v>16666.666666666668</v>
      </c>
      <c r="BX16" s="31">
        <f t="shared" si="52"/>
        <v>14618.333333333334</v>
      </c>
      <c r="BY16" s="31">
        <f t="shared" si="53"/>
        <v>2048.3333333333335</v>
      </c>
      <c r="BZ16" s="31">
        <f t="shared" si="54"/>
        <v>0</v>
      </c>
      <c r="CA16" s="31">
        <f t="shared" si="55"/>
        <v>0</v>
      </c>
      <c r="CB16" s="27"/>
      <c r="CC16" s="37">
        <f t="shared" si="12"/>
        <v>-1</v>
      </c>
      <c r="CD16" s="36">
        <v>16666.666666666668</v>
      </c>
      <c r="CE16" s="31">
        <f t="shared" si="56"/>
        <v>14618.333333333334</v>
      </c>
      <c r="CF16" s="31">
        <f t="shared" si="57"/>
        <v>2048.3333333333335</v>
      </c>
      <c r="CG16" s="31">
        <f t="shared" si="58"/>
        <v>0</v>
      </c>
      <c r="CH16" s="31">
        <f t="shared" si="59"/>
        <v>0</v>
      </c>
      <c r="CI16" s="27"/>
      <c r="CJ16" s="37">
        <f t="shared" si="13"/>
        <v>-1</v>
      </c>
      <c r="CK16" s="36">
        <v>16666.666666666668</v>
      </c>
      <c r="CL16" s="31">
        <f t="shared" si="60"/>
        <v>14618.333333333334</v>
      </c>
      <c r="CM16" s="31">
        <f t="shared" si="61"/>
        <v>2048.3333333333335</v>
      </c>
      <c r="CN16" s="31">
        <f t="shared" si="62"/>
        <v>0</v>
      </c>
      <c r="CO16" s="31">
        <f t="shared" si="63"/>
        <v>0</v>
      </c>
      <c r="CP16" s="27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801360</v>
      </c>
      <c r="C17" s="31">
        <f t="shared" si="0"/>
        <v>702872.85600000003</v>
      </c>
      <c r="D17" s="32">
        <f t="shared" si="0"/>
        <v>98487.144000000015</v>
      </c>
      <c r="E17" s="30">
        <f t="shared" si="15"/>
        <v>267120</v>
      </c>
      <c r="F17" s="33">
        <f t="shared" si="15"/>
        <v>234290.95199999999</v>
      </c>
      <c r="G17" s="34">
        <f t="shared" si="15"/>
        <v>32829.047999999995</v>
      </c>
      <c r="H17" s="31">
        <f t="shared" si="1"/>
        <v>250451.98708999995</v>
      </c>
      <c r="I17" s="33">
        <f t="shared" si="1"/>
        <v>94048.682910000018</v>
      </c>
      <c r="J17" s="33">
        <f t="shared" si="1"/>
        <v>344500.67000000004</v>
      </c>
      <c r="K17" s="37">
        <f t="shared" si="2"/>
        <v>0.28968504791853866</v>
      </c>
      <c r="L17" s="36">
        <v>66780</v>
      </c>
      <c r="M17" s="31">
        <f t="shared" si="16"/>
        <v>58572.737999999998</v>
      </c>
      <c r="N17" s="31">
        <f t="shared" si="17"/>
        <v>8207.2619999999988</v>
      </c>
      <c r="O17" s="31">
        <f t="shared" si="18"/>
        <v>63463.879390000002</v>
      </c>
      <c r="P17" s="31">
        <f t="shared" si="19"/>
        <v>23831.690610000005</v>
      </c>
      <c r="Q17" s="33">
        <f>87295.57</f>
        <v>87295.57</v>
      </c>
      <c r="R17" s="37">
        <f t="shared" si="3"/>
        <v>0.30721129080563059</v>
      </c>
      <c r="S17" s="36">
        <v>66780</v>
      </c>
      <c r="T17" s="31">
        <f t="shared" si="20"/>
        <v>58572.737999999998</v>
      </c>
      <c r="U17" s="31">
        <f t="shared" si="21"/>
        <v>8207.2619999999988</v>
      </c>
      <c r="V17" s="31">
        <f t="shared" si="22"/>
        <v>47496.138629999994</v>
      </c>
      <c r="W17" s="31">
        <f t="shared" si="23"/>
        <v>17835.551370000001</v>
      </c>
      <c r="X17" s="148">
        <f>64293.74+1037.95</f>
        <v>65331.689999999995</v>
      </c>
      <c r="Y17" s="37">
        <f t="shared" si="4"/>
        <v>-2.1687780772686516E-2</v>
      </c>
      <c r="Z17" s="36">
        <v>66780</v>
      </c>
      <c r="AA17" s="31">
        <f t="shared" si="24"/>
        <v>58572.737999999998</v>
      </c>
      <c r="AB17" s="31">
        <f t="shared" si="25"/>
        <v>8207.2619999999988</v>
      </c>
      <c r="AC17" s="31">
        <f t="shared" si="26"/>
        <v>59261.106929999994</v>
      </c>
      <c r="AD17" s="31">
        <f t="shared" si="27"/>
        <v>22253.483070000002</v>
      </c>
      <c r="AE17" s="27">
        <v>81514.59</v>
      </c>
      <c r="AF17" s="37">
        <f t="shared" si="5"/>
        <v>0.22064375561545368</v>
      </c>
      <c r="AG17" s="36">
        <v>66780</v>
      </c>
      <c r="AH17" s="31">
        <f t="shared" si="28"/>
        <v>58572.737999999998</v>
      </c>
      <c r="AI17" s="31">
        <f t="shared" si="29"/>
        <v>8207.2619999999988</v>
      </c>
      <c r="AJ17" s="31">
        <f t="shared" si="30"/>
        <v>80230.862139999997</v>
      </c>
      <c r="AK17" s="31">
        <f t="shared" si="31"/>
        <v>30127.957860000006</v>
      </c>
      <c r="AL17" s="27">
        <v>110358.82</v>
      </c>
      <c r="AM17" s="37">
        <f t="shared" si="6"/>
        <v>0.65257292602575623</v>
      </c>
      <c r="AN17" s="36">
        <v>66780</v>
      </c>
      <c r="AO17" s="31">
        <f t="shared" si="32"/>
        <v>58572.737999999998</v>
      </c>
      <c r="AP17" s="31">
        <f t="shared" si="33"/>
        <v>8207.2619999999988</v>
      </c>
      <c r="AQ17" s="31">
        <f t="shared" si="34"/>
        <v>0</v>
      </c>
      <c r="AR17" s="31">
        <f t="shared" si="35"/>
        <v>0</v>
      </c>
      <c r="AS17" s="27"/>
      <c r="AT17" s="37">
        <f t="shared" si="7"/>
        <v>-1</v>
      </c>
      <c r="AU17" s="36">
        <v>66780</v>
      </c>
      <c r="AV17" s="31">
        <f t="shared" si="36"/>
        <v>58572.737999999998</v>
      </c>
      <c r="AW17" s="31">
        <f t="shared" si="37"/>
        <v>8207.2619999999988</v>
      </c>
      <c r="AX17" s="31">
        <f t="shared" si="38"/>
        <v>0</v>
      </c>
      <c r="AY17" s="31">
        <f t="shared" si="39"/>
        <v>0</v>
      </c>
      <c r="AZ17" s="27"/>
      <c r="BA17" s="37">
        <f t="shared" si="8"/>
        <v>-1</v>
      </c>
      <c r="BB17" s="36">
        <v>66780</v>
      </c>
      <c r="BC17" s="31">
        <f t="shared" si="40"/>
        <v>58572.737999999998</v>
      </c>
      <c r="BD17" s="31">
        <f t="shared" si="41"/>
        <v>8207.2619999999988</v>
      </c>
      <c r="BE17" s="31">
        <f t="shared" si="42"/>
        <v>0</v>
      </c>
      <c r="BF17" s="31">
        <f t="shared" si="43"/>
        <v>0</v>
      </c>
      <c r="BG17" s="27"/>
      <c r="BH17" s="37">
        <f t="shared" si="9"/>
        <v>-1</v>
      </c>
      <c r="BI17" s="36">
        <v>66780</v>
      </c>
      <c r="BJ17" s="31">
        <f t="shared" si="44"/>
        <v>58572.737999999998</v>
      </c>
      <c r="BK17" s="31">
        <f t="shared" si="45"/>
        <v>8207.2619999999988</v>
      </c>
      <c r="BL17" s="31">
        <f t="shared" si="46"/>
        <v>0</v>
      </c>
      <c r="BM17" s="31">
        <f t="shared" si="47"/>
        <v>0</v>
      </c>
      <c r="BN17" s="27"/>
      <c r="BO17" s="37">
        <f t="shared" si="10"/>
        <v>-1</v>
      </c>
      <c r="BP17" s="36">
        <v>66780</v>
      </c>
      <c r="BQ17" s="31">
        <f t="shared" si="48"/>
        <v>58572.737999999998</v>
      </c>
      <c r="BR17" s="31">
        <f t="shared" si="49"/>
        <v>8207.2619999999988</v>
      </c>
      <c r="BS17" s="31">
        <f t="shared" si="50"/>
        <v>0</v>
      </c>
      <c r="BT17" s="31">
        <f t="shared" si="51"/>
        <v>0</v>
      </c>
      <c r="BU17" s="27"/>
      <c r="BV17" s="37">
        <f t="shared" si="11"/>
        <v>-1</v>
      </c>
      <c r="BW17" s="36">
        <v>66780</v>
      </c>
      <c r="BX17" s="31">
        <f t="shared" si="52"/>
        <v>58572.737999999998</v>
      </c>
      <c r="BY17" s="31">
        <f t="shared" si="53"/>
        <v>8207.2619999999988</v>
      </c>
      <c r="BZ17" s="31">
        <f t="shared" si="54"/>
        <v>0</v>
      </c>
      <c r="CA17" s="31">
        <f t="shared" si="55"/>
        <v>0</v>
      </c>
      <c r="CB17" s="27"/>
      <c r="CC17" s="37">
        <f t="shared" si="12"/>
        <v>-1</v>
      </c>
      <c r="CD17" s="36">
        <v>66780</v>
      </c>
      <c r="CE17" s="31">
        <f t="shared" si="56"/>
        <v>58572.737999999998</v>
      </c>
      <c r="CF17" s="31">
        <f t="shared" si="57"/>
        <v>8207.2619999999988</v>
      </c>
      <c r="CG17" s="31">
        <f t="shared" si="58"/>
        <v>0</v>
      </c>
      <c r="CH17" s="31">
        <f t="shared" si="59"/>
        <v>0</v>
      </c>
      <c r="CI17" s="27"/>
      <c r="CJ17" s="37">
        <f t="shared" si="13"/>
        <v>-1</v>
      </c>
      <c r="CK17" s="36">
        <v>66780</v>
      </c>
      <c r="CL17" s="31">
        <f t="shared" si="60"/>
        <v>58572.737999999998</v>
      </c>
      <c r="CM17" s="31">
        <f t="shared" si="61"/>
        <v>8207.2619999999988</v>
      </c>
      <c r="CN17" s="31">
        <f t="shared" si="62"/>
        <v>0</v>
      </c>
      <c r="CO17" s="31">
        <f t="shared" si="63"/>
        <v>0</v>
      </c>
      <c r="CP17" s="27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124124.00000000001</v>
      </c>
      <c r="C18" s="31">
        <f t="shared" si="0"/>
        <v>108869.16040000001</v>
      </c>
      <c r="D18" s="32">
        <f t="shared" si="0"/>
        <v>15254.839600000001</v>
      </c>
      <c r="E18" s="30">
        <f t="shared" si="15"/>
        <v>41374.666666666664</v>
      </c>
      <c r="F18" s="33">
        <f t="shared" si="15"/>
        <v>36289.720133333329</v>
      </c>
      <c r="G18" s="34">
        <f t="shared" si="15"/>
        <v>5084.9465333333328</v>
      </c>
      <c r="H18" s="31">
        <f t="shared" si="1"/>
        <v>29702.566449999998</v>
      </c>
      <c r="I18" s="33">
        <f t="shared" si="1"/>
        <v>11153.783550000002</v>
      </c>
      <c r="J18" s="33">
        <f t="shared" si="1"/>
        <v>40856.350000000006</v>
      </c>
      <c r="K18" s="37">
        <f t="shared" si="2"/>
        <v>-1.2527391962875667E-2</v>
      </c>
      <c r="L18" s="36">
        <v>10343.666666666666</v>
      </c>
      <c r="M18" s="31">
        <f t="shared" si="16"/>
        <v>9072.4300333333322</v>
      </c>
      <c r="N18" s="31">
        <f t="shared" si="17"/>
        <v>1271.2366333333332</v>
      </c>
      <c r="O18" s="31">
        <f t="shared" si="18"/>
        <v>9031.7172900000005</v>
      </c>
      <c r="P18" s="31">
        <f t="shared" si="19"/>
        <v>3391.5527100000004</v>
      </c>
      <c r="Q18" s="33">
        <v>12423.27</v>
      </c>
      <c r="R18" s="37">
        <f t="shared" si="3"/>
        <v>0.20105088459927178</v>
      </c>
      <c r="S18" s="36">
        <v>10343.666666666666</v>
      </c>
      <c r="T18" s="31">
        <f t="shared" si="20"/>
        <v>9072.4300333333322</v>
      </c>
      <c r="U18" s="31">
        <f t="shared" si="21"/>
        <v>1271.2366333333332</v>
      </c>
      <c r="V18" s="31">
        <f t="shared" si="22"/>
        <v>20342.245159999999</v>
      </c>
      <c r="W18" s="31">
        <f t="shared" si="23"/>
        <v>7638.8348400000013</v>
      </c>
      <c r="X18" s="148">
        <v>27981.08</v>
      </c>
      <c r="Y18" s="37">
        <f t="shared" si="4"/>
        <v>1.7051413103026007</v>
      </c>
      <c r="Z18" s="36">
        <v>10343.666666666666</v>
      </c>
      <c r="AA18" s="31">
        <f t="shared" si="24"/>
        <v>9072.4300333333322</v>
      </c>
      <c r="AB18" s="31">
        <f t="shared" si="25"/>
        <v>1271.2366333333332</v>
      </c>
      <c r="AC18" s="31">
        <f t="shared" si="26"/>
        <v>328.60399999999998</v>
      </c>
      <c r="AD18" s="31">
        <f t="shared" si="27"/>
        <v>123.39600000000002</v>
      </c>
      <c r="AE18" s="27">
        <v>452</v>
      </c>
      <c r="AF18" s="37">
        <f t="shared" si="5"/>
        <v>-0.95630176275337564</v>
      </c>
      <c r="AG18" s="36">
        <v>10343.666666666666</v>
      </c>
      <c r="AH18" s="31">
        <f t="shared" si="28"/>
        <v>9072.4300333333322</v>
      </c>
      <c r="AI18" s="31">
        <f t="shared" si="29"/>
        <v>1271.2366333333332</v>
      </c>
      <c r="AJ18" s="31">
        <f t="shared" si="30"/>
        <v>0</v>
      </c>
      <c r="AK18" s="31">
        <f t="shared" si="31"/>
        <v>0</v>
      </c>
      <c r="AL18" s="27"/>
      <c r="AM18" s="37">
        <f t="shared" si="6"/>
        <v>-1</v>
      </c>
      <c r="AN18" s="36">
        <v>10343.666666666666</v>
      </c>
      <c r="AO18" s="31">
        <f t="shared" si="32"/>
        <v>9072.4300333333322</v>
      </c>
      <c r="AP18" s="31">
        <f t="shared" si="33"/>
        <v>1271.2366333333332</v>
      </c>
      <c r="AQ18" s="31">
        <f t="shared" si="34"/>
        <v>0</v>
      </c>
      <c r="AR18" s="31">
        <f t="shared" si="35"/>
        <v>0</v>
      </c>
      <c r="AS18" s="27"/>
      <c r="AT18" s="37">
        <f t="shared" si="7"/>
        <v>-1</v>
      </c>
      <c r="AU18" s="36">
        <v>10343.666666666666</v>
      </c>
      <c r="AV18" s="31">
        <f t="shared" si="36"/>
        <v>9072.4300333333322</v>
      </c>
      <c r="AW18" s="31">
        <f t="shared" si="37"/>
        <v>1271.2366333333332</v>
      </c>
      <c r="AX18" s="31">
        <f t="shared" si="38"/>
        <v>0</v>
      </c>
      <c r="AY18" s="31">
        <f t="shared" si="39"/>
        <v>0</v>
      </c>
      <c r="AZ18" s="27"/>
      <c r="BA18" s="37">
        <f t="shared" si="8"/>
        <v>-1</v>
      </c>
      <c r="BB18" s="36">
        <v>10343.666666666666</v>
      </c>
      <c r="BC18" s="31">
        <f t="shared" si="40"/>
        <v>9072.4300333333322</v>
      </c>
      <c r="BD18" s="31">
        <f t="shared" si="41"/>
        <v>1271.2366333333332</v>
      </c>
      <c r="BE18" s="31">
        <f t="shared" si="42"/>
        <v>0</v>
      </c>
      <c r="BF18" s="31">
        <f t="shared" si="43"/>
        <v>0</v>
      </c>
      <c r="BG18" s="27"/>
      <c r="BH18" s="37">
        <f t="shared" si="9"/>
        <v>-1</v>
      </c>
      <c r="BI18" s="36">
        <v>10343.666666666666</v>
      </c>
      <c r="BJ18" s="31">
        <f t="shared" si="44"/>
        <v>9072.4300333333322</v>
      </c>
      <c r="BK18" s="31">
        <f t="shared" si="45"/>
        <v>1271.2366333333332</v>
      </c>
      <c r="BL18" s="31">
        <f t="shared" si="46"/>
        <v>0</v>
      </c>
      <c r="BM18" s="31">
        <f t="shared" si="47"/>
        <v>0</v>
      </c>
      <c r="BN18" s="27"/>
      <c r="BO18" s="37">
        <f t="shared" si="10"/>
        <v>-1</v>
      </c>
      <c r="BP18" s="36">
        <v>10343.666666666666</v>
      </c>
      <c r="BQ18" s="31">
        <f t="shared" si="48"/>
        <v>9072.4300333333322</v>
      </c>
      <c r="BR18" s="31">
        <f t="shared" si="49"/>
        <v>1271.2366333333332</v>
      </c>
      <c r="BS18" s="31">
        <f t="shared" si="50"/>
        <v>0</v>
      </c>
      <c r="BT18" s="31">
        <f t="shared" si="51"/>
        <v>0</v>
      </c>
      <c r="BU18" s="27"/>
      <c r="BV18" s="37">
        <f t="shared" si="11"/>
        <v>-1</v>
      </c>
      <c r="BW18" s="36">
        <v>10343.666666666666</v>
      </c>
      <c r="BX18" s="31">
        <f t="shared" si="52"/>
        <v>9072.4300333333322</v>
      </c>
      <c r="BY18" s="31">
        <f t="shared" si="53"/>
        <v>1271.2366333333332</v>
      </c>
      <c r="BZ18" s="31">
        <f t="shared" si="54"/>
        <v>0</v>
      </c>
      <c r="CA18" s="31">
        <f t="shared" si="55"/>
        <v>0</v>
      </c>
      <c r="CB18" s="27"/>
      <c r="CC18" s="37">
        <f t="shared" si="12"/>
        <v>-1</v>
      </c>
      <c r="CD18" s="36">
        <v>10343.666666666666</v>
      </c>
      <c r="CE18" s="31">
        <f t="shared" si="56"/>
        <v>9072.4300333333322</v>
      </c>
      <c r="CF18" s="31">
        <f t="shared" si="57"/>
        <v>1271.2366333333332</v>
      </c>
      <c r="CG18" s="31">
        <f t="shared" si="58"/>
        <v>0</v>
      </c>
      <c r="CH18" s="31">
        <f t="shared" si="59"/>
        <v>0</v>
      </c>
      <c r="CI18" s="27"/>
      <c r="CJ18" s="37">
        <f t="shared" si="13"/>
        <v>-1</v>
      </c>
      <c r="CK18" s="36">
        <v>10343.666666666666</v>
      </c>
      <c r="CL18" s="31">
        <f t="shared" si="60"/>
        <v>9072.4300333333322</v>
      </c>
      <c r="CM18" s="31">
        <f t="shared" si="61"/>
        <v>1271.2366333333332</v>
      </c>
      <c r="CN18" s="31">
        <f t="shared" si="62"/>
        <v>0</v>
      </c>
      <c r="CO18" s="31">
        <f t="shared" si="63"/>
        <v>0</v>
      </c>
      <c r="CP18" s="27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35000.000000000007</v>
      </c>
      <c r="C19" s="31">
        <f t="shared" si="0"/>
        <v>30698.499999999989</v>
      </c>
      <c r="D19" s="32">
        <f t="shared" si="0"/>
        <v>4301.5000000000009</v>
      </c>
      <c r="E19" s="30">
        <f t="shared" si="15"/>
        <v>11666.666666666666</v>
      </c>
      <c r="F19" s="33">
        <f t="shared" si="15"/>
        <v>10232.833333333332</v>
      </c>
      <c r="G19" s="34">
        <f t="shared" si="15"/>
        <v>1433.8333333333333</v>
      </c>
      <c r="H19" s="31">
        <f t="shared" si="1"/>
        <v>11940.56061</v>
      </c>
      <c r="I19" s="33">
        <f t="shared" si="1"/>
        <v>4483.8693900000007</v>
      </c>
      <c r="J19" s="33">
        <f t="shared" si="1"/>
        <v>16424.43</v>
      </c>
      <c r="K19" s="37">
        <f t="shared" si="2"/>
        <v>0.40780828571428573</v>
      </c>
      <c r="L19" s="36">
        <v>2916.6666666666665</v>
      </c>
      <c r="M19" s="31">
        <f t="shared" si="16"/>
        <v>2558.208333333333</v>
      </c>
      <c r="N19" s="31">
        <f t="shared" si="17"/>
        <v>358.45833333333331</v>
      </c>
      <c r="O19" s="31">
        <f t="shared" si="18"/>
        <v>3028.9000999999998</v>
      </c>
      <c r="P19" s="31">
        <f t="shared" si="19"/>
        <v>1137.3999000000001</v>
      </c>
      <c r="Q19" s="33">
        <v>4166.3</v>
      </c>
      <c r="R19" s="37">
        <f t="shared" si="3"/>
        <v>0.42844571428571432</v>
      </c>
      <c r="S19" s="36">
        <v>2916.6666666666665</v>
      </c>
      <c r="T19" s="31">
        <f t="shared" si="20"/>
        <v>2558.208333333333</v>
      </c>
      <c r="U19" s="31">
        <f t="shared" si="21"/>
        <v>358.45833333333331</v>
      </c>
      <c r="V19" s="31">
        <f t="shared" si="22"/>
        <v>3649.3582500000002</v>
      </c>
      <c r="W19" s="31">
        <f t="shared" si="23"/>
        <v>1370.39175</v>
      </c>
      <c r="X19" s="148">
        <f>1037.95+5019.75-1037.95</f>
        <v>5019.75</v>
      </c>
      <c r="Y19" s="37">
        <f t="shared" si="4"/>
        <v>0.72105714285714284</v>
      </c>
      <c r="Z19" s="36">
        <v>2916.6666666666665</v>
      </c>
      <c r="AA19" s="31">
        <f t="shared" si="24"/>
        <v>2558.208333333333</v>
      </c>
      <c r="AB19" s="31">
        <f t="shared" si="25"/>
        <v>358.45833333333331</v>
      </c>
      <c r="AC19" s="31">
        <f t="shared" si="26"/>
        <v>1266.09231</v>
      </c>
      <c r="AD19" s="31">
        <f t="shared" si="27"/>
        <v>475.43769000000003</v>
      </c>
      <c r="AE19" s="27">
        <v>1741.53</v>
      </c>
      <c r="AF19" s="37">
        <f t="shared" si="5"/>
        <v>-0.40290399999999993</v>
      </c>
      <c r="AG19" s="36">
        <v>2916.6666666666665</v>
      </c>
      <c r="AH19" s="31">
        <f t="shared" si="28"/>
        <v>2558.208333333333</v>
      </c>
      <c r="AI19" s="31">
        <f t="shared" si="29"/>
        <v>358.45833333333331</v>
      </c>
      <c r="AJ19" s="31">
        <f t="shared" si="30"/>
        <v>3996.2099500000004</v>
      </c>
      <c r="AK19" s="31">
        <f t="shared" si="31"/>
        <v>1500.6400500000002</v>
      </c>
      <c r="AL19" s="27">
        <v>5496.85</v>
      </c>
      <c r="AM19" s="37">
        <f t="shared" si="6"/>
        <v>0.88463428571428593</v>
      </c>
      <c r="AN19" s="36">
        <v>2916.6666666666665</v>
      </c>
      <c r="AO19" s="31">
        <f t="shared" si="32"/>
        <v>2558.208333333333</v>
      </c>
      <c r="AP19" s="31">
        <f t="shared" si="33"/>
        <v>358.45833333333331</v>
      </c>
      <c r="AQ19" s="31">
        <f t="shared" si="34"/>
        <v>0</v>
      </c>
      <c r="AR19" s="31">
        <f t="shared" si="35"/>
        <v>0</v>
      </c>
      <c r="AS19" s="27"/>
      <c r="AT19" s="37">
        <f t="shared" si="7"/>
        <v>-1</v>
      </c>
      <c r="AU19" s="36">
        <v>2916.6666666666665</v>
      </c>
      <c r="AV19" s="31">
        <f t="shared" si="36"/>
        <v>2558.208333333333</v>
      </c>
      <c r="AW19" s="31">
        <f t="shared" si="37"/>
        <v>358.45833333333331</v>
      </c>
      <c r="AX19" s="31">
        <f t="shared" si="38"/>
        <v>0</v>
      </c>
      <c r="AY19" s="31">
        <f t="shared" si="39"/>
        <v>0</v>
      </c>
      <c r="AZ19" s="27"/>
      <c r="BA19" s="37">
        <f t="shared" si="8"/>
        <v>-1</v>
      </c>
      <c r="BB19" s="36">
        <v>2916.6666666666665</v>
      </c>
      <c r="BC19" s="31">
        <f t="shared" si="40"/>
        <v>2558.208333333333</v>
      </c>
      <c r="BD19" s="31">
        <f t="shared" si="41"/>
        <v>358.45833333333331</v>
      </c>
      <c r="BE19" s="31">
        <f t="shared" si="42"/>
        <v>0</v>
      </c>
      <c r="BF19" s="31">
        <f t="shared" si="43"/>
        <v>0</v>
      </c>
      <c r="BG19" s="27"/>
      <c r="BH19" s="37">
        <f t="shared" si="9"/>
        <v>-1</v>
      </c>
      <c r="BI19" s="36">
        <v>2916.6666666666665</v>
      </c>
      <c r="BJ19" s="31">
        <f t="shared" si="44"/>
        <v>2558.208333333333</v>
      </c>
      <c r="BK19" s="31">
        <f t="shared" si="45"/>
        <v>358.45833333333331</v>
      </c>
      <c r="BL19" s="31">
        <f t="shared" si="46"/>
        <v>0</v>
      </c>
      <c r="BM19" s="31">
        <f t="shared" si="47"/>
        <v>0</v>
      </c>
      <c r="BN19" s="27"/>
      <c r="BO19" s="37">
        <f t="shared" si="10"/>
        <v>-1</v>
      </c>
      <c r="BP19" s="36">
        <v>2916.6666666666665</v>
      </c>
      <c r="BQ19" s="31">
        <f t="shared" si="48"/>
        <v>2558.208333333333</v>
      </c>
      <c r="BR19" s="31">
        <f t="shared" si="49"/>
        <v>358.45833333333331</v>
      </c>
      <c r="BS19" s="31">
        <f t="shared" si="50"/>
        <v>0</v>
      </c>
      <c r="BT19" s="31">
        <f t="shared" si="51"/>
        <v>0</v>
      </c>
      <c r="BU19" s="27"/>
      <c r="BV19" s="37">
        <f t="shared" si="11"/>
        <v>-1</v>
      </c>
      <c r="BW19" s="36">
        <v>2916.6666666666665</v>
      </c>
      <c r="BX19" s="31">
        <f t="shared" si="52"/>
        <v>2558.208333333333</v>
      </c>
      <c r="BY19" s="31">
        <f t="shared" si="53"/>
        <v>358.45833333333331</v>
      </c>
      <c r="BZ19" s="31">
        <f t="shared" si="54"/>
        <v>0</v>
      </c>
      <c r="CA19" s="31">
        <f t="shared" si="55"/>
        <v>0</v>
      </c>
      <c r="CB19" s="27"/>
      <c r="CC19" s="37">
        <f t="shared" si="12"/>
        <v>-1</v>
      </c>
      <c r="CD19" s="36">
        <v>2916.6666666666665</v>
      </c>
      <c r="CE19" s="31">
        <f t="shared" si="56"/>
        <v>2558.208333333333</v>
      </c>
      <c r="CF19" s="31">
        <f t="shared" si="57"/>
        <v>358.45833333333331</v>
      </c>
      <c r="CG19" s="31">
        <f t="shared" si="58"/>
        <v>0</v>
      </c>
      <c r="CH19" s="31">
        <f t="shared" si="59"/>
        <v>0</v>
      </c>
      <c r="CI19" s="27"/>
      <c r="CJ19" s="37">
        <f t="shared" si="13"/>
        <v>-1</v>
      </c>
      <c r="CK19" s="36">
        <v>2916.6666666666665</v>
      </c>
      <c r="CL19" s="31">
        <f t="shared" si="60"/>
        <v>2558.208333333333</v>
      </c>
      <c r="CM19" s="31">
        <f t="shared" si="61"/>
        <v>358.45833333333331</v>
      </c>
      <c r="CN19" s="31">
        <f t="shared" si="62"/>
        <v>0</v>
      </c>
      <c r="CO19" s="31">
        <f t="shared" si="63"/>
        <v>0</v>
      </c>
      <c r="CP19" s="27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1194829.8672228542</v>
      </c>
      <c r="C20" s="31">
        <f t="shared" si="0"/>
        <v>1047985.2765411658</v>
      </c>
      <c r="D20" s="32">
        <f t="shared" si="0"/>
        <v>146844.59068168877</v>
      </c>
      <c r="E20" s="30">
        <f t="shared" si="15"/>
        <v>541940.09377142799</v>
      </c>
      <c r="F20" s="33">
        <f t="shared" si="15"/>
        <v>475335.65624691948</v>
      </c>
      <c r="G20" s="34">
        <f t="shared" si="15"/>
        <v>66604.437524508496</v>
      </c>
      <c r="H20" s="31">
        <f t="shared" si="1"/>
        <v>388701.50588999991</v>
      </c>
      <c r="I20" s="33">
        <f t="shared" si="1"/>
        <v>145963.56411000001</v>
      </c>
      <c r="J20" s="33">
        <f t="shared" si="1"/>
        <v>534665.06999999995</v>
      </c>
      <c r="K20" s="37">
        <f t="shared" si="2"/>
        <v>-1.3424036817058949E-2</v>
      </c>
      <c r="L20" s="36">
        <v>0</v>
      </c>
      <c r="M20" s="31">
        <f t="shared" si="16"/>
        <v>0</v>
      </c>
      <c r="N20" s="31">
        <f t="shared" si="17"/>
        <v>0</v>
      </c>
      <c r="O20" s="31">
        <f t="shared" si="18"/>
        <v>9215.6628300000011</v>
      </c>
      <c r="P20" s="31">
        <f t="shared" si="19"/>
        <v>3460.6271700000007</v>
      </c>
      <c r="Q20" s="33">
        <v>12676.29</v>
      </c>
      <c r="R20" s="37" t="str">
        <f t="shared" si="3"/>
        <v/>
      </c>
      <c r="S20" s="36">
        <v>0</v>
      </c>
      <c r="T20" s="31">
        <f t="shared" si="20"/>
        <v>0</v>
      </c>
      <c r="U20" s="31">
        <f t="shared" si="21"/>
        <v>0</v>
      </c>
      <c r="V20" s="31">
        <f t="shared" si="22"/>
        <v>9592.6414100000002</v>
      </c>
      <c r="W20" s="31">
        <f t="shared" si="23"/>
        <v>3602.1885900000007</v>
      </c>
      <c r="X20" s="148">
        <f>16834.83-3640</f>
        <v>13194.830000000002</v>
      </c>
      <c r="Y20" s="37" t="str">
        <f t="shared" si="4"/>
        <v/>
      </c>
      <c r="Z20" s="36">
        <v>541940.09377142799</v>
      </c>
      <c r="AA20" s="31">
        <f t="shared" si="24"/>
        <v>475335.65624691948</v>
      </c>
      <c r="AB20" s="31">
        <f t="shared" si="25"/>
        <v>66604.437524508496</v>
      </c>
      <c r="AC20" s="31">
        <f t="shared" si="26"/>
        <v>131403.81780999998</v>
      </c>
      <c r="AD20" s="31">
        <f t="shared" si="27"/>
        <v>49344.212190000006</v>
      </c>
      <c r="AE20" s="27">
        <v>180748.03</v>
      </c>
      <c r="AF20" s="37">
        <f t="shared" si="5"/>
        <v>-0.66647968644993183</v>
      </c>
      <c r="AG20" s="36">
        <v>0</v>
      </c>
      <c r="AH20" s="31">
        <f t="shared" si="28"/>
        <v>0</v>
      </c>
      <c r="AI20" s="31">
        <f t="shared" si="29"/>
        <v>0</v>
      </c>
      <c r="AJ20" s="31">
        <f t="shared" si="30"/>
        <v>238489.38383999997</v>
      </c>
      <c r="AK20" s="31">
        <f t="shared" si="31"/>
        <v>89556.536160000003</v>
      </c>
      <c r="AL20" s="27">
        <v>328045.92</v>
      </c>
      <c r="AM20" s="37" t="str">
        <f t="shared" si="6"/>
        <v/>
      </c>
      <c r="AN20" s="36">
        <v>15786.83496</v>
      </c>
      <c r="AO20" s="31">
        <f t="shared" si="32"/>
        <v>13846.632943416</v>
      </c>
      <c r="AP20" s="31">
        <f t="shared" si="33"/>
        <v>1940.2020165839999</v>
      </c>
      <c r="AQ20" s="31">
        <f t="shared" si="34"/>
        <v>0</v>
      </c>
      <c r="AR20" s="31">
        <f t="shared" si="35"/>
        <v>0</v>
      </c>
      <c r="AS20" s="27"/>
      <c r="AT20" s="37">
        <f t="shared" si="7"/>
        <v>-1</v>
      </c>
      <c r="AU20" s="36">
        <v>15786.83496</v>
      </c>
      <c r="AV20" s="31">
        <f t="shared" si="36"/>
        <v>13846.632943416</v>
      </c>
      <c r="AW20" s="31">
        <f t="shared" si="37"/>
        <v>1940.2020165839999</v>
      </c>
      <c r="AX20" s="31">
        <f t="shared" si="38"/>
        <v>0</v>
      </c>
      <c r="AY20" s="31">
        <f t="shared" si="39"/>
        <v>0</v>
      </c>
      <c r="AZ20" s="27"/>
      <c r="BA20" s="37">
        <f t="shared" si="8"/>
        <v>-1</v>
      </c>
      <c r="BB20" s="36">
        <v>262208.83495999902</v>
      </c>
      <c r="BC20" s="31">
        <f t="shared" si="40"/>
        <v>229983.36914341513</v>
      </c>
      <c r="BD20" s="31">
        <f t="shared" si="41"/>
        <v>32225.465816583877</v>
      </c>
      <c r="BE20" s="31">
        <f t="shared" si="42"/>
        <v>0</v>
      </c>
      <c r="BF20" s="31">
        <f t="shared" si="43"/>
        <v>0</v>
      </c>
      <c r="BG20" s="27"/>
      <c r="BH20" s="37">
        <f t="shared" si="9"/>
        <v>-1</v>
      </c>
      <c r="BI20" s="36">
        <v>40176.928731428503</v>
      </c>
      <c r="BJ20" s="31">
        <f t="shared" si="44"/>
        <v>35239.184190335938</v>
      </c>
      <c r="BK20" s="31">
        <f t="shared" si="45"/>
        <v>4937.7445410925629</v>
      </c>
      <c r="BL20" s="31">
        <f t="shared" si="46"/>
        <v>0</v>
      </c>
      <c r="BM20" s="31">
        <f t="shared" si="47"/>
        <v>0</v>
      </c>
      <c r="BN20" s="27"/>
      <c r="BO20" s="37">
        <f t="shared" si="10"/>
        <v>-1</v>
      </c>
      <c r="BP20" s="36">
        <v>271569.83495999902</v>
      </c>
      <c r="BQ20" s="31">
        <f t="shared" si="48"/>
        <v>238193.90224341513</v>
      </c>
      <c r="BR20" s="31">
        <f t="shared" si="49"/>
        <v>33375.932716583877</v>
      </c>
      <c r="BS20" s="31">
        <f t="shared" si="50"/>
        <v>0</v>
      </c>
      <c r="BT20" s="31">
        <f t="shared" si="51"/>
        <v>0</v>
      </c>
      <c r="BU20" s="27"/>
      <c r="BV20" s="37">
        <f t="shared" si="11"/>
        <v>-1</v>
      </c>
      <c r="BW20" s="36">
        <v>15786.83496</v>
      </c>
      <c r="BX20" s="31">
        <f t="shared" si="52"/>
        <v>13846.632943416</v>
      </c>
      <c r="BY20" s="31">
        <f t="shared" si="53"/>
        <v>1940.2020165839999</v>
      </c>
      <c r="BZ20" s="31">
        <f t="shared" si="54"/>
        <v>0</v>
      </c>
      <c r="CA20" s="31">
        <f t="shared" si="55"/>
        <v>0</v>
      </c>
      <c r="CB20" s="27"/>
      <c r="CC20" s="37">
        <f t="shared" si="12"/>
        <v>-1</v>
      </c>
      <c r="CD20" s="36">
        <v>15786.83496</v>
      </c>
      <c r="CE20" s="31">
        <f t="shared" si="56"/>
        <v>13846.632943416</v>
      </c>
      <c r="CF20" s="31">
        <f t="shared" si="57"/>
        <v>1940.2020165839999</v>
      </c>
      <c r="CG20" s="31">
        <f t="shared" si="58"/>
        <v>0</v>
      </c>
      <c r="CH20" s="31">
        <f t="shared" si="59"/>
        <v>0</v>
      </c>
      <c r="CI20" s="27"/>
      <c r="CJ20" s="37">
        <f t="shared" si="13"/>
        <v>-1</v>
      </c>
      <c r="CK20" s="36">
        <v>15786.83496</v>
      </c>
      <c r="CL20" s="31">
        <f t="shared" si="60"/>
        <v>13846.632943416</v>
      </c>
      <c r="CM20" s="31">
        <f t="shared" si="61"/>
        <v>1940.2020165839999</v>
      </c>
      <c r="CN20" s="31">
        <f t="shared" si="62"/>
        <v>0</v>
      </c>
      <c r="CO20" s="31">
        <f t="shared" si="63"/>
        <v>0</v>
      </c>
      <c r="CP20" s="27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69479.495999999897</v>
      </c>
      <c r="C21" s="31">
        <f t="shared" si="0"/>
        <v>60940.465941599912</v>
      </c>
      <c r="D21" s="32">
        <f t="shared" si="0"/>
        <v>8539.030058399987</v>
      </c>
      <c r="E21" s="30">
        <f t="shared" si="15"/>
        <v>69479.495999999897</v>
      </c>
      <c r="F21" s="33">
        <f t="shared" si="15"/>
        <v>60940.465941599912</v>
      </c>
      <c r="G21" s="34">
        <f t="shared" si="15"/>
        <v>8539.030058399987</v>
      </c>
      <c r="H21" s="31">
        <f t="shared" si="1"/>
        <v>13700.300459999999</v>
      </c>
      <c r="I21" s="33">
        <f t="shared" si="1"/>
        <v>5144.679540000001</v>
      </c>
      <c r="J21" s="33">
        <f t="shared" si="1"/>
        <v>18844.98</v>
      </c>
      <c r="K21" s="37">
        <f t="shared" si="2"/>
        <v>-0.72876918969014937</v>
      </c>
      <c r="L21" s="36">
        <v>69479.495999999897</v>
      </c>
      <c r="M21" s="31">
        <f t="shared" si="16"/>
        <v>60940.465941599912</v>
      </c>
      <c r="N21" s="31">
        <f t="shared" si="17"/>
        <v>8539.030058399987</v>
      </c>
      <c r="O21" s="31">
        <f t="shared" si="18"/>
        <v>8550.2324599999993</v>
      </c>
      <c r="P21" s="31">
        <f t="shared" si="19"/>
        <v>3210.7475400000003</v>
      </c>
      <c r="Q21" s="33">
        <f>11760.98</f>
        <v>11760.98</v>
      </c>
      <c r="R21" s="37">
        <f t="shared" si="3"/>
        <v>-0.83072732709517616</v>
      </c>
      <c r="S21" s="36">
        <v>0</v>
      </c>
      <c r="T21" s="31">
        <f t="shared" si="20"/>
        <v>0</v>
      </c>
      <c r="U21" s="31">
        <f t="shared" si="21"/>
        <v>0</v>
      </c>
      <c r="V21" s="31">
        <f t="shared" si="22"/>
        <v>5150.0679999999993</v>
      </c>
      <c r="W21" s="31">
        <f t="shared" si="23"/>
        <v>1933.9320000000002</v>
      </c>
      <c r="X21" s="148">
        <v>7084</v>
      </c>
      <c r="Y21" s="37" t="str">
        <f t="shared" si="4"/>
        <v/>
      </c>
      <c r="Z21" s="36"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27"/>
      <c r="AF21" s="37" t="str">
        <f t="shared" si="5"/>
        <v/>
      </c>
      <c r="AG21" s="36"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27"/>
      <c r="AM21" s="37" t="str">
        <f t="shared" si="6"/>
        <v/>
      </c>
      <c r="AN21" s="36"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27"/>
      <c r="AT21" s="37" t="str">
        <f t="shared" si="7"/>
        <v/>
      </c>
      <c r="AU21" s="36"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27"/>
      <c r="BA21" s="37" t="str">
        <f t="shared" si="8"/>
        <v/>
      </c>
      <c r="BB21" s="36"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9"/>
        <v/>
      </c>
      <c r="BI21" s="36"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27"/>
      <c r="BO21" s="37" t="str">
        <f t="shared" si="10"/>
        <v/>
      </c>
      <c r="BP21" s="36"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27"/>
      <c r="BV21" s="37" t="str">
        <f t="shared" si="11"/>
        <v/>
      </c>
      <c r="BW21" s="36"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27"/>
      <c r="CC21" s="37" t="str">
        <f t="shared" si="12"/>
        <v/>
      </c>
      <c r="CD21" s="36"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27"/>
      <c r="CJ21" s="37" t="str">
        <f t="shared" si="13"/>
        <v/>
      </c>
      <c r="CK21" s="36"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27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399800.53599999874</v>
      </c>
      <c r="C22" s="31">
        <f t="shared" si="0"/>
        <v>350665.05012559897</v>
      </c>
      <c r="D22" s="32">
        <f t="shared" si="0"/>
        <v>49135.485874399856</v>
      </c>
      <c r="E22" s="30">
        <f t="shared" si="15"/>
        <v>133266.84533333295</v>
      </c>
      <c r="F22" s="33">
        <f t="shared" si="15"/>
        <v>116888.35004186633</v>
      </c>
      <c r="G22" s="34">
        <f t="shared" si="15"/>
        <v>16378.495291466619</v>
      </c>
      <c r="H22" s="31">
        <f t="shared" si="1"/>
        <v>212123.26757</v>
      </c>
      <c r="I22" s="33">
        <f t="shared" si="1"/>
        <v>79655.642430000007</v>
      </c>
      <c r="J22" s="33">
        <f t="shared" si="1"/>
        <v>291778.91000000003</v>
      </c>
      <c r="K22" s="37">
        <f t="shared" si="2"/>
        <v>1.1894336079629535</v>
      </c>
      <c r="L22" s="36">
        <v>33316.711333333238</v>
      </c>
      <c r="M22" s="31">
        <f t="shared" si="16"/>
        <v>29222.087510466583</v>
      </c>
      <c r="N22" s="31">
        <f t="shared" si="17"/>
        <v>4094.6238228666548</v>
      </c>
      <c r="O22" s="31">
        <f t="shared" si="18"/>
        <v>163644.72657</v>
      </c>
      <c r="P22" s="31">
        <f t="shared" si="19"/>
        <v>61451.183430000005</v>
      </c>
      <c r="Q22" s="33">
        <f>30290.91+194805</f>
        <v>225095.91</v>
      </c>
      <c r="R22" s="37">
        <f t="shared" si="3"/>
        <v>5.7562463698147912</v>
      </c>
      <c r="S22" s="36">
        <v>33316.711333333238</v>
      </c>
      <c r="T22" s="31">
        <f t="shared" si="20"/>
        <v>29222.087510466583</v>
      </c>
      <c r="U22" s="31">
        <f t="shared" si="21"/>
        <v>4094.6238228666548</v>
      </c>
      <c r="V22" s="31">
        <f t="shared" si="22"/>
        <v>30316.932339999999</v>
      </c>
      <c r="W22" s="31">
        <f t="shared" si="23"/>
        <v>11384.487660000001</v>
      </c>
      <c r="X22" s="148">
        <f>38061.42+3640</f>
        <v>41701.42</v>
      </c>
      <c r="Y22" s="37">
        <f t="shared" si="4"/>
        <v>0.25166675614462264</v>
      </c>
      <c r="Z22" s="36">
        <v>33316.711333333238</v>
      </c>
      <c r="AA22" s="31">
        <f t="shared" si="24"/>
        <v>29222.087510466583</v>
      </c>
      <c r="AB22" s="31">
        <f t="shared" si="25"/>
        <v>4094.6238228666548</v>
      </c>
      <c r="AC22" s="31">
        <f t="shared" si="26"/>
        <v>10775.833909999999</v>
      </c>
      <c r="AD22" s="31">
        <f t="shared" si="27"/>
        <v>4046.4960900000001</v>
      </c>
      <c r="AE22" s="27">
        <f>14822.33</f>
        <v>14822.33</v>
      </c>
      <c r="AF22" s="37">
        <f t="shared" si="5"/>
        <v>-0.55510825028008337</v>
      </c>
      <c r="AG22" s="36">
        <v>33316.711333333238</v>
      </c>
      <c r="AH22" s="31">
        <f t="shared" si="28"/>
        <v>29222.087510466583</v>
      </c>
      <c r="AI22" s="31">
        <f t="shared" si="29"/>
        <v>4094.6238228666548</v>
      </c>
      <c r="AJ22" s="31">
        <f t="shared" si="30"/>
        <v>7385.7747499999996</v>
      </c>
      <c r="AK22" s="31">
        <f t="shared" si="31"/>
        <v>2773.4752500000004</v>
      </c>
      <c r="AL22" s="27">
        <v>10159.25</v>
      </c>
      <c r="AM22" s="37">
        <f t="shared" si="6"/>
        <v>-0.69507044382751815</v>
      </c>
      <c r="AN22" s="36">
        <v>33316.711333333238</v>
      </c>
      <c r="AO22" s="31">
        <f t="shared" si="32"/>
        <v>29222.087510466583</v>
      </c>
      <c r="AP22" s="31">
        <f t="shared" si="33"/>
        <v>4094.6238228666548</v>
      </c>
      <c r="AQ22" s="31">
        <f t="shared" si="34"/>
        <v>0</v>
      </c>
      <c r="AR22" s="31">
        <f t="shared" si="35"/>
        <v>0</v>
      </c>
      <c r="AS22" s="27"/>
      <c r="AT22" s="37">
        <f t="shared" si="7"/>
        <v>-1</v>
      </c>
      <c r="AU22" s="36">
        <v>33316.711333333238</v>
      </c>
      <c r="AV22" s="31">
        <f t="shared" si="36"/>
        <v>29222.087510466583</v>
      </c>
      <c r="AW22" s="31">
        <f t="shared" si="37"/>
        <v>4094.6238228666548</v>
      </c>
      <c r="AX22" s="31">
        <f t="shared" si="38"/>
        <v>0</v>
      </c>
      <c r="AY22" s="31">
        <f t="shared" si="39"/>
        <v>0</v>
      </c>
      <c r="AZ22" s="27"/>
      <c r="BA22" s="37">
        <f t="shared" si="8"/>
        <v>-1</v>
      </c>
      <c r="BB22" s="36">
        <v>33316.711333333238</v>
      </c>
      <c r="BC22" s="31">
        <f t="shared" si="40"/>
        <v>29222.087510466583</v>
      </c>
      <c r="BD22" s="31">
        <f t="shared" si="41"/>
        <v>4094.6238228666548</v>
      </c>
      <c r="BE22" s="31">
        <f t="shared" si="42"/>
        <v>0</v>
      </c>
      <c r="BF22" s="31">
        <f t="shared" si="43"/>
        <v>0</v>
      </c>
      <c r="BG22" s="27"/>
      <c r="BH22" s="37">
        <f t="shared" si="9"/>
        <v>-1</v>
      </c>
      <c r="BI22" s="36">
        <v>33316.711333333238</v>
      </c>
      <c r="BJ22" s="31">
        <f t="shared" si="44"/>
        <v>29222.087510466583</v>
      </c>
      <c r="BK22" s="31">
        <f t="shared" si="45"/>
        <v>4094.6238228666548</v>
      </c>
      <c r="BL22" s="31">
        <f t="shared" si="46"/>
        <v>0</v>
      </c>
      <c r="BM22" s="31">
        <f t="shared" si="47"/>
        <v>0</v>
      </c>
      <c r="BN22" s="27"/>
      <c r="BO22" s="37">
        <f t="shared" si="10"/>
        <v>-1</v>
      </c>
      <c r="BP22" s="36">
        <v>33316.711333333238</v>
      </c>
      <c r="BQ22" s="31">
        <f t="shared" si="48"/>
        <v>29222.087510466583</v>
      </c>
      <c r="BR22" s="31">
        <f t="shared" si="49"/>
        <v>4094.6238228666548</v>
      </c>
      <c r="BS22" s="31">
        <f t="shared" si="50"/>
        <v>0</v>
      </c>
      <c r="BT22" s="31">
        <f t="shared" si="51"/>
        <v>0</v>
      </c>
      <c r="BU22" s="27"/>
      <c r="BV22" s="37">
        <f t="shared" si="11"/>
        <v>-1</v>
      </c>
      <c r="BW22" s="36">
        <v>33316.711333333238</v>
      </c>
      <c r="BX22" s="31">
        <f t="shared" si="52"/>
        <v>29222.087510466583</v>
      </c>
      <c r="BY22" s="31">
        <f t="shared" si="53"/>
        <v>4094.6238228666548</v>
      </c>
      <c r="BZ22" s="31">
        <f t="shared" si="54"/>
        <v>0</v>
      </c>
      <c r="CA22" s="31">
        <f t="shared" si="55"/>
        <v>0</v>
      </c>
      <c r="CB22" s="27"/>
      <c r="CC22" s="37">
        <f t="shared" si="12"/>
        <v>-1</v>
      </c>
      <c r="CD22" s="36">
        <v>33316.711333333238</v>
      </c>
      <c r="CE22" s="31">
        <f t="shared" si="56"/>
        <v>29222.087510466583</v>
      </c>
      <c r="CF22" s="31">
        <f t="shared" si="57"/>
        <v>4094.6238228666548</v>
      </c>
      <c r="CG22" s="31">
        <f t="shared" si="58"/>
        <v>0</v>
      </c>
      <c r="CH22" s="31">
        <f t="shared" si="59"/>
        <v>0</v>
      </c>
      <c r="CI22" s="27"/>
      <c r="CJ22" s="37">
        <f t="shared" si="13"/>
        <v>-1</v>
      </c>
      <c r="CK22" s="36">
        <v>33316.711333333238</v>
      </c>
      <c r="CL22" s="31">
        <f t="shared" si="60"/>
        <v>29222.087510466583</v>
      </c>
      <c r="CM22" s="31">
        <f t="shared" si="61"/>
        <v>4094.6238228666548</v>
      </c>
      <c r="CN22" s="31">
        <f t="shared" si="62"/>
        <v>0</v>
      </c>
      <c r="CO22" s="31">
        <f t="shared" si="63"/>
        <v>0</v>
      </c>
      <c r="CP22" s="27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151.82668000000001</v>
      </c>
      <c r="I23" s="33">
        <f t="shared" si="1"/>
        <v>57.013320000000007</v>
      </c>
      <c r="J23" s="33">
        <f t="shared" si="1"/>
        <v>208.84</v>
      </c>
      <c r="K23" s="37" t="str">
        <f t="shared" si="2"/>
        <v/>
      </c>
      <c r="L23" s="36"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148"/>
      <c r="Y23" s="37" t="str">
        <f t="shared" si="4"/>
        <v/>
      </c>
      <c r="Z23" s="36">
        <v>0</v>
      </c>
      <c r="AA23" s="31">
        <f t="shared" si="24"/>
        <v>0</v>
      </c>
      <c r="AB23" s="31">
        <f t="shared" si="25"/>
        <v>0</v>
      </c>
      <c r="AC23" s="31">
        <f t="shared" si="26"/>
        <v>151.82668000000001</v>
      </c>
      <c r="AD23" s="31">
        <f t="shared" si="27"/>
        <v>57.013320000000007</v>
      </c>
      <c r="AE23" s="27">
        <f>208.84</f>
        <v>208.84</v>
      </c>
      <c r="AF23" s="37" t="str">
        <f t="shared" si="5"/>
        <v/>
      </c>
      <c r="AG23" s="36"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27"/>
      <c r="AM23" s="37" t="str">
        <f t="shared" si="6"/>
        <v/>
      </c>
      <c r="AN23" s="36"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27"/>
      <c r="AT23" s="37" t="str">
        <f t="shared" si="7"/>
        <v/>
      </c>
      <c r="AU23" s="36"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27"/>
      <c r="BA23" s="37" t="str">
        <f t="shared" si="8"/>
        <v/>
      </c>
      <c r="BB23" s="36"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9"/>
        <v/>
      </c>
      <c r="BI23" s="36"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27"/>
      <c r="BO23" s="37" t="str">
        <f t="shared" si="10"/>
        <v/>
      </c>
      <c r="BP23" s="36"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27"/>
      <c r="BV23" s="37" t="str">
        <f t="shared" si="11"/>
        <v/>
      </c>
      <c r="BW23" s="36"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27"/>
      <c r="CC23" s="37" t="str">
        <f t="shared" si="12"/>
        <v/>
      </c>
      <c r="CD23" s="36"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27"/>
      <c r="CJ23" s="37" t="str">
        <f t="shared" si="13"/>
        <v/>
      </c>
      <c r="CK23" s="36"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27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326595.13740225881</v>
      </c>
      <c r="C24" s="31">
        <f t="shared" si="0"/>
        <v>286456.59501552128</v>
      </c>
      <c r="D24" s="32">
        <f t="shared" si="0"/>
        <v>40138.542386737601</v>
      </c>
      <c r="E24" s="30">
        <f t="shared" si="15"/>
        <v>110464.42935915294</v>
      </c>
      <c r="F24" s="33">
        <f t="shared" si="15"/>
        <v>96888.350990913052</v>
      </c>
      <c r="G24" s="34">
        <f t="shared" si="15"/>
        <v>13576.078368239896</v>
      </c>
      <c r="H24" s="31">
        <f t="shared" si="1"/>
        <v>137600.48228</v>
      </c>
      <c r="I24" s="33">
        <f t="shared" si="1"/>
        <v>51671.157720000003</v>
      </c>
      <c r="J24" s="33">
        <f t="shared" si="1"/>
        <v>189271.64</v>
      </c>
      <c r="K24" s="37">
        <f t="shared" si="2"/>
        <v>0.71341708003235338</v>
      </c>
      <c r="L24" s="36">
        <v>27616.107339788236</v>
      </c>
      <c r="M24" s="31">
        <f t="shared" si="16"/>
        <v>24222.087747728263</v>
      </c>
      <c r="N24" s="31">
        <f t="shared" si="17"/>
        <v>3394.019592059974</v>
      </c>
      <c r="O24" s="31">
        <f t="shared" si="18"/>
        <v>47574.080300000001</v>
      </c>
      <c r="P24" s="31">
        <f t="shared" si="19"/>
        <v>17864.8197</v>
      </c>
      <c r="Q24" s="33">
        <f>65438.9</f>
        <v>65438.9</v>
      </c>
      <c r="R24" s="37">
        <f t="shared" si="3"/>
        <v>1.3695917456736608</v>
      </c>
      <c r="S24" s="36">
        <v>27616.107339788236</v>
      </c>
      <c r="T24" s="31">
        <f t="shared" si="20"/>
        <v>24222.087747728263</v>
      </c>
      <c r="U24" s="31">
        <f t="shared" si="21"/>
        <v>3394.019592059974</v>
      </c>
      <c r="V24" s="31">
        <f t="shared" si="22"/>
        <v>33012.212140000003</v>
      </c>
      <c r="W24" s="31">
        <f t="shared" si="23"/>
        <v>12396.60786</v>
      </c>
      <c r="X24" s="148">
        <f>45408.82</f>
        <v>45408.82</v>
      </c>
      <c r="Y24" s="37">
        <f t="shared" si="4"/>
        <v>0.64428749647046391</v>
      </c>
      <c r="Z24" s="36">
        <v>27616.107339788236</v>
      </c>
      <c r="AA24" s="31">
        <f t="shared" si="24"/>
        <v>24222.087747728263</v>
      </c>
      <c r="AB24" s="31">
        <f t="shared" si="25"/>
        <v>3394.019592059974</v>
      </c>
      <c r="AC24" s="31">
        <f t="shared" si="26"/>
        <v>27175.012820000004</v>
      </c>
      <c r="AD24" s="31">
        <f t="shared" si="27"/>
        <v>10204.647180000002</v>
      </c>
      <c r="AE24" s="27">
        <v>37379.660000000003</v>
      </c>
      <c r="AF24" s="37">
        <f t="shared" si="5"/>
        <v>0.35354557903766604</v>
      </c>
      <c r="AG24" s="36">
        <v>27616.107339788236</v>
      </c>
      <c r="AH24" s="31">
        <f t="shared" si="28"/>
        <v>24222.087747728263</v>
      </c>
      <c r="AI24" s="31">
        <f t="shared" si="29"/>
        <v>3394.019592059974</v>
      </c>
      <c r="AJ24" s="31">
        <f t="shared" si="30"/>
        <v>29839.177020000003</v>
      </c>
      <c r="AK24" s="31">
        <f t="shared" si="31"/>
        <v>11205.082980000001</v>
      </c>
      <c r="AL24" s="27">
        <v>41044.26</v>
      </c>
      <c r="AM24" s="37">
        <f t="shared" si="6"/>
        <v>0.48624349894762298</v>
      </c>
      <c r="AN24" s="36">
        <v>27616.107339788236</v>
      </c>
      <c r="AO24" s="31">
        <f t="shared" si="32"/>
        <v>24222.087747728263</v>
      </c>
      <c r="AP24" s="31">
        <f t="shared" si="33"/>
        <v>3394.019592059974</v>
      </c>
      <c r="AQ24" s="31">
        <f t="shared" si="34"/>
        <v>0</v>
      </c>
      <c r="AR24" s="31">
        <f t="shared" si="35"/>
        <v>0</v>
      </c>
      <c r="AS24" s="27"/>
      <c r="AT24" s="37">
        <f t="shared" si="7"/>
        <v>-1</v>
      </c>
      <c r="AU24" s="36">
        <v>27616.107339788236</v>
      </c>
      <c r="AV24" s="31">
        <f t="shared" si="36"/>
        <v>24222.087747728263</v>
      </c>
      <c r="AW24" s="31">
        <f t="shared" si="37"/>
        <v>3394.019592059974</v>
      </c>
      <c r="AX24" s="31">
        <f t="shared" si="38"/>
        <v>0</v>
      </c>
      <c r="AY24" s="31">
        <f t="shared" si="39"/>
        <v>0</v>
      </c>
      <c r="AZ24" s="27"/>
      <c r="BA24" s="37">
        <f t="shared" si="8"/>
        <v>-1</v>
      </c>
      <c r="BB24" s="36">
        <v>22817.956664588237</v>
      </c>
      <c r="BC24" s="31">
        <f t="shared" si="40"/>
        <v>20013.629790510342</v>
      </c>
      <c r="BD24" s="31">
        <f t="shared" si="41"/>
        <v>2804.326874077894</v>
      </c>
      <c r="BE24" s="31">
        <f t="shared" si="42"/>
        <v>0</v>
      </c>
      <c r="BF24" s="31">
        <f t="shared" si="43"/>
        <v>0</v>
      </c>
      <c r="BG24" s="27"/>
      <c r="BH24" s="37">
        <f t="shared" si="9"/>
        <v>-1</v>
      </c>
      <c r="BI24" s="36">
        <v>27616.107339788236</v>
      </c>
      <c r="BJ24" s="31">
        <f t="shared" si="44"/>
        <v>24222.087747728263</v>
      </c>
      <c r="BK24" s="31">
        <f t="shared" si="45"/>
        <v>3394.019592059974</v>
      </c>
      <c r="BL24" s="31">
        <f t="shared" si="46"/>
        <v>0</v>
      </c>
      <c r="BM24" s="31">
        <f t="shared" si="47"/>
        <v>0</v>
      </c>
      <c r="BN24" s="27"/>
      <c r="BO24" s="37">
        <f t="shared" si="10"/>
        <v>-1</v>
      </c>
      <c r="BP24" s="36">
        <v>27616.107339788236</v>
      </c>
      <c r="BQ24" s="31">
        <f t="shared" si="48"/>
        <v>24222.087747728263</v>
      </c>
      <c r="BR24" s="31">
        <f t="shared" si="49"/>
        <v>3394.019592059974</v>
      </c>
      <c r="BS24" s="31">
        <f t="shared" si="50"/>
        <v>0</v>
      </c>
      <c r="BT24" s="31">
        <f t="shared" si="51"/>
        <v>0</v>
      </c>
      <c r="BU24" s="27"/>
      <c r="BV24" s="37">
        <f t="shared" si="11"/>
        <v>-1</v>
      </c>
      <c r="BW24" s="36">
        <v>27616.107339788236</v>
      </c>
      <c r="BX24" s="31">
        <f t="shared" si="52"/>
        <v>24222.087747728263</v>
      </c>
      <c r="BY24" s="31">
        <f t="shared" si="53"/>
        <v>3394.019592059974</v>
      </c>
      <c r="BZ24" s="31">
        <f t="shared" si="54"/>
        <v>0</v>
      </c>
      <c r="CA24" s="31">
        <f t="shared" si="55"/>
        <v>0</v>
      </c>
      <c r="CB24" s="27"/>
      <c r="CC24" s="37">
        <f t="shared" si="12"/>
        <v>-1</v>
      </c>
      <c r="CD24" s="36">
        <v>27616.107339788236</v>
      </c>
      <c r="CE24" s="31">
        <f t="shared" si="56"/>
        <v>24222.087747728263</v>
      </c>
      <c r="CF24" s="31">
        <f t="shared" si="57"/>
        <v>3394.019592059974</v>
      </c>
      <c r="CG24" s="31">
        <f t="shared" si="58"/>
        <v>0</v>
      </c>
      <c r="CH24" s="31">
        <f t="shared" si="59"/>
        <v>0</v>
      </c>
      <c r="CI24" s="27"/>
      <c r="CJ24" s="37">
        <f t="shared" si="13"/>
        <v>-1</v>
      </c>
      <c r="CK24" s="36">
        <v>27616.107339788236</v>
      </c>
      <c r="CL24" s="31">
        <f t="shared" si="60"/>
        <v>24222.087747728263</v>
      </c>
      <c r="CM24" s="31">
        <f t="shared" si="61"/>
        <v>3394.019592059974</v>
      </c>
      <c r="CN24" s="31">
        <f t="shared" si="62"/>
        <v>0</v>
      </c>
      <c r="CO24" s="31">
        <f t="shared" si="63"/>
        <v>0</v>
      </c>
      <c r="CP24" s="27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779350.28239199601</v>
      </c>
      <c r="C25" s="31">
        <f t="shared" si="0"/>
        <v>683568.13268601976</v>
      </c>
      <c r="D25" s="32">
        <f t="shared" si="0"/>
        <v>95782.149705976306</v>
      </c>
      <c r="E25" s="30">
        <f t="shared" si="15"/>
        <v>247153.32831599799</v>
      </c>
      <c r="F25" s="33">
        <f t="shared" si="15"/>
        <v>216778.18426596184</v>
      </c>
      <c r="G25" s="34">
        <f t="shared" si="15"/>
        <v>30375.144050036153</v>
      </c>
      <c r="H25" s="31">
        <f t="shared" si="1"/>
        <v>173892.96204000001</v>
      </c>
      <c r="I25" s="33">
        <f t="shared" si="1"/>
        <v>65299.557960000006</v>
      </c>
      <c r="J25" s="33">
        <f t="shared" si="1"/>
        <v>239192.52</v>
      </c>
      <c r="K25" s="37">
        <f t="shared" si="2"/>
        <v>-3.2209998425834274E-2</v>
      </c>
      <c r="L25" s="36">
        <v>0</v>
      </c>
      <c r="M25" s="31">
        <f t="shared" si="16"/>
        <v>0</v>
      </c>
      <c r="N25" s="31">
        <f t="shared" si="17"/>
        <v>0</v>
      </c>
      <c r="O25" s="31">
        <f t="shared" si="18"/>
        <v>15282.69593</v>
      </c>
      <c r="P25" s="31">
        <f t="shared" si="19"/>
        <v>5738.8940700000003</v>
      </c>
      <c r="Q25" s="33">
        <f>21021.59</f>
        <v>21021.59</v>
      </c>
      <c r="R25" s="37" t="str">
        <f t="shared" si="3"/>
        <v/>
      </c>
      <c r="S25" s="36">
        <v>0</v>
      </c>
      <c r="T25" s="31">
        <f t="shared" si="20"/>
        <v>0</v>
      </c>
      <c r="U25" s="31">
        <f t="shared" si="21"/>
        <v>0</v>
      </c>
      <c r="V25" s="31">
        <f t="shared" si="22"/>
        <v>15625.469160000001</v>
      </c>
      <c r="W25" s="31">
        <f t="shared" si="23"/>
        <v>5867.6108400000012</v>
      </c>
      <c r="X25" s="148">
        <f>21493.08</f>
        <v>21493.08</v>
      </c>
      <c r="Y25" s="37" t="str">
        <f t="shared" si="4"/>
        <v/>
      </c>
      <c r="Z25" s="36">
        <v>105957.473369999</v>
      </c>
      <c r="AA25" s="31">
        <f t="shared" si="24"/>
        <v>92935.299892826122</v>
      </c>
      <c r="AB25" s="31">
        <f t="shared" si="25"/>
        <v>13022.173477172877</v>
      </c>
      <c r="AC25" s="31">
        <f t="shared" si="26"/>
        <v>21656.08683</v>
      </c>
      <c r="AD25" s="31">
        <f t="shared" si="27"/>
        <v>8132.2031700000007</v>
      </c>
      <c r="AE25" s="27">
        <v>29788.29</v>
      </c>
      <c r="AF25" s="37">
        <f t="shared" si="5"/>
        <v>-0.71886560661954868</v>
      </c>
      <c r="AG25" s="36">
        <v>141195.85494599899</v>
      </c>
      <c r="AH25" s="31">
        <f t="shared" si="28"/>
        <v>123842.88437313572</v>
      </c>
      <c r="AI25" s="31">
        <f t="shared" si="29"/>
        <v>17352.970572863276</v>
      </c>
      <c r="AJ25" s="31">
        <f t="shared" si="30"/>
        <v>121328.71012</v>
      </c>
      <c r="AK25" s="31">
        <f t="shared" si="31"/>
        <v>45560.849880000002</v>
      </c>
      <c r="AL25" s="27">
        <v>166889.56</v>
      </c>
      <c r="AM25" s="37">
        <f t="shared" si="6"/>
        <v>0.18197209162993966</v>
      </c>
      <c r="AN25" s="36">
        <v>141195.85494599899</v>
      </c>
      <c r="AO25" s="31">
        <f t="shared" si="32"/>
        <v>123842.88437313572</v>
      </c>
      <c r="AP25" s="31">
        <f t="shared" si="33"/>
        <v>17352.970572863276</v>
      </c>
      <c r="AQ25" s="31">
        <f t="shared" si="34"/>
        <v>0</v>
      </c>
      <c r="AR25" s="31">
        <f t="shared" si="35"/>
        <v>0</v>
      </c>
      <c r="AS25" s="27"/>
      <c r="AT25" s="37">
        <f t="shared" si="7"/>
        <v>-1</v>
      </c>
      <c r="AU25" s="36">
        <v>147005.95279799899</v>
      </c>
      <c r="AV25" s="31">
        <f t="shared" si="36"/>
        <v>128938.92119912492</v>
      </c>
      <c r="AW25" s="31">
        <f t="shared" si="37"/>
        <v>18067.031598874077</v>
      </c>
      <c r="AX25" s="31">
        <f t="shared" si="38"/>
        <v>0</v>
      </c>
      <c r="AY25" s="31">
        <f t="shared" si="39"/>
        <v>0</v>
      </c>
      <c r="AZ25" s="27"/>
      <c r="BA25" s="37">
        <f t="shared" si="8"/>
        <v>-1</v>
      </c>
      <c r="BB25" s="36">
        <v>51146.425397999999</v>
      </c>
      <c r="BC25" s="31">
        <f t="shared" si="40"/>
        <v>44860.529716585799</v>
      </c>
      <c r="BD25" s="31">
        <f t="shared" si="41"/>
        <v>6285.8956814141993</v>
      </c>
      <c r="BE25" s="31">
        <f t="shared" si="42"/>
        <v>0</v>
      </c>
      <c r="BF25" s="31">
        <f t="shared" si="43"/>
        <v>0</v>
      </c>
      <c r="BG25" s="27"/>
      <c r="BH25" s="37">
        <f t="shared" si="9"/>
        <v>-1</v>
      </c>
      <c r="BI25" s="36">
        <v>51146.425397999999</v>
      </c>
      <c r="BJ25" s="31">
        <f t="shared" si="44"/>
        <v>44860.529716585799</v>
      </c>
      <c r="BK25" s="31">
        <f t="shared" si="45"/>
        <v>6285.8956814141993</v>
      </c>
      <c r="BL25" s="31">
        <f t="shared" si="46"/>
        <v>0</v>
      </c>
      <c r="BM25" s="31">
        <f t="shared" si="47"/>
        <v>0</v>
      </c>
      <c r="BN25" s="27"/>
      <c r="BO25" s="37">
        <f t="shared" si="10"/>
        <v>-1</v>
      </c>
      <c r="BP25" s="36">
        <v>51146.425397999999</v>
      </c>
      <c r="BQ25" s="31">
        <f t="shared" si="48"/>
        <v>44860.529716585799</v>
      </c>
      <c r="BR25" s="31">
        <f t="shared" si="49"/>
        <v>6285.8956814141993</v>
      </c>
      <c r="BS25" s="31">
        <f t="shared" si="50"/>
        <v>0</v>
      </c>
      <c r="BT25" s="31">
        <f t="shared" si="51"/>
        <v>0</v>
      </c>
      <c r="BU25" s="27"/>
      <c r="BV25" s="37">
        <f t="shared" si="11"/>
        <v>-1</v>
      </c>
      <c r="BW25" s="36">
        <v>38114.794655999998</v>
      </c>
      <c r="BX25" s="31">
        <f t="shared" si="52"/>
        <v>33430.486392777602</v>
      </c>
      <c r="BY25" s="31">
        <f t="shared" si="53"/>
        <v>4684.3082632223995</v>
      </c>
      <c r="BZ25" s="31">
        <f t="shared" si="54"/>
        <v>0</v>
      </c>
      <c r="CA25" s="31">
        <f t="shared" si="55"/>
        <v>0</v>
      </c>
      <c r="CB25" s="27"/>
      <c r="CC25" s="37">
        <f t="shared" si="12"/>
        <v>-1</v>
      </c>
      <c r="CD25" s="36">
        <v>26220.537741</v>
      </c>
      <c r="CE25" s="31">
        <f t="shared" si="56"/>
        <v>22998.0336526311</v>
      </c>
      <c r="CF25" s="31">
        <f t="shared" si="57"/>
        <v>3222.5040883688998</v>
      </c>
      <c r="CG25" s="31">
        <f t="shared" si="58"/>
        <v>0</v>
      </c>
      <c r="CH25" s="31">
        <f t="shared" si="59"/>
        <v>0</v>
      </c>
      <c r="CI25" s="27"/>
      <c r="CJ25" s="37">
        <f t="shared" si="13"/>
        <v>-1</v>
      </c>
      <c r="CK25" s="36">
        <v>26220.537741</v>
      </c>
      <c r="CL25" s="31">
        <f t="shared" si="60"/>
        <v>22998.0336526311</v>
      </c>
      <c r="CM25" s="31">
        <f t="shared" si="61"/>
        <v>3222.5040883688998</v>
      </c>
      <c r="CN25" s="31">
        <f t="shared" si="62"/>
        <v>0</v>
      </c>
      <c r="CO25" s="31">
        <f t="shared" si="63"/>
        <v>0</v>
      </c>
      <c r="CP25" s="27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4363191.603554775</v>
      </c>
      <c r="C26" s="31">
        <f t="shared" si="0"/>
        <v>3826955.3554778933</v>
      </c>
      <c r="D26" s="32">
        <f t="shared" si="0"/>
        <v>536236.24807688198</v>
      </c>
      <c r="E26" s="30">
        <f t="shared" si="15"/>
        <v>1064424.8913555425</v>
      </c>
      <c r="F26" s="33">
        <f t="shared" si="15"/>
        <v>933607.07220794633</v>
      </c>
      <c r="G26" s="34">
        <f t="shared" si="15"/>
        <v>130817.81914759615</v>
      </c>
      <c r="H26" s="31">
        <f t="shared" si="1"/>
        <v>833692.62252999994</v>
      </c>
      <c r="I26" s="33">
        <f t="shared" si="1"/>
        <v>313064.76747000008</v>
      </c>
      <c r="J26" s="33">
        <f t="shared" si="1"/>
        <v>1146757.3900000001</v>
      </c>
      <c r="K26" s="37">
        <f t="shared" si="2"/>
        <v>7.7349279703152529E-2</v>
      </c>
      <c r="L26" s="36">
        <v>140767.93216225388</v>
      </c>
      <c r="M26" s="31">
        <f t="shared" si="16"/>
        <v>123467.55329951289</v>
      </c>
      <c r="N26" s="31">
        <f t="shared" si="17"/>
        <v>17300.378862741003</v>
      </c>
      <c r="O26" s="31">
        <f t="shared" si="18"/>
        <v>178881.47609999997</v>
      </c>
      <c r="P26" s="31">
        <f t="shared" si="19"/>
        <v>67172.823900000003</v>
      </c>
      <c r="Q26" s="33">
        <f>246054.3</f>
        <v>246054.3</v>
      </c>
      <c r="R26" s="37">
        <f t="shared" si="3"/>
        <v>0.74794284621862217</v>
      </c>
      <c r="S26" s="36">
        <v>268619.65283425379</v>
      </c>
      <c r="T26" s="31">
        <f t="shared" si="20"/>
        <v>235606.297500924</v>
      </c>
      <c r="U26" s="31">
        <f t="shared" si="21"/>
        <v>33013.35533332979</v>
      </c>
      <c r="V26" s="31">
        <f t="shared" si="22"/>
        <v>113186.49914</v>
      </c>
      <c r="W26" s="31">
        <f t="shared" si="23"/>
        <v>42503.320860000007</v>
      </c>
      <c r="X26" s="148">
        <f>203.98+154309.84+1176</f>
        <v>155689.82</v>
      </c>
      <c r="Y26" s="37">
        <f t="shared" si="4"/>
        <v>-0.42040793234117835</v>
      </c>
      <c r="Z26" s="36">
        <v>268619.65283425379</v>
      </c>
      <c r="AA26" s="31">
        <f t="shared" si="24"/>
        <v>235606.297500924</v>
      </c>
      <c r="AB26" s="31">
        <f t="shared" si="25"/>
        <v>33013.35533332979</v>
      </c>
      <c r="AC26" s="31">
        <f t="shared" si="26"/>
        <v>164375.93590000001</v>
      </c>
      <c r="AD26" s="31">
        <f t="shared" si="27"/>
        <v>61725.764100000008</v>
      </c>
      <c r="AE26" s="27">
        <f>1176+224925.7</f>
        <v>226101.7</v>
      </c>
      <c r="AF26" s="37">
        <f t="shared" si="5"/>
        <v>-0.15828310544533619</v>
      </c>
      <c r="AG26" s="36">
        <v>386417.65352478094</v>
      </c>
      <c r="AH26" s="31">
        <f t="shared" si="28"/>
        <v>338926.92390658538</v>
      </c>
      <c r="AI26" s="31">
        <f t="shared" si="29"/>
        <v>47490.729618195575</v>
      </c>
      <c r="AJ26" s="31">
        <f t="shared" si="30"/>
        <v>377248.71138999995</v>
      </c>
      <c r="AK26" s="31">
        <f t="shared" si="31"/>
        <v>141662.85861000002</v>
      </c>
      <c r="AL26" s="27">
        <v>518911.57</v>
      </c>
      <c r="AM26" s="37">
        <f t="shared" si="6"/>
        <v>0.34287749347539132</v>
      </c>
      <c r="AN26" s="36">
        <v>451500.33575425384</v>
      </c>
      <c r="AO26" s="31">
        <f t="shared" si="32"/>
        <v>396010.94449005602</v>
      </c>
      <c r="AP26" s="31">
        <f t="shared" si="33"/>
        <v>55489.391264197795</v>
      </c>
      <c r="AQ26" s="31">
        <f t="shared" si="34"/>
        <v>0</v>
      </c>
      <c r="AR26" s="31">
        <f t="shared" si="35"/>
        <v>0</v>
      </c>
      <c r="AS26" s="27"/>
      <c r="AT26" s="37">
        <f t="shared" si="7"/>
        <v>-1</v>
      </c>
      <c r="AU26" s="36">
        <v>353101.96095994982</v>
      </c>
      <c r="AV26" s="31">
        <f t="shared" si="36"/>
        <v>309705.72995797201</v>
      </c>
      <c r="AW26" s="31">
        <f t="shared" si="37"/>
        <v>43396.231001977831</v>
      </c>
      <c r="AX26" s="31">
        <f t="shared" si="38"/>
        <v>0</v>
      </c>
      <c r="AY26" s="31">
        <f t="shared" si="39"/>
        <v>0</v>
      </c>
      <c r="AZ26" s="27"/>
      <c r="BA26" s="37">
        <f t="shared" si="8"/>
        <v>-1</v>
      </c>
      <c r="BB26" s="36">
        <v>288019.27873047785</v>
      </c>
      <c r="BC26" s="31">
        <f t="shared" si="40"/>
        <v>252621.70937450213</v>
      </c>
      <c r="BD26" s="31">
        <f t="shared" si="41"/>
        <v>35397.569355975727</v>
      </c>
      <c r="BE26" s="31">
        <f t="shared" si="42"/>
        <v>0</v>
      </c>
      <c r="BF26" s="31">
        <f t="shared" si="43"/>
        <v>0</v>
      </c>
      <c r="BG26" s="27"/>
      <c r="BH26" s="37">
        <f t="shared" si="9"/>
        <v>-1</v>
      </c>
      <c r="BI26" s="36">
        <v>404671.0183959498</v>
      </c>
      <c r="BJ26" s="31">
        <f t="shared" si="44"/>
        <v>354936.95023508754</v>
      </c>
      <c r="BK26" s="31">
        <f t="shared" si="45"/>
        <v>49734.068160862225</v>
      </c>
      <c r="BL26" s="31">
        <f t="shared" si="46"/>
        <v>0</v>
      </c>
      <c r="BM26" s="31">
        <f t="shared" si="47"/>
        <v>0</v>
      </c>
      <c r="BN26" s="27"/>
      <c r="BO26" s="37">
        <f t="shared" si="10"/>
        <v>-1</v>
      </c>
      <c r="BP26" s="36">
        <v>503201.92402029067</v>
      </c>
      <c r="BQ26" s="31">
        <f t="shared" si="48"/>
        <v>441358.40755819692</v>
      </c>
      <c r="BR26" s="31">
        <f t="shared" si="49"/>
        <v>61843.516462093721</v>
      </c>
      <c r="BS26" s="31">
        <f t="shared" si="50"/>
        <v>0</v>
      </c>
      <c r="BT26" s="31">
        <f t="shared" si="51"/>
        <v>0</v>
      </c>
      <c r="BU26" s="27"/>
      <c r="BV26" s="37">
        <f t="shared" si="11"/>
        <v>-1</v>
      </c>
      <c r="BW26" s="36">
        <v>462787.69115942577</v>
      </c>
      <c r="BX26" s="31">
        <f t="shared" si="52"/>
        <v>405911.08391593234</v>
      </c>
      <c r="BY26" s="31">
        <f t="shared" si="53"/>
        <v>56876.607243493425</v>
      </c>
      <c r="BZ26" s="31">
        <f t="shared" si="54"/>
        <v>0</v>
      </c>
      <c r="CA26" s="31">
        <f t="shared" si="55"/>
        <v>0</v>
      </c>
      <c r="CB26" s="27"/>
      <c r="CC26" s="37">
        <f t="shared" si="12"/>
        <v>-1</v>
      </c>
      <c r="CD26" s="36">
        <v>485767.93437029066</v>
      </c>
      <c r="CE26" s="31">
        <f t="shared" si="56"/>
        <v>426067.05523618194</v>
      </c>
      <c r="CF26" s="31">
        <f t="shared" si="57"/>
        <v>59700.87913410872</v>
      </c>
      <c r="CG26" s="31">
        <f t="shared" si="58"/>
        <v>0</v>
      </c>
      <c r="CH26" s="31">
        <f t="shared" si="59"/>
        <v>0</v>
      </c>
      <c r="CI26" s="27"/>
      <c r="CJ26" s="37">
        <f t="shared" si="13"/>
        <v>-1</v>
      </c>
      <c r="CK26" s="36">
        <v>349716.56880859466</v>
      </c>
      <c r="CL26" s="31">
        <f t="shared" si="60"/>
        <v>306736.40250201838</v>
      </c>
      <c r="CM26" s="31">
        <f t="shared" si="61"/>
        <v>42980.166306576284</v>
      </c>
      <c r="CN26" s="31">
        <f t="shared" si="62"/>
        <v>0</v>
      </c>
      <c r="CO26" s="31">
        <f t="shared" si="63"/>
        <v>0</v>
      </c>
      <c r="CP26" s="27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221201.8875503999</v>
      </c>
      <c r="C27" s="31">
        <f t="shared" si="0"/>
        <v>194016.17557045579</v>
      </c>
      <c r="D27" s="32">
        <f t="shared" si="0"/>
        <v>27185.711979944146</v>
      </c>
      <c r="E27" s="30">
        <f t="shared" si="15"/>
        <v>67093.850444399999</v>
      </c>
      <c r="F27" s="33">
        <f t="shared" si="15"/>
        <v>58848.016224783241</v>
      </c>
      <c r="G27" s="34">
        <f t="shared" si="15"/>
        <v>8245.8342196167596</v>
      </c>
      <c r="H27" s="31">
        <f t="shared" si="1"/>
        <v>92106.588889999999</v>
      </c>
      <c r="I27" s="33">
        <f t="shared" si="1"/>
        <v>34587.481110000001</v>
      </c>
      <c r="J27" s="33">
        <f t="shared" si="1"/>
        <v>126694.06999999999</v>
      </c>
      <c r="K27" s="37">
        <f t="shared" si="2"/>
        <v>0.88831121124863888</v>
      </c>
      <c r="L27" s="36">
        <v>5568.1590432000003</v>
      </c>
      <c r="M27" s="31">
        <f t="shared" si="16"/>
        <v>4883.8322967907206</v>
      </c>
      <c r="N27" s="31">
        <f t="shared" si="17"/>
        <v>684.32674640927996</v>
      </c>
      <c r="O27" s="31">
        <f t="shared" si="18"/>
        <v>21913.924650000001</v>
      </c>
      <c r="P27" s="31">
        <f t="shared" si="19"/>
        <v>8229.0253500000017</v>
      </c>
      <c r="Q27" s="33">
        <f>30142.95</f>
        <v>30142.95</v>
      </c>
      <c r="R27" s="37">
        <f t="shared" si="3"/>
        <v>4.4134498971992295</v>
      </c>
      <c r="S27" s="36">
        <v>20101.435785599999</v>
      </c>
      <c r="T27" s="31">
        <f t="shared" si="20"/>
        <v>17630.969327549759</v>
      </c>
      <c r="U27" s="31">
        <f t="shared" si="21"/>
        <v>2470.4664580502399</v>
      </c>
      <c r="V27" s="31">
        <f t="shared" si="22"/>
        <v>20386.613969999999</v>
      </c>
      <c r="W27" s="31">
        <f t="shared" si="23"/>
        <v>7655.4960300000012</v>
      </c>
      <c r="X27" s="148">
        <v>28042.11</v>
      </c>
      <c r="Y27" s="37">
        <f t="shared" si="4"/>
        <v>0.39503020078239581</v>
      </c>
      <c r="Z27" s="36">
        <v>20101.435785599999</v>
      </c>
      <c r="AA27" s="31">
        <f t="shared" si="24"/>
        <v>17630.969327549759</v>
      </c>
      <c r="AB27" s="31">
        <f t="shared" si="25"/>
        <v>2470.4664580502399</v>
      </c>
      <c r="AC27" s="31">
        <f t="shared" si="26"/>
        <v>34236.610999999997</v>
      </c>
      <c r="AD27" s="31">
        <f t="shared" si="27"/>
        <v>12856.389000000001</v>
      </c>
      <c r="AE27" s="27">
        <v>47093</v>
      </c>
      <c r="AF27" s="37">
        <f t="shared" si="5"/>
        <v>1.3427679745013967</v>
      </c>
      <c r="AG27" s="36">
        <v>21322.81983</v>
      </c>
      <c r="AH27" s="31">
        <f t="shared" si="28"/>
        <v>18702.245272893</v>
      </c>
      <c r="AI27" s="31">
        <f t="shared" si="29"/>
        <v>2620.5745571070001</v>
      </c>
      <c r="AJ27" s="31">
        <f t="shared" si="30"/>
        <v>15569.439269999999</v>
      </c>
      <c r="AK27" s="31">
        <f t="shared" si="31"/>
        <v>5846.5707300000004</v>
      </c>
      <c r="AL27" s="27">
        <v>21416.01</v>
      </c>
      <c r="AM27" s="37">
        <f t="shared" si="6"/>
        <v>4.3704430625486346E-3</v>
      </c>
      <c r="AN27" s="36">
        <v>8352.5586299999995</v>
      </c>
      <c r="AO27" s="31">
        <f t="shared" si="32"/>
        <v>7326.0291743729995</v>
      </c>
      <c r="AP27" s="31">
        <f t="shared" si="33"/>
        <v>1026.5294556269998</v>
      </c>
      <c r="AQ27" s="31">
        <f t="shared" si="34"/>
        <v>0</v>
      </c>
      <c r="AR27" s="31">
        <f t="shared" si="35"/>
        <v>0</v>
      </c>
      <c r="AS27" s="27"/>
      <c r="AT27" s="37">
        <f t="shared" si="7"/>
        <v>-1</v>
      </c>
      <c r="AU27" s="36">
        <v>26890.978873200002</v>
      </c>
      <c r="AV27" s="31">
        <f t="shared" si="36"/>
        <v>23586.077569683723</v>
      </c>
      <c r="AW27" s="31">
        <f t="shared" si="37"/>
        <v>3304.9013035162802</v>
      </c>
      <c r="AX27" s="31">
        <f t="shared" si="38"/>
        <v>0</v>
      </c>
      <c r="AY27" s="31">
        <f t="shared" si="39"/>
        <v>0</v>
      </c>
      <c r="AZ27" s="27"/>
      <c r="BA27" s="37">
        <f t="shared" si="8"/>
        <v>-1</v>
      </c>
      <c r="BB27" s="36">
        <v>13920.717673200001</v>
      </c>
      <c r="BC27" s="31">
        <f t="shared" si="40"/>
        <v>12209.86147116372</v>
      </c>
      <c r="BD27" s="31">
        <f t="shared" si="41"/>
        <v>1710.8562020362799</v>
      </c>
      <c r="BE27" s="31">
        <f t="shared" si="42"/>
        <v>0</v>
      </c>
      <c r="BF27" s="31">
        <f t="shared" si="43"/>
        <v>0</v>
      </c>
      <c r="BG27" s="27"/>
      <c r="BH27" s="37">
        <f t="shared" si="9"/>
        <v>-1</v>
      </c>
      <c r="BI27" s="36">
        <v>26890.978873200002</v>
      </c>
      <c r="BJ27" s="31">
        <f t="shared" si="44"/>
        <v>23586.077569683723</v>
      </c>
      <c r="BK27" s="31">
        <f t="shared" si="45"/>
        <v>3304.9013035162802</v>
      </c>
      <c r="BL27" s="31">
        <f t="shared" si="46"/>
        <v>0</v>
      </c>
      <c r="BM27" s="31">
        <f t="shared" si="47"/>
        <v>0</v>
      </c>
      <c r="BN27" s="27"/>
      <c r="BO27" s="37">
        <f t="shared" si="10"/>
        <v>-1</v>
      </c>
      <c r="BP27" s="36">
        <v>26890.978873200002</v>
      </c>
      <c r="BQ27" s="31">
        <f t="shared" si="48"/>
        <v>23586.077569683723</v>
      </c>
      <c r="BR27" s="31">
        <f t="shared" si="49"/>
        <v>3304.9013035162802</v>
      </c>
      <c r="BS27" s="31">
        <f t="shared" si="50"/>
        <v>0</v>
      </c>
      <c r="BT27" s="31">
        <f t="shared" si="51"/>
        <v>0</v>
      </c>
      <c r="BU27" s="27"/>
      <c r="BV27" s="37">
        <f t="shared" si="11"/>
        <v>-1</v>
      </c>
      <c r="BW27" s="36">
        <v>20766.0474231999</v>
      </c>
      <c r="BX27" s="31">
        <f t="shared" si="52"/>
        <v>18213.900194888633</v>
      </c>
      <c r="BY27" s="31">
        <f t="shared" si="53"/>
        <v>2552.1472283112676</v>
      </c>
      <c r="BZ27" s="31">
        <f t="shared" si="54"/>
        <v>0</v>
      </c>
      <c r="CA27" s="31">
        <f t="shared" si="55"/>
        <v>0</v>
      </c>
      <c r="CB27" s="27"/>
      <c r="CC27" s="37">
        <f t="shared" si="12"/>
        <v>-1</v>
      </c>
      <c r="CD27" s="36">
        <v>15197.88838</v>
      </c>
      <c r="CE27" s="31">
        <f t="shared" si="56"/>
        <v>13330.067898098001</v>
      </c>
      <c r="CF27" s="31">
        <f t="shared" si="57"/>
        <v>1867.820481902</v>
      </c>
      <c r="CG27" s="31">
        <f t="shared" si="58"/>
        <v>0</v>
      </c>
      <c r="CH27" s="31">
        <f t="shared" si="59"/>
        <v>0</v>
      </c>
      <c r="CI27" s="27"/>
      <c r="CJ27" s="37">
        <f t="shared" si="13"/>
        <v>-1</v>
      </c>
      <c r="CK27" s="36">
        <v>15197.88838</v>
      </c>
      <c r="CL27" s="31">
        <f t="shared" si="60"/>
        <v>13330.067898098001</v>
      </c>
      <c r="CM27" s="31">
        <f t="shared" si="61"/>
        <v>1867.820481902</v>
      </c>
      <c r="CN27" s="31">
        <f t="shared" si="62"/>
        <v>0</v>
      </c>
      <c r="CO27" s="31">
        <f t="shared" si="63"/>
        <v>0</v>
      </c>
      <c r="CP27" s="27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238715.40929999997</v>
      </c>
      <c r="C28" s="31">
        <f t="shared" si="0"/>
        <v>209377.28549703001</v>
      </c>
      <c r="D28" s="32">
        <f t="shared" si="0"/>
        <v>29338.123802970003</v>
      </c>
      <c r="E28" s="30">
        <f t="shared" si="15"/>
        <v>82652.646569999997</v>
      </c>
      <c r="F28" s="33">
        <f t="shared" si="15"/>
        <v>72494.636306547007</v>
      </c>
      <c r="G28" s="34">
        <f t="shared" si="15"/>
        <v>10158.010263452999</v>
      </c>
      <c r="H28" s="31">
        <f t="shared" si="1"/>
        <v>58734.911599999992</v>
      </c>
      <c r="I28" s="33">
        <f t="shared" si="1"/>
        <v>22055.888400000003</v>
      </c>
      <c r="J28" s="33">
        <f t="shared" si="1"/>
        <v>80790.8</v>
      </c>
      <c r="K28" s="37">
        <f t="shared" si="2"/>
        <v>-2.2526157930383595E-2</v>
      </c>
      <c r="L28" s="36">
        <v>17596.727459999998</v>
      </c>
      <c r="M28" s="31">
        <f t="shared" si="16"/>
        <v>15434.089655165999</v>
      </c>
      <c r="N28" s="31">
        <f t="shared" si="17"/>
        <v>2162.6378048339998</v>
      </c>
      <c r="O28" s="31">
        <f t="shared" si="18"/>
        <v>24249.572089999998</v>
      </c>
      <c r="P28" s="31">
        <f t="shared" si="19"/>
        <v>9106.0979100000004</v>
      </c>
      <c r="Q28" s="33">
        <f>33355.67</f>
        <v>33355.67</v>
      </c>
      <c r="R28" s="37">
        <f t="shared" si="3"/>
        <v>0.89556098290562502</v>
      </c>
      <c r="S28" s="36">
        <v>17596.727459999998</v>
      </c>
      <c r="T28" s="31">
        <f t="shared" si="20"/>
        <v>15434.089655165999</v>
      </c>
      <c r="U28" s="31">
        <f t="shared" si="21"/>
        <v>2162.6378048339998</v>
      </c>
      <c r="V28" s="31">
        <f t="shared" si="22"/>
        <v>16764.3292</v>
      </c>
      <c r="W28" s="31">
        <f t="shared" si="23"/>
        <v>6295.2708000000002</v>
      </c>
      <c r="X28" s="148">
        <f>23059.6</f>
        <v>23059.599999999999</v>
      </c>
      <c r="Y28" s="37">
        <f t="shared" si="4"/>
        <v>0.31044820989686461</v>
      </c>
      <c r="Z28" s="36">
        <v>23462.30328</v>
      </c>
      <c r="AA28" s="31">
        <f t="shared" si="24"/>
        <v>20578.786206887999</v>
      </c>
      <c r="AB28" s="31">
        <f t="shared" si="25"/>
        <v>2883.5170731119997</v>
      </c>
      <c r="AC28" s="31">
        <f t="shared" si="26"/>
        <v>6453.1646099999998</v>
      </c>
      <c r="AD28" s="31">
        <f t="shared" si="27"/>
        <v>2423.2653900000005</v>
      </c>
      <c r="AE28" s="27">
        <v>8876.43</v>
      </c>
      <c r="AF28" s="37">
        <f t="shared" si="5"/>
        <v>-0.6216726936793735</v>
      </c>
      <c r="AG28" s="36">
        <v>23996.888370000001</v>
      </c>
      <c r="AH28" s="31">
        <f t="shared" si="28"/>
        <v>21047.670789327</v>
      </c>
      <c r="AI28" s="31">
        <f t="shared" si="29"/>
        <v>2949.2175806730002</v>
      </c>
      <c r="AJ28" s="31">
        <f t="shared" si="30"/>
        <v>11267.8457</v>
      </c>
      <c r="AK28" s="31">
        <f t="shared" si="31"/>
        <v>4231.2543000000005</v>
      </c>
      <c r="AL28" s="27">
        <v>15499.1</v>
      </c>
      <c r="AM28" s="37">
        <f t="shared" si="6"/>
        <v>-0.35412042757275197</v>
      </c>
      <c r="AN28" s="36">
        <v>20529.515370000001</v>
      </c>
      <c r="AO28" s="31">
        <f t="shared" si="32"/>
        <v>18006.437931027001</v>
      </c>
      <c r="AP28" s="31">
        <f t="shared" si="33"/>
        <v>2523.077438973</v>
      </c>
      <c r="AQ28" s="31">
        <f t="shared" si="34"/>
        <v>0</v>
      </c>
      <c r="AR28" s="31">
        <f t="shared" si="35"/>
        <v>0</v>
      </c>
      <c r="AS28" s="27"/>
      <c r="AT28" s="37">
        <f t="shared" si="7"/>
        <v>-1</v>
      </c>
      <c r="AU28" s="36">
        <v>18131.312549999999</v>
      </c>
      <c r="AV28" s="31">
        <f t="shared" si="36"/>
        <v>15902.974237604998</v>
      </c>
      <c r="AW28" s="31">
        <f t="shared" si="37"/>
        <v>2228.3383123949998</v>
      </c>
      <c r="AX28" s="31">
        <f t="shared" si="38"/>
        <v>0</v>
      </c>
      <c r="AY28" s="31">
        <f t="shared" si="39"/>
        <v>0</v>
      </c>
      <c r="AZ28" s="27"/>
      <c r="BA28" s="37">
        <f t="shared" si="8"/>
        <v>-1</v>
      </c>
      <c r="BB28" s="36">
        <v>14663.939549999999</v>
      </c>
      <c r="BC28" s="31">
        <f t="shared" si="40"/>
        <v>12861.741379305</v>
      </c>
      <c r="BD28" s="31">
        <f t="shared" si="41"/>
        <v>1802.1981706949998</v>
      </c>
      <c r="BE28" s="31">
        <f t="shared" si="42"/>
        <v>0</v>
      </c>
      <c r="BF28" s="31">
        <f t="shared" si="43"/>
        <v>0</v>
      </c>
      <c r="BG28" s="27"/>
      <c r="BH28" s="37">
        <f t="shared" si="9"/>
        <v>-1</v>
      </c>
      <c r="BI28" s="36">
        <v>23996.888370000001</v>
      </c>
      <c r="BJ28" s="31">
        <f t="shared" si="44"/>
        <v>21047.670789327</v>
      </c>
      <c r="BK28" s="31">
        <f t="shared" si="45"/>
        <v>2949.2175806730002</v>
      </c>
      <c r="BL28" s="31">
        <f t="shared" si="46"/>
        <v>0</v>
      </c>
      <c r="BM28" s="31">
        <f t="shared" si="47"/>
        <v>0</v>
      </c>
      <c r="BN28" s="27"/>
      <c r="BO28" s="37">
        <f t="shared" si="10"/>
        <v>-1</v>
      </c>
      <c r="BP28" s="36">
        <v>23996.888370000001</v>
      </c>
      <c r="BQ28" s="31">
        <f t="shared" si="48"/>
        <v>21047.670789327</v>
      </c>
      <c r="BR28" s="31">
        <f t="shared" si="49"/>
        <v>2949.2175806730002</v>
      </c>
      <c r="BS28" s="31">
        <f t="shared" si="50"/>
        <v>0</v>
      </c>
      <c r="BT28" s="31">
        <f t="shared" si="51"/>
        <v>0</v>
      </c>
      <c r="BU28" s="27"/>
      <c r="BV28" s="37">
        <f t="shared" si="11"/>
        <v>-1</v>
      </c>
      <c r="BW28" s="36">
        <v>22158.456719999998</v>
      </c>
      <c r="BX28" s="31">
        <f t="shared" si="52"/>
        <v>19435.182389112</v>
      </c>
      <c r="BY28" s="31">
        <f t="shared" si="53"/>
        <v>2723.2743308879999</v>
      </c>
      <c r="BZ28" s="31">
        <f t="shared" si="54"/>
        <v>0</v>
      </c>
      <c r="CA28" s="31">
        <f t="shared" si="55"/>
        <v>0</v>
      </c>
      <c r="CB28" s="27"/>
      <c r="CC28" s="37">
        <f t="shared" si="12"/>
        <v>-1</v>
      </c>
      <c r="CD28" s="36">
        <v>16292.8809</v>
      </c>
      <c r="CE28" s="31">
        <f t="shared" si="56"/>
        <v>14290.485837390001</v>
      </c>
      <c r="CF28" s="31">
        <f t="shared" si="57"/>
        <v>2002.39506261</v>
      </c>
      <c r="CG28" s="31">
        <f t="shared" si="58"/>
        <v>0</v>
      </c>
      <c r="CH28" s="31">
        <f t="shared" si="59"/>
        <v>0</v>
      </c>
      <c r="CI28" s="27"/>
      <c r="CJ28" s="37">
        <f t="shared" si="13"/>
        <v>-1</v>
      </c>
      <c r="CK28" s="36">
        <v>16292.8809</v>
      </c>
      <c r="CL28" s="31">
        <f t="shared" si="60"/>
        <v>14290.485837390001</v>
      </c>
      <c r="CM28" s="31">
        <f t="shared" si="61"/>
        <v>2002.39506261</v>
      </c>
      <c r="CN28" s="31">
        <f t="shared" si="62"/>
        <v>0</v>
      </c>
      <c r="CO28" s="31">
        <f t="shared" si="63"/>
        <v>0</v>
      </c>
      <c r="CP28" s="27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554172.14200000011</v>
      </c>
      <c r="C29" s="31">
        <f t="shared" si="0"/>
        <v>486064.38574820006</v>
      </c>
      <c r="D29" s="32">
        <f t="shared" si="0"/>
        <v>68107.75625179999</v>
      </c>
      <c r="E29" s="30">
        <f t="shared" si="15"/>
        <v>184724.04733333335</v>
      </c>
      <c r="F29" s="33">
        <f t="shared" si="15"/>
        <v>162021.46191606668</v>
      </c>
      <c r="G29" s="34">
        <f t="shared" si="15"/>
        <v>22702.585417266666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v>40256.113333333335</v>
      </c>
      <c r="M29" s="31">
        <f t="shared" si="16"/>
        <v>35308.637004666671</v>
      </c>
      <c r="N29" s="31">
        <f t="shared" si="17"/>
        <v>4947.4763286666666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v>52105.910333333333</v>
      </c>
      <c r="T29" s="31">
        <f t="shared" si="20"/>
        <v>45702.093953366668</v>
      </c>
      <c r="U29" s="31">
        <f t="shared" si="21"/>
        <v>6403.8163799666663</v>
      </c>
      <c r="V29" s="31">
        <f t="shared" si="22"/>
        <v>0</v>
      </c>
      <c r="W29" s="31">
        <f t="shared" si="23"/>
        <v>0</v>
      </c>
      <c r="X29" s="148"/>
      <c r="Y29" s="37">
        <f t="shared" si="4"/>
        <v>-1</v>
      </c>
      <c r="Z29" s="36">
        <v>40256.113333333335</v>
      </c>
      <c r="AA29" s="31">
        <f t="shared" si="24"/>
        <v>35308.637004666671</v>
      </c>
      <c r="AB29" s="31">
        <f t="shared" si="25"/>
        <v>4947.4763286666666</v>
      </c>
      <c r="AC29" s="31">
        <f t="shared" si="26"/>
        <v>0</v>
      </c>
      <c r="AD29" s="31">
        <f t="shared" si="27"/>
        <v>0</v>
      </c>
      <c r="AE29" s="27"/>
      <c r="AF29" s="37">
        <f t="shared" si="5"/>
        <v>-1</v>
      </c>
      <c r="AG29" s="36">
        <v>52105.910333333333</v>
      </c>
      <c r="AH29" s="31">
        <f t="shared" si="28"/>
        <v>45702.093953366668</v>
      </c>
      <c r="AI29" s="31">
        <f t="shared" si="29"/>
        <v>6403.8163799666663</v>
      </c>
      <c r="AJ29" s="31">
        <f t="shared" si="30"/>
        <v>0</v>
      </c>
      <c r="AK29" s="31">
        <f t="shared" si="31"/>
        <v>0</v>
      </c>
      <c r="AL29" s="27"/>
      <c r="AM29" s="37">
        <f t="shared" si="6"/>
        <v>-1</v>
      </c>
      <c r="AN29" s="36">
        <v>40256.113333333335</v>
      </c>
      <c r="AO29" s="31">
        <f t="shared" si="32"/>
        <v>35308.637004666671</v>
      </c>
      <c r="AP29" s="31">
        <f t="shared" si="33"/>
        <v>4947.4763286666666</v>
      </c>
      <c r="AQ29" s="31">
        <f t="shared" si="34"/>
        <v>0</v>
      </c>
      <c r="AR29" s="31">
        <f t="shared" si="35"/>
        <v>0</v>
      </c>
      <c r="AS29" s="27"/>
      <c r="AT29" s="37">
        <f t="shared" si="7"/>
        <v>-1</v>
      </c>
      <c r="AU29" s="36">
        <v>52105.910333333333</v>
      </c>
      <c r="AV29" s="31">
        <f t="shared" si="36"/>
        <v>45702.093953366668</v>
      </c>
      <c r="AW29" s="31">
        <f t="shared" si="37"/>
        <v>6403.8163799666663</v>
      </c>
      <c r="AX29" s="31">
        <f t="shared" si="38"/>
        <v>0</v>
      </c>
      <c r="AY29" s="31">
        <f t="shared" si="39"/>
        <v>0</v>
      </c>
      <c r="AZ29" s="27"/>
      <c r="BA29" s="37">
        <f t="shared" si="8"/>
        <v>-1</v>
      </c>
      <c r="BB29" s="36">
        <v>40256.113333333335</v>
      </c>
      <c r="BC29" s="31">
        <f t="shared" si="40"/>
        <v>35308.637004666671</v>
      </c>
      <c r="BD29" s="31">
        <f t="shared" si="41"/>
        <v>4947.4763286666666</v>
      </c>
      <c r="BE29" s="31">
        <f t="shared" si="42"/>
        <v>0</v>
      </c>
      <c r="BF29" s="31">
        <f t="shared" si="43"/>
        <v>0</v>
      </c>
      <c r="BG29" s="27"/>
      <c r="BH29" s="37">
        <f t="shared" si="9"/>
        <v>-1</v>
      </c>
      <c r="BI29" s="36">
        <v>52105.910333333333</v>
      </c>
      <c r="BJ29" s="31">
        <f t="shared" si="44"/>
        <v>45702.093953366668</v>
      </c>
      <c r="BK29" s="31">
        <f t="shared" si="45"/>
        <v>6403.8163799666663</v>
      </c>
      <c r="BL29" s="31">
        <f t="shared" si="46"/>
        <v>0</v>
      </c>
      <c r="BM29" s="31">
        <f t="shared" si="47"/>
        <v>0</v>
      </c>
      <c r="BN29" s="27"/>
      <c r="BO29" s="37">
        <f t="shared" si="10"/>
        <v>-1</v>
      </c>
      <c r="BP29" s="36">
        <v>40256.113333333335</v>
      </c>
      <c r="BQ29" s="31">
        <f t="shared" si="48"/>
        <v>35308.637004666671</v>
      </c>
      <c r="BR29" s="31">
        <f t="shared" si="49"/>
        <v>4947.4763286666666</v>
      </c>
      <c r="BS29" s="31">
        <f t="shared" si="50"/>
        <v>0</v>
      </c>
      <c r="BT29" s="31">
        <f t="shared" si="51"/>
        <v>0</v>
      </c>
      <c r="BU29" s="27"/>
      <c r="BV29" s="37">
        <f t="shared" si="11"/>
        <v>-1</v>
      </c>
      <c r="BW29" s="36">
        <v>52105.910333333333</v>
      </c>
      <c r="BX29" s="31">
        <f t="shared" si="52"/>
        <v>45702.093953366668</v>
      </c>
      <c r="BY29" s="31">
        <f t="shared" si="53"/>
        <v>6403.8163799666663</v>
      </c>
      <c r="BZ29" s="31">
        <f t="shared" si="54"/>
        <v>0</v>
      </c>
      <c r="CA29" s="31">
        <f t="shared" si="55"/>
        <v>0</v>
      </c>
      <c r="CB29" s="27"/>
      <c r="CC29" s="37">
        <f t="shared" si="12"/>
        <v>-1</v>
      </c>
      <c r="CD29" s="36">
        <v>40256.113333333335</v>
      </c>
      <c r="CE29" s="31">
        <f t="shared" si="56"/>
        <v>35308.637004666671</v>
      </c>
      <c r="CF29" s="31">
        <f t="shared" si="57"/>
        <v>4947.4763286666666</v>
      </c>
      <c r="CG29" s="31">
        <f t="shared" si="58"/>
        <v>0</v>
      </c>
      <c r="CH29" s="31">
        <f t="shared" si="59"/>
        <v>0</v>
      </c>
      <c r="CI29" s="27"/>
      <c r="CJ29" s="37">
        <f t="shared" si="13"/>
        <v>-1</v>
      </c>
      <c r="CK29" s="36">
        <v>52105.910333333333</v>
      </c>
      <c r="CL29" s="31">
        <f t="shared" si="60"/>
        <v>45702.093953366668</v>
      </c>
      <c r="CM29" s="31">
        <f t="shared" si="61"/>
        <v>6403.8163799666663</v>
      </c>
      <c r="CN29" s="31">
        <f t="shared" si="62"/>
        <v>0</v>
      </c>
      <c r="CO29" s="31">
        <f t="shared" si="63"/>
        <v>0</v>
      </c>
      <c r="CP29" s="27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229999.99999999997</v>
      </c>
      <c r="C30" s="31">
        <f t="shared" si="0"/>
        <v>201733.00000000009</v>
      </c>
      <c r="D30" s="32">
        <f t="shared" si="0"/>
        <v>28266.999999999996</v>
      </c>
      <c r="E30" s="30">
        <f t="shared" si="15"/>
        <v>76666.666666666672</v>
      </c>
      <c r="F30" s="33">
        <f t="shared" si="15"/>
        <v>67244.333333333343</v>
      </c>
      <c r="G30" s="34">
        <f t="shared" si="15"/>
        <v>9422.3333333333339</v>
      </c>
      <c r="H30" s="31">
        <f t="shared" si="1"/>
        <v>25011.591679999998</v>
      </c>
      <c r="I30" s="33">
        <f t="shared" si="1"/>
        <v>9392.2483200000006</v>
      </c>
      <c r="J30" s="33">
        <f t="shared" si="1"/>
        <v>34403.839999999997</v>
      </c>
      <c r="K30" s="37">
        <f t="shared" si="2"/>
        <v>-0.5512542608695653</v>
      </c>
      <c r="L30" s="36">
        <v>19166.666666666668</v>
      </c>
      <c r="M30" s="31">
        <f t="shared" si="16"/>
        <v>16811.083333333336</v>
      </c>
      <c r="N30" s="31">
        <f t="shared" si="17"/>
        <v>2355.5833333333335</v>
      </c>
      <c r="O30" s="31">
        <f t="shared" si="18"/>
        <v>24284.591679999998</v>
      </c>
      <c r="P30" s="31">
        <f t="shared" si="19"/>
        <v>9119.2483200000006</v>
      </c>
      <c r="Q30" s="33">
        <f>33403.84</f>
        <v>33403.839999999997</v>
      </c>
      <c r="R30" s="37">
        <f t="shared" si="3"/>
        <v>0.7428090434782606</v>
      </c>
      <c r="S30" s="36">
        <v>19166.666666666668</v>
      </c>
      <c r="T30" s="31">
        <f t="shared" si="20"/>
        <v>16811.083333333336</v>
      </c>
      <c r="U30" s="31">
        <f t="shared" si="21"/>
        <v>2355.5833333333335</v>
      </c>
      <c r="V30" s="31">
        <f t="shared" si="22"/>
        <v>0</v>
      </c>
      <c r="W30" s="31">
        <f t="shared" si="23"/>
        <v>0</v>
      </c>
      <c r="X30" s="148"/>
      <c r="Y30" s="37">
        <f t="shared" si="4"/>
        <v>-1</v>
      </c>
      <c r="Z30" s="36">
        <v>19166.666666666668</v>
      </c>
      <c r="AA30" s="31">
        <f t="shared" si="24"/>
        <v>16811.083333333336</v>
      </c>
      <c r="AB30" s="31">
        <f t="shared" si="25"/>
        <v>2355.5833333333335</v>
      </c>
      <c r="AC30" s="31">
        <f t="shared" si="26"/>
        <v>727</v>
      </c>
      <c r="AD30" s="31">
        <f t="shared" si="27"/>
        <v>273</v>
      </c>
      <c r="AE30" s="27">
        <f>1000</f>
        <v>1000</v>
      </c>
      <c r="AF30" s="37">
        <f t="shared" si="5"/>
        <v>-0.94782608695652171</v>
      </c>
      <c r="AG30" s="36">
        <v>19166.666666666668</v>
      </c>
      <c r="AH30" s="31">
        <f t="shared" si="28"/>
        <v>16811.083333333336</v>
      </c>
      <c r="AI30" s="31">
        <f t="shared" si="29"/>
        <v>2355.5833333333335</v>
      </c>
      <c r="AJ30" s="31">
        <f t="shared" si="30"/>
        <v>0</v>
      </c>
      <c r="AK30" s="31">
        <f t="shared" si="31"/>
        <v>0</v>
      </c>
      <c r="AL30" s="27"/>
      <c r="AM30" s="37">
        <f t="shared" si="6"/>
        <v>-1</v>
      </c>
      <c r="AN30" s="36">
        <v>19166.666666666668</v>
      </c>
      <c r="AO30" s="31">
        <f t="shared" si="32"/>
        <v>16811.083333333336</v>
      </c>
      <c r="AP30" s="31">
        <f t="shared" si="33"/>
        <v>2355.5833333333335</v>
      </c>
      <c r="AQ30" s="31">
        <f t="shared" si="34"/>
        <v>0</v>
      </c>
      <c r="AR30" s="31">
        <f t="shared" si="35"/>
        <v>0</v>
      </c>
      <c r="AS30" s="27"/>
      <c r="AT30" s="37">
        <f t="shared" si="7"/>
        <v>-1</v>
      </c>
      <c r="AU30" s="36">
        <v>19166.666666666668</v>
      </c>
      <c r="AV30" s="31">
        <f t="shared" si="36"/>
        <v>16811.083333333336</v>
      </c>
      <c r="AW30" s="31">
        <f t="shared" si="37"/>
        <v>2355.5833333333335</v>
      </c>
      <c r="AX30" s="31">
        <f t="shared" si="38"/>
        <v>0</v>
      </c>
      <c r="AY30" s="31">
        <f t="shared" si="39"/>
        <v>0</v>
      </c>
      <c r="AZ30" s="27"/>
      <c r="BA30" s="37">
        <f t="shared" si="8"/>
        <v>-1</v>
      </c>
      <c r="BB30" s="36">
        <v>19166.666666666668</v>
      </c>
      <c r="BC30" s="31">
        <f t="shared" si="40"/>
        <v>16811.083333333336</v>
      </c>
      <c r="BD30" s="31">
        <f t="shared" si="41"/>
        <v>2355.5833333333335</v>
      </c>
      <c r="BE30" s="31">
        <f t="shared" si="42"/>
        <v>0</v>
      </c>
      <c r="BF30" s="31">
        <f t="shared" si="43"/>
        <v>0</v>
      </c>
      <c r="BG30" s="27"/>
      <c r="BH30" s="37">
        <f t="shared" si="9"/>
        <v>-1</v>
      </c>
      <c r="BI30" s="36">
        <v>19166.666666666668</v>
      </c>
      <c r="BJ30" s="31">
        <f t="shared" si="44"/>
        <v>16811.083333333336</v>
      </c>
      <c r="BK30" s="31">
        <f t="shared" si="45"/>
        <v>2355.5833333333335</v>
      </c>
      <c r="BL30" s="31">
        <f t="shared" si="46"/>
        <v>0</v>
      </c>
      <c r="BM30" s="31">
        <f t="shared" si="47"/>
        <v>0</v>
      </c>
      <c r="BN30" s="27"/>
      <c r="BO30" s="37">
        <f t="shared" si="10"/>
        <v>-1</v>
      </c>
      <c r="BP30" s="36">
        <v>19166.666666666668</v>
      </c>
      <c r="BQ30" s="31">
        <f t="shared" si="48"/>
        <v>16811.083333333336</v>
      </c>
      <c r="BR30" s="31">
        <f t="shared" si="49"/>
        <v>2355.5833333333335</v>
      </c>
      <c r="BS30" s="31">
        <f t="shared" si="50"/>
        <v>0</v>
      </c>
      <c r="BT30" s="31">
        <f t="shared" si="51"/>
        <v>0</v>
      </c>
      <c r="BU30" s="27"/>
      <c r="BV30" s="37">
        <f t="shared" si="11"/>
        <v>-1</v>
      </c>
      <c r="BW30" s="36">
        <v>19166.666666666668</v>
      </c>
      <c r="BX30" s="31">
        <f t="shared" si="52"/>
        <v>16811.083333333336</v>
      </c>
      <c r="BY30" s="31">
        <f t="shared" si="53"/>
        <v>2355.5833333333335</v>
      </c>
      <c r="BZ30" s="31">
        <f t="shared" si="54"/>
        <v>0</v>
      </c>
      <c r="CA30" s="31">
        <f t="shared" si="55"/>
        <v>0</v>
      </c>
      <c r="CB30" s="27"/>
      <c r="CC30" s="37">
        <f t="shared" si="12"/>
        <v>-1</v>
      </c>
      <c r="CD30" s="36">
        <v>19166.666666666668</v>
      </c>
      <c r="CE30" s="31">
        <f t="shared" si="56"/>
        <v>16811.083333333336</v>
      </c>
      <c r="CF30" s="31">
        <f t="shared" si="57"/>
        <v>2355.5833333333335</v>
      </c>
      <c r="CG30" s="31">
        <f t="shared" si="58"/>
        <v>0</v>
      </c>
      <c r="CH30" s="31">
        <f t="shared" si="59"/>
        <v>0</v>
      </c>
      <c r="CI30" s="27"/>
      <c r="CJ30" s="37">
        <f t="shared" si="13"/>
        <v>-1</v>
      </c>
      <c r="CK30" s="36">
        <v>19166.666666666668</v>
      </c>
      <c r="CL30" s="31">
        <f t="shared" si="60"/>
        <v>16811.083333333336</v>
      </c>
      <c r="CM30" s="31">
        <f t="shared" si="61"/>
        <v>2355.5833333333335</v>
      </c>
      <c r="CN30" s="31">
        <f t="shared" si="62"/>
        <v>0</v>
      </c>
      <c r="CO30" s="31">
        <f t="shared" si="63"/>
        <v>0</v>
      </c>
      <c r="CP30" s="27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199999.99999999997</v>
      </c>
      <c r="C31" s="31">
        <f t="shared" si="0"/>
        <v>175420.00000000003</v>
      </c>
      <c r="D31" s="32">
        <f t="shared" si="0"/>
        <v>24579.999999999996</v>
      </c>
      <c r="E31" s="30">
        <f t="shared" si="15"/>
        <v>66666.666666666672</v>
      </c>
      <c r="F31" s="33">
        <f t="shared" si="15"/>
        <v>58473.333333333336</v>
      </c>
      <c r="G31" s="34">
        <f t="shared" si="15"/>
        <v>8193.3333333333339</v>
      </c>
      <c r="H31" s="31">
        <f t="shared" si="1"/>
        <v>170336.39807</v>
      </c>
      <c r="I31" s="33">
        <f t="shared" si="1"/>
        <v>63964.011930000001</v>
      </c>
      <c r="J31" s="33">
        <f t="shared" si="1"/>
        <v>234300.41</v>
      </c>
      <c r="K31" s="37">
        <f t="shared" si="2"/>
        <v>2.5145061499999999</v>
      </c>
      <c r="L31" s="36">
        <v>16666.666666666668</v>
      </c>
      <c r="M31" s="31">
        <f t="shared" si="16"/>
        <v>14618.333333333334</v>
      </c>
      <c r="N31" s="31">
        <f t="shared" si="17"/>
        <v>2048.3333333333335</v>
      </c>
      <c r="O31" s="31">
        <f t="shared" si="18"/>
        <v>21070.902719999998</v>
      </c>
      <c r="P31" s="31">
        <f t="shared" si="19"/>
        <v>7912.4572800000005</v>
      </c>
      <c r="Q31" s="33">
        <f>3194.68+1900+16200+7688.68</f>
        <v>28983.360000000001</v>
      </c>
      <c r="R31" s="37">
        <f t="shared" si="3"/>
        <v>0.73900159999999993</v>
      </c>
      <c r="S31" s="36">
        <v>16666.666666666668</v>
      </c>
      <c r="T31" s="31">
        <f t="shared" si="20"/>
        <v>14618.333333333334</v>
      </c>
      <c r="U31" s="31">
        <f t="shared" si="21"/>
        <v>2048.3333333333335</v>
      </c>
      <c r="V31" s="31">
        <f t="shared" si="22"/>
        <v>61271.203769999993</v>
      </c>
      <c r="W31" s="31">
        <f t="shared" si="23"/>
        <v>23008.306230000002</v>
      </c>
      <c r="X31" s="148">
        <f>3000+280+73550.72+7448.79</f>
        <v>84279.51</v>
      </c>
      <c r="Y31" s="37">
        <f t="shared" si="4"/>
        <v>4.0567705999999992</v>
      </c>
      <c r="Z31" s="36">
        <v>16666.666666666668</v>
      </c>
      <c r="AA31" s="31">
        <f t="shared" si="24"/>
        <v>14618.333333333334</v>
      </c>
      <c r="AB31" s="31">
        <f t="shared" si="25"/>
        <v>2048.3333333333335</v>
      </c>
      <c r="AC31" s="31">
        <f t="shared" si="26"/>
        <v>47614.639630000005</v>
      </c>
      <c r="AD31" s="31">
        <f t="shared" si="27"/>
        <v>17880.050370000001</v>
      </c>
      <c r="AE31" s="27">
        <f>3090+13899.2+17571.6+22377.3+7219.28+1337.31</f>
        <v>65494.69</v>
      </c>
      <c r="AF31" s="37">
        <f t="shared" si="5"/>
        <v>2.9296813999999998</v>
      </c>
      <c r="AG31" s="36">
        <v>16666.666666666668</v>
      </c>
      <c r="AH31" s="31">
        <f t="shared" si="28"/>
        <v>14618.333333333334</v>
      </c>
      <c r="AI31" s="31">
        <f t="shared" si="29"/>
        <v>2048.3333333333335</v>
      </c>
      <c r="AJ31" s="31">
        <f t="shared" si="30"/>
        <v>40379.651949999999</v>
      </c>
      <c r="AK31" s="31">
        <f t="shared" si="31"/>
        <v>15163.198050000001</v>
      </c>
      <c r="AL31" s="33">
        <f>245+10312.5+2955+13936.65+23514.5+3294+1285.2</f>
        <v>55542.85</v>
      </c>
      <c r="AM31" s="37">
        <f t="shared" si="6"/>
        <v>2.3325709999999997</v>
      </c>
      <c r="AN31" s="36">
        <v>16666.666666666668</v>
      </c>
      <c r="AO31" s="31">
        <f t="shared" si="32"/>
        <v>14618.333333333334</v>
      </c>
      <c r="AP31" s="31">
        <f t="shared" si="33"/>
        <v>2048.3333333333335</v>
      </c>
      <c r="AQ31" s="31">
        <f t="shared" si="34"/>
        <v>0</v>
      </c>
      <c r="AR31" s="31">
        <f t="shared" si="35"/>
        <v>0</v>
      </c>
      <c r="AS31" s="27"/>
      <c r="AT31" s="37">
        <f t="shared" si="7"/>
        <v>-1</v>
      </c>
      <c r="AU31" s="36">
        <v>16666.666666666668</v>
      </c>
      <c r="AV31" s="31">
        <f t="shared" si="36"/>
        <v>14618.333333333334</v>
      </c>
      <c r="AW31" s="31">
        <f t="shared" si="37"/>
        <v>2048.3333333333335</v>
      </c>
      <c r="AX31" s="31">
        <f t="shared" si="38"/>
        <v>0</v>
      </c>
      <c r="AY31" s="31">
        <f t="shared" si="39"/>
        <v>0</v>
      </c>
      <c r="AZ31" s="27"/>
      <c r="BA31" s="37">
        <f t="shared" si="8"/>
        <v>-1</v>
      </c>
      <c r="BB31" s="36">
        <v>16666.666666666668</v>
      </c>
      <c r="BC31" s="31">
        <f t="shared" si="40"/>
        <v>14618.333333333334</v>
      </c>
      <c r="BD31" s="31">
        <f t="shared" si="41"/>
        <v>2048.3333333333335</v>
      </c>
      <c r="BE31" s="31">
        <f t="shared" si="42"/>
        <v>0</v>
      </c>
      <c r="BF31" s="31">
        <f t="shared" si="43"/>
        <v>0</v>
      </c>
      <c r="BG31" s="27"/>
      <c r="BH31" s="37">
        <f t="shared" si="9"/>
        <v>-1</v>
      </c>
      <c r="BI31" s="36">
        <v>16666.666666666668</v>
      </c>
      <c r="BJ31" s="31">
        <f t="shared" si="44"/>
        <v>14618.333333333334</v>
      </c>
      <c r="BK31" s="31">
        <f t="shared" si="45"/>
        <v>2048.3333333333335</v>
      </c>
      <c r="BL31" s="31">
        <f t="shared" si="46"/>
        <v>0</v>
      </c>
      <c r="BM31" s="31">
        <f t="shared" si="47"/>
        <v>0</v>
      </c>
      <c r="BN31" s="27"/>
      <c r="BO31" s="37">
        <f t="shared" si="10"/>
        <v>-1</v>
      </c>
      <c r="BP31" s="36">
        <v>16666.666666666668</v>
      </c>
      <c r="BQ31" s="31">
        <f t="shared" si="48"/>
        <v>14618.333333333334</v>
      </c>
      <c r="BR31" s="31">
        <f t="shared" si="49"/>
        <v>2048.3333333333335</v>
      </c>
      <c r="BS31" s="31">
        <f t="shared" si="50"/>
        <v>0</v>
      </c>
      <c r="BT31" s="31">
        <f t="shared" si="51"/>
        <v>0</v>
      </c>
      <c r="BU31" s="27"/>
      <c r="BV31" s="37">
        <f t="shared" si="11"/>
        <v>-1</v>
      </c>
      <c r="BW31" s="36">
        <v>16666.666666666668</v>
      </c>
      <c r="BX31" s="31">
        <f t="shared" si="52"/>
        <v>14618.333333333334</v>
      </c>
      <c r="BY31" s="31">
        <f t="shared" si="53"/>
        <v>2048.3333333333335</v>
      </c>
      <c r="BZ31" s="31">
        <f t="shared" si="54"/>
        <v>0</v>
      </c>
      <c r="CA31" s="31">
        <f t="shared" si="55"/>
        <v>0</v>
      </c>
      <c r="CB31" s="27"/>
      <c r="CC31" s="37">
        <f t="shared" si="12"/>
        <v>-1</v>
      </c>
      <c r="CD31" s="36">
        <v>16666.666666666668</v>
      </c>
      <c r="CE31" s="31">
        <f t="shared" si="56"/>
        <v>14618.333333333334</v>
      </c>
      <c r="CF31" s="31">
        <f t="shared" si="57"/>
        <v>2048.3333333333335</v>
      </c>
      <c r="CG31" s="31">
        <f t="shared" si="58"/>
        <v>0</v>
      </c>
      <c r="CH31" s="31">
        <f t="shared" si="59"/>
        <v>0</v>
      </c>
      <c r="CI31" s="27"/>
      <c r="CJ31" s="37">
        <f t="shared" si="13"/>
        <v>-1</v>
      </c>
      <c r="CK31" s="36">
        <v>16666.666666666668</v>
      </c>
      <c r="CL31" s="31">
        <f t="shared" si="60"/>
        <v>14618.333333333334</v>
      </c>
      <c r="CM31" s="31">
        <f t="shared" si="61"/>
        <v>2048.3333333333335</v>
      </c>
      <c r="CN31" s="31">
        <f t="shared" si="62"/>
        <v>0</v>
      </c>
      <c r="CO31" s="31">
        <f t="shared" si="63"/>
        <v>0</v>
      </c>
      <c r="CP31" s="27"/>
      <c r="CQ31" s="37">
        <f t="shared" si="14"/>
        <v>-1</v>
      </c>
    </row>
    <row r="32" spans="1:95" s="26" customFormat="1" ht="16" customHeight="1" x14ac:dyDescent="0.2">
      <c r="A32" s="29" t="s">
        <v>107</v>
      </c>
      <c r="B32" s="30">
        <f t="shared" si="0"/>
        <v>4189096.0320000001</v>
      </c>
      <c r="C32" s="31">
        <f t="shared" si="0"/>
        <v>3674256.1296672006</v>
      </c>
      <c r="D32" s="32">
        <f t="shared" si="0"/>
        <v>514839.90233280003</v>
      </c>
      <c r="E32" s="30">
        <f t="shared" si="15"/>
        <v>2249223.5040000002</v>
      </c>
      <c r="F32" s="33">
        <f t="shared" si="15"/>
        <v>1972793.9353584</v>
      </c>
      <c r="G32" s="34">
        <f t="shared" si="15"/>
        <v>276429.56864159997</v>
      </c>
      <c r="H32" s="31">
        <f t="shared" si="1"/>
        <v>1440308.5398599999</v>
      </c>
      <c r="I32" s="33">
        <f t="shared" si="1"/>
        <v>540858.64014000003</v>
      </c>
      <c r="J32" s="33">
        <f t="shared" si="1"/>
        <v>1981167.18</v>
      </c>
      <c r="K32" s="37">
        <f t="shared" si="2"/>
        <v>-0.11917727318929894</v>
      </c>
      <c r="L32" s="36">
        <v>590347.82400000002</v>
      </c>
      <c r="M32" s="31">
        <f t="shared" si="16"/>
        <v>517794.07643040002</v>
      </c>
      <c r="N32" s="31">
        <f t="shared" si="17"/>
        <v>72553.747569600004</v>
      </c>
      <c r="O32" s="31">
        <f t="shared" si="18"/>
        <v>142623.97230999992</v>
      </c>
      <c r="P32" s="31">
        <f t="shared" si="19"/>
        <v>53557.55768999998</v>
      </c>
      <c r="Q32" s="33">
        <f>418390.05+506060.45+9019.09+23021.94-(760310)</f>
        <v>196181.52999999991</v>
      </c>
      <c r="R32" s="37">
        <f t="shared" si="3"/>
        <v>-0.6676848426902986</v>
      </c>
      <c r="S32" s="36">
        <v>552958.56000000006</v>
      </c>
      <c r="T32" s="31">
        <f t="shared" si="20"/>
        <v>484999.95297600003</v>
      </c>
      <c r="U32" s="31">
        <f t="shared" si="21"/>
        <v>67958.607023999997</v>
      </c>
      <c r="V32" s="31">
        <f t="shared" si="22"/>
        <v>391480.44157999998</v>
      </c>
      <c r="W32" s="31">
        <f t="shared" si="23"/>
        <v>147007.09842000002</v>
      </c>
      <c r="X32" s="148">
        <f>523999.46+927.28+8924.4+4636.4</f>
        <v>538487.54</v>
      </c>
      <c r="Y32" s="37">
        <f t="shared" si="4"/>
        <v>-2.6170170871394061E-2</v>
      </c>
      <c r="Z32" s="36">
        <v>552958.56000000006</v>
      </c>
      <c r="AA32" s="31">
        <f t="shared" si="24"/>
        <v>484999.95297600003</v>
      </c>
      <c r="AB32" s="31">
        <f t="shared" si="25"/>
        <v>67958.607023999997</v>
      </c>
      <c r="AC32" s="31">
        <f t="shared" si="26"/>
        <v>493205.48038000002</v>
      </c>
      <c r="AD32" s="31">
        <f t="shared" si="27"/>
        <v>185206.45962000004</v>
      </c>
      <c r="AE32" s="27">
        <f>643241.62+11125.28+24045.04</f>
        <v>678411.94000000006</v>
      </c>
      <c r="AF32" s="37">
        <f t="shared" si="5"/>
        <v>0.22687663972504546</v>
      </c>
      <c r="AG32" s="36">
        <v>552958.56000000006</v>
      </c>
      <c r="AH32" s="31">
        <f t="shared" si="28"/>
        <v>484999.95297600003</v>
      </c>
      <c r="AI32" s="31">
        <f t="shared" si="29"/>
        <v>67958.607023999997</v>
      </c>
      <c r="AJ32" s="31">
        <f t="shared" si="30"/>
        <v>412998.64558999997</v>
      </c>
      <c r="AK32" s="31">
        <f t="shared" si="31"/>
        <v>155087.52440999998</v>
      </c>
      <c r="AL32" s="27">
        <f>522132.17+14227.92+31726.08</f>
        <v>568086.16999999993</v>
      </c>
      <c r="AM32" s="37">
        <f t="shared" si="6"/>
        <v>2.7357583541160579E-2</v>
      </c>
      <c r="AN32" s="36">
        <v>552958.56000000006</v>
      </c>
      <c r="AO32" s="31">
        <f t="shared" si="32"/>
        <v>484999.95297600003</v>
      </c>
      <c r="AP32" s="31">
        <f t="shared" si="33"/>
        <v>67958.607023999997</v>
      </c>
      <c r="AQ32" s="31">
        <f t="shared" si="34"/>
        <v>0</v>
      </c>
      <c r="AR32" s="31">
        <f t="shared" si="35"/>
        <v>0</v>
      </c>
      <c r="AS32" s="27"/>
      <c r="AT32" s="37">
        <f t="shared" si="7"/>
        <v>-1</v>
      </c>
      <c r="AU32" s="36">
        <v>596958.56000000006</v>
      </c>
      <c r="AV32" s="31">
        <f t="shared" si="36"/>
        <v>523592.35297600005</v>
      </c>
      <c r="AW32" s="31">
        <f t="shared" si="37"/>
        <v>73366.207024000003</v>
      </c>
      <c r="AX32" s="31">
        <f t="shared" si="38"/>
        <v>0</v>
      </c>
      <c r="AY32" s="31">
        <f t="shared" si="39"/>
        <v>0</v>
      </c>
      <c r="AZ32" s="27"/>
      <c r="BA32" s="37">
        <f t="shared" si="8"/>
        <v>-1</v>
      </c>
      <c r="BB32" s="36">
        <v>358755.408</v>
      </c>
      <c r="BC32" s="31">
        <f t="shared" si="40"/>
        <v>314664.3683568</v>
      </c>
      <c r="BD32" s="31">
        <f t="shared" si="41"/>
        <v>44091.039643199998</v>
      </c>
      <c r="BE32" s="31">
        <f t="shared" si="42"/>
        <v>0</v>
      </c>
      <c r="BF32" s="31">
        <f t="shared" si="43"/>
        <v>0</v>
      </c>
      <c r="BG32" s="27"/>
      <c r="BH32" s="37">
        <f t="shared" si="9"/>
        <v>-1</v>
      </c>
      <c r="BI32" s="36">
        <v>418880</v>
      </c>
      <c r="BJ32" s="31">
        <f t="shared" si="44"/>
        <v>367399.64799999999</v>
      </c>
      <c r="BK32" s="31">
        <f t="shared" si="45"/>
        <v>51480.351999999999</v>
      </c>
      <c r="BL32" s="31">
        <f t="shared" si="46"/>
        <v>0</v>
      </c>
      <c r="BM32" s="31">
        <f t="shared" si="47"/>
        <v>0</v>
      </c>
      <c r="BN32" s="27"/>
      <c r="BO32" s="37">
        <f t="shared" si="10"/>
        <v>-1</v>
      </c>
      <c r="BP32" s="36">
        <v>6160</v>
      </c>
      <c r="BQ32" s="31">
        <f t="shared" si="48"/>
        <v>5402.9359999999997</v>
      </c>
      <c r="BR32" s="31">
        <f t="shared" si="49"/>
        <v>757.06399999999996</v>
      </c>
      <c r="BS32" s="31">
        <f t="shared" si="50"/>
        <v>0</v>
      </c>
      <c r="BT32" s="31">
        <f t="shared" si="51"/>
        <v>0</v>
      </c>
      <c r="BU32" s="27"/>
      <c r="BV32" s="37">
        <f t="shared" si="11"/>
        <v>-1</v>
      </c>
      <c r="BW32" s="36">
        <v>6160</v>
      </c>
      <c r="BX32" s="31">
        <f t="shared" si="52"/>
        <v>5402.9359999999997</v>
      </c>
      <c r="BY32" s="31">
        <f t="shared" si="53"/>
        <v>757.06399999999996</v>
      </c>
      <c r="BZ32" s="31">
        <f t="shared" si="54"/>
        <v>0</v>
      </c>
      <c r="CA32" s="31">
        <f t="shared" si="55"/>
        <v>0</v>
      </c>
      <c r="CB32" s="27"/>
      <c r="CC32" s="37">
        <f t="shared" si="12"/>
        <v>-1</v>
      </c>
      <c r="CD32" s="36"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27"/>
      <c r="CJ32" s="37" t="str">
        <f t="shared" si="13"/>
        <v/>
      </c>
      <c r="CK32" s="36"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27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2530612.2448979598</v>
      </c>
      <c r="C33" s="31">
        <f t="shared" si="0"/>
        <v>2219600</v>
      </c>
      <c r="D33" s="32">
        <f t="shared" si="0"/>
        <v>311012.24489795923</v>
      </c>
      <c r="E33" s="30">
        <f t="shared" si="15"/>
        <v>1591836.7346938779</v>
      </c>
      <c r="F33" s="33">
        <f t="shared" si="15"/>
        <v>1396200</v>
      </c>
      <c r="G33" s="34">
        <f t="shared" si="15"/>
        <v>195636.73469387757</v>
      </c>
      <c r="H33" s="31">
        <f t="shared" si="1"/>
        <v>1155764.0186299998</v>
      </c>
      <c r="I33" s="33">
        <f t="shared" si="1"/>
        <v>434007.67137</v>
      </c>
      <c r="J33" s="33">
        <f t="shared" si="1"/>
        <v>1589771.6900000002</v>
      </c>
      <c r="K33" s="37">
        <f t="shared" si="2"/>
        <v>-1.2972716666667106E-3</v>
      </c>
      <c r="L33" s="36">
        <v>367346.93877551024</v>
      </c>
      <c r="M33" s="31">
        <f t="shared" si="16"/>
        <v>322200</v>
      </c>
      <c r="N33" s="31">
        <f t="shared" si="17"/>
        <v>45146.938775510207</v>
      </c>
      <c r="O33" s="31">
        <f t="shared" si="18"/>
        <v>227221.49452000001</v>
      </c>
      <c r="P33" s="31">
        <f t="shared" si="19"/>
        <v>85325.265480000002</v>
      </c>
      <c r="Q33" s="33">
        <f>229201.87+83344.89</f>
        <v>312546.76</v>
      </c>
      <c r="R33" s="37">
        <f t="shared" si="3"/>
        <v>-0.14917826444444449</v>
      </c>
      <c r="S33" s="36">
        <v>408163.26530612248</v>
      </c>
      <c r="T33" s="31">
        <f t="shared" si="20"/>
        <v>358000.00000000006</v>
      </c>
      <c r="U33" s="31">
        <f t="shared" si="21"/>
        <v>50163.265306122448</v>
      </c>
      <c r="V33" s="31">
        <f t="shared" si="22"/>
        <v>79860.971809999988</v>
      </c>
      <c r="W33" s="31">
        <f t="shared" si="23"/>
        <v>29989.058190000003</v>
      </c>
      <c r="X33" s="148">
        <v>109850.03</v>
      </c>
      <c r="Y33" s="37">
        <f t="shared" si="4"/>
        <v>-0.73086742650000003</v>
      </c>
      <c r="Z33" s="36">
        <v>408163.26530612248</v>
      </c>
      <c r="AA33" s="31">
        <f t="shared" si="24"/>
        <v>358000.00000000006</v>
      </c>
      <c r="AB33" s="31">
        <f t="shared" si="25"/>
        <v>50163.265306122448</v>
      </c>
      <c r="AC33" s="31">
        <f t="shared" si="26"/>
        <v>457671.33432000002</v>
      </c>
      <c r="AD33" s="31">
        <f t="shared" si="27"/>
        <v>171862.82568000001</v>
      </c>
      <c r="AE33" s="27">
        <v>629534.16</v>
      </c>
      <c r="AF33" s="37">
        <f t="shared" si="5"/>
        <v>0.54235869199999986</v>
      </c>
      <c r="AG33" s="36">
        <v>408163.26530612248</v>
      </c>
      <c r="AH33" s="31">
        <f t="shared" si="28"/>
        <v>358000.00000000006</v>
      </c>
      <c r="AI33" s="31">
        <f t="shared" si="29"/>
        <v>50163.265306122448</v>
      </c>
      <c r="AJ33" s="31">
        <f t="shared" si="30"/>
        <v>391010.21797999996</v>
      </c>
      <c r="AK33" s="31">
        <f t="shared" si="31"/>
        <v>146830.52202</v>
      </c>
      <c r="AL33" s="27">
        <v>537840.74</v>
      </c>
      <c r="AM33" s="37">
        <f t="shared" si="6"/>
        <v>0.31770981299999979</v>
      </c>
      <c r="AN33" s="36">
        <v>408163.26530612248</v>
      </c>
      <c r="AO33" s="31">
        <f t="shared" si="32"/>
        <v>358000.00000000006</v>
      </c>
      <c r="AP33" s="31">
        <f t="shared" si="33"/>
        <v>50163.265306122448</v>
      </c>
      <c r="AQ33" s="31">
        <f t="shared" si="34"/>
        <v>0</v>
      </c>
      <c r="AR33" s="31">
        <f t="shared" si="35"/>
        <v>0</v>
      </c>
      <c r="AS33" s="27"/>
      <c r="AT33" s="37">
        <f t="shared" si="7"/>
        <v>-1</v>
      </c>
      <c r="AU33" s="36">
        <v>408163.26530612248</v>
      </c>
      <c r="AV33" s="31">
        <f t="shared" si="36"/>
        <v>358000.00000000006</v>
      </c>
      <c r="AW33" s="31">
        <f t="shared" si="37"/>
        <v>50163.265306122448</v>
      </c>
      <c r="AX33" s="31">
        <f t="shared" si="38"/>
        <v>0</v>
      </c>
      <c r="AY33" s="31">
        <f t="shared" si="39"/>
        <v>0</v>
      </c>
      <c r="AZ33" s="27"/>
      <c r="BA33" s="37">
        <f t="shared" si="8"/>
        <v>-1</v>
      </c>
      <c r="BB33" s="36">
        <v>122448.97959183673</v>
      </c>
      <c r="BC33" s="31">
        <f t="shared" si="40"/>
        <v>107400</v>
      </c>
      <c r="BD33" s="31">
        <f t="shared" si="41"/>
        <v>15048.979591836734</v>
      </c>
      <c r="BE33" s="31">
        <f t="shared" si="42"/>
        <v>0</v>
      </c>
      <c r="BF33" s="31">
        <f t="shared" si="43"/>
        <v>0</v>
      </c>
      <c r="BG33" s="27"/>
      <c r="BH33" s="37">
        <f t="shared" si="9"/>
        <v>-1</v>
      </c>
      <c r="BI33" s="36"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27"/>
      <c r="BO33" s="37" t="str">
        <f t="shared" si="10"/>
        <v/>
      </c>
      <c r="BP33" s="36"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27"/>
      <c r="BV33" s="37" t="str">
        <f t="shared" si="11"/>
        <v/>
      </c>
      <c r="BW33" s="36"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27"/>
      <c r="CC33" s="37" t="str">
        <f t="shared" si="12"/>
        <v/>
      </c>
      <c r="CD33" s="36"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27"/>
      <c r="CJ33" s="37" t="str">
        <f t="shared" si="13"/>
        <v/>
      </c>
      <c r="CK33" s="36"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27"/>
      <c r="CQ33" s="37" t="str">
        <f t="shared" si="14"/>
        <v/>
      </c>
    </row>
    <row r="34" spans="1:95" s="26" customFormat="1" ht="16" customHeight="1" x14ac:dyDescent="0.2">
      <c r="A34" s="29" t="s">
        <v>108</v>
      </c>
      <c r="B34" s="30">
        <f t="shared" si="0"/>
        <v>922301.96000000008</v>
      </c>
      <c r="C34" s="31">
        <f t="shared" si="0"/>
        <v>808951.04911600007</v>
      </c>
      <c r="D34" s="32">
        <f t="shared" si="0"/>
        <v>113350.91088400001</v>
      </c>
      <c r="E34" s="30">
        <f t="shared" si="15"/>
        <v>847301.96000000008</v>
      </c>
      <c r="F34" s="33">
        <f t="shared" si="15"/>
        <v>743168.54911600007</v>
      </c>
      <c r="G34" s="34">
        <f t="shared" si="15"/>
        <v>104133.41088400001</v>
      </c>
      <c r="H34" s="31">
        <f t="shared" si="1"/>
        <v>641765.97475000005</v>
      </c>
      <c r="I34" s="33">
        <f t="shared" si="1"/>
        <v>240993.27525000001</v>
      </c>
      <c r="J34" s="33">
        <f t="shared" si="1"/>
        <v>882759.25</v>
      </c>
      <c r="K34" s="37">
        <f t="shared" si="2"/>
        <v>4.1847289011345934E-2</v>
      </c>
      <c r="L34" s="36">
        <v>482848.9</v>
      </c>
      <c r="M34" s="31">
        <f t="shared" si="16"/>
        <v>423506.77019000001</v>
      </c>
      <c r="N34" s="31">
        <f t="shared" si="17"/>
        <v>59342.129809999999</v>
      </c>
      <c r="O34" s="31">
        <f t="shared" si="18"/>
        <v>611121.11452000006</v>
      </c>
      <c r="P34" s="31">
        <f t="shared" si="19"/>
        <v>229485.64548000001</v>
      </c>
      <c r="Q34" s="33">
        <f>24400.95+55895.81+(760310)</f>
        <v>840606.76</v>
      </c>
      <c r="R34" s="37">
        <f t="shared" si="3"/>
        <v>0.7409312934129082</v>
      </c>
      <c r="S34" s="36">
        <v>364453.06000000006</v>
      </c>
      <c r="T34" s="31">
        <f t="shared" si="20"/>
        <v>319661.77892600006</v>
      </c>
      <c r="U34" s="31">
        <f t="shared" si="21"/>
        <v>44791.281074000006</v>
      </c>
      <c r="V34" s="31">
        <f t="shared" si="22"/>
        <v>30644.860229999998</v>
      </c>
      <c r="W34" s="31">
        <f t="shared" si="23"/>
        <v>11507.62977</v>
      </c>
      <c r="X34" s="148">
        <v>42152.49</v>
      </c>
      <c r="Y34" s="37">
        <f t="shared" si="4"/>
        <v>-0.88434041409886921</v>
      </c>
      <c r="Z34" s="36"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27"/>
      <c r="AF34" s="37" t="str">
        <f t="shared" si="5"/>
        <v/>
      </c>
      <c r="AG34" s="36"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27"/>
      <c r="AM34" s="37" t="str">
        <f t="shared" si="6"/>
        <v/>
      </c>
      <c r="AN34" s="36"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27"/>
      <c r="AT34" s="37" t="str">
        <f t="shared" si="7"/>
        <v/>
      </c>
      <c r="AU34" s="36"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27"/>
      <c r="BA34" s="37" t="str">
        <f t="shared" si="8"/>
        <v/>
      </c>
      <c r="BB34" s="36">
        <v>25000</v>
      </c>
      <c r="BC34" s="31">
        <f t="shared" si="40"/>
        <v>21927.5</v>
      </c>
      <c r="BD34" s="31">
        <f t="shared" si="41"/>
        <v>3072.5</v>
      </c>
      <c r="BE34" s="31">
        <f t="shared" si="42"/>
        <v>0</v>
      </c>
      <c r="BF34" s="31">
        <f t="shared" si="43"/>
        <v>0</v>
      </c>
      <c r="BG34" s="27"/>
      <c r="BH34" s="37">
        <f t="shared" si="9"/>
        <v>-1</v>
      </c>
      <c r="BI34" s="36">
        <v>50000</v>
      </c>
      <c r="BJ34" s="31">
        <f t="shared" si="44"/>
        <v>43855</v>
      </c>
      <c r="BK34" s="31">
        <f t="shared" si="45"/>
        <v>6145</v>
      </c>
      <c r="BL34" s="31">
        <f t="shared" si="46"/>
        <v>0</v>
      </c>
      <c r="BM34" s="31">
        <f t="shared" si="47"/>
        <v>0</v>
      </c>
      <c r="BN34" s="27"/>
      <c r="BO34" s="37">
        <f t="shared" si="10"/>
        <v>-1</v>
      </c>
      <c r="BP34" s="36"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27"/>
      <c r="BV34" s="37" t="str">
        <f t="shared" si="11"/>
        <v/>
      </c>
      <c r="BW34" s="36"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27"/>
      <c r="CC34" s="37" t="str">
        <f t="shared" si="12"/>
        <v/>
      </c>
      <c r="CD34" s="36"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27"/>
      <c r="CJ34" s="37" t="str">
        <f t="shared" si="13"/>
        <v/>
      </c>
      <c r="CK34" s="36"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27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318367.3469387755</v>
      </c>
      <c r="C35" s="31">
        <f t="shared" si="0"/>
        <v>279240</v>
      </c>
      <c r="D35" s="32">
        <f t="shared" si="0"/>
        <v>39127.34693877551</v>
      </c>
      <c r="E35" s="30">
        <f t="shared" si="15"/>
        <v>318367.3469387755</v>
      </c>
      <c r="F35" s="33">
        <f t="shared" si="15"/>
        <v>279240</v>
      </c>
      <c r="G35" s="34">
        <f t="shared" si="15"/>
        <v>39127.34693877551</v>
      </c>
      <c r="H35" s="31">
        <f t="shared" si="1"/>
        <v>176069.57822999998</v>
      </c>
      <c r="I35" s="33">
        <f t="shared" si="1"/>
        <v>66116.911770000006</v>
      </c>
      <c r="J35" s="33">
        <f t="shared" si="1"/>
        <v>242186.49</v>
      </c>
      <c r="K35" s="37">
        <f t="shared" si="2"/>
        <v>-0.23928602499999996</v>
      </c>
      <c r="L35" s="36">
        <v>183673.46938775512</v>
      </c>
      <c r="M35" s="31">
        <f t="shared" si="16"/>
        <v>161100</v>
      </c>
      <c r="N35" s="31">
        <f t="shared" si="17"/>
        <v>22573.469387755104</v>
      </c>
      <c r="O35" s="31">
        <f t="shared" si="18"/>
        <v>170864.03285999998</v>
      </c>
      <c r="P35" s="31">
        <f t="shared" si="19"/>
        <v>64162.147140000001</v>
      </c>
      <c r="Q35" s="33">
        <f>22542.07+212484.11</f>
        <v>235026.18</v>
      </c>
      <c r="R35" s="37">
        <f t="shared" si="3"/>
        <v>0.27958697999999993</v>
      </c>
      <c r="S35" s="36">
        <v>134693.87755102041</v>
      </c>
      <c r="T35" s="31">
        <f t="shared" si="20"/>
        <v>118140</v>
      </c>
      <c r="U35" s="31">
        <f t="shared" si="21"/>
        <v>16553.877551020407</v>
      </c>
      <c r="V35" s="31">
        <f t="shared" si="22"/>
        <v>5205.5453699999998</v>
      </c>
      <c r="W35" s="31">
        <f t="shared" si="23"/>
        <v>1954.7646300000004</v>
      </c>
      <c r="X35" s="148">
        <v>7160.31</v>
      </c>
      <c r="Y35" s="37">
        <f t="shared" si="4"/>
        <v>-0.94684012272727269</v>
      </c>
      <c r="Z35" s="36"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27"/>
      <c r="AF35" s="37" t="str">
        <f t="shared" si="5"/>
        <v/>
      </c>
      <c r="AG35" s="36"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27"/>
      <c r="AM35" s="37" t="str">
        <f t="shared" si="6"/>
        <v/>
      </c>
      <c r="AN35" s="36"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27"/>
      <c r="AT35" s="37" t="str">
        <f t="shared" si="7"/>
        <v/>
      </c>
      <c r="AU35" s="36"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27"/>
      <c r="BA35" s="37" t="str">
        <f t="shared" si="8"/>
        <v/>
      </c>
      <c r="BB35" s="36"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9"/>
        <v/>
      </c>
      <c r="BI35" s="36"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27"/>
      <c r="BO35" s="37" t="str">
        <f t="shared" si="10"/>
        <v/>
      </c>
      <c r="BP35" s="36"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27"/>
      <c r="BV35" s="37" t="str">
        <f t="shared" si="11"/>
        <v/>
      </c>
      <c r="BW35" s="36"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27"/>
      <c r="CC35" s="37" t="str">
        <f t="shared" si="12"/>
        <v/>
      </c>
      <c r="CD35" s="36"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27"/>
      <c r="CJ35" s="37" t="str">
        <f t="shared" si="13"/>
        <v/>
      </c>
      <c r="CK35" s="36"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27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350000.00000000006</v>
      </c>
      <c r="C36" s="31">
        <f t="shared" si="64"/>
        <v>306985.00000000006</v>
      </c>
      <c r="D36" s="32">
        <f t="shared" si="64"/>
        <v>43015</v>
      </c>
      <c r="E36" s="30">
        <f t="shared" si="15"/>
        <v>116666.66666666667</v>
      </c>
      <c r="F36" s="33">
        <f t="shared" si="15"/>
        <v>102328.33333333334</v>
      </c>
      <c r="G36" s="34">
        <f t="shared" si="15"/>
        <v>14338.333333333334</v>
      </c>
      <c r="H36" s="31">
        <f t="shared" ref="H36:J54" si="65">+O36+V36+AC36+AJ36+AQ36+AX36+BE36+BL36+BS36+BZ36+CG36+CN36</f>
        <v>120971.48413000001</v>
      </c>
      <c r="I36" s="33">
        <f t="shared" si="65"/>
        <v>45426.705870000013</v>
      </c>
      <c r="J36" s="33">
        <f t="shared" si="65"/>
        <v>166398.19</v>
      </c>
      <c r="K36" s="37">
        <f t="shared" si="2"/>
        <v>0.42627020000000004</v>
      </c>
      <c r="L36" s="36">
        <v>29166.666666666668</v>
      </c>
      <c r="M36" s="31">
        <f t="shared" si="16"/>
        <v>25582.083333333336</v>
      </c>
      <c r="N36" s="31">
        <f t="shared" si="17"/>
        <v>3584.5833333333335</v>
      </c>
      <c r="O36" s="31">
        <f t="shared" si="18"/>
        <v>36908.197870000004</v>
      </c>
      <c r="P36" s="31">
        <f t="shared" si="19"/>
        <v>13859.612130000003</v>
      </c>
      <c r="Q36" s="33">
        <f>716+919.8+867+690+764+117.16+829.9+1300+566+462.39+13.72+159.24+960+103.79+50.19+99.81+41.94+771.25+578.75+332.7+999.2+896.8+580+825+116.63+16.47+113.74+457.01+900+900+849.59+665+799+939+284.36+1839.97+896+870+883+98.42+112.32+671.45+550+88.9+95+975.69+980+410+514.99+635+389.4+4725.33+6317.69+826.4+829+900+600+1991.75+1486.99+2175.59+544.44+675.04</f>
        <v>50767.810000000005</v>
      </c>
      <c r="R36" s="37">
        <f t="shared" si="3"/>
        <v>0.74061062857142868</v>
      </c>
      <c r="S36" s="36">
        <v>29166.666666666668</v>
      </c>
      <c r="T36" s="31">
        <f t="shared" si="20"/>
        <v>25582.083333333336</v>
      </c>
      <c r="U36" s="31">
        <f t="shared" si="21"/>
        <v>3584.5833333333335</v>
      </c>
      <c r="V36" s="31">
        <f t="shared" si="22"/>
        <v>27199.032900000002</v>
      </c>
      <c r="W36" s="31">
        <f t="shared" si="23"/>
        <v>10213.667100000002</v>
      </c>
      <c r="X36" s="148">
        <f>2314.54+2014.54+566.62+2468.61+1403.35+1268.77+3506.6+700+126.52+893.4+988.4+595.2+872+494+87.07+834+611.3+178.27+140+850+1360+71.09+750+338+107.02+287.5+954.37+975.8+448.4+999.2+713.9+1993.33+1440+2580+150+921.8+426.5+826.4+919.6+72+164.6</f>
        <v>37412.700000000004</v>
      </c>
      <c r="Y36" s="37">
        <f t="shared" si="4"/>
        <v>0.282721142857143</v>
      </c>
      <c r="Z36" s="36">
        <v>29166.666666666668</v>
      </c>
      <c r="AA36" s="31">
        <f t="shared" si="24"/>
        <v>25582.083333333336</v>
      </c>
      <c r="AB36" s="31">
        <f t="shared" si="25"/>
        <v>3584.5833333333335</v>
      </c>
      <c r="AC36" s="31">
        <f t="shared" si="26"/>
        <v>22244.942290000006</v>
      </c>
      <c r="AD36" s="31">
        <f t="shared" si="27"/>
        <v>8353.3277100000032</v>
      </c>
      <c r="AE36" s="27">
        <f>3352.53+3192.53+900+969.8+693+90.6+119.58+93.23+9.91+10.24+954.12+800+69.67+105.21+54.74+51.18+250+215+735+276.66+226.66+13.74+56.87+354+650+2314.54+900+817.2+312.76+856.9+228+938.1+906.9+429.6+956.08+930.57+660+35+128.56+960+44.74+86.73+637.2+2706.67+87.54+95.3+460.2+861.41</f>
        <v>30598.270000000008</v>
      </c>
      <c r="AF36" s="37">
        <f t="shared" si="5"/>
        <v>4.9083542857143003E-2</v>
      </c>
      <c r="AG36" s="36">
        <v>29166.666666666668</v>
      </c>
      <c r="AH36" s="31">
        <f t="shared" si="28"/>
        <v>25582.083333333336</v>
      </c>
      <c r="AI36" s="31">
        <f t="shared" si="29"/>
        <v>3584.5833333333335</v>
      </c>
      <c r="AJ36" s="31">
        <f t="shared" si="30"/>
        <v>34619.311069999996</v>
      </c>
      <c r="AK36" s="31">
        <f t="shared" si="31"/>
        <v>13000.09893</v>
      </c>
      <c r="AL36" s="27">
        <f>2139.96+2374.54+900+900+350+2649.35+850+992.99+908.88+109.15+759.6+957+1321.32+4.94+6178.83+43.8+80.7+134.04+606+645.45+384.3+965+689.2+960+920.21+34.3+650+17.07+82.32+74.09+131.72+3860+950+2927.34+82.32+720+2927.34+719.2+64.67+405.73+900+970.22+750+414+29.94+967.6+98.79+340+867.5+1810</f>
        <v>47619.409999999996</v>
      </c>
      <c r="AM36" s="37">
        <f t="shared" si="6"/>
        <v>0.63266548571428549</v>
      </c>
      <c r="AN36" s="36">
        <v>29166.666666666668</v>
      </c>
      <c r="AO36" s="31">
        <f t="shared" si="32"/>
        <v>25582.083333333336</v>
      </c>
      <c r="AP36" s="31">
        <f t="shared" si="33"/>
        <v>3584.5833333333335</v>
      </c>
      <c r="AQ36" s="31">
        <f t="shared" si="34"/>
        <v>0</v>
      </c>
      <c r="AR36" s="31">
        <f t="shared" si="35"/>
        <v>0</v>
      </c>
      <c r="AS36" s="27"/>
      <c r="AT36" s="37">
        <f t="shared" si="7"/>
        <v>-1</v>
      </c>
      <c r="AU36" s="36">
        <v>29166.666666666668</v>
      </c>
      <c r="AV36" s="31">
        <f t="shared" si="36"/>
        <v>25582.083333333336</v>
      </c>
      <c r="AW36" s="31">
        <f t="shared" si="37"/>
        <v>3584.5833333333335</v>
      </c>
      <c r="AX36" s="31">
        <f t="shared" si="38"/>
        <v>0</v>
      </c>
      <c r="AY36" s="31">
        <f t="shared" si="39"/>
        <v>0</v>
      </c>
      <c r="AZ36" s="27"/>
      <c r="BA36" s="37">
        <f t="shared" si="8"/>
        <v>-1</v>
      </c>
      <c r="BB36" s="36">
        <v>29166.666666666668</v>
      </c>
      <c r="BC36" s="31">
        <f t="shared" si="40"/>
        <v>25582.083333333336</v>
      </c>
      <c r="BD36" s="31">
        <f t="shared" si="41"/>
        <v>3584.5833333333335</v>
      </c>
      <c r="BE36" s="31">
        <f t="shared" si="42"/>
        <v>0</v>
      </c>
      <c r="BF36" s="31">
        <f t="shared" si="43"/>
        <v>0</v>
      </c>
      <c r="BG36" s="27"/>
      <c r="BH36" s="37">
        <f t="shared" si="9"/>
        <v>-1</v>
      </c>
      <c r="BI36" s="36">
        <v>29166.666666666668</v>
      </c>
      <c r="BJ36" s="31">
        <f t="shared" si="44"/>
        <v>25582.083333333336</v>
      </c>
      <c r="BK36" s="31">
        <f t="shared" si="45"/>
        <v>3584.5833333333335</v>
      </c>
      <c r="BL36" s="31">
        <f t="shared" si="46"/>
        <v>0</v>
      </c>
      <c r="BM36" s="31">
        <f t="shared" si="47"/>
        <v>0</v>
      </c>
      <c r="BN36" s="27"/>
      <c r="BO36" s="37">
        <f t="shared" si="10"/>
        <v>-1</v>
      </c>
      <c r="BP36" s="36">
        <v>29166.666666666668</v>
      </c>
      <c r="BQ36" s="31">
        <f t="shared" si="48"/>
        <v>25582.083333333336</v>
      </c>
      <c r="BR36" s="31">
        <f t="shared" si="49"/>
        <v>3584.5833333333335</v>
      </c>
      <c r="BS36" s="31">
        <f t="shared" si="50"/>
        <v>0</v>
      </c>
      <c r="BT36" s="31">
        <f t="shared" si="51"/>
        <v>0</v>
      </c>
      <c r="BU36" s="27"/>
      <c r="BV36" s="37">
        <f t="shared" si="11"/>
        <v>-1</v>
      </c>
      <c r="BW36" s="36">
        <v>29166.666666666668</v>
      </c>
      <c r="BX36" s="31">
        <f t="shared" si="52"/>
        <v>25582.083333333336</v>
      </c>
      <c r="BY36" s="31">
        <f t="shared" si="53"/>
        <v>3584.5833333333335</v>
      </c>
      <c r="BZ36" s="31">
        <f t="shared" si="54"/>
        <v>0</v>
      </c>
      <c r="CA36" s="31">
        <f t="shared" si="55"/>
        <v>0</v>
      </c>
      <c r="CB36" s="27"/>
      <c r="CC36" s="37">
        <f t="shared" si="12"/>
        <v>-1</v>
      </c>
      <c r="CD36" s="36">
        <v>29166.666666666668</v>
      </c>
      <c r="CE36" s="31">
        <f t="shared" si="56"/>
        <v>25582.083333333336</v>
      </c>
      <c r="CF36" s="31">
        <f t="shared" si="57"/>
        <v>3584.5833333333335</v>
      </c>
      <c r="CG36" s="31">
        <f t="shared" si="58"/>
        <v>0</v>
      </c>
      <c r="CH36" s="31">
        <f t="shared" si="59"/>
        <v>0</v>
      </c>
      <c r="CI36" s="27"/>
      <c r="CJ36" s="37">
        <f t="shared" si="13"/>
        <v>-1</v>
      </c>
      <c r="CK36" s="36">
        <v>29166.666666666668</v>
      </c>
      <c r="CL36" s="31">
        <f t="shared" si="60"/>
        <v>25582.083333333336</v>
      </c>
      <c r="CM36" s="31">
        <f t="shared" si="61"/>
        <v>3584.5833333333335</v>
      </c>
      <c r="CN36" s="31">
        <f t="shared" si="62"/>
        <v>0</v>
      </c>
      <c r="CO36" s="31">
        <f t="shared" si="63"/>
        <v>0</v>
      </c>
      <c r="CP36" s="27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250000.00000000003</v>
      </c>
      <c r="C37" s="31">
        <f t="shared" si="64"/>
        <v>219274.99999999991</v>
      </c>
      <c r="D37" s="32">
        <f t="shared" si="64"/>
        <v>30725.000000000004</v>
      </c>
      <c r="E37" s="30">
        <f t="shared" ref="E37:G54" si="66">+L37+S37+Z37+AG37</f>
        <v>83333.333333333328</v>
      </c>
      <c r="F37" s="33">
        <f t="shared" si="66"/>
        <v>73091.666666666657</v>
      </c>
      <c r="G37" s="34">
        <f t="shared" si="66"/>
        <v>10241.666666666666</v>
      </c>
      <c r="H37" s="31">
        <f t="shared" si="65"/>
        <v>105170.96064</v>
      </c>
      <c r="I37" s="33">
        <f t="shared" si="65"/>
        <v>39493.359360000002</v>
      </c>
      <c r="J37" s="33">
        <f t="shared" si="65"/>
        <v>144664.32000000001</v>
      </c>
      <c r="K37" s="37">
        <f t="shared" si="2"/>
        <v>0.73597184000000015</v>
      </c>
      <c r="L37" s="36">
        <v>20833.333333333332</v>
      </c>
      <c r="M37" s="31">
        <f t="shared" si="16"/>
        <v>18272.916666666664</v>
      </c>
      <c r="N37" s="31">
        <f t="shared" si="17"/>
        <v>2560.4166666666665</v>
      </c>
      <c r="O37" s="31">
        <f t="shared" si="18"/>
        <v>28573.113789999996</v>
      </c>
      <c r="P37" s="31">
        <f t="shared" si="19"/>
        <v>10729.656209999999</v>
      </c>
      <c r="Q37" s="33">
        <f>(88851.1+544.44+675.04)-Q36</f>
        <v>39302.769999999997</v>
      </c>
      <c r="R37" s="37">
        <f t="shared" si="3"/>
        <v>0.88653296000000004</v>
      </c>
      <c r="S37" s="36">
        <v>20833.333333333332</v>
      </c>
      <c r="T37" s="31">
        <f t="shared" si="20"/>
        <v>18272.916666666664</v>
      </c>
      <c r="U37" s="31">
        <f t="shared" si="21"/>
        <v>2560.4166666666665</v>
      </c>
      <c r="V37" s="31">
        <f t="shared" si="22"/>
        <v>22366.838380000008</v>
      </c>
      <c r="W37" s="31">
        <f t="shared" si="23"/>
        <v>8399.1016200000031</v>
      </c>
      <c r="X37" s="148">
        <f>(67022.44+919.6+72+164.6)-X36</f>
        <v>30765.94000000001</v>
      </c>
      <c r="Y37" s="37">
        <f t="shared" si="4"/>
        <v>0.47676512000000049</v>
      </c>
      <c r="Z37" s="36">
        <v>20833.333333333332</v>
      </c>
      <c r="AA37" s="31">
        <f t="shared" si="24"/>
        <v>18272.916666666664</v>
      </c>
      <c r="AB37" s="31">
        <f t="shared" si="25"/>
        <v>2560.4166666666665</v>
      </c>
      <c r="AC37" s="31">
        <f t="shared" si="26"/>
        <v>27782.544910000001</v>
      </c>
      <c r="AD37" s="31">
        <f t="shared" si="27"/>
        <v>10432.785090000001</v>
      </c>
      <c r="AE37" s="27">
        <f>68813.6-AE36</f>
        <v>38215.33</v>
      </c>
      <c r="AF37" s="37">
        <f t="shared" si="5"/>
        <v>0.83433584000000027</v>
      </c>
      <c r="AG37" s="36">
        <v>20833.333333333332</v>
      </c>
      <c r="AH37" s="31">
        <f t="shared" si="28"/>
        <v>18272.916666666664</v>
      </c>
      <c r="AI37" s="31">
        <f t="shared" si="29"/>
        <v>2560.4166666666665</v>
      </c>
      <c r="AJ37" s="31">
        <f t="shared" si="30"/>
        <v>26448.463560000004</v>
      </c>
      <c r="AK37" s="31">
        <f t="shared" si="31"/>
        <v>9931.8164400000023</v>
      </c>
      <c r="AL37" s="27">
        <f>83999.69-AL36</f>
        <v>36380.280000000006</v>
      </c>
      <c r="AM37" s="37">
        <f t="shared" si="6"/>
        <v>0.74625344000000049</v>
      </c>
      <c r="AN37" s="36">
        <v>20833.333333333332</v>
      </c>
      <c r="AO37" s="31">
        <f t="shared" si="32"/>
        <v>18272.916666666664</v>
      </c>
      <c r="AP37" s="31">
        <f t="shared" si="33"/>
        <v>2560.4166666666665</v>
      </c>
      <c r="AQ37" s="31">
        <f t="shared" si="34"/>
        <v>0</v>
      </c>
      <c r="AR37" s="31">
        <f t="shared" si="35"/>
        <v>0</v>
      </c>
      <c r="AS37" s="27"/>
      <c r="AT37" s="37">
        <f t="shared" si="7"/>
        <v>-1</v>
      </c>
      <c r="AU37" s="36">
        <v>20833.333333333332</v>
      </c>
      <c r="AV37" s="31">
        <f t="shared" si="36"/>
        <v>18272.916666666664</v>
      </c>
      <c r="AW37" s="31">
        <f t="shared" si="37"/>
        <v>2560.4166666666665</v>
      </c>
      <c r="AX37" s="31">
        <f t="shared" si="38"/>
        <v>0</v>
      </c>
      <c r="AY37" s="31">
        <f t="shared" si="39"/>
        <v>0</v>
      </c>
      <c r="AZ37" s="27"/>
      <c r="BA37" s="37">
        <f t="shared" si="8"/>
        <v>-1</v>
      </c>
      <c r="BB37" s="36">
        <v>20833.333333333332</v>
      </c>
      <c r="BC37" s="31">
        <f t="shared" si="40"/>
        <v>18272.916666666664</v>
      </c>
      <c r="BD37" s="31">
        <f t="shared" si="41"/>
        <v>2560.4166666666665</v>
      </c>
      <c r="BE37" s="31">
        <f t="shared" si="42"/>
        <v>0</v>
      </c>
      <c r="BF37" s="31">
        <f t="shared" si="43"/>
        <v>0</v>
      </c>
      <c r="BG37" s="27"/>
      <c r="BH37" s="37">
        <f t="shared" si="9"/>
        <v>-1</v>
      </c>
      <c r="BI37" s="36">
        <v>20833.333333333332</v>
      </c>
      <c r="BJ37" s="31">
        <f t="shared" si="44"/>
        <v>18272.916666666664</v>
      </c>
      <c r="BK37" s="31">
        <f t="shared" si="45"/>
        <v>2560.4166666666665</v>
      </c>
      <c r="BL37" s="31">
        <f t="shared" si="46"/>
        <v>0</v>
      </c>
      <c r="BM37" s="31">
        <f t="shared" si="47"/>
        <v>0</v>
      </c>
      <c r="BN37" s="27"/>
      <c r="BO37" s="37">
        <f t="shared" si="10"/>
        <v>-1</v>
      </c>
      <c r="BP37" s="36">
        <v>20833.333333333332</v>
      </c>
      <c r="BQ37" s="31">
        <f t="shared" si="48"/>
        <v>18272.916666666664</v>
      </c>
      <c r="BR37" s="31">
        <f t="shared" si="49"/>
        <v>2560.4166666666665</v>
      </c>
      <c r="BS37" s="31">
        <f t="shared" si="50"/>
        <v>0</v>
      </c>
      <c r="BT37" s="31">
        <f t="shared" si="51"/>
        <v>0</v>
      </c>
      <c r="BU37" s="27"/>
      <c r="BV37" s="37">
        <f t="shared" si="11"/>
        <v>-1</v>
      </c>
      <c r="BW37" s="36">
        <v>20833.333333333332</v>
      </c>
      <c r="BX37" s="31">
        <f t="shared" si="52"/>
        <v>18272.916666666664</v>
      </c>
      <c r="BY37" s="31">
        <f t="shared" si="53"/>
        <v>2560.4166666666665</v>
      </c>
      <c r="BZ37" s="31">
        <f t="shared" si="54"/>
        <v>0</v>
      </c>
      <c r="CA37" s="31">
        <f t="shared" si="55"/>
        <v>0</v>
      </c>
      <c r="CB37" s="27"/>
      <c r="CC37" s="37">
        <f t="shared" si="12"/>
        <v>-1</v>
      </c>
      <c r="CD37" s="36">
        <v>20833.333333333332</v>
      </c>
      <c r="CE37" s="31">
        <f t="shared" si="56"/>
        <v>18272.916666666664</v>
      </c>
      <c r="CF37" s="31">
        <f t="shared" si="57"/>
        <v>2560.4166666666665</v>
      </c>
      <c r="CG37" s="31">
        <f t="shared" si="58"/>
        <v>0</v>
      </c>
      <c r="CH37" s="31">
        <f t="shared" si="59"/>
        <v>0</v>
      </c>
      <c r="CI37" s="27"/>
      <c r="CJ37" s="37">
        <f t="shared" si="13"/>
        <v>-1</v>
      </c>
      <c r="CK37" s="36">
        <v>20833.333333333332</v>
      </c>
      <c r="CL37" s="31">
        <f t="shared" si="60"/>
        <v>18272.916666666664</v>
      </c>
      <c r="CM37" s="31">
        <f t="shared" si="61"/>
        <v>2560.4166666666665</v>
      </c>
      <c r="CN37" s="31">
        <f t="shared" si="62"/>
        <v>0</v>
      </c>
      <c r="CO37" s="31">
        <f t="shared" si="63"/>
        <v>0</v>
      </c>
      <c r="CP37" s="27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30000</v>
      </c>
      <c r="C38" s="31">
        <f t="shared" si="64"/>
        <v>26313</v>
      </c>
      <c r="D38" s="32">
        <f t="shared" si="64"/>
        <v>3687</v>
      </c>
      <c r="E38" s="30">
        <f t="shared" si="66"/>
        <v>10000</v>
      </c>
      <c r="F38" s="33">
        <f t="shared" si="66"/>
        <v>8771</v>
      </c>
      <c r="G38" s="34">
        <f t="shared" si="66"/>
        <v>1229</v>
      </c>
      <c r="H38" s="31">
        <f t="shared" si="65"/>
        <v>52522.536659999998</v>
      </c>
      <c r="I38" s="33">
        <f t="shared" si="65"/>
        <v>19723.043340000004</v>
      </c>
      <c r="J38" s="33">
        <f t="shared" si="65"/>
        <v>72245.58</v>
      </c>
      <c r="K38" s="37">
        <f t="shared" si="2"/>
        <v>6.224558</v>
      </c>
      <c r="L38" s="36">
        <v>2500</v>
      </c>
      <c r="M38" s="31">
        <f t="shared" si="16"/>
        <v>2192.75</v>
      </c>
      <c r="N38" s="31">
        <f t="shared" si="17"/>
        <v>307.25</v>
      </c>
      <c r="O38" s="31">
        <f t="shared" si="18"/>
        <v>21575.229889999999</v>
      </c>
      <c r="P38" s="31">
        <f t="shared" si="19"/>
        <v>8101.8401100000001</v>
      </c>
      <c r="Q38" s="33">
        <v>29677.07</v>
      </c>
      <c r="R38" s="37">
        <f t="shared" si="3"/>
        <v>10.870827999999999</v>
      </c>
      <c r="S38" s="36">
        <v>2500</v>
      </c>
      <c r="T38" s="31">
        <f t="shared" si="20"/>
        <v>2192.75</v>
      </c>
      <c r="U38" s="31">
        <f t="shared" si="21"/>
        <v>307.25</v>
      </c>
      <c r="V38" s="31">
        <f t="shared" si="22"/>
        <v>10669.1612</v>
      </c>
      <c r="W38" s="31">
        <f t="shared" si="23"/>
        <v>4006.4388000000004</v>
      </c>
      <c r="X38" s="148">
        <f>14675.6</f>
        <v>14675.6</v>
      </c>
      <c r="Y38" s="37">
        <f t="shared" si="4"/>
        <v>4.8702399999999999</v>
      </c>
      <c r="Z38" s="36">
        <v>2500</v>
      </c>
      <c r="AA38" s="31">
        <f t="shared" si="24"/>
        <v>2192.75</v>
      </c>
      <c r="AB38" s="31">
        <f t="shared" si="25"/>
        <v>307.25</v>
      </c>
      <c r="AC38" s="31">
        <f t="shared" si="26"/>
        <v>11376.437689999999</v>
      </c>
      <c r="AD38" s="31">
        <f t="shared" si="27"/>
        <v>4272.0323100000005</v>
      </c>
      <c r="AE38" s="27">
        <f>15648.47</f>
        <v>15648.47</v>
      </c>
      <c r="AF38" s="37">
        <f t="shared" si="5"/>
        <v>5.2593879999999995</v>
      </c>
      <c r="AG38" s="36">
        <v>2500</v>
      </c>
      <c r="AH38" s="31">
        <f t="shared" si="28"/>
        <v>2192.75</v>
      </c>
      <c r="AI38" s="31">
        <f t="shared" si="29"/>
        <v>307.25</v>
      </c>
      <c r="AJ38" s="31">
        <f t="shared" si="30"/>
        <v>8901.7078799999999</v>
      </c>
      <c r="AK38" s="31">
        <f t="shared" si="31"/>
        <v>3342.7321200000006</v>
      </c>
      <c r="AL38" s="27">
        <v>12244.44</v>
      </c>
      <c r="AM38" s="37">
        <f t="shared" si="6"/>
        <v>3.8977760000000004</v>
      </c>
      <c r="AN38" s="36">
        <v>2500</v>
      </c>
      <c r="AO38" s="31">
        <f t="shared" si="32"/>
        <v>2192.75</v>
      </c>
      <c r="AP38" s="31">
        <f t="shared" si="33"/>
        <v>307.25</v>
      </c>
      <c r="AQ38" s="31">
        <f t="shared" si="34"/>
        <v>0</v>
      </c>
      <c r="AR38" s="31">
        <f t="shared" si="35"/>
        <v>0</v>
      </c>
      <c r="AS38" s="27"/>
      <c r="AT38" s="37">
        <f t="shared" si="7"/>
        <v>-1</v>
      </c>
      <c r="AU38" s="36">
        <v>2500</v>
      </c>
      <c r="AV38" s="31">
        <f t="shared" si="36"/>
        <v>2192.75</v>
      </c>
      <c r="AW38" s="31">
        <f t="shared" si="37"/>
        <v>307.25</v>
      </c>
      <c r="AX38" s="31">
        <f t="shared" si="38"/>
        <v>0</v>
      </c>
      <c r="AY38" s="31">
        <f t="shared" si="39"/>
        <v>0</v>
      </c>
      <c r="AZ38" s="27"/>
      <c r="BA38" s="37">
        <f t="shared" si="8"/>
        <v>-1</v>
      </c>
      <c r="BB38" s="36">
        <v>2500</v>
      </c>
      <c r="BC38" s="31">
        <f t="shared" si="40"/>
        <v>2192.75</v>
      </c>
      <c r="BD38" s="31">
        <f t="shared" si="41"/>
        <v>307.25</v>
      </c>
      <c r="BE38" s="31">
        <f t="shared" si="42"/>
        <v>0</v>
      </c>
      <c r="BF38" s="31">
        <f t="shared" si="43"/>
        <v>0</v>
      </c>
      <c r="BG38" s="27"/>
      <c r="BH38" s="37">
        <f t="shared" si="9"/>
        <v>-1</v>
      </c>
      <c r="BI38" s="36">
        <v>2500</v>
      </c>
      <c r="BJ38" s="31">
        <f t="shared" si="44"/>
        <v>2192.75</v>
      </c>
      <c r="BK38" s="31">
        <f t="shared" si="45"/>
        <v>307.25</v>
      </c>
      <c r="BL38" s="31">
        <f t="shared" si="46"/>
        <v>0</v>
      </c>
      <c r="BM38" s="31">
        <f t="shared" si="47"/>
        <v>0</v>
      </c>
      <c r="BN38" s="27"/>
      <c r="BO38" s="37">
        <f t="shared" si="10"/>
        <v>-1</v>
      </c>
      <c r="BP38" s="36">
        <v>2500</v>
      </c>
      <c r="BQ38" s="31">
        <f t="shared" si="48"/>
        <v>2192.75</v>
      </c>
      <c r="BR38" s="31">
        <f t="shared" si="49"/>
        <v>307.25</v>
      </c>
      <c r="BS38" s="31">
        <f t="shared" si="50"/>
        <v>0</v>
      </c>
      <c r="BT38" s="31">
        <f t="shared" si="51"/>
        <v>0</v>
      </c>
      <c r="BU38" s="27"/>
      <c r="BV38" s="37">
        <f t="shared" si="11"/>
        <v>-1</v>
      </c>
      <c r="BW38" s="36">
        <v>2500</v>
      </c>
      <c r="BX38" s="31">
        <f t="shared" si="52"/>
        <v>2192.75</v>
      </c>
      <c r="BY38" s="31">
        <f t="shared" si="53"/>
        <v>307.25</v>
      </c>
      <c r="BZ38" s="31">
        <f t="shared" si="54"/>
        <v>0</v>
      </c>
      <c r="CA38" s="31">
        <f t="shared" si="55"/>
        <v>0</v>
      </c>
      <c r="CB38" s="27"/>
      <c r="CC38" s="37">
        <f t="shared" si="12"/>
        <v>-1</v>
      </c>
      <c r="CD38" s="36">
        <v>2500</v>
      </c>
      <c r="CE38" s="31">
        <f t="shared" si="56"/>
        <v>2192.75</v>
      </c>
      <c r="CF38" s="31">
        <f t="shared" si="57"/>
        <v>307.25</v>
      </c>
      <c r="CG38" s="31">
        <f t="shared" si="58"/>
        <v>0</v>
      </c>
      <c r="CH38" s="31">
        <f t="shared" si="59"/>
        <v>0</v>
      </c>
      <c r="CI38" s="27"/>
      <c r="CJ38" s="37">
        <f t="shared" si="13"/>
        <v>-1</v>
      </c>
      <c r="CK38" s="36">
        <v>2500</v>
      </c>
      <c r="CL38" s="31">
        <f t="shared" si="60"/>
        <v>2192.75</v>
      </c>
      <c r="CM38" s="31">
        <f t="shared" si="61"/>
        <v>307.25</v>
      </c>
      <c r="CN38" s="31">
        <f t="shared" si="62"/>
        <v>0</v>
      </c>
      <c r="CO38" s="31">
        <f t="shared" si="63"/>
        <v>0</v>
      </c>
      <c r="CP38" s="27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15000</v>
      </c>
      <c r="C39" s="31">
        <f t="shared" si="64"/>
        <v>13156.5</v>
      </c>
      <c r="D39" s="32">
        <f t="shared" si="64"/>
        <v>1843.5</v>
      </c>
      <c r="E39" s="30">
        <f t="shared" si="66"/>
        <v>5000</v>
      </c>
      <c r="F39" s="33">
        <f t="shared" si="66"/>
        <v>4385.5</v>
      </c>
      <c r="G39" s="34">
        <f t="shared" si="66"/>
        <v>614.5</v>
      </c>
      <c r="H39" s="31">
        <f t="shared" si="65"/>
        <v>9950.4562700000006</v>
      </c>
      <c r="I39" s="33">
        <f t="shared" si="65"/>
        <v>3736.5537300000001</v>
      </c>
      <c r="J39" s="33">
        <f t="shared" si="65"/>
        <v>13687.010000000002</v>
      </c>
      <c r="K39" s="37">
        <f t="shared" si="2"/>
        <v>1.7374020000000003</v>
      </c>
      <c r="L39" s="36">
        <v>1250</v>
      </c>
      <c r="M39" s="31">
        <f t="shared" si="16"/>
        <v>1096.375</v>
      </c>
      <c r="N39" s="31">
        <f t="shared" si="17"/>
        <v>153.625</v>
      </c>
      <c r="O39" s="31">
        <f t="shared" si="18"/>
        <v>508.14391999999998</v>
      </c>
      <c r="P39" s="31">
        <f t="shared" si="19"/>
        <v>190.81608000000003</v>
      </c>
      <c r="Q39" s="33">
        <f>698.96</f>
        <v>698.96</v>
      </c>
      <c r="R39" s="37">
        <f t="shared" si="3"/>
        <v>-0.440832</v>
      </c>
      <c r="S39" s="36">
        <v>1250</v>
      </c>
      <c r="T39" s="31">
        <f t="shared" si="20"/>
        <v>1096.375</v>
      </c>
      <c r="U39" s="31">
        <f t="shared" si="21"/>
        <v>153.625</v>
      </c>
      <c r="V39" s="31">
        <f t="shared" si="22"/>
        <v>1075.96</v>
      </c>
      <c r="W39" s="31">
        <f t="shared" si="23"/>
        <v>404.04</v>
      </c>
      <c r="X39" s="148">
        <v>1480</v>
      </c>
      <c r="Y39" s="37">
        <f t="shared" si="4"/>
        <v>0.18399999999999994</v>
      </c>
      <c r="Z39" s="36">
        <v>1250</v>
      </c>
      <c r="AA39" s="31">
        <f t="shared" si="24"/>
        <v>1096.375</v>
      </c>
      <c r="AB39" s="31">
        <f t="shared" si="25"/>
        <v>153.625</v>
      </c>
      <c r="AC39" s="31">
        <f t="shared" si="26"/>
        <v>5668.3099500000008</v>
      </c>
      <c r="AD39" s="31">
        <f t="shared" si="27"/>
        <v>2128.5400500000001</v>
      </c>
      <c r="AE39" s="27">
        <f>1800+5996.85</f>
        <v>7796.85</v>
      </c>
      <c r="AF39" s="37">
        <f t="shared" si="5"/>
        <v>5.2374800000000006</v>
      </c>
      <c r="AG39" s="36">
        <v>1250</v>
      </c>
      <c r="AH39" s="31">
        <f t="shared" si="28"/>
        <v>1096.375</v>
      </c>
      <c r="AI39" s="31">
        <f t="shared" si="29"/>
        <v>153.625</v>
      </c>
      <c r="AJ39" s="31">
        <f t="shared" si="30"/>
        <v>2698.0423999999998</v>
      </c>
      <c r="AK39" s="31">
        <f t="shared" si="31"/>
        <v>1013.1576</v>
      </c>
      <c r="AL39" s="27">
        <f>3711.2</f>
        <v>3711.2</v>
      </c>
      <c r="AM39" s="37">
        <f t="shared" si="6"/>
        <v>1.96896</v>
      </c>
      <c r="AN39" s="36">
        <v>1250</v>
      </c>
      <c r="AO39" s="31">
        <f t="shared" si="32"/>
        <v>1096.375</v>
      </c>
      <c r="AP39" s="31">
        <f t="shared" si="33"/>
        <v>153.625</v>
      </c>
      <c r="AQ39" s="31">
        <f t="shared" si="34"/>
        <v>0</v>
      </c>
      <c r="AR39" s="31">
        <f t="shared" si="35"/>
        <v>0</v>
      </c>
      <c r="AS39" s="27"/>
      <c r="AT39" s="37">
        <f t="shared" si="7"/>
        <v>-1</v>
      </c>
      <c r="AU39" s="36">
        <v>1250</v>
      </c>
      <c r="AV39" s="31">
        <f t="shared" si="36"/>
        <v>1096.375</v>
      </c>
      <c r="AW39" s="31">
        <f t="shared" si="37"/>
        <v>153.625</v>
      </c>
      <c r="AX39" s="31">
        <f t="shared" si="38"/>
        <v>0</v>
      </c>
      <c r="AY39" s="31">
        <f t="shared" si="39"/>
        <v>0</v>
      </c>
      <c r="AZ39" s="27"/>
      <c r="BA39" s="37">
        <f t="shared" si="8"/>
        <v>-1</v>
      </c>
      <c r="BB39" s="36">
        <v>1250</v>
      </c>
      <c r="BC39" s="31">
        <f t="shared" si="40"/>
        <v>1096.375</v>
      </c>
      <c r="BD39" s="31">
        <f t="shared" si="41"/>
        <v>153.625</v>
      </c>
      <c r="BE39" s="31">
        <f t="shared" si="42"/>
        <v>0</v>
      </c>
      <c r="BF39" s="31">
        <f t="shared" si="43"/>
        <v>0</v>
      </c>
      <c r="BG39" s="27"/>
      <c r="BH39" s="37">
        <f t="shared" si="9"/>
        <v>-1</v>
      </c>
      <c r="BI39" s="36">
        <v>1250</v>
      </c>
      <c r="BJ39" s="31">
        <f t="shared" si="44"/>
        <v>1096.375</v>
      </c>
      <c r="BK39" s="31">
        <f t="shared" si="45"/>
        <v>153.625</v>
      </c>
      <c r="BL39" s="31">
        <f t="shared" si="46"/>
        <v>0</v>
      </c>
      <c r="BM39" s="31">
        <f t="shared" si="47"/>
        <v>0</v>
      </c>
      <c r="BN39" s="27"/>
      <c r="BO39" s="37">
        <f t="shared" si="10"/>
        <v>-1</v>
      </c>
      <c r="BP39" s="36">
        <v>1250</v>
      </c>
      <c r="BQ39" s="31">
        <f t="shared" si="48"/>
        <v>1096.375</v>
      </c>
      <c r="BR39" s="31">
        <f t="shared" si="49"/>
        <v>153.625</v>
      </c>
      <c r="BS39" s="31">
        <f t="shared" si="50"/>
        <v>0</v>
      </c>
      <c r="BT39" s="31">
        <f t="shared" si="51"/>
        <v>0</v>
      </c>
      <c r="BU39" s="27"/>
      <c r="BV39" s="37">
        <f t="shared" si="11"/>
        <v>-1</v>
      </c>
      <c r="BW39" s="36">
        <v>1250</v>
      </c>
      <c r="BX39" s="31">
        <f t="shared" si="52"/>
        <v>1096.375</v>
      </c>
      <c r="BY39" s="31">
        <f t="shared" si="53"/>
        <v>153.625</v>
      </c>
      <c r="BZ39" s="31">
        <f t="shared" si="54"/>
        <v>0</v>
      </c>
      <c r="CA39" s="31">
        <f t="shared" si="55"/>
        <v>0</v>
      </c>
      <c r="CB39" s="27"/>
      <c r="CC39" s="37">
        <f t="shared" si="12"/>
        <v>-1</v>
      </c>
      <c r="CD39" s="36">
        <v>1250</v>
      </c>
      <c r="CE39" s="31">
        <f t="shared" si="56"/>
        <v>1096.375</v>
      </c>
      <c r="CF39" s="31">
        <f t="shared" si="57"/>
        <v>153.625</v>
      </c>
      <c r="CG39" s="31">
        <f t="shared" si="58"/>
        <v>0</v>
      </c>
      <c r="CH39" s="31">
        <f t="shared" si="59"/>
        <v>0</v>
      </c>
      <c r="CI39" s="27"/>
      <c r="CJ39" s="37">
        <f t="shared" si="13"/>
        <v>-1</v>
      </c>
      <c r="CK39" s="36">
        <v>1250</v>
      </c>
      <c r="CL39" s="31">
        <f t="shared" si="60"/>
        <v>1096.375</v>
      </c>
      <c r="CM39" s="31">
        <f t="shared" si="61"/>
        <v>153.625</v>
      </c>
      <c r="CN39" s="31">
        <f t="shared" si="62"/>
        <v>0</v>
      </c>
      <c r="CO39" s="31">
        <f t="shared" si="63"/>
        <v>0</v>
      </c>
      <c r="CP39" s="27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95000.000000000015</v>
      </c>
      <c r="C40" s="31">
        <f t="shared" si="64"/>
        <v>83324.5</v>
      </c>
      <c r="D40" s="32">
        <f t="shared" si="64"/>
        <v>11675.500000000002</v>
      </c>
      <c r="E40" s="30">
        <f t="shared" si="66"/>
        <v>31666.666666666668</v>
      </c>
      <c r="F40" s="33">
        <f t="shared" si="66"/>
        <v>27774.833333333336</v>
      </c>
      <c r="G40" s="34">
        <f t="shared" si="66"/>
        <v>3891.8333333333335</v>
      </c>
      <c r="H40" s="31">
        <f t="shared" si="65"/>
        <v>23937.209269999999</v>
      </c>
      <c r="I40" s="33">
        <f t="shared" si="65"/>
        <v>8988.8007300000008</v>
      </c>
      <c r="J40" s="33">
        <f t="shared" si="65"/>
        <v>32926.01</v>
      </c>
      <c r="K40" s="37">
        <f t="shared" si="2"/>
        <v>3.9768736842105357E-2</v>
      </c>
      <c r="L40" s="36">
        <v>7916.666666666667</v>
      </c>
      <c r="M40" s="31">
        <f t="shared" si="16"/>
        <v>6943.7083333333339</v>
      </c>
      <c r="N40" s="31">
        <f t="shared" si="17"/>
        <v>972.95833333333337</v>
      </c>
      <c r="O40" s="31">
        <f t="shared" si="18"/>
        <v>3305.4872500000001</v>
      </c>
      <c r="P40" s="31">
        <f t="shared" si="19"/>
        <v>1241.2627500000001</v>
      </c>
      <c r="Q40" s="33">
        <f>4546.75</f>
        <v>4546.75</v>
      </c>
      <c r="R40" s="37">
        <f t="shared" si="3"/>
        <v>-0.42567368421052632</v>
      </c>
      <c r="S40" s="36">
        <v>7916.666666666667</v>
      </c>
      <c r="T40" s="31">
        <f t="shared" si="20"/>
        <v>6943.7083333333339</v>
      </c>
      <c r="U40" s="31">
        <f t="shared" si="21"/>
        <v>972.95833333333337</v>
      </c>
      <c r="V40" s="31">
        <f t="shared" si="22"/>
        <v>7384.1608100000003</v>
      </c>
      <c r="W40" s="31">
        <f t="shared" si="23"/>
        <v>2772.8691900000003</v>
      </c>
      <c r="X40" s="148">
        <f>10157.03</f>
        <v>10157.030000000001</v>
      </c>
      <c r="Y40" s="37">
        <f t="shared" si="4"/>
        <v>0.28299326315789486</v>
      </c>
      <c r="Z40" s="36">
        <v>7916.666666666667</v>
      </c>
      <c r="AA40" s="31">
        <f t="shared" si="24"/>
        <v>6943.7083333333339</v>
      </c>
      <c r="AB40" s="31">
        <f t="shared" si="25"/>
        <v>972.95833333333337</v>
      </c>
      <c r="AC40" s="31">
        <f t="shared" si="26"/>
        <v>6026.6409800000001</v>
      </c>
      <c r="AD40" s="31">
        <f t="shared" si="27"/>
        <v>2263.0990200000001</v>
      </c>
      <c r="AE40" s="27">
        <f>8289.74</f>
        <v>8289.74</v>
      </c>
      <c r="AF40" s="37">
        <f t="shared" si="5"/>
        <v>4.7125052631578956E-2</v>
      </c>
      <c r="AG40" s="36">
        <v>7916.666666666667</v>
      </c>
      <c r="AH40" s="31">
        <f t="shared" si="28"/>
        <v>6943.7083333333339</v>
      </c>
      <c r="AI40" s="31">
        <f t="shared" si="29"/>
        <v>972.95833333333337</v>
      </c>
      <c r="AJ40" s="31">
        <f t="shared" si="30"/>
        <v>7220.9202299999997</v>
      </c>
      <c r="AK40" s="31">
        <f t="shared" si="31"/>
        <v>2711.5697700000001</v>
      </c>
      <c r="AL40" s="27">
        <v>9932.49</v>
      </c>
      <c r="AM40" s="37">
        <f t="shared" si="6"/>
        <v>0.25463031578947359</v>
      </c>
      <c r="AN40" s="36">
        <v>7916.666666666667</v>
      </c>
      <c r="AO40" s="31">
        <f t="shared" si="32"/>
        <v>6943.7083333333339</v>
      </c>
      <c r="AP40" s="31">
        <f t="shared" si="33"/>
        <v>972.95833333333337</v>
      </c>
      <c r="AQ40" s="31">
        <f t="shared" si="34"/>
        <v>0</v>
      </c>
      <c r="AR40" s="31">
        <f t="shared" si="35"/>
        <v>0</v>
      </c>
      <c r="AS40" s="27"/>
      <c r="AT40" s="37">
        <f t="shared" si="7"/>
        <v>-1</v>
      </c>
      <c r="AU40" s="36">
        <v>7916.666666666667</v>
      </c>
      <c r="AV40" s="31">
        <f t="shared" si="36"/>
        <v>6943.7083333333339</v>
      </c>
      <c r="AW40" s="31">
        <f t="shared" si="37"/>
        <v>972.95833333333337</v>
      </c>
      <c r="AX40" s="31">
        <f t="shared" si="38"/>
        <v>0</v>
      </c>
      <c r="AY40" s="31">
        <f t="shared" si="39"/>
        <v>0</v>
      </c>
      <c r="AZ40" s="27"/>
      <c r="BA40" s="37">
        <f t="shared" si="8"/>
        <v>-1</v>
      </c>
      <c r="BB40" s="36">
        <v>7916.666666666667</v>
      </c>
      <c r="BC40" s="31">
        <f t="shared" si="40"/>
        <v>6943.7083333333339</v>
      </c>
      <c r="BD40" s="31">
        <f t="shared" si="41"/>
        <v>972.95833333333337</v>
      </c>
      <c r="BE40" s="31">
        <f t="shared" si="42"/>
        <v>0</v>
      </c>
      <c r="BF40" s="31">
        <f t="shared" si="43"/>
        <v>0</v>
      </c>
      <c r="BG40" s="27"/>
      <c r="BH40" s="37">
        <f t="shared" si="9"/>
        <v>-1</v>
      </c>
      <c r="BI40" s="36">
        <v>7916.666666666667</v>
      </c>
      <c r="BJ40" s="31">
        <f t="shared" si="44"/>
        <v>6943.7083333333339</v>
      </c>
      <c r="BK40" s="31">
        <f t="shared" si="45"/>
        <v>972.95833333333337</v>
      </c>
      <c r="BL40" s="31">
        <f t="shared" si="46"/>
        <v>0</v>
      </c>
      <c r="BM40" s="31">
        <f t="shared" si="47"/>
        <v>0</v>
      </c>
      <c r="BN40" s="27"/>
      <c r="BO40" s="37">
        <f t="shared" si="10"/>
        <v>-1</v>
      </c>
      <c r="BP40" s="36">
        <v>7916.666666666667</v>
      </c>
      <c r="BQ40" s="31">
        <f t="shared" si="48"/>
        <v>6943.7083333333339</v>
      </c>
      <c r="BR40" s="31">
        <f t="shared" si="49"/>
        <v>972.95833333333337</v>
      </c>
      <c r="BS40" s="31">
        <f t="shared" si="50"/>
        <v>0</v>
      </c>
      <c r="BT40" s="31">
        <f t="shared" si="51"/>
        <v>0</v>
      </c>
      <c r="BU40" s="27"/>
      <c r="BV40" s="37">
        <f t="shared" si="11"/>
        <v>-1</v>
      </c>
      <c r="BW40" s="36">
        <v>7916.666666666667</v>
      </c>
      <c r="BX40" s="31">
        <f t="shared" si="52"/>
        <v>6943.7083333333339</v>
      </c>
      <c r="BY40" s="31">
        <f t="shared" si="53"/>
        <v>972.95833333333337</v>
      </c>
      <c r="BZ40" s="31">
        <f t="shared" si="54"/>
        <v>0</v>
      </c>
      <c r="CA40" s="31">
        <f t="shared" si="55"/>
        <v>0</v>
      </c>
      <c r="CB40" s="27"/>
      <c r="CC40" s="37">
        <f t="shared" si="12"/>
        <v>-1</v>
      </c>
      <c r="CD40" s="36">
        <v>7916.666666666667</v>
      </c>
      <c r="CE40" s="31">
        <f t="shared" si="56"/>
        <v>6943.7083333333339</v>
      </c>
      <c r="CF40" s="31">
        <f t="shared" si="57"/>
        <v>972.95833333333337</v>
      </c>
      <c r="CG40" s="31">
        <f t="shared" si="58"/>
        <v>0</v>
      </c>
      <c r="CH40" s="31">
        <f t="shared" si="59"/>
        <v>0</v>
      </c>
      <c r="CI40" s="27"/>
      <c r="CJ40" s="37">
        <f t="shared" si="13"/>
        <v>-1</v>
      </c>
      <c r="CK40" s="36">
        <v>7916.666666666667</v>
      </c>
      <c r="CL40" s="31">
        <f t="shared" si="60"/>
        <v>6943.7083333333339</v>
      </c>
      <c r="CM40" s="31">
        <f t="shared" si="61"/>
        <v>972.95833333333337</v>
      </c>
      <c r="CN40" s="31">
        <f t="shared" si="62"/>
        <v>0</v>
      </c>
      <c r="CO40" s="31">
        <f t="shared" si="63"/>
        <v>0</v>
      </c>
      <c r="CP40" s="27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555000</v>
      </c>
      <c r="C41" s="31">
        <f t="shared" si="64"/>
        <v>486790.5</v>
      </c>
      <c r="D41" s="32">
        <f t="shared" si="64"/>
        <v>68209.5</v>
      </c>
      <c r="E41" s="30">
        <f t="shared" si="66"/>
        <v>185000</v>
      </c>
      <c r="F41" s="33">
        <f t="shared" si="66"/>
        <v>162263.5</v>
      </c>
      <c r="G41" s="34">
        <f t="shared" si="66"/>
        <v>22736.5</v>
      </c>
      <c r="H41" s="31">
        <f t="shared" si="65"/>
        <v>134495</v>
      </c>
      <c r="I41" s="33">
        <f t="shared" si="65"/>
        <v>50505.000000000007</v>
      </c>
      <c r="J41" s="33">
        <f t="shared" si="65"/>
        <v>185000</v>
      </c>
      <c r="K41" s="37">
        <f t="shared" si="2"/>
        <v>0</v>
      </c>
      <c r="L41" s="46">
        <v>46250</v>
      </c>
      <c r="M41" s="47">
        <f t="shared" si="16"/>
        <v>40565.875</v>
      </c>
      <c r="N41" s="47">
        <f t="shared" si="17"/>
        <v>5684.125</v>
      </c>
      <c r="O41" s="47">
        <f t="shared" si="18"/>
        <v>33623.75</v>
      </c>
      <c r="P41" s="47">
        <f t="shared" si="19"/>
        <v>12626.250000000002</v>
      </c>
      <c r="Q41" s="45">
        <v>46250</v>
      </c>
      <c r="R41" s="37">
        <f t="shared" si="3"/>
        <v>0</v>
      </c>
      <c r="S41" s="46">
        <v>46250</v>
      </c>
      <c r="T41" s="47">
        <f t="shared" si="20"/>
        <v>40565.875</v>
      </c>
      <c r="U41" s="47">
        <f t="shared" si="21"/>
        <v>5684.125</v>
      </c>
      <c r="V41" s="47">
        <f t="shared" si="22"/>
        <v>33623.75</v>
      </c>
      <c r="W41" s="47">
        <f t="shared" si="23"/>
        <v>12626.250000000002</v>
      </c>
      <c r="X41" s="150">
        <v>46250</v>
      </c>
      <c r="Y41" s="37">
        <f t="shared" si="4"/>
        <v>0</v>
      </c>
      <c r="Z41" s="46">
        <v>46250</v>
      </c>
      <c r="AA41" s="47">
        <f t="shared" si="24"/>
        <v>40565.875</v>
      </c>
      <c r="AB41" s="47">
        <f t="shared" si="25"/>
        <v>5684.125</v>
      </c>
      <c r="AC41" s="47">
        <f t="shared" si="26"/>
        <v>33623.75</v>
      </c>
      <c r="AD41" s="47">
        <f t="shared" si="27"/>
        <v>12626.250000000002</v>
      </c>
      <c r="AE41" s="48">
        <v>46250</v>
      </c>
      <c r="AF41" s="37">
        <f t="shared" si="5"/>
        <v>0</v>
      </c>
      <c r="AG41" s="46">
        <v>46250</v>
      </c>
      <c r="AH41" s="47">
        <f t="shared" si="28"/>
        <v>40565.875</v>
      </c>
      <c r="AI41" s="47">
        <f t="shared" si="29"/>
        <v>5684.125</v>
      </c>
      <c r="AJ41" s="47">
        <f t="shared" si="30"/>
        <v>33623.75</v>
      </c>
      <c r="AK41" s="47">
        <f t="shared" si="31"/>
        <v>12626.250000000002</v>
      </c>
      <c r="AL41" s="48">
        <v>46250</v>
      </c>
      <c r="AM41" s="37">
        <f t="shared" si="6"/>
        <v>0</v>
      </c>
      <c r="AN41" s="46">
        <v>46250</v>
      </c>
      <c r="AO41" s="47">
        <f t="shared" si="32"/>
        <v>40565.875</v>
      </c>
      <c r="AP41" s="47">
        <f t="shared" si="33"/>
        <v>5684.125</v>
      </c>
      <c r="AQ41" s="47">
        <f t="shared" si="34"/>
        <v>0</v>
      </c>
      <c r="AR41" s="47">
        <f t="shared" si="35"/>
        <v>0</v>
      </c>
      <c r="AS41" s="48"/>
      <c r="AT41" s="37">
        <f t="shared" si="7"/>
        <v>-1</v>
      </c>
      <c r="AU41" s="46">
        <v>46250</v>
      </c>
      <c r="AV41" s="47">
        <f t="shared" si="36"/>
        <v>40565.875</v>
      </c>
      <c r="AW41" s="47">
        <f t="shared" si="37"/>
        <v>5684.125</v>
      </c>
      <c r="AX41" s="47">
        <f t="shared" si="38"/>
        <v>0</v>
      </c>
      <c r="AY41" s="47">
        <f t="shared" si="39"/>
        <v>0</v>
      </c>
      <c r="AZ41" s="49"/>
      <c r="BA41" s="37">
        <f t="shared" si="8"/>
        <v>-1</v>
      </c>
      <c r="BB41" s="46">
        <v>46250</v>
      </c>
      <c r="BC41" s="47">
        <f t="shared" si="40"/>
        <v>40565.875</v>
      </c>
      <c r="BD41" s="47">
        <f t="shared" si="41"/>
        <v>5684.125</v>
      </c>
      <c r="BE41" s="47">
        <f t="shared" si="42"/>
        <v>0</v>
      </c>
      <c r="BF41" s="47">
        <f t="shared" si="43"/>
        <v>0</v>
      </c>
      <c r="BG41" s="48"/>
      <c r="BH41" s="37">
        <f t="shared" si="9"/>
        <v>-1</v>
      </c>
      <c r="BI41" s="46">
        <v>46250</v>
      </c>
      <c r="BJ41" s="47">
        <f t="shared" si="44"/>
        <v>40565.875</v>
      </c>
      <c r="BK41" s="47">
        <f t="shared" si="45"/>
        <v>5684.125</v>
      </c>
      <c r="BL41" s="47">
        <f t="shared" si="46"/>
        <v>0</v>
      </c>
      <c r="BM41" s="47">
        <f t="shared" si="47"/>
        <v>0</v>
      </c>
      <c r="BN41" s="49"/>
      <c r="BO41" s="37">
        <f t="shared" si="10"/>
        <v>-1</v>
      </c>
      <c r="BP41" s="46">
        <v>46250</v>
      </c>
      <c r="BQ41" s="47">
        <f t="shared" si="48"/>
        <v>40565.875</v>
      </c>
      <c r="BR41" s="47">
        <f t="shared" si="49"/>
        <v>5684.125</v>
      </c>
      <c r="BS41" s="47">
        <f t="shared" si="50"/>
        <v>0</v>
      </c>
      <c r="BT41" s="47">
        <f t="shared" si="51"/>
        <v>0</v>
      </c>
      <c r="BU41" s="48"/>
      <c r="BV41" s="37">
        <f t="shared" si="11"/>
        <v>-1</v>
      </c>
      <c r="BW41" s="46">
        <v>46250</v>
      </c>
      <c r="BX41" s="47">
        <f t="shared" si="52"/>
        <v>40565.875</v>
      </c>
      <c r="BY41" s="47">
        <f t="shared" si="53"/>
        <v>5684.125</v>
      </c>
      <c r="BZ41" s="47">
        <f t="shared" si="54"/>
        <v>0</v>
      </c>
      <c r="CA41" s="47">
        <f t="shared" si="55"/>
        <v>0</v>
      </c>
      <c r="CB41" s="48"/>
      <c r="CC41" s="37">
        <f t="shared" si="12"/>
        <v>-1</v>
      </c>
      <c r="CD41" s="46">
        <v>46250</v>
      </c>
      <c r="CE41" s="47">
        <f t="shared" si="56"/>
        <v>40565.875</v>
      </c>
      <c r="CF41" s="47">
        <f t="shared" si="57"/>
        <v>5684.125</v>
      </c>
      <c r="CG41" s="47">
        <f t="shared" si="58"/>
        <v>0</v>
      </c>
      <c r="CH41" s="47">
        <f t="shared" si="59"/>
        <v>0</v>
      </c>
      <c r="CI41" s="48"/>
      <c r="CJ41" s="37">
        <f t="shared" si="13"/>
        <v>-1</v>
      </c>
      <c r="CK41" s="46">
        <v>46250</v>
      </c>
      <c r="CL41" s="47">
        <f t="shared" si="60"/>
        <v>40565.875</v>
      </c>
      <c r="CM41" s="47">
        <f t="shared" si="61"/>
        <v>5684.125</v>
      </c>
      <c r="CN41" s="47">
        <f t="shared" si="62"/>
        <v>0</v>
      </c>
      <c r="CO41" s="47">
        <f t="shared" si="63"/>
        <v>0</v>
      </c>
      <c r="CP41" s="48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0</v>
      </c>
      <c r="C42" s="31">
        <f t="shared" si="64"/>
        <v>0</v>
      </c>
      <c r="D42" s="32">
        <f t="shared" si="64"/>
        <v>0</v>
      </c>
      <c r="E42" s="30">
        <f t="shared" si="66"/>
        <v>0</v>
      </c>
      <c r="F42" s="33">
        <f t="shared" si="66"/>
        <v>0</v>
      </c>
      <c r="G42" s="34">
        <f t="shared" si="66"/>
        <v>0</v>
      </c>
      <c r="H42" s="31">
        <f t="shared" si="65"/>
        <v>0</v>
      </c>
      <c r="I42" s="33">
        <f t="shared" si="65"/>
        <v>0</v>
      </c>
      <c r="J42" s="33">
        <f t="shared" si="65"/>
        <v>0</v>
      </c>
      <c r="K42" s="37" t="str">
        <f t="shared" si="2"/>
        <v/>
      </c>
      <c r="L42" s="36">
        <v>0</v>
      </c>
      <c r="M42" s="31">
        <f t="shared" si="16"/>
        <v>0</v>
      </c>
      <c r="N42" s="31">
        <f t="shared" si="17"/>
        <v>0</v>
      </c>
      <c r="O42" s="31">
        <f t="shared" si="18"/>
        <v>0</v>
      </c>
      <c r="P42" s="31">
        <f t="shared" si="19"/>
        <v>0</v>
      </c>
      <c r="Q42" s="33"/>
      <c r="R42" s="37" t="str">
        <f t="shared" si="3"/>
        <v/>
      </c>
      <c r="S42" s="36">
        <v>0</v>
      </c>
      <c r="T42" s="31">
        <f t="shared" si="20"/>
        <v>0</v>
      </c>
      <c r="U42" s="31">
        <f t="shared" si="21"/>
        <v>0</v>
      </c>
      <c r="V42" s="31">
        <f t="shared" si="22"/>
        <v>0</v>
      </c>
      <c r="W42" s="31">
        <f t="shared" si="23"/>
        <v>0</v>
      </c>
      <c r="X42" s="148"/>
      <c r="Y42" s="37" t="str">
        <f t="shared" si="4"/>
        <v/>
      </c>
      <c r="Z42" s="36">
        <v>0</v>
      </c>
      <c r="AA42" s="31">
        <f t="shared" si="24"/>
        <v>0</v>
      </c>
      <c r="AB42" s="31">
        <f t="shared" si="25"/>
        <v>0</v>
      </c>
      <c r="AC42" s="31">
        <f t="shared" si="26"/>
        <v>0</v>
      </c>
      <c r="AD42" s="31">
        <f t="shared" si="27"/>
        <v>0</v>
      </c>
      <c r="AE42" s="27"/>
      <c r="AF42" s="37" t="str">
        <f t="shared" si="5"/>
        <v/>
      </c>
      <c r="AG42" s="36">
        <v>0</v>
      </c>
      <c r="AH42" s="31">
        <f t="shared" si="28"/>
        <v>0</v>
      </c>
      <c r="AI42" s="31">
        <f t="shared" si="29"/>
        <v>0</v>
      </c>
      <c r="AJ42" s="31">
        <f t="shared" si="30"/>
        <v>0</v>
      </c>
      <c r="AK42" s="31">
        <f t="shared" si="31"/>
        <v>0</v>
      </c>
      <c r="AL42" s="27"/>
      <c r="AM42" s="37" t="str">
        <f t="shared" si="6"/>
        <v/>
      </c>
      <c r="AN42" s="36">
        <v>0</v>
      </c>
      <c r="AO42" s="31">
        <f t="shared" si="32"/>
        <v>0</v>
      </c>
      <c r="AP42" s="31">
        <f t="shared" si="33"/>
        <v>0</v>
      </c>
      <c r="AQ42" s="31">
        <f t="shared" si="34"/>
        <v>0</v>
      </c>
      <c r="AR42" s="31">
        <f t="shared" si="35"/>
        <v>0</v>
      </c>
      <c r="AS42" s="27"/>
      <c r="AT42" s="37" t="str">
        <f t="shared" si="7"/>
        <v/>
      </c>
      <c r="AU42" s="36">
        <v>0</v>
      </c>
      <c r="AV42" s="31">
        <f t="shared" si="36"/>
        <v>0</v>
      </c>
      <c r="AW42" s="31">
        <f t="shared" si="37"/>
        <v>0</v>
      </c>
      <c r="AX42" s="31">
        <f t="shared" si="38"/>
        <v>0</v>
      </c>
      <c r="AY42" s="31">
        <f t="shared" si="39"/>
        <v>0</v>
      </c>
      <c r="AZ42" s="27"/>
      <c r="BA42" s="37" t="str">
        <f t="shared" si="8"/>
        <v/>
      </c>
      <c r="BB42" s="36">
        <v>0</v>
      </c>
      <c r="BC42" s="31">
        <f t="shared" si="40"/>
        <v>0</v>
      </c>
      <c r="BD42" s="31">
        <f t="shared" si="41"/>
        <v>0</v>
      </c>
      <c r="BE42" s="31">
        <f t="shared" si="42"/>
        <v>0</v>
      </c>
      <c r="BF42" s="31">
        <f t="shared" si="43"/>
        <v>0</v>
      </c>
      <c r="BG42" s="27"/>
      <c r="BH42" s="37" t="str">
        <f t="shared" si="9"/>
        <v/>
      </c>
      <c r="BI42" s="36">
        <v>0</v>
      </c>
      <c r="BJ42" s="31">
        <f t="shared" si="44"/>
        <v>0</v>
      </c>
      <c r="BK42" s="31">
        <f t="shared" si="45"/>
        <v>0</v>
      </c>
      <c r="BL42" s="31">
        <f t="shared" si="46"/>
        <v>0</v>
      </c>
      <c r="BM42" s="31">
        <f t="shared" si="47"/>
        <v>0</v>
      </c>
      <c r="BN42" s="27"/>
      <c r="BO42" s="37" t="str">
        <f t="shared" si="10"/>
        <v/>
      </c>
      <c r="BP42" s="36">
        <v>0</v>
      </c>
      <c r="BQ42" s="31">
        <f t="shared" si="48"/>
        <v>0</v>
      </c>
      <c r="BR42" s="31">
        <f t="shared" si="49"/>
        <v>0</v>
      </c>
      <c r="BS42" s="31">
        <f t="shared" si="50"/>
        <v>0</v>
      </c>
      <c r="BT42" s="31">
        <f t="shared" si="51"/>
        <v>0</v>
      </c>
      <c r="BU42" s="27"/>
      <c r="BV42" s="37" t="str">
        <f t="shared" si="11"/>
        <v/>
      </c>
      <c r="BW42" s="36">
        <v>0</v>
      </c>
      <c r="BX42" s="31">
        <f t="shared" si="52"/>
        <v>0</v>
      </c>
      <c r="BY42" s="31">
        <f t="shared" si="53"/>
        <v>0</v>
      </c>
      <c r="BZ42" s="31">
        <f t="shared" si="54"/>
        <v>0</v>
      </c>
      <c r="CA42" s="31">
        <f t="shared" si="55"/>
        <v>0</v>
      </c>
      <c r="CB42" s="27"/>
      <c r="CC42" s="37" t="str">
        <f t="shared" si="12"/>
        <v/>
      </c>
      <c r="CD42" s="36">
        <v>0</v>
      </c>
      <c r="CE42" s="31">
        <f t="shared" si="56"/>
        <v>0</v>
      </c>
      <c r="CF42" s="31">
        <f t="shared" si="57"/>
        <v>0</v>
      </c>
      <c r="CG42" s="31">
        <f t="shared" si="58"/>
        <v>0</v>
      </c>
      <c r="CH42" s="31">
        <f t="shared" si="59"/>
        <v>0</v>
      </c>
      <c r="CI42" s="27"/>
      <c r="CJ42" s="37" t="str">
        <f t="shared" si="13"/>
        <v/>
      </c>
      <c r="CK42" s="36">
        <v>0</v>
      </c>
      <c r="CL42" s="31">
        <f t="shared" si="60"/>
        <v>0</v>
      </c>
      <c r="CM42" s="31">
        <f t="shared" si="61"/>
        <v>0</v>
      </c>
      <c r="CN42" s="31">
        <f t="shared" si="62"/>
        <v>0</v>
      </c>
      <c r="CO42" s="31">
        <f t="shared" si="63"/>
        <v>0</v>
      </c>
      <c r="CP42" s="27"/>
      <c r="CQ42" s="37" t="str">
        <f t="shared" si="14"/>
        <v/>
      </c>
    </row>
    <row r="43" spans="1:95" s="26" customFormat="1" ht="16" customHeight="1" x14ac:dyDescent="0.2">
      <c r="A43" s="38" t="s">
        <v>67</v>
      </c>
      <c r="B43" s="30">
        <f t="shared" si="64"/>
        <v>120528.00000000001</v>
      </c>
      <c r="C43" s="31">
        <f t="shared" si="64"/>
        <v>105715.10879999999</v>
      </c>
      <c r="D43" s="32">
        <f t="shared" si="64"/>
        <v>14812.891200000004</v>
      </c>
      <c r="E43" s="30">
        <f t="shared" si="66"/>
        <v>40176.000000000007</v>
      </c>
      <c r="F43" s="33">
        <f t="shared" si="66"/>
        <v>35238.369600000005</v>
      </c>
      <c r="G43" s="34">
        <f t="shared" si="66"/>
        <v>4937.6304000000009</v>
      </c>
      <c r="H43" s="31">
        <f t="shared" si="65"/>
        <v>32813.145000000004</v>
      </c>
      <c r="I43" s="33">
        <f t="shared" si="65"/>
        <v>12321.855000000001</v>
      </c>
      <c r="J43" s="33">
        <f t="shared" si="65"/>
        <v>45135</v>
      </c>
      <c r="K43" s="37">
        <f t="shared" si="2"/>
        <v>0.12343189964157686</v>
      </c>
      <c r="L43" s="36">
        <v>10044.000000000002</v>
      </c>
      <c r="M43" s="31">
        <f t="shared" si="16"/>
        <v>8809.5924000000014</v>
      </c>
      <c r="N43" s="31">
        <f t="shared" si="17"/>
        <v>1234.4076000000002</v>
      </c>
      <c r="O43" s="31">
        <f t="shared" si="18"/>
        <v>8788.7829700000002</v>
      </c>
      <c r="P43" s="31">
        <f t="shared" si="19"/>
        <v>3300.3270300000004</v>
      </c>
      <c r="Q43" s="33">
        <f>12089.11</f>
        <v>12089.11</v>
      </c>
      <c r="R43" s="37">
        <f t="shared" si="3"/>
        <v>0.20361509358821173</v>
      </c>
      <c r="S43" s="36">
        <v>10044.000000000002</v>
      </c>
      <c r="T43" s="31">
        <f t="shared" si="20"/>
        <v>8809.5924000000014</v>
      </c>
      <c r="U43" s="31">
        <f t="shared" si="21"/>
        <v>1234.4076000000002</v>
      </c>
      <c r="V43" s="31">
        <f t="shared" si="22"/>
        <v>7525.2933199999998</v>
      </c>
      <c r="W43" s="31">
        <f t="shared" si="23"/>
        <v>2825.8666800000001</v>
      </c>
      <c r="X43" s="148">
        <f>10351.16</f>
        <v>10351.16</v>
      </c>
      <c r="Y43" s="37">
        <f t="shared" si="4"/>
        <v>3.0581441656710284E-2</v>
      </c>
      <c r="Z43" s="36">
        <v>10044.000000000002</v>
      </c>
      <c r="AA43" s="31">
        <f t="shared" si="24"/>
        <v>8809.5924000000014</v>
      </c>
      <c r="AB43" s="31">
        <f t="shared" si="25"/>
        <v>1234.4076000000002</v>
      </c>
      <c r="AC43" s="31">
        <f t="shared" si="26"/>
        <v>7858.899080000001</v>
      </c>
      <c r="AD43" s="31">
        <f t="shared" si="27"/>
        <v>2951.1409200000003</v>
      </c>
      <c r="AE43" s="27">
        <f>10810.04</f>
        <v>10810.04</v>
      </c>
      <c r="AF43" s="37">
        <f t="shared" si="5"/>
        <v>7.6268418956590978E-2</v>
      </c>
      <c r="AG43" s="36">
        <v>10044.000000000002</v>
      </c>
      <c r="AH43" s="31">
        <f t="shared" si="28"/>
        <v>8809.5924000000014</v>
      </c>
      <c r="AI43" s="31">
        <f t="shared" si="29"/>
        <v>1234.4076000000002</v>
      </c>
      <c r="AJ43" s="31">
        <f t="shared" si="30"/>
        <v>8640.1696300000003</v>
      </c>
      <c r="AK43" s="31">
        <f t="shared" si="31"/>
        <v>3244.5203700000002</v>
      </c>
      <c r="AL43" s="27">
        <f>11884.69</f>
        <v>11884.69</v>
      </c>
      <c r="AM43" s="37">
        <f t="shared" si="6"/>
        <v>0.18326264436479467</v>
      </c>
      <c r="AN43" s="36">
        <v>10044.000000000002</v>
      </c>
      <c r="AO43" s="31">
        <f t="shared" si="32"/>
        <v>8809.5924000000014</v>
      </c>
      <c r="AP43" s="31">
        <f t="shared" si="33"/>
        <v>1234.4076000000002</v>
      </c>
      <c r="AQ43" s="31">
        <f t="shared" si="34"/>
        <v>0</v>
      </c>
      <c r="AR43" s="31">
        <f t="shared" si="35"/>
        <v>0</v>
      </c>
      <c r="AS43" s="27"/>
      <c r="AT43" s="37">
        <f t="shared" si="7"/>
        <v>-1</v>
      </c>
      <c r="AU43" s="36">
        <v>10044.000000000002</v>
      </c>
      <c r="AV43" s="31">
        <f t="shared" si="36"/>
        <v>8809.5924000000014</v>
      </c>
      <c r="AW43" s="31">
        <f t="shared" si="37"/>
        <v>1234.4076000000002</v>
      </c>
      <c r="AX43" s="31">
        <f t="shared" si="38"/>
        <v>0</v>
      </c>
      <c r="AY43" s="31">
        <f t="shared" si="39"/>
        <v>0</v>
      </c>
      <c r="AZ43" s="27"/>
      <c r="BA43" s="37">
        <f t="shared" si="8"/>
        <v>-1</v>
      </c>
      <c r="BB43" s="36">
        <v>10044.000000000002</v>
      </c>
      <c r="BC43" s="31">
        <f t="shared" si="40"/>
        <v>8809.5924000000014</v>
      </c>
      <c r="BD43" s="31">
        <f t="shared" si="41"/>
        <v>1234.4076000000002</v>
      </c>
      <c r="BE43" s="31">
        <f t="shared" si="42"/>
        <v>0</v>
      </c>
      <c r="BF43" s="31">
        <f t="shared" si="43"/>
        <v>0</v>
      </c>
      <c r="BG43" s="27"/>
      <c r="BH43" s="37">
        <f t="shared" si="9"/>
        <v>-1</v>
      </c>
      <c r="BI43" s="36">
        <v>10044.000000000002</v>
      </c>
      <c r="BJ43" s="31">
        <f t="shared" si="44"/>
        <v>8809.5924000000014</v>
      </c>
      <c r="BK43" s="31">
        <f t="shared" si="45"/>
        <v>1234.4076000000002</v>
      </c>
      <c r="BL43" s="31">
        <f t="shared" si="46"/>
        <v>0</v>
      </c>
      <c r="BM43" s="31">
        <f t="shared" si="47"/>
        <v>0</v>
      </c>
      <c r="BN43" s="27"/>
      <c r="BO43" s="37">
        <f t="shared" si="10"/>
        <v>-1</v>
      </c>
      <c r="BP43" s="36">
        <v>10044.000000000002</v>
      </c>
      <c r="BQ43" s="31">
        <f t="shared" si="48"/>
        <v>8809.5924000000014</v>
      </c>
      <c r="BR43" s="31">
        <f t="shared" si="49"/>
        <v>1234.4076000000002</v>
      </c>
      <c r="BS43" s="31">
        <f t="shared" si="50"/>
        <v>0</v>
      </c>
      <c r="BT43" s="31">
        <f t="shared" si="51"/>
        <v>0</v>
      </c>
      <c r="BU43" s="27"/>
      <c r="BV43" s="37">
        <f t="shared" si="11"/>
        <v>-1</v>
      </c>
      <c r="BW43" s="36">
        <v>10044.000000000002</v>
      </c>
      <c r="BX43" s="31">
        <f t="shared" si="52"/>
        <v>8809.5924000000014</v>
      </c>
      <c r="BY43" s="31">
        <f t="shared" si="53"/>
        <v>1234.4076000000002</v>
      </c>
      <c r="BZ43" s="31">
        <f t="shared" si="54"/>
        <v>0</v>
      </c>
      <c r="CA43" s="31">
        <f t="shared" si="55"/>
        <v>0</v>
      </c>
      <c r="CB43" s="27"/>
      <c r="CC43" s="37">
        <f t="shared" si="12"/>
        <v>-1</v>
      </c>
      <c r="CD43" s="36">
        <v>10044.000000000002</v>
      </c>
      <c r="CE43" s="31">
        <f t="shared" si="56"/>
        <v>8809.5924000000014</v>
      </c>
      <c r="CF43" s="31">
        <f t="shared" si="57"/>
        <v>1234.4076000000002</v>
      </c>
      <c r="CG43" s="31">
        <f t="shared" si="58"/>
        <v>0</v>
      </c>
      <c r="CH43" s="31">
        <f t="shared" si="59"/>
        <v>0</v>
      </c>
      <c r="CI43" s="27"/>
      <c r="CJ43" s="37">
        <f t="shared" si="13"/>
        <v>-1</v>
      </c>
      <c r="CK43" s="36">
        <v>10044.000000000002</v>
      </c>
      <c r="CL43" s="31">
        <f t="shared" si="60"/>
        <v>8809.5924000000014</v>
      </c>
      <c r="CM43" s="31">
        <f t="shared" si="61"/>
        <v>1234.4076000000002</v>
      </c>
      <c r="CN43" s="31">
        <f t="shared" si="62"/>
        <v>0</v>
      </c>
      <c r="CO43" s="31">
        <f t="shared" si="63"/>
        <v>0</v>
      </c>
      <c r="CP43" s="27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148"/>
      <c r="Y44" s="37" t="str">
        <f t="shared" si="4"/>
        <v/>
      </c>
      <c r="Z44" s="36"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27"/>
      <c r="AF44" s="37" t="str">
        <f t="shared" si="5"/>
        <v/>
      </c>
      <c r="AG44" s="36"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27"/>
      <c r="AM44" s="37" t="str">
        <f t="shared" si="6"/>
        <v/>
      </c>
      <c r="AN44" s="36"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27"/>
      <c r="AT44" s="37" t="str">
        <f t="shared" si="7"/>
        <v/>
      </c>
      <c r="AU44" s="36"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27"/>
      <c r="BA44" s="37" t="str">
        <f t="shared" si="8"/>
        <v/>
      </c>
      <c r="BB44" s="36"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9"/>
        <v/>
      </c>
      <c r="BI44" s="36"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27"/>
      <c r="BO44" s="37" t="str">
        <f t="shared" si="10"/>
        <v/>
      </c>
      <c r="BP44" s="36"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27"/>
      <c r="BV44" s="37" t="str">
        <f t="shared" si="11"/>
        <v/>
      </c>
      <c r="BW44" s="36"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27"/>
      <c r="CC44" s="37" t="str">
        <f t="shared" si="12"/>
        <v/>
      </c>
      <c r="CD44" s="36"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27"/>
      <c r="CJ44" s="37" t="str">
        <f t="shared" si="13"/>
        <v/>
      </c>
      <c r="CK44" s="36"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27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148"/>
      <c r="Y45" s="37" t="str">
        <f t="shared" si="4"/>
        <v/>
      </c>
      <c r="Z45" s="36"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27"/>
      <c r="AF45" s="37" t="str">
        <f t="shared" si="5"/>
        <v/>
      </c>
      <c r="AG45" s="36"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27"/>
      <c r="AM45" s="37" t="str">
        <f t="shared" si="6"/>
        <v/>
      </c>
      <c r="AN45" s="36"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27"/>
      <c r="AT45" s="37" t="str">
        <f t="shared" si="7"/>
        <v/>
      </c>
      <c r="AU45" s="36"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27"/>
      <c r="BA45" s="37" t="str">
        <f t="shared" si="8"/>
        <v/>
      </c>
      <c r="BB45" s="36"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9"/>
        <v/>
      </c>
      <c r="BI45" s="36"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27"/>
      <c r="BO45" s="37" t="str">
        <f t="shared" si="10"/>
        <v/>
      </c>
      <c r="BP45" s="36"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27"/>
      <c r="BV45" s="37" t="str">
        <f t="shared" si="11"/>
        <v/>
      </c>
      <c r="BW45" s="36"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27"/>
      <c r="CC45" s="37" t="str">
        <f t="shared" si="12"/>
        <v/>
      </c>
      <c r="CD45" s="36"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27"/>
      <c r="CJ45" s="37" t="str">
        <f t="shared" si="13"/>
        <v/>
      </c>
      <c r="CK45" s="36"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27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148"/>
      <c r="Y46" s="37" t="str">
        <f t="shared" si="4"/>
        <v/>
      </c>
      <c r="Z46" s="36"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27"/>
      <c r="AF46" s="37" t="str">
        <f t="shared" si="5"/>
        <v/>
      </c>
      <c r="AG46" s="36"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27"/>
      <c r="AM46" s="37" t="str">
        <f t="shared" si="6"/>
        <v/>
      </c>
      <c r="AN46" s="36"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27"/>
      <c r="AT46" s="37" t="str">
        <f t="shared" si="7"/>
        <v/>
      </c>
      <c r="AU46" s="36"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27"/>
      <c r="BA46" s="37" t="str">
        <f t="shared" si="8"/>
        <v/>
      </c>
      <c r="BB46" s="36"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9"/>
        <v/>
      </c>
      <c r="BI46" s="36"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27"/>
      <c r="BO46" s="37" t="str">
        <f t="shared" si="10"/>
        <v/>
      </c>
      <c r="BP46" s="36"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27"/>
      <c r="BV46" s="37" t="str">
        <f t="shared" si="11"/>
        <v/>
      </c>
      <c r="BW46" s="36"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27"/>
      <c r="CC46" s="37" t="str">
        <f t="shared" si="12"/>
        <v/>
      </c>
      <c r="CD46" s="36"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27"/>
      <c r="CJ46" s="37" t="str">
        <f t="shared" si="13"/>
        <v/>
      </c>
      <c r="CK46" s="36"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27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148"/>
      <c r="Y47" s="37" t="str">
        <f t="shared" si="4"/>
        <v/>
      </c>
      <c r="Z47" s="36"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27"/>
      <c r="AF47" s="37" t="str">
        <f t="shared" si="5"/>
        <v/>
      </c>
      <c r="AG47" s="36"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27"/>
      <c r="AM47" s="37" t="str">
        <f t="shared" si="6"/>
        <v/>
      </c>
      <c r="AN47" s="36"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27"/>
      <c r="AT47" s="37" t="str">
        <f t="shared" si="7"/>
        <v/>
      </c>
      <c r="AU47" s="36"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27"/>
      <c r="BA47" s="37" t="str">
        <f t="shared" si="8"/>
        <v/>
      </c>
      <c r="BB47" s="36"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9"/>
        <v/>
      </c>
      <c r="BI47" s="36"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27"/>
      <c r="BO47" s="37" t="str">
        <f t="shared" si="10"/>
        <v/>
      </c>
      <c r="BP47" s="36"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27"/>
      <c r="BV47" s="37" t="str">
        <f t="shared" si="11"/>
        <v/>
      </c>
      <c r="BW47" s="36"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27"/>
      <c r="CC47" s="37" t="str">
        <f t="shared" si="12"/>
        <v/>
      </c>
      <c r="CD47" s="36"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27"/>
      <c r="CJ47" s="37" t="str">
        <f t="shared" si="13"/>
        <v/>
      </c>
      <c r="CK47" s="36"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27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70000.000000000015</v>
      </c>
      <c r="C48" s="31">
        <f t="shared" si="64"/>
        <v>61396.999999999978</v>
      </c>
      <c r="D48" s="32">
        <f t="shared" si="64"/>
        <v>8603.0000000000018</v>
      </c>
      <c r="E48" s="30">
        <f t="shared" si="66"/>
        <v>23333.333333333332</v>
      </c>
      <c r="F48" s="33">
        <f t="shared" si="66"/>
        <v>20465.666666666664</v>
      </c>
      <c r="G48" s="34">
        <f t="shared" si="66"/>
        <v>2867.6666666666665</v>
      </c>
      <c r="H48" s="31">
        <f t="shared" si="65"/>
        <v>16986.420430000002</v>
      </c>
      <c r="I48" s="33">
        <f t="shared" si="65"/>
        <v>6378.66957</v>
      </c>
      <c r="J48" s="33">
        <f t="shared" si="65"/>
        <v>23365.089999999997</v>
      </c>
      <c r="K48" s="37">
        <f t="shared" si="2"/>
        <v>1.3609999999999456E-3</v>
      </c>
      <c r="L48" s="36">
        <v>5833.333333333333</v>
      </c>
      <c r="M48" s="31">
        <f t="shared" si="16"/>
        <v>5116.4166666666661</v>
      </c>
      <c r="N48" s="31">
        <f t="shared" si="17"/>
        <v>716.91666666666663</v>
      </c>
      <c r="O48" s="31">
        <f t="shared" si="18"/>
        <v>4650.7353199999998</v>
      </c>
      <c r="P48" s="31">
        <f t="shared" si="19"/>
        <v>1746.4246800000001</v>
      </c>
      <c r="Q48" s="33">
        <f>6397.16</f>
        <v>6397.16</v>
      </c>
      <c r="R48" s="37">
        <f t="shared" si="3"/>
        <v>9.6656000000000075E-2</v>
      </c>
      <c r="S48" s="36">
        <v>5833.333333333333</v>
      </c>
      <c r="T48" s="31">
        <f t="shared" si="20"/>
        <v>5116.4166666666661</v>
      </c>
      <c r="U48" s="31">
        <f t="shared" si="21"/>
        <v>716.91666666666663</v>
      </c>
      <c r="V48" s="31">
        <f t="shared" si="22"/>
        <v>6367.6621399999995</v>
      </c>
      <c r="W48" s="31">
        <f t="shared" si="23"/>
        <v>2391.1578600000003</v>
      </c>
      <c r="X48" s="148">
        <f>8758.82</f>
        <v>8758.82</v>
      </c>
      <c r="Y48" s="37">
        <f t="shared" si="4"/>
        <v>0.50151199999999996</v>
      </c>
      <c r="Z48" s="36">
        <v>5833.333333333333</v>
      </c>
      <c r="AA48" s="31">
        <f t="shared" si="24"/>
        <v>5116.4166666666661</v>
      </c>
      <c r="AB48" s="31">
        <f t="shared" si="25"/>
        <v>716.91666666666663</v>
      </c>
      <c r="AC48" s="31">
        <f t="shared" si="26"/>
        <v>3991.9788099999996</v>
      </c>
      <c r="AD48" s="31">
        <f t="shared" si="27"/>
        <v>1499.0511900000001</v>
      </c>
      <c r="AE48" s="27">
        <f>5742.03-251</f>
        <v>5491.03</v>
      </c>
      <c r="AF48" s="37">
        <f t="shared" si="5"/>
        <v>-5.8680571428571415E-2</v>
      </c>
      <c r="AG48" s="36">
        <v>5833.333333333333</v>
      </c>
      <c r="AH48" s="31">
        <f t="shared" si="28"/>
        <v>5116.4166666666661</v>
      </c>
      <c r="AI48" s="31">
        <f t="shared" si="29"/>
        <v>716.91666666666663</v>
      </c>
      <c r="AJ48" s="31">
        <f t="shared" si="30"/>
        <v>1976.0441599999999</v>
      </c>
      <c r="AK48" s="31">
        <f t="shared" si="31"/>
        <v>742.03584000000001</v>
      </c>
      <c r="AL48" s="27">
        <v>2718.08</v>
      </c>
      <c r="AM48" s="37">
        <f t="shared" si="6"/>
        <v>-0.53404342857142861</v>
      </c>
      <c r="AN48" s="36">
        <v>5833.333333333333</v>
      </c>
      <c r="AO48" s="31">
        <f t="shared" si="32"/>
        <v>5116.4166666666661</v>
      </c>
      <c r="AP48" s="31">
        <f t="shared" si="33"/>
        <v>716.91666666666663</v>
      </c>
      <c r="AQ48" s="31">
        <f t="shared" si="34"/>
        <v>0</v>
      </c>
      <c r="AR48" s="31">
        <f t="shared" si="35"/>
        <v>0</v>
      </c>
      <c r="AS48" s="27"/>
      <c r="AT48" s="37">
        <f t="shared" si="7"/>
        <v>-1</v>
      </c>
      <c r="AU48" s="36">
        <v>5833.333333333333</v>
      </c>
      <c r="AV48" s="31">
        <f t="shared" si="36"/>
        <v>5116.4166666666661</v>
      </c>
      <c r="AW48" s="31">
        <f t="shared" si="37"/>
        <v>716.91666666666663</v>
      </c>
      <c r="AX48" s="31">
        <f t="shared" si="38"/>
        <v>0</v>
      </c>
      <c r="AY48" s="31">
        <f t="shared" si="39"/>
        <v>0</v>
      </c>
      <c r="AZ48" s="27"/>
      <c r="BA48" s="37">
        <f t="shared" si="8"/>
        <v>-1</v>
      </c>
      <c r="BB48" s="36">
        <v>5833.333333333333</v>
      </c>
      <c r="BC48" s="31">
        <f t="shared" si="40"/>
        <v>5116.4166666666661</v>
      </c>
      <c r="BD48" s="31">
        <f t="shared" si="41"/>
        <v>716.91666666666663</v>
      </c>
      <c r="BE48" s="31">
        <f t="shared" si="42"/>
        <v>0</v>
      </c>
      <c r="BF48" s="31">
        <f t="shared" si="43"/>
        <v>0</v>
      </c>
      <c r="BG48" s="27"/>
      <c r="BH48" s="37">
        <f t="shared" si="9"/>
        <v>-1</v>
      </c>
      <c r="BI48" s="36">
        <v>5833.333333333333</v>
      </c>
      <c r="BJ48" s="31">
        <f t="shared" si="44"/>
        <v>5116.4166666666661</v>
      </c>
      <c r="BK48" s="31">
        <f t="shared" si="45"/>
        <v>716.91666666666663</v>
      </c>
      <c r="BL48" s="31">
        <f t="shared" si="46"/>
        <v>0</v>
      </c>
      <c r="BM48" s="31">
        <f t="shared" si="47"/>
        <v>0</v>
      </c>
      <c r="BN48" s="27"/>
      <c r="BO48" s="37">
        <f t="shared" si="10"/>
        <v>-1</v>
      </c>
      <c r="BP48" s="36">
        <v>5833.333333333333</v>
      </c>
      <c r="BQ48" s="31">
        <f t="shared" si="48"/>
        <v>5116.4166666666661</v>
      </c>
      <c r="BR48" s="31">
        <f t="shared" si="49"/>
        <v>716.91666666666663</v>
      </c>
      <c r="BS48" s="31">
        <f t="shared" si="50"/>
        <v>0</v>
      </c>
      <c r="BT48" s="31">
        <f t="shared" si="51"/>
        <v>0</v>
      </c>
      <c r="BU48" s="27"/>
      <c r="BV48" s="37">
        <f t="shared" si="11"/>
        <v>-1</v>
      </c>
      <c r="BW48" s="36">
        <v>5833.333333333333</v>
      </c>
      <c r="BX48" s="31">
        <f t="shared" si="52"/>
        <v>5116.4166666666661</v>
      </c>
      <c r="BY48" s="31">
        <f t="shared" si="53"/>
        <v>716.91666666666663</v>
      </c>
      <c r="BZ48" s="31">
        <f t="shared" si="54"/>
        <v>0</v>
      </c>
      <c r="CA48" s="31">
        <f t="shared" si="55"/>
        <v>0</v>
      </c>
      <c r="CB48" s="27"/>
      <c r="CC48" s="37">
        <f t="shared" si="12"/>
        <v>-1</v>
      </c>
      <c r="CD48" s="36">
        <v>5833.333333333333</v>
      </c>
      <c r="CE48" s="31">
        <f t="shared" si="56"/>
        <v>5116.4166666666661</v>
      </c>
      <c r="CF48" s="31">
        <f t="shared" si="57"/>
        <v>716.91666666666663</v>
      </c>
      <c r="CG48" s="31">
        <f t="shared" si="58"/>
        <v>0</v>
      </c>
      <c r="CH48" s="31">
        <f t="shared" si="59"/>
        <v>0</v>
      </c>
      <c r="CI48" s="27"/>
      <c r="CJ48" s="37">
        <f t="shared" si="13"/>
        <v>-1</v>
      </c>
      <c r="CK48" s="36">
        <v>5833.333333333333</v>
      </c>
      <c r="CL48" s="31">
        <f t="shared" si="60"/>
        <v>5116.4166666666661</v>
      </c>
      <c r="CM48" s="31">
        <f t="shared" si="61"/>
        <v>716.91666666666663</v>
      </c>
      <c r="CN48" s="31">
        <f t="shared" si="62"/>
        <v>0</v>
      </c>
      <c r="CO48" s="31">
        <f t="shared" si="63"/>
        <v>0</v>
      </c>
      <c r="CP48" s="27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157500</v>
      </c>
      <c r="C49" s="31">
        <f t="shared" si="64"/>
        <v>138143.25</v>
      </c>
      <c r="D49" s="32">
        <f t="shared" si="64"/>
        <v>19356.75</v>
      </c>
      <c r="E49" s="30">
        <f t="shared" si="66"/>
        <v>52500</v>
      </c>
      <c r="F49" s="33">
        <f t="shared" si="66"/>
        <v>46047.75</v>
      </c>
      <c r="G49" s="34">
        <f t="shared" si="66"/>
        <v>6452.25</v>
      </c>
      <c r="H49" s="31">
        <f t="shared" si="65"/>
        <v>47524.920559999999</v>
      </c>
      <c r="I49" s="33">
        <f t="shared" si="65"/>
        <v>17846.35944</v>
      </c>
      <c r="J49" s="33">
        <f t="shared" si="65"/>
        <v>65371.28</v>
      </c>
      <c r="K49" s="37">
        <f t="shared" si="2"/>
        <v>0.2451672380952381</v>
      </c>
      <c r="L49" s="36">
        <v>13125</v>
      </c>
      <c r="M49" s="31">
        <f t="shared" si="16"/>
        <v>11511.9375</v>
      </c>
      <c r="N49" s="31">
        <f t="shared" si="17"/>
        <v>1613.0625</v>
      </c>
      <c r="O49" s="31">
        <f t="shared" si="18"/>
        <v>15546.88773</v>
      </c>
      <c r="P49" s="31">
        <f t="shared" si="19"/>
        <v>5838.1022700000012</v>
      </c>
      <c r="Q49" s="33">
        <f>R88</f>
        <v>21384.99</v>
      </c>
      <c r="R49" s="37">
        <f t="shared" si="3"/>
        <v>0.62933257142857157</v>
      </c>
      <c r="S49" s="36">
        <v>13125</v>
      </c>
      <c r="T49" s="31">
        <f t="shared" si="20"/>
        <v>11511.9375</v>
      </c>
      <c r="U49" s="31">
        <f t="shared" si="21"/>
        <v>1613.0625</v>
      </c>
      <c r="V49" s="31">
        <f t="shared" si="22"/>
        <v>11423.07474</v>
      </c>
      <c r="W49" s="31">
        <f t="shared" si="23"/>
        <v>4289.5452599999999</v>
      </c>
      <c r="X49" s="148">
        <f>Y88</f>
        <v>15712.619999999999</v>
      </c>
      <c r="Y49" s="37">
        <f t="shared" si="4"/>
        <v>0.19715199999999999</v>
      </c>
      <c r="Z49" s="36">
        <v>13125</v>
      </c>
      <c r="AA49" s="31">
        <f t="shared" si="24"/>
        <v>11511.9375</v>
      </c>
      <c r="AB49" s="31">
        <f t="shared" si="25"/>
        <v>1613.0625</v>
      </c>
      <c r="AC49" s="31">
        <f t="shared" si="26"/>
        <v>10087.931969999998</v>
      </c>
      <c r="AD49" s="31">
        <f t="shared" si="27"/>
        <v>3788.17803</v>
      </c>
      <c r="AE49" s="27">
        <f>AF88</f>
        <v>13876.109999999999</v>
      </c>
      <c r="AF49" s="37">
        <f t="shared" si="5"/>
        <v>5.7227428571428485E-2</v>
      </c>
      <c r="AG49" s="36">
        <v>13125</v>
      </c>
      <c r="AH49" s="31">
        <f t="shared" si="28"/>
        <v>11511.9375</v>
      </c>
      <c r="AI49" s="31">
        <f t="shared" si="29"/>
        <v>1613.0625</v>
      </c>
      <c r="AJ49" s="31">
        <f t="shared" si="30"/>
        <v>10467.026119999999</v>
      </c>
      <c r="AK49" s="31">
        <f t="shared" si="31"/>
        <v>3930.5338799999995</v>
      </c>
      <c r="AL49" s="27">
        <f>AM88</f>
        <v>14397.559999999998</v>
      </c>
      <c r="AM49" s="37">
        <f t="shared" si="6"/>
        <v>9.6956952380952144E-2</v>
      </c>
      <c r="AN49" s="36">
        <v>13125</v>
      </c>
      <c r="AO49" s="31">
        <f t="shared" si="32"/>
        <v>11511.9375</v>
      </c>
      <c r="AP49" s="31">
        <f t="shared" si="33"/>
        <v>1613.0625</v>
      </c>
      <c r="AQ49" s="31">
        <f t="shared" si="34"/>
        <v>0</v>
      </c>
      <c r="AR49" s="31">
        <f t="shared" si="35"/>
        <v>0</v>
      </c>
      <c r="AS49" s="27"/>
      <c r="AT49" s="37">
        <f t="shared" si="7"/>
        <v>-1</v>
      </c>
      <c r="AU49" s="36">
        <v>13125</v>
      </c>
      <c r="AV49" s="31">
        <f t="shared" si="36"/>
        <v>11511.9375</v>
      </c>
      <c r="AW49" s="31">
        <f t="shared" si="37"/>
        <v>1613.0625</v>
      </c>
      <c r="AX49" s="31">
        <f t="shared" si="38"/>
        <v>0</v>
      </c>
      <c r="AY49" s="31">
        <f t="shared" si="39"/>
        <v>0</v>
      </c>
      <c r="AZ49" s="27"/>
      <c r="BA49" s="37">
        <f t="shared" si="8"/>
        <v>-1</v>
      </c>
      <c r="BB49" s="36">
        <v>13125</v>
      </c>
      <c r="BC49" s="31">
        <f t="shared" si="40"/>
        <v>11511.9375</v>
      </c>
      <c r="BD49" s="31">
        <f t="shared" si="41"/>
        <v>1613.0625</v>
      </c>
      <c r="BE49" s="31">
        <f t="shared" si="42"/>
        <v>0</v>
      </c>
      <c r="BF49" s="31">
        <f t="shared" si="43"/>
        <v>0</v>
      </c>
      <c r="BG49" s="27"/>
      <c r="BH49" s="37">
        <f t="shared" si="9"/>
        <v>-1</v>
      </c>
      <c r="BI49" s="36">
        <v>13125</v>
      </c>
      <c r="BJ49" s="31">
        <f t="shared" si="44"/>
        <v>11511.9375</v>
      </c>
      <c r="BK49" s="31">
        <f t="shared" si="45"/>
        <v>1613.0625</v>
      </c>
      <c r="BL49" s="31">
        <f t="shared" si="46"/>
        <v>0</v>
      </c>
      <c r="BM49" s="31">
        <f t="shared" si="47"/>
        <v>0</v>
      </c>
      <c r="BN49" s="27"/>
      <c r="BO49" s="37">
        <f t="shared" si="10"/>
        <v>-1</v>
      </c>
      <c r="BP49" s="36">
        <v>13125</v>
      </c>
      <c r="BQ49" s="31">
        <f t="shared" si="48"/>
        <v>11511.9375</v>
      </c>
      <c r="BR49" s="31">
        <f t="shared" si="49"/>
        <v>1613.0625</v>
      </c>
      <c r="BS49" s="31">
        <f t="shared" si="50"/>
        <v>0</v>
      </c>
      <c r="BT49" s="31">
        <f t="shared" si="51"/>
        <v>0</v>
      </c>
      <c r="BU49" s="27"/>
      <c r="BV49" s="37">
        <f t="shared" si="11"/>
        <v>-1</v>
      </c>
      <c r="BW49" s="36">
        <v>13125</v>
      </c>
      <c r="BX49" s="31">
        <f t="shared" si="52"/>
        <v>11511.9375</v>
      </c>
      <c r="BY49" s="31">
        <f t="shared" si="53"/>
        <v>1613.0625</v>
      </c>
      <c r="BZ49" s="31">
        <f t="shared" si="54"/>
        <v>0</v>
      </c>
      <c r="CA49" s="31">
        <f t="shared" si="55"/>
        <v>0</v>
      </c>
      <c r="CB49" s="27"/>
      <c r="CC49" s="37">
        <f t="shared" si="12"/>
        <v>-1</v>
      </c>
      <c r="CD49" s="36">
        <v>13125</v>
      </c>
      <c r="CE49" s="31">
        <f t="shared" si="56"/>
        <v>11511.9375</v>
      </c>
      <c r="CF49" s="31">
        <f t="shared" si="57"/>
        <v>1613.0625</v>
      </c>
      <c r="CG49" s="31">
        <f t="shared" si="58"/>
        <v>0</v>
      </c>
      <c r="CH49" s="31">
        <f t="shared" si="59"/>
        <v>0</v>
      </c>
      <c r="CI49" s="27"/>
      <c r="CJ49" s="37">
        <f t="shared" si="13"/>
        <v>-1</v>
      </c>
      <c r="CK49" s="36">
        <v>13125</v>
      </c>
      <c r="CL49" s="31">
        <f t="shared" si="60"/>
        <v>11511.9375</v>
      </c>
      <c r="CM49" s="31">
        <f t="shared" si="61"/>
        <v>1613.0625</v>
      </c>
      <c r="CN49" s="31">
        <f t="shared" si="62"/>
        <v>0</v>
      </c>
      <c r="CO49" s="31">
        <f t="shared" si="63"/>
        <v>0</v>
      </c>
      <c r="CP49" s="27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14341.799999999997</v>
      </c>
      <c r="C50" s="31">
        <f t="shared" si="64"/>
        <v>12579.192779999999</v>
      </c>
      <c r="D50" s="32">
        <f t="shared" si="64"/>
        <v>1762.6072200000006</v>
      </c>
      <c r="E50" s="30">
        <f t="shared" si="66"/>
        <v>4780.6000000000004</v>
      </c>
      <c r="F50" s="33">
        <f t="shared" si="66"/>
        <v>4193.0642600000001</v>
      </c>
      <c r="G50" s="34">
        <f t="shared" si="66"/>
        <v>587.53574000000003</v>
      </c>
      <c r="H50" s="31">
        <f t="shared" si="65"/>
        <v>4180.1772999999994</v>
      </c>
      <c r="I50" s="33">
        <f t="shared" si="65"/>
        <v>1569.7227000000003</v>
      </c>
      <c r="J50" s="33">
        <f t="shared" si="65"/>
        <v>5749.9</v>
      </c>
      <c r="K50" s="37">
        <f t="shared" si="2"/>
        <v>0.20275697611178489</v>
      </c>
      <c r="L50" s="36">
        <v>1195.1500000000001</v>
      </c>
      <c r="M50" s="28">
        <f t="shared" si="16"/>
        <v>1048.266065</v>
      </c>
      <c r="N50" s="28">
        <f t="shared" si="17"/>
        <v>146.88393500000001</v>
      </c>
      <c r="O50" s="28">
        <f t="shared" si="18"/>
        <v>812.32071999999994</v>
      </c>
      <c r="P50" s="28">
        <f t="shared" si="19"/>
        <v>305.03928000000002</v>
      </c>
      <c r="Q50" s="151">
        <f>1117.36</f>
        <v>1117.3599999999999</v>
      </c>
      <c r="R50" s="37">
        <f t="shared" si="3"/>
        <v>-6.5088064259716472E-2</v>
      </c>
      <c r="S50" s="36">
        <v>1195.1500000000001</v>
      </c>
      <c r="T50" s="28">
        <f t="shared" si="20"/>
        <v>1048.266065</v>
      </c>
      <c r="U50" s="28">
        <f t="shared" si="21"/>
        <v>146.88393500000001</v>
      </c>
      <c r="V50" s="28">
        <f t="shared" si="22"/>
        <v>940.71618999999998</v>
      </c>
      <c r="W50" s="28">
        <f t="shared" si="23"/>
        <v>353.25381000000004</v>
      </c>
      <c r="X50" s="152">
        <f>1293.97</f>
        <v>1293.97</v>
      </c>
      <c r="Y50" s="37">
        <f t="shared" si="4"/>
        <v>8.2684181901853337E-2</v>
      </c>
      <c r="Z50" s="36">
        <v>1195.1500000000001</v>
      </c>
      <c r="AA50" s="28">
        <f t="shared" si="24"/>
        <v>1048.266065</v>
      </c>
      <c r="AB50" s="28">
        <f t="shared" si="25"/>
        <v>146.88393500000001</v>
      </c>
      <c r="AC50" s="28">
        <f t="shared" si="26"/>
        <v>1658.9194899999998</v>
      </c>
      <c r="AD50" s="28">
        <f t="shared" si="27"/>
        <v>622.95051000000001</v>
      </c>
      <c r="AE50" s="153">
        <f>2281.87</f>
        <v>2281.87</v>
      </c>
      <c r="AF50" s="37">
        <f t="shared" si="5"/>
        <v>0.90927498640338</v>
      </c>
      <c r="AG50" s="36">
        <v>1195.1500000000001</v>
      </c>
      <c r="AH50" s="28">
        <f t="shared" si="28"/>
        <v>1048.266065</v>
      </c>
      <c r="AI50" s="28">
        <f t="shared" si="29"/>
        <v>146.88393500000001</v>
      </c>
      <c r="AJ50" s="28">
        <f t="shared" si="30"/>
        <v>768.22090000000003</v>
      </c>
      <c r="AK50" s="28">
        <f t="shared" si="31"/>
        <v>288.47910000000002</v>
      </c>
      <c r="AL50" s="153">
        <v>1056.7</v>
      </c>
      <c r="AM50" s="37">
        <f t="shared" si="6"/>
        <v>-0.11584319959837686</v>
      </c>
      <c r="AN50" s="36">
        <v>1195.1500000000001</v>
      </c>
      <c r="AO50" s="28">
        <f t="shared" si="32"/>
        <v>1048.266065</v>
      </c>
      <c r="AP50" s="28">
        <f t="shared" si="33"/>
        <v>146.88393500000001</v>
      </c>
      <c r="AQ50" s="28">
        <f t="shared" si="34"/>
        <v>0</v>
      </c>
      <c r="AR50" s="28">
        <f t="shared" si="35"/>
        <v>0</v>
      </c>
      <c r="AS50" s="153"/>
      <c r="AT50" s="37">
        <f t="shared" si="7"/>
        <v>-1</v>
      </c>
      <c r="AU50" s="36">
        <v>1195.1500000000001</v>
      </c>
      <c r="AV50" s="28">
        <f t="shared" si="36"/>
        <v>1048.266065</v>
      </c>
      <c r="AW50" s="28">
        <f t="shared" si="37"/>
        <v>146.88393500000001</v>
      </c>
      <c r="AX50" s="28">
        <f t="shared" si="38"/>
        <v>0</v>
      </c>
      <c r="AY50" s="28">
        <f t="shared" si="39"/>
        <v>0</v>
      </c>
      <c r="AZ50" s="153"/>
      <c r="BA50" s="37">
        <f t="shared" si="8"/>
        <v>-1</v>
      </c>
      <c r="BB50" s="36">
        <v>1195.1500000000001</v>
      </c>
      <c r="BC50" s="28">
        <f t="shared" si="40"/>
        <v>1048.266065</v>
      </c>
      <c r="BD50" s="28">
        <f t="shared" si="41"/>
        <v>146.88393500000001</v>
      </c>
      <c r="BE50" s="28">
        <f t="shared" si="42"/>
        <v>0</v>
      </c>
      <c r="BF50" s="28">
        <f t="shared" si="43"/>
        <v>0</v>
      </c>
      <c r="BG50" s="153"/>
      <c r="BH50" s="37">
        <f t="shared" si="9"/>
        <v>-1</v>
      </c>
      <c r="BI50" s="36">
        <v>1195.1500000000001</v>
      </c>
      <c r="BJ50" s="28">
        <f t="shared" si="44"/>
        <v>1048.266065</v>
      </c>
      <c r="BK50" s="28">
        <f t="shared" si="45"/>
        <v>146.88393500000001</v>
      </c>
      <c r="BL50" s="28">
        <f t="shared" si="46"/>
        <v>0</v>
      </c>
      <c r="BM50" s="28">
        <f t="shared" si="47"/>
        <v>0</v>
      </c>
      <c r="BN50" s="153"/>
      <c r="BO50" s="37">
        <f t="shared" si="10"/>
        <v>-1</v>
      </c>
      <c r="BP50" s="36">
        <v>1195.1500000000001</v>
      </c>
      <c r="BQ50" s="28">
        <f t="shared" si="48"/>
        <v>1048.266065</v>
      </c>
      <c r="BR50" s="28">
        <f t="shared" si="49"/>
        <v>146.88393500000001</v>
      </c>
      <c r="BS50" s="28">
        <f t="shared" si="50"/>
        <v>0</v>
      </c>
      <c r="BT50" s="28">
        <f t="shared" si="51"/>
        <v>0</v>
      </c>
      <c r="BU50" s="153"/>
      <c r="BV50" s="37">
        <f t="shared" si="11"/>
        <v>-1</v>
      </c>
      <c r="BW50" s="36">
        <v>1195.1500000000001</v>
      </c>
      <c r="BX50" s="28">
        <f t="shared" si="52"/>
        <v>1048.266065</v>
      </c>
      <c r="BY50" s="28">
        <f t="shared" si="53"/>
        <v>146.88393500000001</v>
      </c>
      <c r="BZ50" s="28">
        <f t="shared" si="54"/>
        <v>0</v>
      </c>
      <c r="CA50" s="28">
        <f t="shared" si="55"/>
        <v>0</v>
      </c>
      <c r="CB50" s="153"/>
      <c r="CC50" s="37">
        <f t="shared" si="12"/>
        <v>-1</v>
      </c>
      <c r="CD50" s="36">
        <v>1195.1500000000001</v>
      </c>
      <c r="CE50" s="28">
        <f t="shared" si="56"/>
        <v>1048.266065</v>
      </c>
      <c r="CF50" s="28">
        <f t="shared" si="57"/>
        <v>146.88393500000001</v>
      </c>
      <c r="CG50" s="28">
        <f t="shared" si="58"/>
        <v>0</v>
      </c>
      <c r="CH50" s="28">
        <f t="shared" si="59"/>
        <v>0</v>
      </c>
      <c r="CI50" s="153"/>
      <c r="CJ50" s="37">
        <f t="shared" si="13"/>
        <v>-1</v>
      </c>
      <c r="CK50" s="36">
        <v>1195.1500000000001</v>
      </c>
      <c r="CL50" s="28">
        <f t="shared" si="60"/>
        <v>1048.266065</v>
      </c>
      <c r="CM50" s="28">
        <f t="shared" si="61"/>
        <v>146.88393500000001</v>
      </c>
      <c r="CN50" s="28">
        <f t="shared" si="62"/>
        <v>0</v>
      </c>
      <c r="CO50" s="28">
        <f t="shared" si="63"/>
        <v>0</v>
      </c>
      <c r="CP50" s="153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10779.486300000002</v>
      </c>
      <c r="C51" s="31">
        <f t="shared" si="64"/>
        <v>9454.6874337299996</v>
      </c>
      <c r="D51" s="32">
        <f t="shared" si="64"/>
        <v>1324.79886627</v>
      </c>
      <c r="E51" s="30">
        <f t="shared" si="66"/>
        <v>3593.1621</v>
      </c>
      <c r="F51" s="33">
        <f t="shared" si="66"/>
        <v>3151.5624779099999</v>
      </c>
      <c r="G51" s="34">
        <f t="shared" si="66"/>
        <v>441.59962208999997</v>
      </c>
      <c r="H51" s="31">
        <f t="shared" si="65"/>
        <v>2701.2920899999999</v>
      </c>
      <c r="I51" s="33">
        <f t="shared" si="65"/>
        <v>1014.37791</v>
      </c>
      <c r="J51" s="33">
        <f t="shared" si="65"/>
        <v>3715.67</v>
      </c>
      <c r="K51" s="37">
        <f t="shared" si="2"/>
        <v>3.4094732325046007E-2</v>
      </c>
      <c r="L51" s="36">
        <v>898.290525</v>
      </c>
      <c r="M51" s="31">
        <f t="shared" si="16"/>
        <v>787.89061947749997</v>
      </c>
      <c r="N51" s="31">
        <f t="shared" si="17"/>
        <v>110.39990552249999</v>
      </c>
      <c r="O51" s="31">
        <f t="shared" si="18"/>
        <v>703.99045000000001</v>
      </c>
      <c r="P51" s="31">
        <f t="shared" si="19"/>
        <v>264.35955000000001</v>
      </c>
      <c r="Q51" s="45">
        <f>968.35</f>
        <v>968.35</v>
      </c>
      <c r="R51" s="37">
        <f t="shared" si="3"/>
        <v>7.7992000416569063E-2</v>
      </c>
      <c r="S51" s="36">
        <v>898.290525</v>
      </c>
      <c r="T51" s="31">
        <f t="shared" si="20"/>
        <v>787.89061947749997</v>
      </c>
      <c r="U51" s="31">
        <f t="shared" si="21"/>
        <v>110.39990552249999</v>
      </c>
      <c r="V51" s="31">
        <f t="shared" si="22"/>
        <v>629.97457999999995</v>
      </c>
      <c r="W51" s="31">
        <f t="shared" si="23"/>
        <v>236.56542000000002</v>
      </c>
      <c r="X51" s="150">
        <f>866.54</f>
        <v>866.54</v>
      </c>
      <c r="Y51" s="37">
        <f t="shared" si="4"/>
        <v>-3.5345496937085108E-2</v>
      </c>
      <c r="Z51" s="36">
        <v>898.290525</v>
      </c>
      <c r="AA51" s="31">
        <f t="shared" si="24"/>
        <v>787.89061947749997</v>
      </c>
      <c r="AB51" s="31">
        <f t="shared" si="25"/>
        <v>110.39990552249999</v>
      </c>
      <c r="AC51" s="31">
        <f t="shared" si="26"/>
        <v>585.92565000000002</v>
      </c>
      <c r="AD51" s="31">
        <f t="shared" si="27"/>
        <v>220.02435000000003</v>
      </c>
      <c r="AE51" s="48">
        <f>805.95</f>
        <v>805.95</v>
      </c>
      <c r="AF51" s="37">
        <f t="shared" si="5"/>
        <v>-0.1027958354564632</v>
      </c>
      <c r="AG51" s="36">
        <v>898.290525</v>
      </c>
      <c r="AH51" s="31">
        <f t="shared" si="28"/>
        <v>787.89061947749997</v>
      </c>
      <c r="AI51" s="31">
        <f t="shared" si="29"/>
        <v>110.39990552249999</v>
      </c>
      <c r="AJ51" s="31">
        <f t="shared" si="30"/>
        <v>781.40140999999994</v>
      </c>
      <c r="AK51" s="31">
        <f t="shared" si="31"/>
        <v>293.42858999999999</v>
      </c>
      <c r="AL51" s="48">
        <f>1074.83</f>
        <v>1074.83</v>
      </c>
      <c r="AM51" s="37">
        <f t="shared" si="6"/>
        <v>0.19652826127716305</v>
      </c>
      <c r="AN51" s="36">
        <v>898.290525</v>
      </c>
      <c r="AO51" s="31">
        <f t="shared" si="32"/>
        <v>787.89061947749997</v>
      </c>
      <c r="AP51" s="31">
        <f t="shared" si="33"/>
        <v>110.39990552249999</v>
      </c>
      <c r="AQ51" s="31">
        <f t="shared" si="34"/>
        <v>0</v>
      </c>
      <c r="AR51" s="31">
        <f t="shared" si="35"/>
        <v>0</v>
      </c>
      <c r="AS51" s="48"/>
      <c r="AT51" s="37">
        <f t="shared" si="7"/>
        <v>-1</v>
      </c>
      <c r="AU51" s="36">
        <v>898.290525</v>
      </c>
      <c r="AV51" s="31">
        <f t="shared" si="36"/>
        <v>787.89061947749997</v>
      </c>
      <c r="AW51" s="31">
        <f t="shared" si="37"/>
        <v>110.39990552249999</v>
      </c>
      <c r="AX51" s="31">
        <f t="shared" si="38"/>
        <v>0</v>
      </c>
      <c r="AY51" s="31">
        <f t="shared" si="39"/>
        <v>0</v>
      </c>
      <c r="AZ51" s="48"/>
      <c r="BA51" s="37">
        <f t="shared" si="8"/>
        <v>-1</v>
      </c>
      <c r="BB51" s="36">
        <v>898.290525</v>
      </c>
      <c r="BC51" s="31">
        <f t="shared" si="40"/>
        <v>787.89061947749997</v>
      </c>
      <c r="BD51" s="31">
        <f t="shared" si="41"/>
        <v>110.39990552249999</v>
      </c>
      <c r="BE51" s="31">
        <f t="shared" si="42"/>
        <v>0</v>
      </c>
      <c r="BF51" s="31">
        <f t="shared" si="43"/>
        <v>0</v>
      </c>
      <c r="BG51" s="48"/>
      <c r="BH51" s="37">
        <f t="shared" si="9"/>
        <v>-1</v>
      </c>
      <c r="BI51" s="36">
        <v>898.290525</v>
      </c>
      <c r="BJ51" s="31">
        <f t="shared" si="44"/>
        <v>787.89061947749997</v>
      </c>
      <c r="BK51" s="31">
        <f t="shared" si="45"/>
        <v>110.39990552249999</v>
      </c>
      <c r="BL51" s="31">
        <f t="shared" si="46"/>
        <v>0</v>
      </c>
      <c r="BM51" s="31">
        <f t="shared" si="47"/>
        <v>0</v>
      </c>
      <c r="BN51" s="48"/>
      <c r="BO51" s="37">
        <f t="shared" si="10"/>
        <v>-1</v>
      </c>
      <c r="BP51" s="36">
        <v>898.290525</v>
      </c>
      <c r="BQ51" s="31">
        <f t="shared" si="48"/>
        <v>787.89061947749997</v>
      </c>
      <c r="BR51" s="31">
        <f t="shared" si="49"/>
        <v>110.39990552249999</v>
      </c>
      <c r="BS51" s="31">
        <f t="shared" si="50"/>
        <v>0</v>
      </c>
      <c r="BT51" s="31">
        <f t="shared" si="51"/>
        <v>0</v>
      </c>
      <c r="BU51" s="48"/>
      <c r="BV51" s="37">
        <f t="shared" si="11"/>
        <v>-1</v>
      </c>
      <c r="BW51" s="36">
        <v>898.290525</v>
      </c>
      <c r="BX51" s="31">
        <f t="shared" si="52"/>
        <v>787.89061947749997</v>
      </c>
      <c r="BY51" s="31">
        <f t="shared" si="53"/>
        <v>110.39990552249999</v>
      </c>
      <c r="BZ51" s="31">
        <f t="shared" si="54"/>
        <v>0</v>
      </c>
      <c r="CA51" s="31">
        <f t="shared" si="55"/>
        <v>0</v>
      </c>
      <c r="CB51" s="48"/>
      <c r="CC51" s="37">
        <f t="shared" si="12"/>
        <v>-1</v>
      </c>
      <c r="CD51" s="36">
        <v>898.290525</v>
      </c>
      <c r="CE51" s="31">
        <f t="shared" si="56"/>
        <v>787.89061947749997</v>
      </c>
      <c r="CF51" s="31">
        <f t="shared" si="57"/>
        <v>110.39990552249999</v>
      </c>
      <c r="CG51" s="31">
        <f t="shared" si="58"/>
        <v>0</v>
      </c>
      <c r="CH51" s="31">
        <f t="shared" si="59"/>
        <v>0</v>
      </c>
      <c r="CI51" s="48"/>
      <c r="CJ51" s="37">
        <f t="shared" si="13"/>
        <v>-1</v>
      </c>
      <c r="CK51" s="36">
        <v>898.290525</v>
      </c>
      <c r="CL51" s="31">
        <f t="shared" si="60"/>
        <v>787.89061947749997</v>
      </c>
      <c r="CM51" s="31">
        <f t="shared" si="61"/>
        <v>110.39990552249999</v>
      </c>
      <c r="CN51" s="31">
        <f t="shared" si="62"/>
        <v>0</v>
      </c>
      <c r="CO51" s="31">
        <f t="shared" si="63"/>
        <v>0</v>
      </c>
      <c r="CP51" s="48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40000</v>
      </c>
      <c r="C52" s="31">
        <f t="shared" si="64"/>
        <v>35084.000000000007</v>
      </c>
      <c r="D52" s="32">
        <f t="shared" si="64"/>
        <v>4916</v>
      </c>
      <c r="E52" s="30">
        <f t="shared" si="66"/>
        <v>13333.333333333334</v>
      </c>
      <c r="F52" s="33">
        <f t="shared" si="66"/>
        <v>11694.666666666668</v>
      </c>
      <c r="G52" s="34">
        <f t="shared" si="66"/>
        <v>1638.6666666666667</v>
      </c>
      <c r="H52" s="31">
        <f t="shared" si="65"/>
        <v>87568.196880000003</v>
      </c>
      <c r="I52" s="33">
        <f t="shared" si="65"/>
        <v>32883.243120000006</v>
      </c>
      <c r="J52" s="33">
        <f t="shared" si="65"/>
        <v>120451.44</v>
      </c>
      <c r="K52" s="37">
        <f t="shared" si="2"/>
        <v>8.0338580000000004</v>
      </c>
      <c r="L52" s="36">
        <v>3333.3333333333335</v>
      </c>
      <c r="M52" s="31">
        <f t="shared" si="16"/>
        <v>2923.666666666667</v>
      </c>
      <c r="N52" s="31">
        <f t="shared" si="17"/>
        <v>409.66666666666669</v>
      </c>
      <c r="O52" s="31">
        <f t="shared" si="18"/>
        <v>15880.398980000002</v>
      </c>
      <c r="P52" s="31">
        <f t="shared" si="19"/>
        <v>5963.3410200000008</v>
      </c>
      <c r="Q52" s="33">
        <f>21843.74</f>
        <v>21843.74</v>
      </c>
      <c r="R52" s="37">
        <f t="shared" si="3"/>
        <v>5.5531220000000001</v>
      </c>
      <c r="S52" s="36">
        <v>3333.3333333333335</v>
      </c>
      <c r="T52" s="31">
        <f t="shared" si="20"/>
        <v>2923.666666666667</v>
      </c>
      <c r="U52" s="31">
        <f t="shared" si="21"/>
        <v>409.66666666666669</v>
      </c>
      <c r="V52" s="31">
        <f t="shared" si="22"/>
        <v>37623.456819999999</v>
      </c>
      <c r="W52" s="31">
        <f t="shared" si="23"/>
        <v>14128.203180000002</v>
      </c>
      <c r="X52" s="148">
        <f>51751.66</f>
        <v>51751.66</v>
      </c>
      <c r="Y52" s="37">
        <f t="shared" si="4"/>
        <v>14.525498000000001</v>
      </c>
      <c r="Z52" s="36">
        <v>3333.3333333333335</v>
      </c>
      <c r="AA52" s="31">
        <f t="shared" si="24"/>
        <v>2923.666666666667</v>
      </c>
      <c r="AB52" s="31">
        <f t="shared" si="25"/>
        <v>409.66666666666669</v>
      </c>
      <c r="AC52" s="31">
        <f t="shared" si="26"/>
        <v>25018.46183</v>
      </c>
      <c r="AD52" s="31">
        <f t="shared" si="27"/>
        <v>9394.8281700000007</v>
      </c>
      <c r="AE52" s="27">
        <f>34413.29</f>
        <v>34413.29</v>
      </c>
      <c r="AF52" s="37">
        <f t="shared" si="5"/>
        <v>9.3239869999999989</v>
      </c>
      <c r="AG52" s="36">
        <v>3333.3333333333335</v>
      </c>
      <c r="AH52" s="31">
        <f t="shared" si="28"/>
        <v>2923.666666666667</v>
      </c>
      <c r="AI52" s="31">
        <f t="shared" si="29"/>
        <v>409.66666666666669</v>
      </c>
      <c r="AJ52" s="31">
        <f t="shared" si="30"/>
        <v>9045.87925</v>
      </c>
      <c r="AK52" s="31">
        <f t="shared" si="31"/>
        <v>3396.87075</v>
      </c>
      <c r="AL52" s="27">
        <f>11444.75+998</f>
        <v>12442.75</v>
      </c>
      <c r="AM52" s="37">
        <f t="shared" si="6"/>
        <v>2.7328249999999996</v>
      </c>
      <c r="AN52" s="36">
        <v>3333.3333333333335</v>
      </c>
      <c r="AO52" s="31">
        <f t="shared" si="32"/>
        <v>2923.666666666667</v>
      </c>
      <c r="AP52" s="31">
        <f t="shared" si="33"/>
        <v>409.66666666666669</v>
      </c>
      <c r="AQ52" s="31">
        <f t="shared" si="34"/>
        <v>0</v>
      </c>
      <c r="AR52" s="31">
        <f t="shared" si="35"/>
        <v>0</v>
      </c>
      <c r="AS52" s="27"/>
      <c r="AT52" s="37">
        <f t="shared" si="7"/>
        <v>-1</v>
      </c>
      <c r="AU52" s="36">
        <v>3333.3333333333335</v>
      </c>
      <c r="AV52" s="31">
        <f t="shared" si="36"/>
        <v>2923.666666666667</v>
      </c>
      <c r="AW52" s="31">
        <f t="shared" si="37"/>
        <v>409.66666666666669</v>
      </c>
      <c r="AX52" s="31">
        <f t="shared" si="38"/>
        <v>0</v>
      </c>
      <c r="AY52" s="31">
        <f t="shared" si="39"/>
        <v>0</v>
      </c>
      <c r="AZ52" s="27"/>
      <c r="BA52" s="37">
        <f t="shared" si="8"/>
        <v>-1</v>
      </c>
      <c r="BB52" s="36">
        <v>3333.3333333333335</v>
      </c>
      <c r="BC52" s="31">
        <f t="shared" si="40"/>
        <v>2923.666666666667</v>
      </c>
      <c r="BD52" s="31">
        <f t="shared" si="41"/>
        <v>409.66666666666669</v>
      </c>
      <c r="BE52" s="31">
        <f t="shared" si="42"/>
        <v>0</v>
      </c>
      <c r="BF52" s="31">
        <f t="shared" si="43"/>
        <v>0</v>
      </c>
      <c r="BG52" s="27"/>
      <c r="BH52" s="37">
        <f t="shared" si="9"/>
        <v>-1</v>
      </c>
      <c r="BI52" s="36">
        <v>3333.3333333333335</v>
      </c>
      <c r="BJ52" s="31">
        <f t="shared" si="44"/>
        <v>2923.666666666667</v>
      </c>
      <c r="BK52" s="31">
        <f t="shared" si="45"/>
        <v>409.66666666666669</v>
      </c>
      <c r="BL52" s="31">
        <f t="shared" si="46"/>
        <v>0</v>
      </c>
      <c r="BM52" s="31">
        <f t="shared" si="47"/>
        <v>0</v>
      </c>
      <c r="BN52" s="27"/>
      <c r="BO52" s="37">
        <f t="shared" si="10"/>
        <v>-1</v>
      </c>
      <c r="BP52" s="36">
        <v>3333.3333333333335</v>
      </c>
      <c r="BQ52" s="31">
        <f t="shared" si="48"/>
        <v>2923.666666666667</v>
      </c>
      <c r="BR52" s="31">
        <f t="shared" si="49"/>
        <v>409.66666666666669</v>
      </c>
      <c r="BS52" s="31">
        <f t="shared" si="50"/>
        <v>0</v>
      </c>
      <c r="BT52" s="31">
        <f t="shared" si="51"/>
        <v>0</v>
      </c>
      <c r="BU52" s="27"/>
      <c r="BV52" s="37">
        <f t="shared" si="11"/>
        <v>-1</v>
      </c>
      <c r="BW52" s="36">
        <v>3333.3333333333335</v>
      </c>
      <c r="BX52" s="31">
        <f t="shared" si="52"/>
        <v>2923.666666666667</v>
      </c>
      <c r="BY52" s="31">
        <f t="shared" si="53"/>
        <v>409.66666666666669</v>
      </c>
      <c r="BZ52" s="31">
        <f t="shared" si="54"/>
        <v>0</v>
      </c>
      <c r="CA52" s="31">
        <f t="shared" si="55"/>
        <v>0</v>
      </c>
      <c r="CB52" s="27"/>
      <c r="CC52" s="37">
        <f t="shared" si="12"/>
        <v>-1</v>
      </c>
      <c r="CD52" s="36">
        <v>3333.3333333333335</v>
      </c>
      <c r="CE52" s="31">
        <f t="shared" si="56"/>
        <v>2923.666666666667</v>
      </c>
      <c r="CF52" s="31">
        <f t="shared" si="57"/>
        <v>409.66666666666669</v>
      </c>
      <c r="CG52" s="31">
        <f t="shared" si="58"/>
        <v>0</v>
      </c>
      <c r="CH52" s="31">
        <f t="shared" si="59"/>
        <v>0</v>
      </c>
      <c r="CI52" s="27"/>
      <c r="CJ52" s="37">
        <f t="shared" si="13"/>
        <v>-1</v>
      </c>
      <c r="CK52" s="36">
        <v>3333.3333333333335</v>
      </c>
      <c r="CL52" s="31">
        <f t="shared" si="60"/>
        <v>2923.666666666667</v>
      </c>
      <c r="CM52" s="31">
        <f t="shared" si="61"/>
        <v>409.66666666666669</v>
      </c>
      <c r="CN52" s="31">
        <f t="shared" si="62"/>
        <v>0</v>
      </c>
      <c r="CO52" s="31">
        <f t="shared" si="63"/>
        <v>0</v>
      </c>
      <c r="CP52" s="27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60000</v>
      </c>
      <c r="C53" s="31">
        <f t="shared" si="64"/>
        <v>52626</v>
      </c>
      <c r="D53" s="32">
        <f t="shared" si="64"/>
        <v>7374</v>
      </c>
      <c r="E53" s="30">
        <f t="shared" si="66"/>
        <v>20000</v>
      </c>
      <c r="F53" s="33">
        <f t="shared" si="66"/>
        <v>17542</v>
      </c>
      <c r="G53" s="34">
        <f t="shared" si="66"/>
        <v>2458</v>
      </c>
      <c r="H53" s="31">
        <f t="shared" si="65"/>
        <v>21811.403109999999</v>
      </c>
      <c r="I53" s="33">
        <f t="shared" si="65"/>
        <v>8190.5268900000001</v>
      </c>
      <c r="J53" s="33">
        <f t="shared" si="65"/>
        <v>30001.93</v>
      </c>
      <c r="K53" s="37">
        <f t="shared" si="2"/>
        <v>0.50009649999999994</v>
      </c>
      <c r="L53" s="36">
        <v>5000</v>
      </c>
      <c r="M53" s="31">
        <f t="shared" si="16"/>
        <v>4385.5</v>
      </c>
      <c r="N53" s="31">
        <f t="shared" si="17"/>
        <v>614.5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v>5000</v>
      </c>
      <c r="T53" s="31">
        <f t="shared" si="20"/>
        <v>4385.5</v>
      </c>
      <c r="U53" s="31">
        <f t="shared" si="21"/>
        <v>614.5</v>
      </c>
      <c r="V53" s="31">
        <f t="shared" si="22"/>
        <v>20191.530790000001</v>
      </c>
      <c r="W53" s="31">
        <f t="shared" si="23"/>
        <v>7582.2392100000006</v>
      </c>
      <c r="X53" s="148">
        <f>27773.77</f>
        <v>27773.77</v>
      </c>
      <c r="Y53" s="37">
        <f t="shared" si="4"/>
        <v>4.554754</v>
      </c>
      <c r="Z53" s="36">
        <v>5000</v>
      </c>
      <c r="AA53" s="31">
        <f t="shared" si="24"/>
        <v>4385.5</v>
      </c>
      <c r="AB53" s="31">
        <f t="shared" si="25"/>
        <v>614.5</v>
      </c>
      <c r="AC53" s="31">
        <f t="shared" si="26"/>
        <v>1411.1360799999998</v>
      </c>
      <c r="AD53" s="31">
        <f t="shared" si="27"/>
        <v>529.90392000000008</v>
      </c>
      <c r="AE53" s="27">
        <f>1941.04</f>
        <v>1941.04</v>
      </c>
      <c r="AF53" s="37">
        <f t="shared" si="5"/>
        <v>-0.611792</v>
      </c>
      <c r="AG53" s="36">
        <v>5000</v>
      </c>
      <c r="AH53" s="31">
        <f t="shared" si="28"/>
        <v>4385.5</v>
      </c>
      <c r="AI53" s="31">
        <f t="shared" si="29"/>
        <v>614.5</v>
      </c>
      <c r="AJ53" s="31">
        <f t="shared" si="30"/>
        <v>208.73624000000001</v>
      </c>
      <c r="AK53" s="31">
        <f t="shared" si="31"/>
        <v>78.383760000000009</v>
      </c>
      <c r="AL53" s="27">
        <f>287.12</f>
        <v>287.12</v>
      </c>
      <c r="AM53" s="37">
        <f t="shared" si="6"/>
        <v>-0.94257599999999997</v>
      </c>
      <c r="AN53" s="36">
        <v>5000</v>
      </c>
      <c r="AO53" s="31">
        <f t="shared" si="32"/>
        <v>4385.5</v>
      </c>
      <c r="AP53" s="31">
        <f t="shared" si="33"/>
        <v>614.5</v>
      </c>
      <c r="AQ53" s="31">
        <f t="shared" si="34"/>
        <v>0</v>
      </c>
      <c r="AR53" s="31">
        <f t="shared" si="35"/>
        <v>0</v>
      </c>
      <c r="AS53" s="27"/>
      <c r="AT53" s="37">
        <f t="shared" si="7"/>
        <v>-1</v>
      </c>
      <c r="AU53" s="36">
        <v>5000</v>
      </c>
      <c r="AV53" s="31">
        <f t="shared" si="36"/>
        <v>4385.5</v>
      </c>
      <c r="AW53" s="31">
        <f t="shared" si="37"/>
        <v>614.5</v>
      </c>
      <c r="AX53" s="31">
        <f t="shared" si="38"/>
        <v>0</v>
      </c>
      <c r="AY53" s="31">
        <f t="shared" si="39"/>
        <v>0</v>
      </c>
      <c r="AZ53" s="27"/>
      <c r="BA53" s="37">
        <f t="shared" si="8"/>
        <v>-1</v>
      </c>
      <c r="BB53" s="36">
        <v>5000</v>
      </c>
      <c r="BC53" s="31">
        <f t="shared" si="40"/>
        <v>4385.5</v>
      </c>
      <c r="BD53" s="31">
        <f t="shared" si="41"/>
        <v>614.5</v>
      </c>
      <c r="BE53" s="31">
        <f t="shared" si="42"/>
        <v>0</v>
      </c>
      <c r="BF53" s="31">
        <f t="shared" si="43"/>
        <v>0</v>
      </c>
      <c r="BG53" s="27"/>
      <c r="BH53" s="37">
        <f t="shared" si="9"/>
        <v>-1</v>
      </c>
      <c r="BI53" s="36">
        <v>5000</v>
      </c>
      <c r="BJ53" s="31">
        <f t="shared" si="44"/>
        <v>4385.5</v>
      </c>
      <c r="BK53" s="31">
        <f t="shared" si="45"/>
        <v>614.5</v>
      </c>
      <c r="BL53" s="31">
        <f t="shared" si="46"/>
        <v>0</v>
      </c>
      <c r="BM53" s="31">
        <f t="shared" si="47"/>
        <v>0</v>
      </c>
      <c r="BN53" s="27"/>
      <c r="BO53" s="37">
        <f t="shared" si="10"/>
        <v>-1</v>
      </c>
      <c r="BP53" s="36">
        <v>5000</v>
      </c>
      <c r="BQ53" s="31">
        <f t="shared" si="48"/>
        <v>4385.5</v>
      </c>
      <c r="BR53" s="31">
        <f t="shared" si="49"/>
        <v>614.5</v>
      </c>
      <c r="BS53" s="31">
        <f t="shared" si="50"/>
        <v>0</v>
      </c>
      <c r="BT53" s="31">
        <f t="shared" si="51"/>
        <v>0</v>
      </c>
      <c r="BU53" s="27"/>
      <c r="BV53" s="37">
        <f t="shared" si="11"/>
        <v>-1</v>
      </c>
      <c r="BW53" s="36">
        <v>5000</v>
      </c>
      <c r="BX53" s="31">
        <f t="shared" si="52"/>
        <v>4385.5</v>
      </c>
      <c r="BY53" s="31">
        <f t="shared" si="53"/>
        <v>614.5</v>
      </c>
      <c r="BZ53" s="31">
        <f t="shared" si="54"/>
        <v>0</v>
      </c>
      <c r="CA53" s="31">
        <f t="shared" si="55"/>
        <v>0</v>
      </c>
      <c r="CB53" s="27"/>
      <c r="CC53" s="37">
        <f t="shared" si="12"/>
        <v>-1</v>
      </c>
      <c r="CD53" s="36">
        <v>5000</v>
      </c>
      <c r="CE53" s="31">
        <f t="shared" si="56"/>
        <v>4385.5</v>
      </c>
      <c r="CF53" s="31">
        <f t="shared" si="57"/>
        <v>614.5</v>
      </c>
      <c r="CG53" s="31">
        <f t="shared" si="58"/>
        <v>0</v>
      </c>
      <c r="CH53" s="31">
        <f t="shared" si="59"/>
        <v>0</v>
      </c>
      <c r="CI53" s="27"/>
      <c r="CJ53" s="37">
        <f t="shared" si="13"/>
        <v>-1</v>
      </c>
      <c r="CK53" s="36">
        <v>5000</v>
      </c>
      <c r="CL53" s="31">
        <f t="shared" si="60"/>
        <v>4385.5</v>
      </c>
      <c r="CM53" s="31">
        <f t="shared" si="61"/>
        <v>614.5</v>
      </c>
      <c r="CN53" s="31">
        <f t="shared" si="62"/>
        <v>0</v>
      </c>
      <c r="CO53" s="31">
        <f t="shared" si="63"/>
        <v>0</v>
      </c>
      <c r="CP53" s="27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367266.02500000002</v>
      </c>
      <c r="C54" s="40">
        <f t="shared" si="64"/>
        <v>322129.03052749997</v>
      </c>
      <c r="D54" s="51">
        <f t="shared" si="64"/>
        <v>45136.994472499988</v>
      </c>
      <c r="E54" s="52">
        <f t="shared" si="66"/>
        <v>209866.3</v>
      </c>
      <c r="F54" s="53">
        <f t="shared" si="66"/>
        <v>184073.73173</v>
      </c>
      <c r="G54" s="54">
        <f t="shared" si="66"/>
        <v>25792.568269999996</v>
      </c>
      <c r="H54" s="40">
        <f t="shared" si="65"/>
        <v>207434.45198999991</v>
      </c>
      <c r="I54" s="53">
        <f t="shared" si="65"/>
        <v>77894.918009999965</v>
      </c>
      <c r="J54" s="53">
        <f t="shared" si="65"/>
        <v>285329.36999999988</v>
      </c>
      <c r="K54" s="60">
        <f t="shared" si="2"/>
        <v>0.35957688299645962</v>
      </c>
      <c r="L54" s="87">
        <v>52466.574999999997</v>
      </c>
      <c r="M54" s="40">
        <f t="shared" si="16"/>
        <v>46018.4329325</v>
      </c>
      <c r="N54" s="40">
        <f t="shared" si="17"/>
        <v>6448.142067499999</v>
      </c>
      <c r="O54" s="40">
        <f t="shared" si="18"/>
        <v>13256.990400000001</v>
      </c>
      <c r="P54" s="40">
        <f t="shared" si="19"/>
        <v>4978.2096000000001</v>
      </c>
      <c r="Q54" s="53">
        <f>2908.23+13884.6+1442.37</f>
        <v>18235.2</v>
      </c>
      <c r="R54" s="60">
        <f t="shared" si="3"/>
        <v>-0.65244157828102933</v>
      </c>
      <c r="S54" s="87">
        <v>52466.574999999997</v>
      </c>
      <c r="T54" s="40">
        <f t="shared" si="20"/>
        <v>46018.4329325</v>
      </c>
      <c r="U54" s="40">
        <f t="shared" si="21"/>
        <v>6448.142067499999</v>
      </c>
      <c r="V54" s="40">
        <f t="shared" si="22"/>
        <v>49923.831539999992</v>
      </c>
      <c r="W54" s="40">
        <f t="shared" si="23"/>
        <v>18747.188459999998</v>
      </c>
      <c r="X54" s="154">
        <f>67377.43+1293.59</f>
        <v>68671.01999999999</v>
      </c>
      <c r="Y54" s="60">
        <f t="shared" si="4"/>
        <v>0.30885273147713566</v>
      </c>
      <c r="Z54" s="87">
        <v>52466.574999999997</v>
      </c>
      <c r="AA54" s="40">
        <f t="shared" si="24"/>
        <v>46018.4329325</v>
      </c>
      <c r="AB54" s="40">
        <f t="shared" si="25"/>
        <v>6448.142067499999</v>
      </c>
      <c r="AC54" s="40">
        <f t="shared" si="26"/>
        <v>40461.606660000049</v>
      </c>
      <c r="AD54" s="40">
        <f t="shared" si="27"/>
        <v>15193.973340000022</v>
      </c>
      <c r="AE54" s="61">
        <v>55655.580000000075</v>
      </c>
      <c r="AF54" s="60">
        <f t="shared" si="5"/>
        <v>6.0781650031473955E-2</v>
      </c>
      <c r="AG54" s="87">
        <v>52466.574999999997</v>
      </c>
      <c r="AH54" s="40">
        <f t="shared" si="28"/>
        <v>46018.4329325</v>
      </c>
      <c r="AI54" s="40">
        <f t="shared" si="29"/>
        <v>6448.142067499999</v>
      </c>
      <c r="AJ54" s="40">
        <f t="shared" si="30"/>
        <v>103792.02338999987</v>
      </c>
      <c r="AK54" s="40">
        <f t="shared" si="31"/>
        <v>38975.546609999954</v>
      </c>
      <c r="AL54" s="61">
        <v>142767.56999999983</v>
      </c>
      <c r="AM54" s="60">
        <f t="shared" si="6"/>
        <v>1.7211147287582587</v>
      </c>
      <c r="AN54" s="56">
        <v>52466.574999999997</v>
      </c>
      <c r="AO54" s="40">
        <f t="shared" si="32"/>
        <v>46018.4329325</v>
      </c>
      <c r="AP54" s="40">
        <f t="shared" si="33"/>
        <v>6448.142067499999</v>
      </c>
      <c r="AQ54" s="40">
        <f t="shared" si="34"/>
        <v>0</v>
      </c>
      <c r="AR54" s="40">
        <f t="shared" si="35"/>
        <v>0</v>
      </c>
      <c r="AS54" s="59"/>
      <c r="AT54" s="60">
        <f t="shared" si="7"/>
        <v>-1</v>
      </c>
      <c r="AU54" s="56">
        <v>52466.574999999997</v>
      </c>
      <c r="AV54" s="40">
        <f t="shared" si="36"/>
        <v>46018.4329325</v>
      </c>
      <c r="AW54" s="40">
        <f t="shared" si="37"/>
        <v>6448.142067499999</v>
      </c>
      <c r="AX54" s="40">
        <f t="shared" si="38"/>
        <v>0</v>
      </c>
      <c r="AY54" s="40">
        <f t="shared" si="39"/>
        <v>0</v>
      </c>
      <c r="AZ54" s="59"/>
      <c r="BA54" s="60">
        <f t="shared" si="8"/>
        <v>-1</v>
      </c>
      <c r="BB54" s="56">
        <v>52466.574999999997</v>
      </c>
      <c r="BC54" s="40">
        <f t="shared" si="40"/>
        <v>46018.4329325</v>
      </c>
      <c r="BD54" s="40">
        <f t="shared" si="41"/>
        <v>6448.142067499999</v>
      </c>
      <c r="BE54" s="40">
        <f t="shared" si="42"/>
        <v>0</v>
      </c>
      <c r="BF54" s="40">
        <f t="shared" si="43"/>
        <v>0</v>
      </c>
      <c r="BG54" s="59"/>
      <c r="BH54" s="60">
        <f t="shared" si="9"/>
        <v>-1</v>
      </c>
      <c r="BI54" s="56"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9"/>
      <c r="BO54" s="60" t="str">
        <f t="shared" si="10"/>
        <v/>
      </c>
      <c r="BP54" s="56"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9"/>
      <c r="BV54" s="60" t="str">
        <f t="shared" si="11"/>
        <v/>
      </c>
      <c r="BW54" s="87"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61"/>
      <c r="CC54" s="60" t="str">
        <f t="shared" si="12"/>
        <v/>
      </c>
      <c r="CD54" s="87"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61"/>
      <c r="CJ54" s="60" t="str">
        <f t="shared" si="13"/>
        <v/>
      </c>
      <c r="CK54" s="87"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61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22485022.607643884</v>
      </c>
      <c r="C55" s="64">
        <f t="shared" si="67"/>
        <v>19721613.329164453</v>
      </c>
      <c r="D55" s="65">
        <f t="shared" si="67"/>
        <v>2763409.2784794336</v>
      </c>
      <c r="E55" s="63">
        <f t="shared" si="67"/>
        <v>9704331.147381844</v>
      </c>
      <c r="F55" s="66">
        <f t="shared" si="67"/>
        <v>8511668.8493686132</v>
      </c>
      <c r="G55" s="67">
        <f t="shared" si="67"/>
        <v>1192662.2980132285</v>
      </c>
      <c r="H55" s="64">
        <f t="shared" si="67"/>
        <v>7463490.9772999976</v>
      </c>
      <c r="I55" s="66">
        <f t="shared" si="67"/>
        <v>2802658.9227</v>
      </c>
      <c r="J55" s="66">
        <f t="shared" si="67"/>
        <v>10266149.899999999</v>
      </c>
      <c r="K55" s="120">
        <f>+J55/E55-1</f>
        <v>5.7893608955185805E-2</v>
      </c>
      <c r="L55" s="121">
        <f t="shared" ref="L55:Q55" si="68">SUM(L4:L54)</f>
        <v>2490410.1221516747</v>
      </c>
      <c r="M55" s="121">
        <f t="shared" si="68"/>
        <v>2184338.7181392335</v>
      </c>
      <c r="N55" s="121">
        <f t="shared" si="68"/>
        <v>306071.4040124407</v>
      </c>
      <c r="O55" s="122">
        <f t="shared" si="68"/>
        <v>2126012.0100499997</v>
      </c>
      <c r="P55" s="122">
        <f t="shared" si="68"/>
        <v>798351.13995000033</v>
      </c>
      <c r="Q55" s="123">
        <f t="shared" si="68"/>
        <v>2924363.1500000008</v>
      </c>
      <c r="R55" s="120">
        <f>+Q55/L55-1</f>
        <v>0.1742496241837459</v>
      </c>
      <c r="S55" s="121">
        <f t="shared" ref="S55:X55" si="69">SUM(S4:S54)</f>
        <v>2481252.0512599521</v>
      </c>
      <c r="T55" s="121">
        <f t="shared" si="69"/>
        <v>2176306.1741601033</v>
      </c>
      <c r="U55" s="121">
        <f t="shared" si="69"/>
        <v>304945.87709984806</v>
      </c>
      <c r="V55" s="122">
        <f t="shared" si="69"/>
        <v>1301707.9091399999</v>
      </c>
      <c r="W55" s="122">
        <f t="shared" si="69"/>
        <v>488811.91086000006</v>
      </c>
      <c r="X55" s="123">
        <f t="shared" si="69"/>
        <v>1790519.8200000003</v>
      </c>
      <c r="Y55" s="120">
        <f>+X55/S55-1</f>
        <v>-0.27838051797648111</v>
      </c>
      <c r="Z55" s="121">
        <f t="shared" ref="Z55:AE55" si="70">SUM(Z4:Z54)</f>
        <v>2553983.4596703588</v>
      </c>
      <c r="AA55" s="121">
        <f t="shared" si="70"/>
        <v>2240098.8924768707</v>
      </c>
      <c r="AB55" s="121">
        <f t="shared" si="70"/>
        <v>313884.56719348702</v>
      </c>
      <c r="AC55" s="122">
        <f t="shared" si="70"/>
        <v>1808024.8490599997</v>
      </c>
      <c r="AD55" s="122">
        <f t="shared" si="70"/>
        <v>678941.93093999999</v>
      </c>
      <c r="AE55" s="124">
        <f t="shared" si="70"/>
        <v>2486966.7800000012</v>
      </c>
      <c r="AF55" s="120">
        <f>+AE55/Z55-1</f>
        <v>-2.6240060176038638E-2</v>
      </c>
      <c r="AG55" s="121">
        <f t="shared" ref="AG55:AL55" si="71">SUM(AG4:AG54)</f>
        <v>2178685.5142998574</v>
      </c>
      <c r="AH55" s="121">
        <f t="shared" si="71"/>
        <v>1910925.064592405</v>
      </c>
      <c r="AI55" s="121">
        <f t="shared" si="71"/>
        <v>267760.44970745238</v>
      </c>
      <c r="AJ55" s="122">
        <f t="shared" si="71"/>
        <v>2227746.2090500002</v>
      </c>
      <c r="AK55" s="122">
        <f t="shared" si="71"/>
        <v>836553.94094999996</v>
      </c>
      <c r="AL55" s="124">
        <f t="shared" si="71"/>
        <v>3064300.1500000008</v>
      </c>
      <c r="AM55" s="120">
        <f>+AL55/AG55-1</f>
        <v>0.40649034928969296</v>
      </c>
      <c r="AN55" s="121">
        <f t="shared" ref="AN55:AS55" si="72">SUM(AN4:AN54)</f>
        <v>2231267.6002893308</v>
      </c>
      <c r="AO55" s="121">
        <f t="shared" si="72"/>
        <v>1957044.8122137717</v>
      </c>
      <c r="AP55" s="121">
        <f t="shared" si="72"/>
        <v>274222.78807555872</v>
      </c>
      <c r="AQ55" s="122">
        <f t="shared" si="72"/>
        <v>0</v>
      </c>
      <c r="AR55" s="122">
        <f t="shared" si="72"/>
        <v>0</v>
      </c>
      <c r="AS55" s="124">
        <f t="shared" si="72"/>
        <v>0</v>
      </c>
      <c r="AT55" s="120">
        <f>+AS55/AN55-1</f>
        <v>-1</v>
      </c>
      <c r="AU55" s="121">
        <f t="shared" ref="AU55:AZ55" si="73">SUM(AU4:AU54)</f>
        <v>2210669.3377702264</v>
      </c>
      <c r="AV55" s="121">
        <f t="shared" si="73"/>
        <v>1938978.0761582658</v>
      </c>
      <c r="AW55" s="121">
        <f t="shared" si="73"/>
        <v>271691.26161196083</v>
      </c>
      <c r="AX55" s="122">
        <f t="shared" si="73"/>
        <v>0</v>
      </c>
      <c r="AY55" s="122">
        <f t="shared" si="73"/>
        <v>0</v>
      </c>
      <c r="AZ55" s="124">
        <f t="shared" si="73"/>
        <v>0</v>
      </c>
      <c r="BA55" s="120">
        <f>+AZ55/AU55-1</f>
        <v>-1</v>
      </c>
      <c r="BB55" s="121">
        <f t="shared" ref="BB55:BG55" si="74">SUM(BB4:BB54)</f>
        <v>1892653.5570215352</v>
      </c>
      <c r="BC55" s="121">
        <f t="shared" si="74"/>
        <v>1660046.4348635883</v>
      </c>
      <c r="BD55" s="121">
        <f t="shared" si="74"/>
        <v>232607.12215794669</v>
      </c>
      <c r="BE55" s="122">
        <f t="shared" si="74"/>
        <v>0</v>
      </c>
      <c r="BF55" s="122">
        <f t="shared" si="74"/>
        <v>0</v>
      </c>
      <c r="BG55" s="124">
        <f t="shared" si="74"/>
        <v>0</v>
      </c>
      <c r="BH55" s="120">
        <f>+BG55/BB55-1</f>
        <v>-1</v>
      </c>
      <c r="BI55" s="121">
        <f t="shared" ref="BI55:BN55" si="75">SUM(BI4:BI54)</f>
        <v>1620325.7709148529</v>
      </c>
      <c r="BJ55" s="121">
        <f t="shared" si="75"/>
        <v>1421187.7336694179</v>
      </c>
      <c r="BK55" s="121">
        <f t="shared" si="75"/>
        <v>199138.03724543541</v>
      </c>
      <c r="BL55" s="122">
        <f t="shared" si="75"/>
        <v>0</v>
      </c>
      <c r="BM55" s="122">
        <f t="shared" si="75"/>
        <v>0</v>
      </c>
      <c r="BN55" s="124">
        <f t="shared" si="75"/>
        <v>0</v>
      </c>
      <c r="BO55" s="120">
        <f>+BN55/BI55-1</f>
        <v>-1</v>
      </c>
      <c r="BP55" s="121">
        <f t="shared" ref="BP55:BU55" si="76">SUM(BP4:BP54)</f>
        <v>1475679.7857677646</v>
      </c>
      <c r="BQ55" s="121">
        <f t="shared" si="76"/>
        <v>1294318.7400969062</v>
      </c>
      <c r="BR55" s="121">
        <f t="shared" si="76"/>
        <v>181361.04567085826</v>
      </c>
      <c r="BS55" s="122">
        <f t="shared" si="76"/>
        <v>0</v>
      </c>
      <c r="BT55" s="122">
        <f t="shared" si="76"/>
        <v>0</v>
      </c>
      <c r="BU55" s="124">
        <f t="shared" si="76"/>
        <v>0</v>
      </c>
      <c r="BV55" s="120">
        <f>+BU55/BP55-1</f>
        <v>-1</v>
      </c>
      <c r="BW55" s="121">
        <f t="shared" ref="BW55:CB55" si="77">SUM(BW4:BW54)</f>
        <v>1170337.3560649003</v>
      </c>
      <c r="BX55" s="121">
        <f t="shared" si="77"/>
        <v>1026502.895004524</v>
      </c>
      <c r="BY55" s="121">
        <f t="shared" si="77"/>
        <v>143834.46106037623</v>
      </c>
      <c r="BZ55" s="122">
        <f t="shared" si="77"/>
        <v>0</v>
      </c>
      <c r="CA55" s="122">
        <f t="shared" si="77"/>
        <v>0</v>
      </c>
      <c r="CB55" s="124">
        <f t="shared" si="77"/>
        <v>0</v>
      </c>
      <c r="CC55" s="120">
        <f>+CB55/BW55-1</f>
        <v>-1</v>
      </c>
      <c r="CD55" s="121">
        <f t="shared" ref="CD55:CI55" si="78">SUM(CD4:CD54)</f>
        <v>1151979.8104975652</v>
      </c>
      <c r="CE55" s="121">
        <f t="shared" si="78"/>
        <v>1010401.4917874145</v>
      </c>
      <c r="CF55" s="121">
        <f t="shared" si="78"/>
        <v>141578.31871015078</v>
      </c>
      <c r="CG55" s="122">
        <f t="shared" si="78"/>
        <v>0</v>
      </c>
      <c r="CH55" s="122">
        <f t="shared" si="78"/>
        <v>0</v>
      </c>
      <c r="CI55" s="124">
        <f t="shared" si="78"/>
        <v>0</v>
      </c>
      <c r="CJ55" s="120">
        <f>+CI55/CD55-1</f>
        <v>-1</v>
      </c>
      <c r="CK55" s="121">
        <f t="shared" ref="CK55:CP55" si="79">SUM(CK4:CK54)</f>
        <v>1027778.2419358694</v>
      </c>
      <c r="CL55" s="121">
        <f t="shared" si="79"/>
        <v>901464.29600195098</v>
      </c>
      <c r="CM55" s="121">
        <f t="shared" si="79"/>
        <v>126313.94593391837</v>
      </c>
      <c r="CN55" s="122">
        <f t="shared" si="79"/>
        <v>0</v>
      </c>
      <c r="CO55" s="122">
        <f t="shared" si="79"/>
        <v>0</v>
      </c>
      <c r="CP55" s="124">
        <f t="shared" si="79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-378814.35986159177</v>
      </c>
      <c r="C56" s="76">
        <f t="shared" ref="C56:D57" si="80">+M56+T56+AA56+AH56+AO56+AV56+BC56+BJ56+BQ56+BX56+CE56+CL56</f>
        <v>-332258.07503460208</v>
      </c>
      <c r="D56" s="77">
        <f t="shared" si="80"/>
        <v>-46556.284826989628</v>
      </c>
      <c r="E56" s="75">
        <f>+L56+S56+Z56+AG56</f>
        <v>-126271.45328719723</v>
      </c>
      <c r="F56" s="78">
        <f t="shared" ref="F56:G57" si="81">+M56+T56+AA56+AH56</f>
        <v>-110752.69167820069</v>
      </c>
      <c r="G56" s="79">
        <f t="shared" si="81"/>
        <v>-15518.76160899654</v>
      </c>
      <c r="H56" s="76">
        <f t="shared" ref="H56:J57" si="82">+O56+V56+AC56+AJ56+AQ56+AX56+BE56+BL56+BS56+BZ56+CG56+CN56</f>
        <v>-99952.132979999995</v>
      </c>
      <c r="I56" s="78">
        <f t="shared" si="82"/>
        <v>-37533.607020000003</v>
      </c>
      <c r="J56" s="78">
        <f t="shared" si="82"/>
        <v>-137485.74</v>
      </c>
      <c r="K56" s="25">
        <f t="shared" ref="K56:K57" si="83">IF(E56=0,"",(+J56/E56-1))</f>
        <v>8.881094198937034E-2</v>
      </c>
      <c r="L56" s="23">
        <v>-31567.863321799308</v>
      </c>
      <c r="M56" s="18">
        <f t="shared" ref="M56:M57" si="84">L56-N56</f>
        <v>-27688.172919550172</v>
      </c>
      <c r="N56" s="18">
        <f t="shared" ref="N56:N57" si="85">+L56*12.29%</f>
        <v>-3879.6904022491349</v>
      </c>
      <c r="O56" s="18">
        <f t="shared" ref="O56:O57" si="86">+Q56-P56</f>
        <v>0</v>
      </c>
      <c r="P56" s="18">
        <f t="shared" ref="P56:P57" si="87">+Q56*27.3%</f>
        <v>0</v>
      </c>
      <c r="Q56" s="20"/>
      <c r="R56" s="25">
        <f t="shared" ref="R56:R57" si="88">IF(L56=0,"",(+Q56/L56-1))</f>
        <v>-1</v>
      </c>
      <c r="S56" s="23">
        <v>-31567.863321799308</v>
      </c>
      <c r="T56" s="18">
        <f t="shared" ref="T56:T57" si="89">S56-U56</f>
        <v>-27688.172919550172</v>
      </c>
      <c r="U56" s="18">
        <f t="shared" ref="U56:U57" si="90">+S56*12.29%</f>
        <v>-3879.6904022491349</v>
      </c>
      <c r="V56" s="18">
        <f t="shared" ref="V56:V57" si="91">+X56-W56</f>
        <v>-60108.36</v>
      </c>
      <c r="W56" s="18">
        <f t="shared" ref="W56:W57" si="92">+X56*27.3%</f>
        <v>-22571.640000000003</v>
      </c>
      <c r="X56" s="20">
        <v>-82680</v>
      </c>
      <c r="Y56" s="25">
        <f>IF(S56=0,"",(+X56/S56-1))</f>
        <v>1.6191192972793003</v>
      </c>
      <c r="Z56" s="23">
        <v>-31567.863321799308</v>
      </c>
      <c r="AA56" s="18">
        <f t="shared" ref="AA56:AA57" si="93">Z56-AB56</f>
        <v>-27688.172919550172</v>
      </c>
      <c r="AB56" s="18">
        <f t="shared" ref="AB56:AB57" si="94">+Z56*12.29%</f>
        <v>-3879.6904022491349</v>
      </c>
      <c r="AC56" s="18">
        <f t="shared" ref="AC56:AC57" si="95">+AE56-AD56</f>
        <v>458.94782999999995</v>
      </c>
      <c r="AD56" s="18">
        <f t="shared" ref="AD56:AD57" si="96">+AE56*27.3%</f>
        <v>172.34217000000001</v>
      </c>
      <c r="AE56" s="24">
        <v>631.29</v>
      </c>
      <c r="AF56" s="25">
        <f t="shared" ref="AF56:AF57" si="97">IF(Z56=0,"",(+AE56/Z56-1))</f>
        <v>-1.0199978691482758</v>
      </c>
      <c r="AG56" s="23">
        <v>-31567.863321799308</v>
      </c>
      <c r="AH56" s="18">
        <f t="shared" ref="AH56:AH57" si="98">AG56-AI56</f>
        <v>-27688.172919550172</v>
      </c>
      <c r="AI56" s="18">
        <f t="shared" ref="AI56:AI57" si="99">+AG56*12.29%</f>
        <v>-3879.6904022491349</v>
      </c>
      <c r="AJ56" s="18">
        <f t="shared" ref="AJ56:AJ57" si="100">+AL56-AK56</f>
        <v>-40302.720809999999</v>
      </c>
      <c r="AK56" s="18">
        <f t="shared" ref="AK56:AK57" si="101">+AL56*27.3%</f>
        <v>-15134.30919</v>
      </c>
      <c r="AL56" s="24">
        <f>-56180+742.97</f>
        <v>-55437.03</v>
      </c>
      <c r="AM56" s="25">
        <f t="shared" ref="AM56:AM57" si="102">IF(AG56=0,"",(+AL56/AG56-1))</f>
        <v>0.75612233982645716</v>
      </c>
      <c r="AN56" s="23">
        <v>-31567.863321799308</v>
      </c>
      <c r="AO56" s="18">
        <f t="shared" ref="AO56:AO57" si="103">AN56-AP56</f>
        <v>-27688.172919550172</v>
      </c>
      <c r="AP56" s="18">
        <f t="shared" ref="AP56:AP57" si="104">+AN56*12.29%</f>
        <v>-3879.6904022491349</v>
      </c>
      <c r="AQ56" s="18">
        <f t="shared" ref="AQ56:AQ57" si="105">+AS56-AR56</f>
        <v>0</v>
      </c>
      <c r="AR56" s="18">
        <f t="shared" ref="AR56:AR57" si="106">+AS56*27.3%</f>
        <v>0</v>
      </c>
      <c r="AS56" s="24"/>
      <c r="AT56" s="25">
        <f t="shared" ref="AT56:AT57" si="107">IF(AN56=0,"",(+AS56/AN56-1))</f>
        <v>-1</v>
      </c>
      <c r="AU56" s="23">
        <v>-31567.863321799308</v>
      </c>
      <c r="AV56" s="18">
        <f t="shared" ref="AV56:AV57" si="108">AU56-AW56</f>
        <v>-27688.172919550172</v>
      </c>
      <c r="AW56" s="18">
        <f t="shared" ref="AW56:AW57" si="109">+AU56*12.29%</f>
        <v>-3879.6904022491349</v>
      </c>
      <c r="AX56" s="18">
        <f t="shared" ref="AX56:AX57" si="110">+AZ56-AY56</f>
        <v>0</v>
      </c>
      <c r="AY56" s="18">
        <f t="shared" ref="AY56:AY57" si="111">+AZ56*27.3%</f>
        <v>0</v>
      </c>
      <c r="AZ56" s="24"/>
      <c r="BA56" s="25">
        <f t="shared" ref="BA56:BA57" si="112">IF(AU56=0,"",(+AZ56/AU56-1))</f>
        <v>-1</v>
      </c>
      <c r="BB56" s="23">
        <v>-31567.863321799308</v>
      </c>
      <c r="BC56" s="18">
        <f t="shared" ref="BC56:BC57" si="113">BB56-BD56</f>
        <v>-27688.172919550172</v>
      </c>
      <c r="BD56" s="18">
        <f t="shared" ref="BD56:BD57" si="114">+BB56*12.29%</f>
        <v>-3879.6904022491349</v>
      </c>
      <c r="BE56" s="18">
        <f t="shared" ref="BE56:BE57" si="115">+BG56-BF56</f>
        <v>0</v>
      </c>
      <c r="BF56" s="18">
        <f t="shared" ref="BF56:BF57" si="116">+BG56*27.3%</f>
        <v>0</v>
      </c>
      <c r="BG56" s="24"/>
      <c r="BH56" s="25">
        <f t="shared" ref="BH56:BH57" si="117">IF(BB56=0,"",(+BG56/BB56-1))</f>
        <v>-1</v>
      </c>
      <c r="BI56" s="23">
        <v>-31567.863321799308</v>
      </c>
      <c r="BJ56" s="18">
        <f t="shared" ref="BJ56:BJ57" si="118">BI56-BK56</f>
        <v>-27688.172919550172</v>
      </c>
      <c r="BK56" s="18">
        <f t="shared" ref="BK56:BK57" si="119">+BI56*12.29%</f>
        <v>-3879.6904022491349</v>
      </c>
      <c r="BL56" s="18">
        <f t="shared" ref="BL56:BL57" si="120">+BN56-BM56</f>
        <v>0</v>
      </c>
      <c r="BM56" s="18">
        <f t="shared" ref="BM56:BM57" si="121">+BN56*27.3%</f>
        <v>0</v>
      </c>
      <c r="BN56" s="24"/>
      <c r="BO56" s="25">
        <f t="shared" ref="BO56:BO57" si="122">IF(BI56=0,"",(+BN56/BI56-1))</f>
        <v>-1</v>
      </c>
      <c r="BP56" s="23">
        <v>-31567.863321799308</v>
      </c>
      <c r="BQ56" s="18">
        <f t="shared" ref="BQ56:BQ57" si="123">BP56-BR56</f>
        <v>-27688.172919550172</v>
      </c>
      <c r="BR56" s="18">
        <f t="shared" ref="BR56:BR57" si="124">+BP56*12.29%</f>
        <v>-3879.6904022491349</v>
      </c>
      <c r="BS56" s="18">
        <f t="shared" ref="BS56:BS57" si="125">+BU56-BT56</f>
        <v>0</v>
      </c>
      <c r="BT56" s="18">
        <f t="shared" ref="BT56:BT57" si="126">+BU56*27.3%</f>
        <v>0</v>
      </c>
      <c r="BU56" s="24"/>
      <c r="BV56" s="25">
        <f t="shared" ref="BV56:BV57" si="127">IF(BP56=0,"",(+BU56/BP56-1))</f>
        <v>-1</v>
      </c>
      <c r="BW56" s="23">
        <v>-31567.863321799308</v>
      </c>
      <c r="BX56" s="18">
        <f t="shared" ref="BX56:BX57" si="128">BW56-BY56</f>
        <v>-27688.172919550172</v>
      </c>
      <c r="BY56" s="18">
        <f t="shared" ref="BY56:BY57" si="129">+BW56*12.29%</f>
        <v>-3879.6904022491349</v>
      </c>
      <c r="BZ56" s="18">
        <f t="shared" ref="BZ56:BZ57" si="130">+CB56-CA56</f>
        <v>0</v>
      </c>
      <c r="CA56" s="18">
        <f t="shared" ref="CA56:CA57" si="131">+CB56*27.3%</f>
        <v>0</v>
      </c>
      <c r="CB56" s="24"/>
      <c r="CC56" s="25">
        <f t="shared" ref="CC56:CC57" si="132">IF(BW56=0,"",(+CB56/BW56-1))</f>
        <v>-1</v>
      </c>
      <c r="CD56" s="23">
        <v>-31567.863321799308</v>
      </c>
      <c r="CE56" s="18">
        <f t="shared" ref="CE56:CE57" si="133">CD56-CF56</f>
        <v>-27688.172919550172</v>
      </c>
      <c r="CF56" s="18">
        <f t="shared" ref="CF56:CF57" si="134">+CD56*12.29%</f>
        <v>-3879.6904022491349</v>
      </c>
      <c r="CG56" s="18">
        <f t="shared" ref="CG56:CG57" si="135">+CI56-CH56</f>
        <v>0</v>
      </c>
      <c r="CH56" s="18">
        <f t="shared" ref="CH56:CH57" si="136">+CI56*27.3%</f>
        <v>0</v>
      </c>
      <c r="CI56" s="24"/>
      <c r="CJ56" s="25">
        <f t="shared" ref="CJ56:CJ57" si="137">IF(CD56=0,"",(+CI56/CD56-1))</f>
        <v>-1</v>
      </c>
      <c r="CK56" s="23">
        <v>-31567.863321799308</v>
      </c>
      <c r="CL56" s="18">
        <f t="shared" ref="CL56:CL57" si="138">CK56-CM56</f>
        <v>-27688.172919550172</v>
      </c>
      <c r="CM56" s="18">
        <f t="shared" ref="CM56:CM57" si="139">+CK56*12.29%</f>
        <v>-3879.6904022491349</v>
      </c>
      <c r="CN56" s="18">
        <f t="shared" ref="CN56:CN57" si="140">+CP56-CO56</f>
        <v>0</v>
      </c>
      <c r="CO56" s="18">
        <f t="shared" ref="CO56:CO57" si="141">+CP56*27.3%</f>
        <v>0</v>
      </c>
      <c r="CP56" s="24"/>
      <c r="CQ56" s="25">
        <f t="shared" ref="CQ56:CQ57" si="142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-126271.4532871972</v>
      </c>
      <c r="C57" s="40">
        <f t="shared" si="80"/>
        <v>-110752.69167820066</v>
      </c>
      <c r="D57" s="51">
        <f t="shared" si="80"/>
        <v>-15518.761608996543</v>
      </c>
      <c r="E57" s="50">
        <f>+L57+S57+Z57+AG57</f>
        <v>-42090.484429065742</v>
      </c>
      <c r="F57" s="58">
        <f t="shared" si="81"/>
        <v>-36917.56389273356</v>
      </c>
      <c r="G57" s="85">
        <f t="shared" si="81"/>
        <v>-5172.9205363321798</v>
      </c>
      <c r="H57" s="57">
        <f t="shared" si="82"/>
        <v>-51873.362009999997</v>
      </c>
      <c r="I57" s="58">
        <f t="shared" si="82"/>
        <v>-19479.267990000004</v>
      </c>
      <c r="J57" s="58">
        <f t="shared" si="82"/>
        <v>-71352.63</v>
      </c>
      <c r="K57" s="127">
        <f t="shared" si="83"/>
        <v>0.69521997591282592</v>
      </c>
      <c r="L57" s="56">
        <v>-10522.621107266436</v>
      </c>
      <c r="M57" s="57">
        <f t="shared" si="84"/>
        <v>-9229.3909731833901</v>
      </c>
      <c r="N57" s="57">
        <f t="shared" si="85"/>
        <v>-1293.230134083045</v>
      </c>
      <c r="O57" s="57">
        <f t="shared" si="86"/>
        <v>-28860.787689999997</v>
      </c>
      <c r="P57" s="57">
        <f t="shared" si="87"/>
        <v>-10837.682310000002</v>
      </c>
      <c r="Q57" s="58">
        <v>-39698.47</v>
      </c>
      <c r="R57" s="127">
        <f t="shared" si="88"/>
        <v>2.7726788406917051</v>
      </c>
      <c r="S57" s="56">
        <v>-10522.621107266436</v>
      </c>
      <c r="T57" s="57">
        <f t="shared" si="89"/>
        <v>-9229.3909731833901</v>
      </c>
      <c r="U57" s="57">
        <f t="shared" si="90"/>
        <v>-1293.230134083045</v>
      </c>
      <c r="V57" s="57">
        <f t="shared" si="91"/>
        <v>-4264.2112299999999</v>
      </c>
      <c r="W57" s="57">
        <f t="shared" si="92"/>
        <v>-1601.2787700000001</v>
      </c>
      <c r="X57" s="58">
        <v>-5865.49</v>
      </c>
      <c r="Y57" s="127">
        <f>IF(S57=0,"",(+X57/S57-1))</f>
        <v>-0.44258279945577783</v>
      </c>
      <c r="Z57" s="56">
        <v>-10522.621107266436</v>
      </c>
      <c r="AA57" s="57">
        <f t="shared" si="93"/>
        <v>-9229.3909731833901</v>
      </c>
      <c r="AB57" s="57">
        <f t="shared" si="94"/>
        <v>-1293.230134083045</v>
      </c>
      <c r="AC57" s="57">
        <f t="shared" si="95"/>
        <v>-18748.363089999999</v>
      </c>
      <c r="AD57" s="57">
        <f t="shared" si="96"/>
        <v>-7040.3069100000002</v>
      </c>
      <c r="AE57" s="59">
        <v>-25788.67</v>
      </c>
      <c r="AF57" s="127">
        <f t="shared" si="97"/>
        <v>1.4507838624153764</v>
      </c>
      <c r="AG57" s="56">
        <v>-10522.621107266436</v>
      </c>
      <c r="AH57" s="57">
        <f t="shared" si="98"/>
        <v>-9229.3909731833901</v>
      </c>
      <c r="AI57" s="57">
        <f t="shared" si="99"/>
        <v>-1293.230134083045</v>
      </c>
      <c r="AJ57" s="57">
        <f t="shared" si="100"/>
        <v>0</v>
      </c>
      <c r="AK57" s="57">
        <f t="shared" si="101"/>
        <v>0</v>
      </c>
      <c r="AL57" s="59"/>
      <c r="AM57" s="127">
        <f t="shared" si="102"/>
        <v>-1</v>
      </c>
      <c r="AN57" s="56">
        <v>-10522.621107266436</v>
      </c>
      <c r="AO57" s="57">
        <f t="shared" si="103"/>
        <v>-9229.3909731833901</v>
      </c>
      <c r="AP57" s="57">
        <f t="shared" si="104"/>
        <v>-1293.230134083045</v>
      </c>
      <c r="AQ57" s="57">
        <f t="shared" si="105"/>
        <v>0</v>
      </c>
      <c r="AR57" s="57">
        <f t="shared" si="106"/>
        <v>0</v>
      </c>
      <c r="AS57" s="59"/>
      <c r="AT57" s="127">
        <f t="shared" si="107"/>
        <v>-1</v>
      </c>
      <c r="AU57" s="56">
        <v>-10522.621107266436</v>
      </c>
      <c r="AV57" s="57">
        <f t="shared" si="108"/>
        <v>-9229.3909731833901</v>
      </c>
      <c r="AW57" s="57">
        <f t="shared" si="109"/>
        <v>-1293.230134083045</v>
      </c>
      <c r="AX57" s="57">
        <f t="shared" si="110"/>
        <v>0</v>
      </c>
      <c r="AY57" s="57">
        <f t="shared" si="111"/>
        <v>0</v>
      </c>
      <c r="AZ57" s="59"/>
      <c r="BA57" s="127">
        <f t="shared" si="112"/>
        <v>-1</v>
      </c>
      <c r="BB57" s="56">
        <v>-10522.621107266436</v>
      </c>
      <c r="BC57" s="57">
        <f t="shared" si="113"/>
        <v>-9229.3909731833901</v>
      </c>
      <c r="BD57" s="57">
        <f t="shared" si="114"/>
        <v>-1293.230134083045</v>
      </c>
      <c r="BE57" s="57">
        <f t="shared" si="115"/>
        <v>0</v>
      </c>
      <c r="BF57" s="57">
        <f t="shared" si="116"/>
        <v>0</v>
      </c>
      <c r="BG57" s="59"/>
      <c r="BH57" s="127">
        <f t="shared" si="117"/>
        <v>-1</v>
      </c>
      <c r="BI57" s="56">
        <v>-10522.621107266436</v>
      </c>
      <c r="BJ57" s="57">
        <f t="shared" si="118"/>
        <v>-9229.3909731833901</v>
      </c>
      <c r="BK57" s="57">
        <f t="shared" si="119"/>
        <v>-1293.230134083045</v>
      </c>
      <c r="BL57" s="57">
        <f t="shared" si="120"/>
        <v>0</v>
      </c>
      <c r="BM57" s="57">
        <f t="shared" si="121"/>
        <v>0</v>
      </c>
      <c r="BN57" s="59"/>
      <c r="BO57" s="127">
        <f t="shared" si="122"/>
        <v>-1</v>
      </c>
      <c r="BP57" s="56">
        <v>-10522.621107266436</v>
      </c>
      <c r="BQ57" s="57">
        <f t="shared" si="123"/>
        <v>-9229.3909731833901</v>
      </c>
      <c r="BR57" s="57">
        <f t="shared" si="124"/>
        <v>-1293.230134083045</v>
      </c>
      <c r="BS57" s="57">
        <f t="shared" si="125"/>
        <v>0</v>
      </c>
      <c r="BT57" s="57">
        <f t="shared" si="126"/>
        <v>0</v>
      </c>
      <c r="BU57" s="59"/>
      <c r="BV57" s="127">
        <f t="shared" si="127"/>
        <v>-1</v>
      </c>
      <c r="BW57" s="56">
        <v>-10522.621107266436</v>
      </c>
      <c r="BX57" s="57">
        <f t="shared" si="128"/>
        <v>-9229.3909731833901</v>
      </c>
      <c r="BY57" s="57">
        <f t="shared" si="129"/>
        <v>-1293.230134083045</v>
      </c>
      <c r="BZ57" s="57">
        <f t="shared" si="130"/>
        <v>0</v>
      </c>
      <c r="CA57" s="57">
        <f t="shared" si="131"/>
        <v>0</v>
      </c>
      <c r="CB57" s="59"/>
      <c r="CC57" s="127">
        <f t="shared" si="132"/>
        <v>-1</v>
      </c>
      <c r="CD57" s="56">
        <v>-10522.621107266436</v>
      </c>
      <c r="CE57" s="57">
        <f t="shared" si="133"/>
        <v>-9229.3909731833901</v>
      </c>
      <c r="CF57" s="57">
        <f t="shared" si="134"/>
        <v>-1293.230134083045</v>
      </c>
      <c r="CG57" s="57">
        <f t="shared" si="135"/>
        <v>0</v>
      </c>
      <c r="CH57" s="57">
        <f t="shared" si="136"/>
        <v>0</v>
      </c>
      <c r="CI57" s="59"/>
      <c r="CJ57" s="127">
        <f t="shared" si="137"/>
        <v>-1</v>
      </c>
      <c r="CK57" s="56">
        <v>-10522.621107266436</v>
      </c>
      <c r="CL57" s="57">
        <f t="shared" si="138"/>
        <v>-9229.3909731833901</v>
      </c>
      <c r="CM57" s="57">
        <f t="shared" si="139"/>
        <v>-1293.230134083045</v>
      </c>
      <c r="CN57" s="57">
        <f t="shared" si="140"/>
        <v>0</v>
      </c>
      <c r="CO57" s="57">
        <f t="shared" si="141"/>
        <v>0</v>
      </c>
      <c r="CP57" s="59"/>
      <c r="CQ57" s="127">
        <f t="shared" si="142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21979936.794495098</v>
      </c>
      <c r="C58" s="90">
        <f t="shared" ref="C58:D58" si="143">+C55+C56+C57</f>
        <v>19278602.562451649</v>
      </c>
      <c r="D58" s="91">
        <f t="shared" si="143"/>
        <v>2701334.2320434474</v>
      </c>
      <c r="E58" s="92">
        <f t="shared" ref="E58:J58" si="144">SUM(E55:E57)</f>
        <v>9535969.2096655816</v>
      </c>
      <c r="F58" s="93">
        <f t="shared" si="144"/>
        <v>8363998.59379768</v>
      </c>
      <c r="G58" s="94">
        <f t="shared" si="144"/>
        <v>1171970.6158679</v>
      </c>
      <c r="H58" s="95">
        <f t="shared" si="144"/>
        <v>7311665.4823099971</v>
      </c>
      <c r="I58" s="96">
        <f t="shared" si="144"/>
        <v>2745646.0476899999</v>
      </c>
      <c r="J58" s="96">
        <f t="shared" si="144"/>
        <v>10057311.529999997</v>
      </c>
      <c r="K58" s="132">
        <f>+J58/E55-1</f>
        <v>3.6373489038797446E-2</v>
      </c>
      <c r="L58" s="133">
        <f t="shared" ref="L58:Q58" si="145">SUM(L55:L57)</f>
        <v>2448319.6377226091</v>
      </c>
      <c r="M58" s="133">
        <f t="shared" si="145"/>
        <v>2147421.1542465002</v>
      </c>
      <c r="N58" s="133">
        <f t="shared" si="145"/>
        <v>300898.48347610858</v>
      </c>
      <c r="O58" s="95">
        <f t="shared" si="145"/>
        <v>2097151.2223599998</v>
      </c>
      <c r="P58" s="95">
        <f t="shared" si="145"/>
        <v>787513.45764000039</v>
      </c>
      <c r="Q58" s="96">
        <f t="shared" si="145"/>
        <v>2884664.6800000006</v>
      </c>
      <c r="R58" s="132">
        <f>+Q58/L55-1</f>
        <v>0.15830908906991437</v>
      </c>
      <c r="S58" s="133">
        <f t="shared" ref="S58:X58" si="146">SUM(S55:S57)</f>
        <v>2439161.5668308865</v>
      </c>
      <c r="T58" s="133">
        <f t="shared" si="146"/>
        <v>2139388.61026737</v>
      </c>
      <c r="U58" s="133">
        <f t="shared" si="146"/>
        <v>299772.95656351594</v>
      </c>
      <c r="V58" s="95">
        <f t="shared" si="146"/>
        <v>1237335.3379099998</v>
      </c>
      <c r="W58" s="95">
        <f t="shared" si="146"/>
        <v>464638.99209000007</v>
      </c>
      <c r="X58" s="96">
        <f t="shared" si="146"/>
        <v>1701974.3300000003</v>
      </c>
      <c r="Y58" s="132">
        <f>+X58/S55-1</f>
        <v>-0.31406632827335834</v>
      </c>
      <c r="Z58" s="133">
        <f t="shared" ref="Z58:AE58" si="147">SUM(Z55:Z57)</f>
        <v>2511892.9752412932</v>
      </c>
      <c r="AA58" s="133">
        <f t="shared" si="147"/>
        <v>2203181.3285841374</v>
      </c>
      <c r="AB58" s="133">
        <f t="shared" si="147"/>
        <v>308711.6466571549</v>
      </c>
      <c r="AC58" s="95">
        <f t="shared" si="147"/>
        <v>1789735.4337999998</v>
      </c>
      <c r="AD58" s="95">
        <f t="shared" si="147"/>
        <v>672073.96619999991</v>
      </c>
      <c r="AE58" s="137">
        <f t="shared" si="147"/>
        <v>2461809.4000000013</v>
      </c>
      <c r="AF58" s="132">
        <f>+AE58/Z55-1</f>
        <v>-3.6090311909167339E-2</v>
      </c>
      <c r="AG58" s="133">
        <f t="shared" ref="AG58:AL58" si="148">SUM(AG55:AG57)</f>
        <v>2136595.0298707918</v>
      </c>
      <c r="AH58" s="133">
        <f t="shared" si="148"/>
        <v>1874007.5006996715</v>
      </c>
      <c r="AI58" s="133">
        <f t="shared" si="148"/>
        <v>262587.52917112026</v>
      </c>
      <c r="AJ58" s="95">
        <f t="shared" si="148"/>
        <v>2187443.4882400003</v>
      </c>
      <c r="AK58" s="95">
        <f t="shared" si="148"/>
        <v>821419.63176000002</v>
      </c>
      <c r="AL58" s="137">
        <f t="shared" si="148"/>
        <v>3008863.120000001</v>
      </c>
      <c r="AM58" s="132">
        <f>+AL58/AG55-1</f>
        <v>0.38104517620888911</v>
      </c>
      <c r="AN58" s="133">
        <f t="shared" ref="AN58:AS58" si="149">SUM(AN55:AN57)</f>
        <v>2189177.1158602652</v>
      </c>
      <c r="AO58" s="133">
        <f t="shared" si="149"/>
        <v>1920127.2483210382</v>
      </c>
      <c r="AP58" s="133">
        <f t="shared" si="149"/>
        <v>269049.8675392266</v>
      </c>
      <c r="AQ58" s="95">
        <f t="shared" si="149"/>
        <v>0</v>
      </c>
      <c r="AR58" s="95">
        <f t="shared" si="149"/>
        <v>0</v>
      </c>
      <c r="AS58" s="137">
        <f t="shared" si="149"/>
        <v>0</v>
      </c>
      <c r="AT58" s="132">
        <f>+AS58/AN55-1</f>
        <v>-1</v>
      </c>
      <c r="AU58" s="133">
        <f t="shared" ref="AU58:AZ58" si="150">SUM(AU55:AU57)</f>
        <v>2168578.8533411608</v>
      </c>
      <c r="AV58" s="133">
        <f t="shared" si="150"/>
        <v>1902060.5122655323</v>
      </c>
      <c r="AW58" s="133">
        <f t="shared" si="150"/>
        <v>266518.3410756287</v>
      </c>
      <c r="AX58" s="95">
        <f t="shared" si="150"/>
        <v>0</v>
      </c>
      <c r="AY58" s="95">
        <f t="shared" si="150"/>
        <v>0</v>
      </c>
      <c r="AZ58" s="137">
        <f t="shared" si="150"/>
        <v>0</v>
      </c>
      <c r="BA58" s="132">
        <f>+AZ58/AU55-1</f>
        <v>-1</v>
      </c>
      <c r="BB58" s="133">
        <f t="shared" ref="BB58:BG58" si="151">SUM(BB55:BB57)</f>
        <v>1850563.0725924694</v>
      </c>
      <c r="BC58" s="133">
        <f t="shared" si="151"/>
        <v>1623128.8709708548</v>
      </c>
      <c r="BD58" s="133">
        <f t="shared" si="151"/>
        <v>227434.20162161451</v>
      </c>
      <c r="BE58" s="95">
        <f t="shared" si="151"/>
        <v>0</v>
      </c>
      <c r="BF58" s="95">
        <f t="shared" si="151"/>
        <v>0</v>
      </c>
      <c r="BG58" s="137">
        <f t="shared" si="151"/>
        <v>0</v>
      </c>
      <c r="BH58" s="132">
        <f>+BG58/BB55-1</f>
        <v>-1</v>
      </c>
      <c r="BI58" s="133">
        <f t="shared" ref="BI58:BN58" si="152">SUM(BI55:BI57)</f>
        <v>1578235.286485787</v>
      </c>
      <c r="BJ58" s="133">
        <f t="shared" si="152"/>
        <v>1384270.1697766844</v>
      </c>
      <c r="BK58" s="133">
        <f t="shared" si="152"/>
        <v>193965.11670910323</v>
      </c>
      <c r="BL58" s="95">
        <f t="shared" si="152"/>
        <v>0</v>
      </c>
      <c r="BM58" s="95">
        <f t="shared" si="152"/>
        <v>0</v>
      </c>
      <c r="BN58" s="137">
        <f t="shared" si="152"/>
        <v>0</v>
      </c>
      <c r="BO58" s="132">
        <f>+BN58/BI55-1</f>
        <v>-1</v>
      </c>
      <c r="BP58" s="133">
        <f t="shared" ref="BP58:BU58" si="153">SUM(BP55:BP57)</f>
        <v>1433589.3013386987</v>
      </c>
      <c r="BQ58" s="133">
        <f t="shared" si="153"/>
        <v>1257401.1762041727</v>
      </c>
      <c r="BR58" s="133">
        <f t="shared" si="153"/>
        <v>176188.12513452608</v>
      </c>
      <c r="BS58" s="95">
        <f t="shared" si="153"/>
        <v>0</v>
      </c>
      <c r="BT58" s="95">
        <f t="shared" si="153"/>
        <v>0</v>
      </c>
      <c r="BU58" s="137">
        <f t="shared" si="153"/>
        <v>0</v>
      </c>
      <c r="BV58" s="132">
        <f>+BU58/BP55-1</f>
        <v>-1</v>
      </c>
      <c r="BW58" s="133">
        <f t="shared" ref="BW58:CB58" si="154">SUM(BW55:BW57)</f>
        <v>1128246.8716358345</v>
      </c>
      <c r="BX58" s="133">
        <f t="shared" si="154"/>
        <v>989585.33111179038</v>
      </c>
      <c r="BY58" s="133">
        <f t="shared" si="154"/>
        <v>138661.54052404405</v>
      </c>
      <c r="BZ58" s="95">
        <f t="shared" si="154"/>
        <v>0</v>
      </c>
      <c r="CA58" s="95">
        <f t="shared" si="154"/>
        <v>0</v>
      </c>
      <c r="CB58" s="137">
        <f t="shared" si="154"/>
        <v>0</v>
      </c>
      <c r="CC58" s="132">
        <f>+CB58/BW55-1</f>
        <v>-1</v>
      </c>
      <c r="CD58" s="133">
        <f t="shared" ref="CD58:CI58" si="155">SUM(CD55:CD57)</f>
        <v>1109889.3260684994</v>
      </c>
      <c r="CE58" s="133">
        <f t="shared" si="155"/>
        <v>973483.92789468088</v>
      </c>
      <c r="CF58" s="133">
        <f t="shared" si="155"/>
        <v>136405.3981738186</v>
      </c>
      <c r="CG58" s="95">
        <f t="shared" si="155"/>
        <v>0</v>
      </c>
      <c r="CH58" s="95">
        <f t="shared" si="155"/>
        <v>0</v>
      </c>
      <c r="CI58" s="137">
        <f t="shared" si="155"/>
        <v>0</v>
      </c>
      <c r="CJ58" s="132">
        <f>+CI58/CD55-1</f>
        <v>-1</v>
      </c>
      <c r="CK58" s="133">
        <f t="shared" ref="CK58:CP58" si="156">SUM(CK55:CK57)</f>
        <v>985687.75750680373</v>
      </c>
      <c r="CL58" s="133">
        <f t="shared" si="156"/>
        <v>864546.73210921732</v>
      </c>
      <c r="CM58" s="133">
        <f t="shared" si="156"/>
        <v>121141.02539758619</v>
      </c>
      <c r="CN58" s="95">
        <f t="shared" si="156"/>
        <v>0</v>
      </c>
      <c r="CO58" s="95">
        <f t="shared" si="156"/>
        <v>0</v>
      </c>
      <c r="CP58" s="137">
        <f t="shared" si="156"/>
        <v>0</v>
      </c>
      <c r="CQ58" s="132">
        <f>+CP58/CK55-1</f>
        <v>-1</v>
      </c>
    </row>
    <row r="59" spans="1:99" s="105" customFormat="1" ht="14.25" customHeight="1" x14ac:dyDescent="0.2">
      <c r="B59" s="104"/>
      <c r="C59" s="104"/>
      <c r="D59" s="104"/>
      <c r="J59" s="104">
        <v>0</v>
      </c>
      <c r="K59" s="104"/>
      <c r="L59" s="104"/>
      <c r="M59" s="104"/>
      <c r="N59" s="104"/>
      <c r="O59" s="104"/>
      <c r="P59" s="104"/>
      <c r="Q59" s="104">
        <v>0</v>
      </c>
      <c r="R59" s="104"/>
      <c r="S59" s="104"/>
      <c r="T59" s="104"/>
      <c r="U59" s="104"/>
      <c r="V59" s="104"/>
      <c r="W59" s="104"/>
      <c r="X59" s="104">
        <v>0</v>
      </c>
      <c r="AE59" s="104">
        <v>0</v>
      </c>
      <c r="AL59" s="104">
        <v>0</v>
      </c>
      <c r="AS59" s="104">
        <v>0</v>
      </c>
      <c r="AZ59" s="104">
        <v>0</v>
      </c>
      <c r="BG59" s="104">
        <v>0</v>
      </c>
      <c r="BI59" s="104"/>
      <c r="BJ59" s="104"/>
      <c r="BK59" s="104"/>
      <c r="BL59" s="104"/>
      <c r="BM59" s="104"/>
      <c r="BN59" s="104">
        <v>0</v>
      </c>
      <c r="BU59" s="104">
        <v>0</v>
      </c>
      <c r="CB59" s="104">
        <v>0</v>
      </c>
      <c r="CI59" s="104">
        <v>0</v>
      </c>
      <c r="CP59" s="104">
        <v>0</v>
      </c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9"/>
      <c r="R61" s="114">
        <f>28.9+1797.07+104.14+9.01+168.02+6.82+1622.27+477.49+254.66+852.65+101.18+17.05+14.55+92.78+1057.85+128.52+2.42+1797.07+14.95+1622.85+8.59</f>
        <v>10178.840000000002</v>
      </c>
      <c r="S61" s="107" t="s">
        <v>84</v>
      </c>
      <c r="T61" s="108"/>
      <c r="U61" s="108"/>
      <c r="V61" s="108"/>
      <c r="W61" s="108"/>
      <c r="X61" s="109"/>
      <c r="Y61" s="114">
        <f>40.93+31.42+50.03+168.03+38.09+34.11+1746.48+858.37+11.39+61.39+1797.07+204.64+9.01+59.74+6.82+18.19+852.65+17.05+165.21</f>
        <v>6170.619999999999</v>
      </c>
      <c r="Z61" s="107" t="s">
        <v>84</v>
      </c>
      <c r="AA61" s="108"/>
      <c r="AB61" s="108"/>
      <c r="AC61" s="108"/>
      <c r="AD61" s="108"/>
      <c r="AE61" s="109"/>
      <c r="AF61" s="114">
        <f>42.06+9.01+45.38+6.82+272.85+852.65+17.05+88.94+1797.07+93.03+736.56+128.64</f>
        <v>4090.06</v>
      </c>
      <c r="AG61" s="107" t="s">
        <v>84</v>
      </c>
      <c r="AH61" s="108"/>
      <c r="AI61" s="108"/>
      <c r="AJ61" s="108"/>
      <c r="AK61" s="108"/>
      <c r="AL61" s="109"/>
      <c r="AM61" s="114">
        <f>27.51+9.01+477.49+65.84+11.84+6.82+1658.14+852.65+17.05+381.99+75.03+84.29+965.8+114.06+1797.07+42.07</f>
        <v>6586.66</v>
      </c>
      <c r="AN61" s="107"/>
      <c r="AO61" s="108"/>
      <c r="AP61" s="108"/>
      <c r="AQ61" s="108"/>
      <c r="AR61" s="108"/>
      <c r="AS61" s="109"/>
      <c r="AT61" s="114"/>
      <c r="AU61" s="107"/>
      <c r="AV61" s="108"/>
      <c r="AW61" s="108"/>
      <c r="AX61" s="108"/>
      <c r="AY61" s="108"/>
      <c r="AZ61" s="109"/>
      <c r="BA61" s="114"/>
      <c r="BB61" s="107"/>
      <c r="BC61" s="108"/>
      <c r="BD61" s="108"/>
      <c r="BE61" s="108"/>
      <c r="BF61" s="108"/>
      <c r="BG61" s="109"/>
      <c r="BH61" s="114"/>
      <c r="BI61" s="107"/>
      <c r="BJ61" s="108"/>
      <c r="BK61" s="108"/>
      <c r="BL61" s="108"/>
      <c r="BM61" s="108"/>
      <c r="BN61" s="109"/>
      <c r="BO61" s="114"/>
      <c r="BP61" s="107"/>
      <c r="BQ61" s="108"/>
      <c r="BR61" s="108"/>
      <c r="BS61" s="108"/>
      <c r="BT61" s="108"/>
      <c r="BU61" s="109"/>
      <c r="BV61" s="114"/>
      <c r="BW61" s="107"/>
      <c r="BX61" s="108"/>
      <c r="BY61" s="108"/>
      <c r="BZ61" s="108"/>
      <c r="CA61" s="108"/>
      <c r="CB61" s="109"/>
      <c r="CC61" s="114"/>
      <c r="CD61" s="107"/>
      <c r="CE61" s="108"/>
      <c r="CF61" s="108"/>
      <c r="CG61" s="108"/>
      <c r="CH61" s="108"/>
      <c r="CI61" s="109"/>
      <c r="CJ61" s="114"/>
      <c r="CK61" s="107"/>
      <c r="CL61" s="108"/>
      <c r="CM61" s="108"/>
      <c r="CN61" s="108"/>
      <c r="CO61" s="108"/>
      <c r="CP61" s="109"/>
      <c r="CQ61" s="114"/>
    </row>
    <row r="62" spans="1:99" ht="14.25" customHeight="1" x14ac:dyDescent="0.2">
      <c r="L62" s="107" t="s">
        <v>85</v>
      </c>
      <c r="M62" s="108"/>
      <c r="N62" s="108"/>
      <c r="O62" s="108"/>
      <c r="P62" s="108"/>
      <c r="Q62" s="109"/>
      <c r="R62" s="114">
        <f>21.5</f>
        <v>21.5</v>
      </c>
      <c r="S62" s="107" t="s">
        <v>85</v>
      </c>
      <c r="T62" s="108"/>
      <c r="U62" s="108"/>
      <c r="V62" s="108"/>
      <c r="W62" s="108"/>
      <c r="X62" s="109"/>
      <c r="Y62" s="114">
        <f>339.6+55.7+24</f>
        <v>419.3</v>
      </c>
      <c r="Z62" s="107" t="s">
        <v>85</v>
      </c>
      <c r="AA62" s="108"/>
      <c r="AB62" s="108"/>
      <c r="AC62" s="108"/>
      <c r="AD62" s="108"/>
      <c r="AE62" s="109"/>
      <c r="AF62" s="114"/>
      <c r="AG62" s="107" t="s">
        <v>85</v>
      </c>
      <c r="AH62" s="108"/>
      <c r="AI62" s="108"/>
      <c r="AJ62" s="108"/>
      <c r="AK62" s="108"/>
      <c r="AL62" s="109"/>
      <c r="AM62" s="114"/>
      <c r="AN62" s="107"/>
      <c r="AO62" s="108"/>
      <c r="AP62" s="108"/>
      <c r="AQ62" s="108"/>
      <c r="AR62" s="108"/>
      <c r="AS62" s="109"/>
      <c r="AT62" s="114"/>
      <c r="AU62" s="107"/>
      <c r="AV62" s="108"/>
      <c r="AW62" s="108"/>
      <c r="AX62" s="108"/>
      <c r="AY62" s="108"/>
      <c r="AZ62" s="109"/>
      <c r="BA62" s="114"/>
      <c r="BB62" s="107"/>
      <c r="BC62" s="108"/>
      <c r="BD62" s="108"/>
      <c r="BE62" s="108"/>
      <c r="BF62" s="108"/>
      <c r="BG62" s="109"/>
      <c r="BH62" s="114"/>
      <c r="BI62" s="107"/>
      <c r="BJ62" s="108"/>
      <c r="BK62" s="108"/>
      <c r="BL62" s="108"/>
      <c r="BM62" s="108"/>
      <c r="BN62" s="109"/>
      <c r="BO62" s="114"/>
      <c r="BP62" s="107"/>
      <c r="BQ62" s="108"/>
      <c r="BR62" s="108"/>
      <c r="BS62" s="108"/>
      <c r="BT62" s="108"/>
      <c r="BU62" s="109"/>
      <c r="BV62" s="114"/>
      <c r="BW62" s="107"/>
      <c r="BX62" s="108"/>
      <c r="BY62" s="108"/>
      <c r="BZ62" s="108"/>
      <c r="CA62" s="108"/>
      <c r="CB62" s="109"/>
      <c r="CC62" s="114"/>
      <c r="CD62" s="107"/>
      <c r="CE62" s="108"/>
      <c r="CF62" s="108"/>
      <c r="CG62" s="108"/>
      <c r="CH62" s="108"/>
      <c r="CI62" s="109"/>
      <c r="CJ62" s="114"/>
      <c r="CK62" s="107"/>
      <c r="CL62" s="108"/>
      <c r="CM62" s="108"/>
      <c r="CN62" s="108"/>
      <c r="CO62" s="108"/>
      <c r="CP62" s="109"/>
      <c r="CQ62" s="114"/>
    </row>
    <row r="63" spans="1:99" ht="14.25" customHeight="1" x14ac:dyDescent="0.2">
      <c r="L63" s="107" t="s">
        <v>86</v>
      </c>
      <c r="M63" s="108"/>
      <c r="N63" s="108"/>
      <c r="O63" s="108"/>
      <c r="P63" s="108"/>
      <c r="Q63" s="109"/>
      <c r="R63" s="114">
        <f>1523.76</f>
        <v>1523.76</v>
      </c>
      <c r="S63" s="107" t="s">
        <v>86</v>
      </c>
      <c r="T63" s="108"/>
      <c r="U63" s="108"/>
      <c r="V63" s="108"/>
      <c r="W63" s="108"/>
      <c r="X63" s="109"/>
      <c r="Y63" s="114">
        <f>804.8</f>
        <v>804.8</v>
      </c>
      <c r="Z63" s="107" t="s">
        <v>86</v>
      </c>
      <c r="AA63" s="108"/>
      <c r="AB63" s="108"/>
      <c r="AC63" s="108"/>
      <c r="AD63" s="108"/>
      <c r="AE63" s="109"/>
      <c r="AF63" s="114">
        <f>1042.66</f>
        <v>1042.6600000000001</v>
      </c>
      <c r="AG63" s="107" t="s">
        <v>86</v>
      </c>
      <c r="AH63" s="108"/>
      <c r="AI63" s="108"/>
      <c r="AJ63" s="108"/>
      <c r="AK63" s="108"/>
      <c r="AL63" s="109"/>
      <c r="AM63" s="114">
        <f>973.11</f>
        <v>973.11</v>
      </c>
      <c r="AN63" s="107"/>
      <c r="AO63" s="108"/>
      <c r="AP63" s="108"/>
      <c r="AQ63" s="108"/>
      <c r="AR63" s="108"/>
      <c r="AS63" s="109"/>
      <c r="AT63" s="114"/>
      <c r="AU63" s="107"/>
      <c r="AV63" s="108"/>
      <c r="AW63" s="108"/>
      <c r="AX63" s="108"/>
      <c r="AY63" s="108"/>
      <c r="AZ63" s="109"/>
      <c r="BA63" s="114"/>
      <c r="BB63" s="107"/>
      <c r="BC63" s="108"/>
      <c r="BD63" s="108"/>
      <c r="BE63" s="108"/>
      <c r="BF63" s="108"/>
      <c r="BG63" s="109"/>
      <c r="BH63" s="114"/>
      <c r="BI63" s="107"/>
      <c r="BJ63" s="108"/>
      <c r="BK63" s="108"/>
      <c r="BL63" s="108"/>
      <c r="BM63" s="108"/>
      <c r="BN63" s="109"/>
      <c r="BO63" s="114"/>
      <c r="BP63" s="107"/>
      <c r="BQ63" s="108"/>
      <c r="BR63" s="108"/>
      <c r="BS63" s="108"/>
      <c r="BT63" s="108"/>
      <c r="BU63" s="109"/>
      <c r="BV63" s="114"/>
      <c r="BW63" s="107"/>
      <c r="BX63" s="108"/>
      <c r="BY63" s="108"/>
      <c r="BZ63" s="108"/>
      <c r="CA63" s="108"/>
      <c r="CB63" s="109"/>
      <c r="CC63" s="114"/>
      <c r="CD63" s="107"/>
      <c r="CE63" s="108"/>
      <c r="CF63" s="108"/>
      <c r="CG63" s="108"/>
      <c r="CH63" s="108"/>
      <c r="CI63" s="109"/>
      <c r="CJ63" s="114"/>
      <c r="CK63" s="107"/>
      <c r="CL63" s="108"/>
      <c r="CM63" s="108"/>
      <c r="CN63" s="108"/>
      <c r="CO63" s="108"/>
      <c r="CP63" s="109"/>
      <c r="CQ63" s="114"/>
    </row>
    <row r="64" spans="1:99" ht="14.25" customHeight="1" x14ac:dyDescent="0.2">
      <c r="L64" s="107" t="s">
        <v>87</v>
      </c>
      <c r="M64" s="108"/>
      <c r="N64" s="108"/>
      <c r="O64" s="108"/>
      <c r="P64" s="108"/>
      <c r="Q64" s="109"/>
      <c r="R64" s="114">
        <f>1146.28</f>
        <v>1146.28</v>
      </c>
      <c r="S64" s="107" t="s">
        <v>87</v>
      </c>
      <c r="T64" s="108"/>
      <c r="U64" s="108"/>
      <c r="V64" s="108"/>
      <c r="W64" s="108"/>
      <c r="X64" s="109"/>
      <c r="Y64" s="114">
        <f>779.56</f>
        <v>779.56</v>
      </c>
      <c r="Z64" s="107" t="s">
        <v>87</v>
      </c>
      <c r="AA64" s="108"/>
      <c r="AB64" s="108"/>
      <c r="AC64" s="108"/>
      <c r="AD64" s="108"/>
      <c r="AE64" s="109"/>
      <c r="AF64" s="114">
        <f>1330.79</f>
        <v>1330.79</v>
      </c>
      <c r="AG64" s="107" t="s">
        <v>87</v>
      </c>
      <c r="AH64" s="108"/>
      <c r="AI64" s="108"/>
      <c r="AJ64" s="108"/>
      <c r="AK64" s="108"/>
      <c r="AL64" s="109"/>
      <c r="AM64" s="114">
        <f>724.35+120</f>
        <v>844.35</v>
      </c>
      <c r="AN64" s="107"/>
      <c r="AO64" s="108"/>
      <c r="AP64" s="108"/>
      <c r="AQ64" s="108"/>
      <c r="AR64" s="108"/>
      <c r="AS64" s="109"/>
      <c r="AT64" s="114"/>
      <c r="AU64" s="107"/>
      <c r="AV64" s="108"/>
      <c r="AW64" s="108"/>
      <c r="AX64" s="108"/>
      <c r="AY64" s="108"/>
      <c r="AZ64" s="109"/>
      <c r="BA64" s="114"/>
      <c r="BB64" s="107"/>
      <c r="BC64" s="108"/>
      <c r="BD64" s="108"/>
      <c r="BE64" s="108"/>
      <c r="BF64" s="108"/>
      <c r="BG64" s="109"/>
      <c r="BH64" s="114"/>
      <c r="BI64" s="107"/>
      <c r="BJ64" s="108"/>
      <c r="BK64" s="108"/>
      <c r="BL64" s="108"/>
      <c r="BM64" s="108"/>
      <c r="BN64" s="109"/>
      <c r="BO64" s="114"/>
      <c r="BP64" s="107"/>
      <c r="BQ64" s="108"/>
      <c r="BR64" s="108"/>
      <c r="BS64" s="108"/>
      <c r="BT64" s="108"/>
      <c r="BU64" s="109"/>
      <c r="BV64" s="114"/>
      <c r="BW64" s="107"/>
      <c r="BX64" s="108"/>
      <c r="BY64" s="108"/>
      <c r="BZ64" s="108"/>
      <c r="CA64" s="108"/>
      <c r="CB64" s="109"/>
      <c r="CC64" s="114"/>
      <c r="CD64" s="107"/>
      <c r="CE64" s="108"/>
      <c r="CF64" s="108"/>
      <c r="CG64" s="108"/>
      <c r="CH64" s="108"/>
      <c r="CI64" s="109"/>
      <c r="CJ64" s="114"/>
      <c r="CK64" s="107"/>
      <c r="CL64" s="108"/>
      <c r="CM64" s="108"/>
      <c r="CN64" s="108"/>
      <c r="CO64" s="108"/>
      <c r="CP64" s="109"/>
      <c r="CQ64" s="114"/>
    </row>
    <row r="65" spans="12:99" ht="14.25" customHeight="1" x14ac:dyDescent="0.2">
      <c r="L65" s="107" t="s">
        <v>88</v>
      </c>
      <c r="M65" s="108"/>
      <c r="N65" s="108"/>
      <c r="O65" s="108"/>
      <c r="P65" s="108"/>
      <c r="Q65" s="109"/>
      <c r="R65" s="114">
        <f>220.5+480</f>
        <v>700.5</v>
      </c>
      <c r="S65" s="107" t="s">
        <v>88</v>
      </c>
      <c r="T65" s="108"/>
      <c r="U65" s="108"/>
      <c r="V65" s="108"/>
      <c r="W65" s="108"/>
      <c r="X65" s="109"/>
      <c r="Y65" s="114">
        <f>75</f>
        <v>75</v>
      </c>
      <c r="Z65" s="107" t="s">
        <v>88</v>
      </c>
      <c r="AA65" s="108"/>
      <c r="AB65" s="108"/>
      <c r="AC65" s="108"/>
      <c r="AD65" s="108"/>
      <c r="AE65" s="109"/>
      <c r="AF65" s="114"/>
      <c r="AG65" s="107" t="s">
        <v>88</v>
      </c>
      <c r="AH65" s="108"/>
      <c r="AI65" s="108"/>
      <c r="AJ65" s="108"/>
      <c r="AK65" s="108"/>
      <c r="AL65" s="109"/>
      <c r="AM65" s="114"/>
      <c r="AN65" s="107"/>
      <c r="AO65" s="108"/>
      <c r="AP65" s="108"/>
      <c r="AQ65" s="108"/>
      <c r="AR65" s="108"/>
      <c r="AS65" s="109"/>
      <c r="AT65" s="114"/>
      <c r="AU65" s="107"/>
      <c r="AV65" s="108"/>
      <c r="AW65" s="108"/>
      <c r="AX65" s="108"/>
      <c r="AY65" s="108"/>
      <c r="AZ65" s="109"/>
      <c r="BA65" s="114"/>
      <c r="BB65" s="107"/>
      <c r="BC65" s="108"/>
      <c r="BD65" s="108"/>
      <c r="BE65" s="108"/>
      <c r="BF65" s="108"/>
      <c r="BG65" s="109"/>
      <c r="BH65" s="114"/>
      <c r="BI65" s="107"/>
      <c r="BJ65" s="108"/>
      <c r="BK65" s="108"/>
      <c r="BL65" s="108"/>
      <c r="BM65" s="108"/>
      <c r="BN65" s="109"/>
      <c r="BO65" s="114"/>
      <c r="BP65" s="107"/>
      <c r="BQ65" s="108"/>
      <c r="BR65" s="108"/>
      <c r="BS65" s="108"/>
      <c r="BT65" s="108"/>
      <c r="BU65" s="109"/>
      <c r="BV65" s="114"/>
      <c r="BW65" s="107"/>
      <c r="BX65" s="108"/>
      <c r="BY65" s="108"/>
      <c r="BZ65" s="108"/>
      <c r="CA65" s="108"/>
      <c r="CB65" s="109"/>
      <c r="CC65" s="114"/>
      <c r="CD65" s="107"/>
      <c r="CE65" s="108"/>
      <c r="CF65" s="108"/>
      <c r="CG65" s="108"/>
      <c r="CH65" s="108"/>
      <c r="CI65" s="109"/>
      <c r="CJ65" s="114"/>
      <c r="CK65" s="107"/>
      <c r="CL65" s="108"/>
      <c r="CM65" s="108"/>
      <c r="CN65" s="108"/>
      <c r="CO65" s="108"/>
      <c r="CP65" s="109"/>
      <c r="CQ65" s="114"/>
    </row>
    <row r="66" spans="12:99" ht="14.25" customHeight="1" x14ac:dyDescent="0.2">
      <c r="L66" s="107" t="s">
        <v>89</v>
      </c>
      <c r="M66" s="108"/>
      <c r="N66" s="108"/>
      <c r="O66" s="108"/>
      <c r="P66" s="108"/>
      <c r="Q66" s="109"/>
      <c r="R66" s="114">
        <f>457.37+120</f>
        <v>577.37</v>
      </c>
      <c r="S66" s="107" t="s">
        <v>89</v>
      </c>
      <c r="T66" s="108"/>
      <c r="U66" s="108"/>
      <c r="V66" s="108"/>
      <c r="W66" s="108"/>
      <c r="X66" s="109"/>
      <c r="Y66" s="114">
        <f>417.22+118.6</f>
        <v>535.82000000000005</v>
      </c>
      <c r="Z66" s="107" t="s">
        <v>89</v>
      </c>
      <c r="AA66" s="108"/>
      <c r="AB66" s="108"/>
      <c r="AC66" s="108"/>
      <c r="AD66" s="108"/>
      <c r="AE66" s="109"/>
      <c r="AF66" s="114">
        <f>668.75</f>
        <v>668.75</v>
      </c>
      <c r="AG66" s="107" t="s">
        <v>89</v>
      </c>
      <c r="AH66" s="108"/>
      <c r="AI66" s="108"/>
      <c r="AJ66" s="108"/>
      <c r="AK66" s="108"/>
      <c r="AL66" s="109"/>
      <c r="AM66" s="114">
        <f>345.21</f>
        <v>345.21</v>
      </c>
      <c r="AN66" s="107"/>
      <c r="AO66" s="108"/>
      <c r="AP66" s="108"/>
      <c r="AQ66" s="108"/>
      <c r="AR66" s="108"/>
      <c r="AS66" s="109"/>
      <c r="AT66" s="114"/>
      <c r="AU66" s="107"/>
      <c r="AV66" s="108"/>
      <c r="AW66" s="108"/>
      <c r="AX66" s="108"/>
      <c r="AY66" s="108"/>
      <c r="AZ66" s="109"/>
      <c r="BA66" s="114"/>
      <c r="BB66" s="107"/>
      <c r="BC66" s="108"/>
      <c r="BD66" s="108"/>
      <c r="BE66" s="108"/>
      <c r="BF66" s="108"/>
      <c r="BG66" s="109"/>
      <c r="BH66" s="114"/>
      <c r="BI66" s="107"/>
      <c r="BJ66" s="108"/>
      <c r="BK66" s="108"/>
      <c r="BL66" s="108"/>
      <c r="BM66" s="108"/>
      <c r="BN66" s="109"/>
      <c r="BO66" s="114"/>
      <c r="BP66" s="107"/>
      <c r="BQ66" s="108"/>
      <c r="BR66" s="108"/>
      <c r="BS66" s="108"/>
      <c r="BT66" s="108"/>
      <c r="BU66" s="109"/>
      <c r="BV66" s="114"/>
      <c r="BW66" s="107"/>
      <c r="BX66" s="108"/>
      <c r="BY66" s="108"/>
      <c r="BZ66" s="108"/>
      <c r="CA66" s="108"/>
      <c r="CB66" s="109"/>
      <c r="CC66" s="114"/>
      <c r="CD66" s="107"/>
      <c r="CE66" s="108"/>
      <c r="CF66" s="108"/>
      <c r="CG66" s="108"/>
      <c r="CH66" s="108"/>
      <c r="CI66" s="109"/>
      <c r="CJ66" s="114"/>
      <c r="CK66" s="107"/>
      <c r="CL66" s="108"/>
      <c r="CM66" s="108"/>
      <c r="CN66" s="108"/>
      <c r="CO66" s="108"/>
      <c r="CP66" s="109"/>
      <c r="CQ66" s="114"/>
    </row>
    <row r="67" spans="12:99" ht="14.25" customHeight="1" x14ac:dyDescent="0.2">
      <c r="L67" s="107" t="s">
        <v>109</v>
      </c>
      <c r="M67" s="108"/>
      <c r="N67" s="108"/>
      <c r="O67" s="108"/>
      <c r="P67" s="108"/>
      <c r="Q67" s="109"/>
      <c r="R67" s="114">
        <f>168</f>
        <v>168</v>
      </c>
      <c r="S67" s="107" t="s">
        <v>109</v>
      </c>
      <c r="T67" s="108"/>
      <c r="U67" s="108"/>
      <c r="V67" s="108"/>
      <c r="W67" s="108"/>
      <c r="X67" s="109"/>
      <c r="Y67" s="114"/>
      <c r="Z67" s="107" t="s">
        <v>109</v>
      </c>
      <c r="AA67" s="108"/>
      <c r="AB67" s="108"/>
      <c r="AC67" s="108"/>
      <c r="AD67" s="108"/>
      <c r="AE67" s="109"/>
      <c r="AF67" s="114">
        <f>168</f>
        <v>168</v>
      </c>
      <c r="AG67" s="107" t="s">
        <v>109</v>
      </c>
      <c r="AH67" s="108"/>
      <c r="AI67" s="108"/>
      <c r="AJ67" s="108"/>
      <c r="AK67" s="108"/>
      <c r="AL67" s="109"/>
      <c r="AM67" s="114">
        <f>84+252</f>
        <v>336</v>
      </c>
      <c r="AN67" s="107"/>
      <c r="AO67" s="108"/>
      <c r="AP67" s="108"/>
      <c r="AQ67" s="108"/>
      <c r="AR67" s="108"/>
      <c r="AS67" s="109"/>
      <c r="AT67" s="114"/>
      <c r="AU67" s="107"/>
      <c r="AV67" s="108"/>
      <c r="AW67" s="108"/>
      <c r="AX67" s="108"/>
      <c r="AY67" s="108"/>
      <c r="AZ67" s="109"/>
      <c r="BA67" s="114"/>
      <c r="BB67" s="107"/>
      <c r="BC67" s="108"/>
      <c r="BD67" s="108"/>
      <c r="BE67" s="108"/>
      <c r="BF67" s="108"/>
      <c r="BG67" s="109"/>
      <c r="BH67" s="114"/>
      <c r="BI67" s="107"/>
      <c r="BJ67" s="108"/>
      <c r="BK67" s="108"/>
      <c r="BL67" s="108"/>
      <c r="BM67" s="108"/>
      <c r="BN67" s="109"/>
      <c r="BO67" s="114"/>
      <c r="BP67" s="107"/>
      <c r="BQ67" s="108"/>
      <c r="BR67" s="108"/>
      <c r="BS67" s="108"/>
      <c r="BT67" s="108"/>
      <c r="BU67" s="109"/>
      <c r="BV67" s="114"/>
      <c r="BW67" s="107"/>
      <c r="BX67" s="108"/>
      <c r="BY67" s="108"/>
      <c r="BZ67" s="108"/>
      <c r="CA67" s="108"/>
      <c r="CB67" s="109"/>
      <c r="CC67" s="114"/>
      <c r="CD67" s="107"/>
      <c r="CE67" s="108"/>
      <c r="CF67" s="108"/>
      <c r="CG67" s="108"/>
      <c r="CH67" s="108"/>
      <c r="CI67" s="109"/>
      <c r="CJ67" s="114"/>
      <c r="CK67" s="107"/>
      <c r="CL67" s="108"/>
      <c r="CM67" s="108"/>
      <c r="CN67" s="108"/>
      <c r="CO67" s="108"/>
      <c r="CP67" s="109"/>
      <c r="CQ67" s="114"/>
    </row>
    <row r="68" spans="12:99" ht="14.25" customHeight="1" x14ac:dyDescent="0.2">
      <c r="L68" s="107" t="s">
        <v>110</v>
      </c>
      <c r="M68" s="108"/>
      <c r="N68" s="108"/>
      <c r="O68" s="108"/>
      <c r="P68" s="108"/>
      <c r="Q68" s="109"/>
      <c r="R68" s="114">
        <f>158.58</f>
        <v>158.58000000000001</v>
      </c>
      <c r="S68" s="107" t="s">
        <v>110</v>
      </c>
      <c r="T68" s="108"/>
      <c r="U68" s="108"/>
      <c r="V68" s="108"/>
      <c r="W68" s="108"/>
      <c r="X68" s="109"/>
      <c r="Y68" s="114">
        <f>158.58</f>
        <v>158.58000000000001</v>
      </c>
      <c r="Z68" s="107" t="s">
        <v>110</v>
      </c>
      <c r="AA68" s="108"/>
      <c r="AB68" s="108"/>
      <c r="AC68" s="108"/>
      <c r="AD68" s="108"/>
      <c r="AE68" s="109"/>
      <c r="AF68" s="114"/>
      <c r="AG68" s="107" t="s">
        <v>110</v>
      </c>
      <c r="AH68" s="108"/>
      <c r="AI68" s="108"/>
      <c r="AJ68" s="108"/>
      <c r="AK68" s="108"/>
      <c r="AL68" s="109"/>
      <c r="AM68" s="114">
        <f>158.58</f>
        <v>158.58000000000001</v>
      </c>
      <c r="AN68" s="107"/>
      <c r="AO68" s="108"/>
      <c r="AP68" s="108"/>
      <c r="AQ68" s="108"/>
      <c r="AR68" s="108"/>
      <c r="AS68" s="109"/>
      <c r="AT68" s="114"/>
      <c r="AU68" s="107"/>
      <c r="AV68" s="108"/>
      <c r="AW68" s="108"/>
      <c r="AX68" s="108"/>
      <c r="AY68" s="108"/>
      <c r="AZ68" s="109"/>
      <c r="BA68" s="114"/>
      <c r="BB68" s="107"/>
      <c r="BC68" s="108"/>
      <c r="BD68" s="108"/>
      <c r="BE68" s="108"/>
      <c r="BF68" s="108"/>
      <c r="BG68" s="109"/>
      <c r="BH68" s="114"/>
      <c r="BI68" s="107"/>
      <c r="BJ68" s="108"/>
      <c r="BK68" s="108"/>
      <c r="BL68" s="108"/>
      <c r="BM68" s="108"/>
      <c r="BN68" s="109"/>
      <c r="BO68" s="114"/>
      <c r="BP68" s="107"/>
      <c r="BQ68" s="108"/>
      <c r="BR68" s="108"/>
      <c r="BS68" s="108"/>
      <c r="BT68" s="108"/>
      <c r="BU68" s="109"/>
      <c r="BV68" s="114"/>
      <c r="BW68" s="107"/>
      <c r="BX68" s="108"/>
      <c r="BY68" s="108"/>
      <c r="BZ68" s="108"/>
      <c r="CA68" s="108"/>
      <c r="CB68" s="109"/>
      <c r="CC68" s="114"/>
      <c r="CD68" s="107"/>
      <c r="CE68" s="108"/>
      <c r="CF68" s="108"/>
      <c r="CG68" s="108"/>
      <c r="CH68" s="108"/>
      <c r="CI68" s="109"/>
      <c r="CJ68" s="114"/>
      <c r="CK68" s="107"/>
      <c r="CL68" s="108"/>
      <c r="CM68" s="108"/>
      <c r="CN68" s="108"/>
      <c r="CO68" s="108"/>
      <c r="CP68" s="109"/>
      <c r="CQ68" s="114"/>
    </row>
    <row r="69" spans="12:99" ht="14.25" customHeight="1" x14ac:dyDescent="0.2">
      <c r="L69" s="107" t="s">
        <v>90</v>
      </c>
      <c r="M69" s="108"/>
      <c r="N69" s="108"/>
      <c r="O69" s="108"/>
      <c r="P69" s="108"/>
      <c r="Q69" s="109"/>
      <c r="R69" s="114">
        <f>1635+690</f>
        <v>2325</v>
      </c>
      <c r="S69" s="107" t="s">
        <v>90</v>
      </c>
      <c r="T69" s="108"/>
      <c r="U69" s="108"/>
      <c r="V69" s="108"/>
      <c r="W69" s="108"/>
      <c r="X69" s="109"/>
      <c r="Y69" s="114">
        <f>590</f>
        <v>590</v>
      </c>
      <c r="Z69" s="107" t="s">
        <v>90</v>
      </c>
      <c r="AA69" s="108"/>
      <c r="AB69" s="108"/>
      <c r="AC69" s="108"/>
      <c r="AD69" s="108"/>
      <c r="AE69" s="109"/>
      <c r="AF69" s="114">
        <f>76+1305+251</f>
        <v>1632</v>
      </c>
      <c r="AG69" s="107" t="s">
        <v>90</v>
      </c>
      <c r="AH69" s="108"/>
      <c r="AI69" s="108"/>
      <c r="AJ69" s="108"/>
      <c r="AK69" s="108"/>
      <c r="AL69" s="109"/>
      <c r="AM69" s="114">
        <f>91+1165+241+100</f>
        <v>1597</v>
      </c>
      <c r="AN69" s="107"/>
      <c r="AO69" s="108"/>
      <c r="AP69" s="108"/>
      <c r="AQ69" s="108"/>
      <c r="AR69" s="108"/>
      <c r="AS69" s="109"/>
      <c r="AT69" s="114"/>
      <c r="AU69" s="107"/>
      <c r="AV69" s="108"/>
      <c r="AW69" s="108"/>
      <c r="AX69" s="108"/>
      <c r="AY69" s="108"/>
      <c r="AZ69" s="109"/>
      <c r="BA69" s="114"/>
      <c r="BB69" s="107"/>
      <c r="BC69" s="108"/>
      <c r="BD69" s="108"/>
      <c r="BE69" s="108"/>
      <c r="BF69" s="108"/>
      <c r="BG69" s="109"/>
      <c r="BH69" s="114"/>
      <c r="BI69" s="107"/>
      <c r="BJ69" s="108"/>
      <c r="BK69" s="108"/>
      <c r="BL69" s="108"/>
      <c r="BM69" s="108"/>
      <c r="BN69" s="109"/>
      <c r="BO69" s="114"/>
      <c r="BP69" s="107"/>
      <c r="BQ69" s="108"/>
      <c r="BR69" s="108"/>
      <c r="BS69" s="108"/>
      <c r="BT69" s="108"/>
      <c r="BU69" s="109"/>
      <c r="BV69" s="114"/>
      <c r="BW69" s="107"/>
      <c r="BX69" s="108"/>
      <c r="BY69" s="108"/>
      <c r="BZ69" s="108"/>
      <c r="CA69" s="108"/>
      <c r="CB69" s="109"/>
      <c r="CC69" s="114"/>
      <c r="CD69" s="107"/>
      <c r="CE69" s="108"/>
      <c r="CF69" s="108"/>
      <c r="CG69" s="108"/>
      <c r="CH69" s="108"/>
      <c r="CI69" s="109"/>
      <c r="CJ69" s="114"/>
      <c r="CK69" s="107"/>
      <c r="CL69" s="108"/>
      <c r="CM69" s="108"/>
      <c r="CN69" s="108"/>
      <c r="CO69" s="108"/>
      <c r="CP69" s="109"/>
      <c r="CQ69" s="114"/>
    </row>
    <row r="70" spans="12:99" ht="14.25" customHeight="1" x14ac:dyDescent="0.2">
      <c r="L70" s="107" t="s">
        <v>111</v>
      </c>
      <c r="M70" s="108"/>
      <c r="N70" s="108"/>
      <c r="O70" s="108"/>
      <c r="P70" s="108"/>
      <c r="Q70" s="109"/>
      <c r="R70" s="114">
        <v>321.45</v>
      </c>
      <c r="S70" s="107" t="s">
        <v>111</v>
      </c>
      <c r="T70" s="108"/>
      <c r="U70" s="108"/>
      <c r="V70" s="108"/>
      <c r="W70" s="108"/>
      <c r="X70" s="109"/>
      <c r="Y70" s="114">
        <f>321.45+360.36+360.36</f>
        <v>1042.17</v>
      </c>
      <c r="Z70" s="107" t="s">
        <v>111</v>
      </c>
      <c r="AA70" s="108"/>
      <c r="AB70" s="108"/>
      <c r="AC70" s="108"/>
      <c r="AD70" s="108"/>
      <c r="AE70" s="109"/>
      <c r="AF70" s="114">
        <f>321.45+360.36</f>
        <v>681.81</v>
      </c>
      <c r="AG70" s="107" t="s">
        <v>111</v>
      </c>
      <c r="AH70" s="108"/>
      <c r="AI70" s="108"/>
      <c r="AJ70" s="108"/>
      <c r="AK70" s="108"/>
      <c r="AL70" s="109"/>
      <c r="AM70" s="114">
        <f>321.45+360.36</f>
        <v>681.81</v>
      </c>
      <c r="AN70" s="107"/>
      <c r="AO70" s="108"/>
      <c r="AP70" s="108"/>
      <c r="AQ70" s="108"/>
      <c r="AR70" s="108"/>
      <c r="AS70" s="109"/>
      <c r="AT70" s="114"/>
      <c r="AU70" s="107"/>
      <c r="AV70" s="108"/>
      <c r="AW70" s="108"/>
      <c r="AX70" s="108"/>
      <c r="AY70" s="108"/>
      <c r="AZ70" s="109"/>
      <c r="BA70" s="114"/>
      <c r="BB70" s="107"/>
      <c r="BC70" s="108"/>
      <c r="BD70" s="108"/>
      <c r="BE70" s="108"/>
      <c r="BF70" s="108"/>
      <c r="BG70" s="109"/>
      <c r="BH70" s="114"/>
      <c r="BI70" s="107"/>
      <c r="BJ70" s="108"/>
      <c r="BK70" s="108"/>
      <c r="BL70" s="108"/>
      <c r="BM70" s="108"/>
      <c r="BN70" s="109"/>
      <c r="BO70" s="114"/>
      <c r="BP70" s="107"/>
      <c r="BQ70" s="108"/>
      <c r="BR70" s="108"/>
      <c r="BS70" s="108"/>
      <c r="BT70" s="108"/>
      <c r="BU70" s="109"/>
      <c r="BV70" s="114"/>
      <c r="BW70" s="107"/>
      <c r="BX70" s="108"/>
      <c r="BY70" s="108"/>
      <c r="BZ70" s="108"/>
      <c r="CA70" s="108"/>
      <c r="CB70" s="109"/>
      <c r="CC70" s="114"/>
      <c r="CD70" s="107"/>
      <c r="CE70" s="108"/>
      <c r="CF70" s="108"/>
      <c r="CG70" s="108"/>
      <c r="CH70" s="108"/>
      <c r="CI70" s="109"/>
      <c r="CJ70" s="114"/>
      <c r="CK70" s="107"/>
      <c r="CL70" s="108"/>
      <c r="CM70" s="108"/>
      <c r="CN70" s="108"/>
      <c r="CO70" s="108"/>
      <c r="CP70" s="109"/>
      <c r="CQ70" s="114"/>
    </row>
    <row r="71" spans="12:99" ht="14.25" customHeight="1" x14ac:dyDescent="0.2">
      <c r="L71" s="107" t="s">
        <v>91</v>
      </c>
      <c r="M71" s="108"/>
      <c r="N71" s="108"/>
      <c r="O71" s="108"/>
      <c r="P71" s="108"/>
      <c r="Q71" s="109"/>
      <c r="R71" s="114">
        <f>1150</f>
        <v>1150</v>
      </c>
      <c r="S71" s="107" t="s">
        <v>112</v>
      </c>
      <c r="T71" s="108"/>
      <c r="U71" s="108"/>
      <c r="V71" s="108"/>
      <c r="W71" s="108"/>
      <c r="X71" s="109"/>
      <c r="Y71" s="114">
        <f>51.49</f>
        <v>51.49</v>
      </c>
      <c r="Z71" s="107" t="s">
        <v>112</v>
      </c>
      <c r="AA71" s="108"/>
      <c r="AB71" s="108"/>
      <c r="AC71" s="108"/>
      <c r="AD71" s="108"/>
      <c r="AE71" s="109"/>
      <c r="AF71" s="114"/>
      <c r="AG71" s="107" t="s">
        <v>112</v>
      </c>
      <c r="AH71" s="108"/>
      <c r="AI71" s="108"/>
      <c r="AJ71" s="108"/>
      <c r="AK71" s="108"/>
      <c r="AL71" s="109"/>
      <c r="AM71" s="114"/>
      <c r="AN71" s="107"/>
      <c r="AO71" s="108"/>
      <c r="AP71" s="108"/>
      <c r="AQ71" s="108"/>
      <c r="AR71" s="108"/>
      <c r="AS71" s="109"/>
      <c r="AT71" s="114"/>
      <c r="AU71" s="107"/>
      <c r="AV71" s="108"/>
      <c r="AW71" s="108"/>
      <c r="AX71" s="108"/>
      <c r="AY71" s="108"/>
      <c r="AZ71" s="109"/>
      <c r="BA71" s="114"/>
      <c r="BB71" s="107"/>
      <c r="BC71" s="108"/>
      <c r="BD71" s="108"/>
      <c r="BE71" s="108"/>
      <c r="BF71" s="108"/>
      <c r="BG71" s="109"/>
      <c r="BH71" s="114"/>
      <c r="BI71" s="107"/>
      <c r="BJ71" s="108"/>
      <c r="BK71" s="108"/>
      <c r="BL71" s="108"/>
      <c r="BM71" s="108"/>
      <c r="BN71" s="109"/>
      <c r="BO71" s="114"/>
      <c r="BP71" s="107"/>
      <c r="BQ71" s="108"/>
      <c r="BR71" s="108"/>
      <c r="BS71" s="108"/>
      <c r="BT71" s="108"/>
      <c r="BU71" s="109"/>
      <c r="BV71" s="114"/>
      <c r="BW71" s="107"/>
      <c r="BX71" s="108"/>
      <c r="BY71" s="108"/>
      <c r="BZ71" s="108"/>
      <c r="CA71" s="108"/>
      <c r="CB71" s="109"/>
      <c r="CC71" s="114"/>
      <c r="CD71" s="107"/>
      <c r="CE71" s="108"/>
      <c r="CF71" s="108"/>
      <c r="CG71" s="108"/>
      <c r="CH71" s="108"/>
      <c r="CI71" s="109"/>
      <c r="CJ71" s="114"/>
      <c r="CK71" s="107"/>
      <c r="CL71" s="108"/>
      <c r="CM71" s="108"/>
      <c r="CN71" s="108"/>
      <c r="CO71" s="108"/>
      <c r="CP71" s="109"/>
      <c r="CQ71" s="114"/>
    </row>
    <row r="72" spans="12:99" ht="14.25" customHeight="1" x14ac:dyDescent="0.2">
      <c r="L72" s="107" t="s">
        <v>113</v>
      </c>
      <c r="M72" s="108"/>
      <c r="N72" s="108"/>
      <c r="O72" s="108"/>
      <c r="P72" s="108"/>
      <c r="Q72" s="109"/>
      <c r="R72" s="114">
        <f>28.9</f>
        <v>28.9</v>
      </c>
      <c r="S72" s="107" t="s">
        <v>113</v>
      </c>
      <c r="T72" s="108"/>
      <c r="U72" s="108"/>
      <c r="V72" s="108"/>
      <c r="W72" s="108"/>
      <c r="X72" s="109"/>
      <c r="Y72" s="114">
        <f>880.12</f>
        <v>880.12</v>
      </c>
      <c r="Z72" s="107" t="s">
        <v>113</v>
      </c>
      <c r="AA72" s="108"/>
      <c r="AB72" s="108"/>
      <c r="AC72" s="108"/>
      <c r="AD72" s="108"/>
      <c r="AE72" s="109"/>
      <c r="AF72" s="114">
        <f>115.9+72.8</f>
        <v>188.7</v>
      </c>
      <c r="AG72" s="107" t="s">
        <v>113</v>
      </c>
      <c r="AH72" s="108"/>
      <c r="AI72" s="108"/>
      <c r="AJ72" s="108"/>
      <c r="AK72" s="108"/>
      <c r="AL72" s="109"/>
      <c r="AM72" s="114">
        <f>30.2</f>
        <v>30.2</v>
      </c>
      <c r="AN72" s="107"/>
      <c r="AO72" s="108"/>
      <c r="AP72" s="108"/>
      <c r="AQ72" s="108"/>
      <c r="AR72" s="108"/>
      <c r="AS72" s="109"/>
      <c r="AT72" s="114"/>
      <c r="AU72" s="107"/>
      <c r="AV72" s="108"/>
      <c r="AW72" s="108"/>
      <c r="AX72" s="108"/>
      <c r="AY72" s="108"/>
      <c r="AZ72" s="109"/>
      <c r="BA72" s="114"/>
      <c r="BB72" s="107"/>
      <c r="BC72" s="108"/>
      <c r="BD72" s="108"/>
      <c r="BE72" s="108"/>
      <c r="BF72" s="108"/>
      <c r="BG72" s="109"/>
      <c r="BH72" s="114"/>
      <c r="BI72" s="107"/>
      <c r="BJ72" s="108"/>
      <c r="BK72" s="108"/>
      <c r="BL72" s="108"/>
      <c r="BM72" s="108"/>
      <c r="BN72" s="109"/>
      <c r="BO72" s="114"/>
      <c r="BP72" s="107"/>
      <c r="BQ72" s="108"/>
      <c r="BR72" s="108"/>
      <c r="BS72" s="108"/>
      <c r="BT72" s="108"/>
      <c r="BU72" s="109"/>
      <c r="BV72" s="114"/>
      <c r="BW72" s="107"/>
      <c r="BX72" s="108"/>
      <c r="BY72" s="108"/>
      <c r="BZ72" s="108"/>
      <c r="CA72" s="108"/>
      <c r="CB72" s="109"/>
      <c r="CC72" s="114"/>
      <c r="CD72" s="107"/>
      <c r="CE72" s="108"/>
      <c r="CF72" s="108"/>
      <c r="CG72" s="108"/>
      <c r="CH72" s="108"/>
      <c r="CI72" s="109"/>
      <c r="CJ72" s="114"/>
      <c r="CK72" s="107"/>
      <c r="CL72" s="108"/>
      <c r="CM72" s="108"/>
      <c r="CN72" s="108"/>
      <c r="CO72" s="108"/>
      <c r="CP72" s="109"/>
      <c r="CQ72" s="114"/>
      <c r="CU72" s="155"/>
    </row>
    <row r="73" spans="12:99" ht="14.25" customHeight="1" x14ac:dyDescent="0.2">
      <c r="L73" s="107" t="s">
        <v>114</v>
      </c>
      <c r="M73" s="108"/>
      <c r="N73" s="108"/>
      <c r="O73" s="108"/>
      <c r="P73" s="108"/>
      <c r="Q73" s="109"/>
      <c r="R73" s="114">
        <f>108.5</f>
        <v>108.5</v>
      </c>
      <c r="S73" s="107" t="s">
        <v>114</v>
      </c>
      <c r="T73" s="108"/>
      <c r="U73" s="108"/>
      <c r="V73" s="108"/>
      <c r="W73" s="108"/>
      <c r="X73" s="109"/>
      <c r="Y73" s="114"/>
      <c r="Z73" s="107" t="s">
        <v>114</v>
      </c>
      <c r="AA73" s="108"/>
      <c r="AB73" s="108"/>
      <c r="AC73" s="108"/>
      <c r="AD73" s="108"/>
      <c r="AE73" s="109"/>
      <c r="AF73" s="114"/>
      <c r="AG73" s="107" t="s">
        <v>114</v>
      </c>
      <c r="AH73" s="108"/>
      <c r="AI73" s="108"/>
      <c r="AJ73" s="108"/>
      <c r="AK73" s="108"/>
      <c r="AL73" s="109"/>
      <c r="AM73" s="114">
        <f>112.5</f>
        <v>112.5</v>
      </c>
      <c r="AN73" s="107"/>
      <c r="AO73" s="108"/>
      <c r="AP73" s="108"/>
      <c r="AQ73" s="108"/>
      <c r="AR73" s="108"/>
      <c r="AS73" s="109"/>
      <c r="AT73" s="114"/>
      <c r="AU73" s="107"/>
      <c r="AV73" s="108"/>
      <c r="AW73" s="108"/>
      <c r="AX73" s="108"/>
      <c r="AY73" s="108"/>
      <c r="AZ73" s="109"/>
      <c r="BA73" s="114"/>
      <c r="BB73" s="107"/>
      <c r="BC73" s="108"/>
      <c r="BD73" s="108"/>
      <c r="BE73" s="108"/>
      <c r="BF73" s="108"/>
      <c r="BG73" s="109"/>
      <c r="BH73" s="114"/>
      <c r="BI73" s="107"/>
      <c r="BJ73" s="108"/>
      <c r="BK73" s="108"/>
      <c r="BL73" s="108"/>
      <c r="BM73" s="108"/>
      <c r="BN73" s="109"/>
      <c r="BO73" s="114"/>
      <c r="BP73" s="107"/>
      <c r="BQ73" s="108"/>
      <c r="BR73" s="108"/>
      <c r="BS73" s="108"/>
      <c r="BT73" s="108"/>
      <c r="BU73" s="109"/>
      <c r="BV73" s="114"/>
      <c r="BW73" s="107"/>
      <c r="BX73" s="108"/>
      <c r="BY73" s="108"/>
      <c r="BZ73" s="108"/>
      <c r="CA73" s="108"/>
      <c r="CB73" s="109"/>
      <c r="CC73" s="114"/>
      <c r="CD73" s="107"/>
      <c r="CE73" s="108"/>
      <c r="CF73" s="108"/>
      <c r="CG73" s="108"/>
      <c r="CH73" s="108"/>
      <c r="CI73" s="109"/>
      <c r="CJ73" s="114"/>
      <c r="CK73" s="107"/>
      <c r="CL73" s="108"/>
      <c r="CM73" s="108"/>
      <c r="CN73" s="108"/>
      <c r="CO73" s="108"/>
      <c r="CP73" s="109"/>
      <c r="CQ73" s="114"/>
      <c r="CU73" s="155"/>
    </row>
    <row r="74" spans="12:99" ht="14.25" customHeight="1" x14ac:dyDescent="0.2">
      <c r="L74" s="107" t="s">
        <v>115</v>
      </c>
      <c r="M74" s="108"/>
      <c r="N74" s="108"/>
      <c r="O74" s="108"/>
      <c r="P74" s="108"/>
      <c r="Q74" s="109"/>
      <c r="R74" s="114">
        <f>262</f>
        <v>262</v>
      </c>
      <c r="S74" s="107" t="s">
        <v>115</v>
      </c>
      <c r="T74" s="108"/>
      <c r="U74" s="108"/>
      <c r="V74" s="108"/>
      <c r="W74" s="108"/>
      <c r="X74" s="109"/>
      <c r="Y74" s="114">
        <f>140</f>
        <v>140</v>
      </c>
      <c r="Z74" s="107" t="s">
        <v>115</v>
      </c>
      <c r="AA74" s="108"/>
      <c r="AB74" s="108"/>
      <c r="AC74" s="108"/>
      <c r="AD74" s="108"/>
      <c r="AE74" s="109"/>
      <c r="AF74" s="114"/>
      <c r="AG74" s="107" t="s">
        <v>115</v>
      </c>
      <c r="AH74" s="108"/>
      <c r="AI74" s="108"/>
      <c r="AJ74" s="108"/>
      <c r="AK74" s="108"/>
      <c r="AL74" s="109"/>
      <c r="AM74" s="114"/>
      <c r="AN74" s="107"/>
      <c r="AO74" s="108"/>
      <c r="AP74" s="108"/>
      <c r="AQ74" s="108"/>
      <c r="AR74" s="108"/>
      <c r="AS74" s="109"/>
      <c r="AT74" s="114"/>
      <c r="AU74" s="107"/>
      <c r="AV74" s="108"/>
      <c r="AW74" s="108"/>
      <c r="AX74" s="108"/>
      <c r="AY74" s="108"/>
      <c r="AZ74" s="109"/>
      <c r="BA74" s="114"/>
      <c r="BB74" s="107"/>
      <c r="BC74" s="108"/>
      <c r="BD74" s="108"/>
      <c r="BE74" s="108"/>
      <c r="BF74" s="108"/>
      <c r="BG74" s="109"/>
      <c r="BH74" s="114"/>
      <c r="BI74" s="107"/>
      <c r="BJ74" s="108"/>
      <c r="BK74" s="108"/>
      <c r="BL74" s="108"/>
      <c r="BM74" s="108"/>
      <c r="BN74" s="109"/>
      <c r="BO74" s="114"/>
      <c r="BP74" s="107"/>
      <c r="BQ74" s="108"/>
      <c r="BR74" s="108"/>
      <c r="BS74" s="108"/>
      <c r="BT74" s="108"/>
      <c r="BU74" s="109"/>
      <c r="BV74" s="114"/>
      <c r="BW74" s="107"/>
      <c r="BX74" s="108"/>
      <c r="BY74" s="108"/>
      <c r="BZ74" s="108"/>
      <c r="CA74" s="108"/>
      <c r="CB74" s="109"/>
      <c r="CC74" s="114"/>
      <c r="CD74" s="107"/>
      <c r="CE74" s="108"/>
      <c r="CF74" s="108"/>
      <c r="CG74" s="108"/>
      <c r="CH74" s="108"/>
      <c r="CI74" s="109"/>
      <c r="CJ74" s="114"/>
      <c r="CK74" s="107"/>
      <c r="CL74" s="108"/>
      <c r="CM74" s="108"/>
      <c r="CN74" s="108"/>
      <c r="CO74" s="108"/>
      <c r="CP74" s="109"/>
      <c r="CQ74" s="114"/>
      <c r="CU74" s="155"/>
    </row>
    <row r="75" spans="12:99" ht="14.25" customHeight="1" x14ac:dyDescent="0.2">
      <c r="L75" s="107" t="s">
        <v>94</v>
      </c>
      <c r="M75" s="108"/>
      <c r="N75" s="108"/>
      <c r="O75" s="108"/>
      <c r="P75" s="108"/>
      <c r="Q75" s="109"/>
      <c r="R75" s="114">
        <f>246.54</f>
        <v>246.54</v>
      </c>
      <c r="S75" s="107" t="s">
        <v>94</v>
      </c>
      <c r="T75" s="108"/>
      <c r="U75" s="108"/>
      <c r="V75" s="108"/>
      <c r="W75" s="108"/>
      <c r="X75" s="109"/>
      <c r="Y75" s="114"/>
      <c r="Z75" s="107" t="s">
        <v>94</v>
      </c>
      <c r="AA75" s="108"/>
      <c r="AB75" s="108"/>
      <c r="AC75" s="108"/>
      <c r="AD75" s="108"/>
      <c r="AE75" s="109"/>
      <c r="AF75" s="114"/>
      <c r="AG75" s="107" t="s">
        <v>94</v>
      </c>
      <c r="AH75" s="108"/>
      <c r="AI75" s="108"/>
      <c r="AJ75" s="108"/>
      <c r="AK75" s="108"/>
      <c r="AL75" s="109"/>
      <c r="AM75" s="114"/>
      <c r="AN75" s="107"/>
      <c r="AO75" s="108"/>
      <c r="AP75" s="108"/>
      <c r="AQ75" s="108"/>
      <c r="AR75" s="108"/>
      <c r="AS75" s="109"/>
      <c r="AT75" s="114"/>
      <c r="AU75" s="107"/>
      <c r="AV75" s="108"/>
      <c r="AW75" s="108"/>
      <c r="AX75" s="108"/>
      <c r="AY75" s="108"/>
      <c r="AZ75" s="109"/>
      <c r="BA75" s="114"/>
      <c r="BB75" s="107"/>
      <c r="BC75" s="108"/>
      <c r="BD75" s="108"/>
      <c r="BE75" s="108"/>
      <c r="BF75" s="108"/>
      <c r="BG75" s="109"/>
      <c r="BH75" s="114"/>
      <c r="BI75" s="107"/>
      <c r="BJ75" s="108"/>
      <c r="BK75" s="108"/>
      <c r="BL75" s="108"/>
      <c r="BM75" s="108"/>
      <c r="BN75" s="109"/>
      <c r="BO75" s="114"/>
      <c r="BP75" s="107"/>
      <c r="BQ75" s="108"/>
      <c r="BR75" s="108"/>
      <c r="BS75" s="108"/>
      <c r="BT75" s="108"/>
      <c r="BU75" s="109"/>
      <c r="BV75" s="114"/>
      <c r="BW75" s="107"/>
      <c r="BX75" s="108"/>
      <c r="BY75" s="108"/>
      <c r="BZ75" s="108"/>
      <c r="CA75" s="108"/>
      <c r="CB75" s="109"/>
      <c r="CC75" s="114"/>
      <c r="CD75" s="107"/>
      <c r="CE75" s="108"/>
      <c r="CF75" s="108"/>
      <c r="CG75" s="108"/>
      <c r="CH75" s="108"/>
      <c r="CI75" s="109"/>
      <c r="CJ75" s="114"/>
      <c r="CK75" s="107"/>
      <c r="CL75" s="108"/>
      <c r="CM75" s="108"/>
      <c r="CN75" s="108"/>
      <c r="CO75" s="108"/>
      <c r="CP75" s="109"/>
      <c r="CQ75" s="114"/>
      <c r="CU75" s="155"/>
    </row>
    <row r="76" spans="12:99" ht="14.25" customHeight="1" x14ac:dyDescent="0.2">
      <c r="L76" s="107" t="s">
        <v>95</v>
      </c>
      <c r="M76" s="108"/>
      <c r="N76" s="108"/>
      <c r="O76" s="108"/>
      <c r="P76" s="108"/>
      <c r="Q76" s="109"/>
      <c r="R76" s="114">
        <f>652.5</f>
        <v>652.5</v>
      </c>
      <c r="S76" s="107" t="s">
        <v>95</v>
      </c>
      <c r="T76" s="108"/>
      <c r="U76" s="108"/>
      <c r="V76" s="108"/>
      <c r="W76" s="108"/>
      <c r="X76" s="109"/>
      <c r="Y76" s="114"/>
      <c r="Z76" s="107" t="s">
        <v>95</v>
      </c>
      <c r="AA76" s="108"/>
      <c r="AB76" s="108"/>
      <c r="AC76" s="108"/>
      <c r="AD76" s="108"/>
      <c r="AE76" s="109"/>
      <c r="AF76" s="114">
        <f>540</f>
        <v>540</v>
      </c>
      <c r="AG76" s="107" t="s">
        <v>95</v>
      </c>
      <c r="AH76" s="108"/>
      <c r="AI76" s="108"/>
      <c r="AJ76" s="108"/>
      <c r="AK76" s="108"/>
      <c r="AL76" s="109"/>
      <c r="AM76" s="114">
        <f>697.5</f>
        <v>697.5</v>
      </c>
      <c r="AN76" s="107"/>
      <c r="AO76" s="108"/>
      <c r="AP76" s="108"/>
      <c r="AQ76" s="108"/>
      <c r="AR76" s="108"/>
      <c r="AS76" s="109"/>
      <c r="AT76" s="114"/>
      <c r="AU76" s="107"/>
      <c r="AV76" s="108"/>
      <c r="AW76" s="108"/>
      <c r="AX76" s="108"/>
      <c r="AY76" s="108"/>
      <c r="AZ76" s="109"/>
      <c r="BA76" s="114"/>
      <c r="BB76" s="107"/>
      <c r="BC76" s="108"/>
      <c r="BD76" s="108"/>
      <c r="BE76" s="108"/>
      <c r="BF76" s="108"/>
      <c r="BG76" s="109"/>
      <c r="BH76" s="114"/>
      <c r="BI76" s="107"/>
      <c r="BJ76" s="108"/>
      <c r="BK76" s="108"/>
      <c r="BL76" s="108"/>
      <c r="BM76" s="108"/>
      <c r="BN76" s="109"/>
      <c r="BO76" s="114"/>
      <c r="BP76" s="107"/>
      <c r="BQ76" s="108"/>
      <c r="BR76" s="108"/>
      <c r="BS76" s="108"/>
      <c r="BT76" s="108"/>
      <c r="BU76" s="109"/>
      <c r="BV76" s="114"/>
      <c r="BW76" s="107"/>
      <c r="BX76" s="108"/>
      <c r="BY76" s="108"/>
      <c r="BZ76" s="108"/>
      <c r="CA76" s="108"/>
      <c r="CB76" s="109"/>
      <c r="CC76" s="114"/>
      <c r="CD76" s="107"/>
      <c r="CE76" s="108"/>
      <c r="CF76" s="108"/>
      <c r="CG76" s="108"/>
      <c r="CH76" s="108"/>
      <c r="CI76" s="109"/>
      <c r="CJ76" s="114"/>
      <c r="CK76" s="107"/>
      <c r="CL76" s="108"/>
      <c r="CM76" s="108"/>
      <c r="CN76" s="108"/>
      <c r="CO76" s="108"/>
      <c r="CP76" s="109"/>
      <c r="CQ76" s="114"/>
      <c r="CU76" s="155"/>
    </row>
    <row r="77" spans="12:99" ht="14.25" customHeight="1" x14ac:dyDescent="0.2">
      <c r="L77" s="107" t="s">
        <v>116</v>
      </c>
      <c r="M77" s="108"/>
      <c r="N77" s="108"/>
      <c r="O77" s="108"/>
      <c r="P77" s="108"/>
      <c r="Q77" s="109"/>
      <c r="R77" s="114">
        <f>307.1</f>
        <v>307.10000000000002</v>
      </c>
      <c r="S77" s="107" t="s">
        <v>116</v>
      </c>
      <c r="T77" s="108"/>
      <c r="U77" s="108"/>
      <c r="V77" s="108"/>
      <c r="W77" s="108"/>
      <c r="X77" s="109"/>
      <c r="Y77" s="114"/>
      <c r="Z77" s="107" t="s">
        <v>116</v>
      </c>
      <c r="AA77" s="108"/>
      <c r="AB77" s="108"/>
      <c r="AC77" s="108"/>
      <c r="AD77" s="108"/>
      <c r="AE77" s="109"/>
      <c r="AF77" s="114"/>
      <c r="AG77" s="107" t="s">
        <v>116</v>
      </c>
      <c r="AH77" s="108"/>
      <c r="AI77" s="108"/>
      <c r="AJ77" s="108"/>
      <c r="AK77" s="108"/>
      <c r="AL77" s="109"/>
      <c r="AM77" s="114"/>
      <c r="AN77" s="107"/>
      <c r="AO77" s="108"/>
      <c r="AP77" s="108"/>
      <c r="AQ77" s="108"/>
      <c r="AR77" s="108"/>
      <c r="AS77" s="109"/>
      <c r="AT77" s="114"/>
      <c r="AU77" s="107"/>
      <c r="AV77" s="108"/>
      <c r="AW77" s="108"/>
      <c r="AX77" s="108"/>
      <c r="AY77" s="108"/>
      <c r="AZ77" s="109"/>
      <c r="BA77" s="114"/>
      <c r="BB77" s="107"/>
      <c r="BC77" s="108"/>
      <c r="BD77" s="108"/>
      <c r="BE77" s="108"/>
      <c r="BF77" s="108"/>
      <c r="BG77" s="109"/>
      <c r="BH77" s="114"/>
      <c r="BI77" s="107"/>
      <c r="BJ77" s="108"/>
      <c r="BK77" s="108"/>
      <c r="BL77" s="108"/>
      <c r="BM77" s="108"/>
      <c r="BN77" s="109"/>
      <c r="BO77" s="114"/>
      <c r="BP77" s="107"/>
      <c r="BQ77" s="108"/>
      <c r="BR77" s="108"/>
      <c r="BS77" s="108"/>
      <c r="BT77" s="108"/>
      <c r="BU77" s="109"/>
      <c r="BV77" s="114"/>
      <c r="BW77" s="107"/>
      <c r="BX77" s="108"/>
      <c r="BY77" s="108"/>
      <c r="BZ77" s="108"/>
      <c r="CA77" s="108"/>
      <c r="CB77" s="109"/>
      <c r="CC77" s="114"/>
      <c r="CD77" s="107"/>
      <c r="CE77" s="108"/>
      <c r="CF77" s="108"/>
      <c r="CG77" s="108"/>
      <c r="CH77" s="108"/>
      <c r="CI77" s="109"/>
      <c r="CJ77" s="114"/>
      <c r="CK77" s="107"/>
      <c r="CL77" s="108"/>
      <c r="CM77" s="108"/>
      <c r="CN77" s="108"/>
      <c r="CO77" s="108"/>
      <c r="CP77" s="109"/>
      <c r="CQ77" s="114"/>
      <c r="CU77" s="155"/>
    </row>
    <row r="78" spans="12:99" ht="14.25" customHeight="1" x14ac:dyDescent="0.2">
      <c r="L78" s="107" t="s">
        <v>117</v>
      </c>
      <c r="M78" s="108"/>
      <c r="N78" s="108"/>
      <c r="O78" s="108"/>
      <c r="P78" s="108"/>
      <c r="Q78" s="109"/>
      <c r="R78" s="114">
        <f>146</f>
        <v>146</v>
      </c>
      <c r="S78" s="107" t="s">
        <v>99</v>
      </c>
      <c r="T78" s="108"/>
      <c r="U78" s="108"/>
      <c r="V78" s="108"/>
      <c r="W78" s="108"/>
      <c r="X78" s="109"/>
      <c r="Y78" s="114">
        <f>720+62.5</f>
        <v>782.5</v>
      </c>
      <c r="Z78" s="107" t="s">
        <v>99</v>
      </c>
      <c r="AA78" s="108"/>
      <c r="AB78" s="108"/>
      <c r="AC78" s="108"/>
      <c r="AD78" s="108"/>
      <c r="AE78" s="109"/>
      <c r="AF78" s="114">
        <f>788.88</f>
        <v>788.88</v>
      </c>
      <c r="AG78" s="107" t="s">
        <v>99</v>
      </c>
      <c r="AH78" s="108"/>
      <c r="AI78" s="108"/>
      <c r="AJ78" s="108"/>
      <c r="AK78" s="108"/>
      <c r="AL78" s="109"/>
      <c r="AM78" s="114"/>
      <c r="AN78" s="107"/>
      <c r="AO78" s="108"/>
      <c r="AP78" s="108"/>
      <c r="AQ78" s="108"/>
      <c r="AR78" s="108"/>
      <c r="AS78" s="109"/>
      <c r="AT78" s="114"/>
      <c r="AU78" s="107"/>
      <c r="AV78" s="108"/>
      <c r="AW78" s="108"/>
      <c r="AX78" s="108"/>
      <c r="AY78" s="108"/>
      <c r="AZ78" s="109"/>
      <c r="BA78" s="114"/>
      <c r="BB78" s="107"/>
      <c r="BC78" s="108"/>
      <c r="BD78" s="108"/>
      <c r="BE78" s="108"/>
      <c r="BF78" s="108"/>
      <c r="BG78" s="109"/>
      <c r="BH78" s="114"/>
      <c r="BI78" s="107"/>
      <c r="BJ78" s="108"/>
      <c r="BK78" s="108"/>
      <c r="BL78" s="108"/>
      <c r="BM78" s="108"/>
      <c r="BN78" s="109"/>
      <c r="BO78" s="114"/>
      <c r="BP78" s="107"/>
      <c r="BQ78" s="108"/>
      <c r="BR78" s="108"/>
      <c r="BS78" s="108"/>
      <c r="BT78" s="108"/>
      <c r="BU78" s="109"/>
      <c r="BV78" s="114"/>
      <c r="BW78" s="107"/>
      <c r="BX78" s="108"/>
      <c r="BY78" s="108"/>
      <c r="BZ78" s="108"/>
      <c r="CA78" s="108"/>
      <c r="CB78" s="109"/>
      <c r="CC78" s="114"/>
      <c r="CD78" s="107"/>
      <c r="CE78" s="108"/>
      <c r="CF78" s="108"/>
      <c r="CG78" s="108"/>
      <c r="CH78" s="108"/>
      <c r="CI78" s="109"/>
      <c r="CJ78" s="114"/>
      <c r="CK78" s="107"/>
      <c r="CL78" s="108"/>
      <c r="CM78" s="108"/>
      <c r="CN78" s="108"/>
      <c r="CO78" s="108"/>
      <c r="CP78" s="109"/>
      <c r="CQ78" s="114"/>
      <c r="CU78" s="155"/>
    </row>
    <row r="79" spans="12:99" ht="14.25" customHeight="1" x14ac:dyDescent="0.2">
      <c r="L79" s="107" t="s">
        <v>97</v>
      </c>
      <c r="M79" s="108"/>
      <c r="N79" s="108"/>
      <c r="O79" s="108"/>
      <c r="P79" s="108"/>
      <c r="Q79" s="109"/>
      <c r="R79" s="114">
        <v>1008</v>
      </c>
      <c r="S79" s="107" t="s">
        <v>97</v>
      </c>
      <c r="T79" s="108"/>
      <c r="U79" s="108"/>
      <c r="V79" s="108"/>
      <c r="W79" s="108"/>
      <c r="X79" s="109"/>
      <c r="Y79" s="114">
        <f>960</f>
        <v>960</v>
      </c>
      <c r="Z79" s="107" t="s">
        <v>97</v>
      </c>
      <c r="AA79" s="108"/>
      <c r="AB79" s="108"/>
      <c r="AC79" s="108"/>
      <c r="AD79" s="108"/>
      <c r="AE79" s="109"/>
      <c r="AF79" s="114">
        <f>1056</f>
        <v>1056</v>
      </c>
      <c r="AG79" s="107" t="s">
        <v>97</v>
      </c>
      <c r="AH79" s="108"/>
      <c r="AI79" s="108"/>
      <c r="AJ79" s="108"/>
      <c r="AK79" s="108"/>
      <c r="AL79" s="109"/>
      <c r="AM79" s="114">
        <f>1056</f>
        <v>1056</v>
      </c>
      <c r="AN79" s="107"/>
      <c r="AO79" s="108"/>
      <c r="AP79" s="108"/>
      <c r="AQ79" s="108"/>
      <c r="AR79" s="108"/>
      <c r="AS79" s="109"/>
      <c r="AT79" s="114"/>
      <c r="AU79" s="107"/>
      <c r="AV79" s="108"/>
      <c r="AW79" s="108"/>
      <c r="AX79" s="108"/>
      <c r="AY79" s="108"/>
      <c r="AZ79" s="109"/>
      <c r="BA79" s="114"/>
      <c r="BB79" s="107"/>
      <c r="BC79" s="108"/>
      <c r="BD79" s="108"/>
      <c r="BE79" s="108"/>
      <c r="BF79" s="108"/>
      <c r="BG79" s="109"/>
      <c r="BH79" s="114"/>
      <c r="BI79" s="107"/>
      <c r="BJ79" s="108"/>
      <c r="BK79" s="108"/>
      <c r="BL79" s="108"/>
      <c r="BM79" s="108"/>
      <c r="BN79" s="109"/>
      <c r="BO79" s="114"/>
      <c r="BP79" s="107"/>
      <c r="BQ79" s="108"/>
      <c r="BR79" s="108"/>
      <c r="BS79" s="108"/>
      <c r="BT79" s="108"/>
      <c r="BU79" s="109"/>
      <c r="BV79" s="114"/>
      <c r="BW79" s="107"/>
      <c r="BX79" s="108"/>
      <c r="BY79" s="108"/>
      <c r="BZ79" s="108"/>
      <c r="CA79" s="108"/>
      <c r="CB79" s="109"/>
      <c r="CC79" s="114"/>
      <c r="CD79" s="107"/>
      <c r="CE79" s="108"/>
      <c r="CF79" s="108"/>
      <c r="CG79" s="108"/>
      <c r="CH79" s="108"/>
      <c r="CI79" s="109"/>
      <c r="CJ79" s="114"/>
      <c r="CK79" s="107"/>
      <c r="CL79" s="108"/>
      <c r="CM79" s="108"/>
      <c r="CN79" s="108"/>
      <c r="CO79" s="108"/>
      <c r="CP79" s="109"/>
      <c r="CQ79" s="114"/>
      <c r="CU79" s="155"/>
    </row>
    <row r="80" spans="12:99" ht="14.25" customHeight="1" x14ac:dyDescent="0.2">
      <c r="L80" s="108" t="s">
        <v>98</v>
      </c>
      <c r="M80" s="108"/>
      <c r="N80" s="108"/>
      <c r="O80" s="108"/>
      <c r="P80" s="108"/>
      <c r="Q80" s="109"/>
      <c r="R80" s="114">
        <f>141.46</f>
        <v>141.46</v>
      </c>
      <c r="S80" s="108" t="s">
        <v>98</v>
      </c>
      <c r="T80" s="108"/>
      <c r="U80" s="108"/>
      <c r="V80" s="108"/>
      <c r="W80" s="108"/>
      <c r="X80" s="109"/>
      <c r="Y80" s="114">
        <f>140.41</f>
        <v>140.41</v>
      </c>
      <c r="Z80" s="108" t="s">
        <v>98</v>
      </c>
      <c r="AA80" s="108"/>
      <c r="AB80" s="108"/>
      <c r="AC80" s="108"/>
      <c r="AD80" s="108"/>
      <c r="AE80" s="109"/>
      <c r="AF80" s="114">
        <f>279.82</f>
        <v>279.82</v>
      </c>
      <c r="AG80" s="108" t="s">
        <v>98</v>
      </c>
      <c r="AH80" s="108"/>
      <c r="AI80" s="108"/>
      <c r="AJ80" s="108"/>
      <c r="AK80" s="108"/>
      <c r="AL80" s="109"/>
      <c r="AM80" s="114">
        <f>138.32</f>
        <v>138.32</v>
      </c>
      <c r="AN80" s="108"/>
      <c r="AO80" s="108"/>
      <c r="AP80" s="108"/>
      <c r="AQ80" s="108"/>
      <c r="AR80" s="108"/>
      <c r="AS80" s="109"/>
      <c r="AT80" s="114"/>
      <c r="AU80" s="108"/>
      <c r="AV80" s="108"/>
      <c r="AW80" s="108"/>
      <c r="AX80" s="108"/>
      <c r="AY80" s="108"/>
      <c r="AZ80" s="109"/>
      <c r="BA80" s="114"/>
      <c r="BB80" s="108"/>
      <c r="BC80" s="108"/>
      <c r="BD80" s="108"/>
      <c r="BE80" s="108"/>
      <c r="BF80" s="108"/>
      <c r="BG80" s="109"/>
      <c r="BH80" s="114"/>
      <c r="BI80" s="108"/>
      <c r="BJ80" s="108"/>
      <c r="BK80" s="108"/>
      <c r="BL80" s="108"/>
      <c r="BM80" s="108"/>
      <c r="BN80" s="109"/>
      <c r="BO80" s="114"/>
      <c r="BP80" s="108"/>
      <c r="BQ80" s="108"/>
      <c r="BR80" s="108"/>
      <c r="BS80" s="108"/>
      <c r="BT80" s="108"/>
      <c r="BU80" s="109"/>
      <c r="BV80" s="114"/>
      <c r="BW80" s="108"/>
      <c r="BX80" s="108"/>
      <c r="BY80" s="108"/>
      <c r="BZ80" s="108"/>
      <c r="CA80" s="108"/>
      <c r="CB80" s="109"/>
      <c r="CC80" s="114"/>
      <c r="CD80" s="108"/>
      <c r="CE80" s="108"/>
      <c r="CF80" s="108"/>
      <c r="CG80" s="108"/>
      <c r="CH80" s="108"/>
      <c r="CI80" s="109"/>
      <c r="CJ80" s="114"/>
      <c r="CK80" s="108"/>
      <c r="CL80" s="108"/>
      <c r="CM80" s="108"/>
      <c r="CN80" s="108"/>
      <c r="CO80" s="108"/>
      <c r="CP80" s="109"/>
      <c r="CQ80" s="114"/>
    </row>
    <row r="81" spans="12:99" ht="14.25" customHeight="1" x14ac:dyDescent="0.2">
      <c r="L81" s="108" t="s">
        <v>118</v>
      </c>
      <c r="M81" s="108"/>
      <c r="N81" s="108"/>
      <c r="O81" s="108"/>
      <c r="P81" s="108"/>
      <c r="Q81" s="108"/>
      <c r="R81" s="114">
        <f>212.71</f>
        <v>212.71</v>
      </c>
      <c r="S81" s="108" t="s">
        <v>118</v>
      </c>
      <c r="T81" s="108"/>
      <c r="U81" s="108"/>
      <c r="V81" s="108"/>
      <c r="W81" s="108"/>
      <c r="X81" s="108"/>
      <c r="Y81" s="114"/>
      <c r="Z81" s="108" t="s">
        <v>118</v>
      </c>
      <c r="AA81" s="108"/>
      <c r="AB81" s="108"/>
      <c r="AC81" s="108"/>
      <c r="AD81" s="108"/>
      <c r="AE81" s="108"/>
      <c r="AF81" s="114"/>
      <c r="AG81" s="108" t="s">
        <v>118</v>
      </c>
      <c r="AH81" s="108"/>
      <c r="AI81" s="108"/>
      <c r="AJ81" s="108"/>
      <c r="AK81" s="108"/>
      <c r="AL81" s="108"/>
      <c r="AM81" s="114"/>
      <c r="AN81" s="108"/>
      <c r="AO81" s="108"/>
      <c r="AP81" s="108"/>
      <c r="AQ81" s="108"/>
      <c r="AR81" s="108"/>
      <c r="AS81" s="108"/>
      <c r="AT81" s="114"/>
      <c r="AU81" s="108"/>
      <c r="AV81" s="108"/>
      <c r="AW81" s="108"/>
      <c r="AX81" s="108"/>
      <c r="AY81" s="108"/>
      <c r="AZ81" s="108"/>
      <c r="BA81" s="114"/>
      <c r="BB81" s="108"/>
      <c r="BC81" s="108"/>
      <c r="BD81" s="108"/>
      <c r="BE81" s="108"/>
      <c r="BF81" s="108"/>
      <c r="BG81" s="108"/>
      <c r="BH81" s="114"/>
      <c r="BI81" s="108"/>
      <c r="BJ81" s="108"/>
      <c r="BK81" s="108"/>
      <c r="BL81" s="108"/>
      <c r="BM81" s="108"/>
      <c r="BN81" s="108"/>
      <c r="BO81" s="114"/>
      <c r="BP81" s="108"/>
      <c r="BQ81" s="108"/>
      <c r="BR81" s="108"/>
      <c r="BS81" s="108"/>
      <c r="BT81" s="108"/>
      <c r="BU81" s="108"/>
      <c r="BV81" s="114"/>
      <c r="BW81" s="108"/>
      <c r="BX81" s="108"/>
      <c r="BY81" s="108"/>
      <c r="BZ81" s="108"/>
      <c r="CA81" s="108"/>
      <c r="CB81" s="108"/>
      <c r="CC81" s="114"/>
      <c r="CD81" s="108"/>
      <c r="CE81" s="108"/>
      <c r="CF81" s="108"/>
      <c r="CG81" s="108"/>
      <c r="CH81" s="108"/>
      <c r="CI81" s="108"/>
      <c r="CJ81" s="114"/>
      <c r="CK81" s="108"/>
      <c r="CL81" s="108"/>
      <c r="CM81" s="108"/>
      <c r="CN81" s="108"/>
      <c r="CO81" s="108"/>
      <c r="CP81" s="108"/>
      <c r="CQ81" s="114"/>
    </row>
    <row r="82" spans="12:99" ht="14.25" customHeight="1" x14ac:dyDescent="0.2">
      <c r="L82" s="107"/>
      <c r="M82" s="108"/>
      <c r="N82" s="108"/>
      <c r="O82" s="108"/>
      <c r="P82" s="108"/>
      <c r="Q82" s="109"/>
      <c r="R82" s="114"/>
      <c r="S82" s="107" t="s">
        <v>119</v>
      </c>
      <c r="T82" s="108"/>
      <c r="U82" s="108"/>
      <c r="V82" s="108"/>
      <c r="W82" s="108"/>
      <c r="X82" s="109"/>
      <c r="Y82" s="114">
        <f>1029.2</f>
        <v>1029.2</v>
      </c>
      <c r="Z82" s="107" t="s">
        <v>119</v>
      </c>
      <c r="AA82" s="108"/>
      <c r="AB82" s="108"/>
      <c r="AC82" s="108"/>
      <c r="AD82" s="108"/>
      <c r="AE82" s="109"/>
      <c r="AF82" s="114"/>
      <c r="AG82" s="107" t="s">
        <v>119</v>
      </c>
      <c r="AH82" s="108"/>
      <c r="AI82" s="108"/>
      <c r="AJ82" s="108"/>
      <c r="AK82" s="108"/>
      <c r="AL82" s="109"/>
      <c r="AM82" s="114"/>
      <c r="AN82" s="107"/>
      <c r="AO82" s="108"/>
      <c r="AP82" s="108"/>
      <c r="AQ82" s="108"/>
      <c r="AR82" s="108"/>
      <c r="AS82" s="109"/>
      <c r="AT82" s="114"/>
      <c r="AU82" s="107"/>
      <c r="AV82" s="108"/>
      <c r="AW82" s="108"/>
      <c r="AX82" s="108"/>
      <c r="AY82" s="108"/>
      <c r="AZ82" s="109"/>
      <c r="BA82" s="114"/>
      <c r="BB82" s="107"/>
      <c r="BC82" s="108"/>
      <c r="BD82" s="108"/>
      <c r="BE82" s="108"/>
      <c r="BF82" s="108"/>
      <c r="BG82" s="109"/>
      <c r="BH82" s="114"/>
      <c r="BI82" s="107"/>
      <c r="BJ82" s="108"/>
      <c r="BK82" s="108"/>
      <c r="BL82" s="108"/>
      <c r="BM82" s="108"/>
      <c r="BN82" s="109"/>
      <c r="BO82" s="114"/>
      <c r="BP82" s="107"/>
      <c r="BQ82" s="108"/>
      <c r="BR82" s="108"/>
      <c r="BS82" s="108"/>
      <c r="BT82" s="108"/>
      <c r="BU82" s="109"/>
      <c r="BV82" s="114"/>
      <c r="BW82" s="107"/>
      <c r="BX82" s="108"/>
      <c r="BY82" s="108"/>
      <c r="BZ82" s="108"/>
      <c r="CA82" s="108"/>
      <c r="CB82" s="109"/>
      <c r="CC82" s="114"/>
      <c r="CD82" s="107"/>
      <c r="CE82" s="108"/>
      <c r="CF82" s="108"/>
      <c r="CG82" s="108"/>
      <c r="CH82" s="108"/>
      <c r="CI82" s="109"/>
      <c r="CJ82" s="114"/>
      <c r="CK82" s="107"/>
      <c r="CL82" s="108"/>
      <c r="CM82" s="108"/>
      <c r="CN82" s="108"/>
      <c r="CO82" s="108"/>
      <c r="CP82" s="109"/>
      <c r="CQ82" s="114"/>
    </row>
    <row r="83" spans="12:99" ht="14.25" customHeight="1" x14ac:dyDescent="0.2">
      <c r="L83" s="107"/>
      <c r="M83" s="108"/>
      <c r="N83" s="108"/>
      <c r="O83" s="108"/>
      <c r="P83" s="108"/>
      <c r="Q83" s="109"/>
      <c r="R83" s="114"/>
      <c r="S83" s="107" t="s">
        <v>120</v>
      </c>
      <c r="T83" s="108"/>
      <c r="U83" s="108"/>
      <c r="V83" s="108"/>
      <c r="W83" s="108"/>
      <c r="X83" s="109"/>
      <c r="Y83" s="114">
        <f>220+933.05</f>
        <v>1153.05</v>
      </c>
      <c r="Z83" s="107" t="s">
        <v>120</v>
      </c>
      <c r="AA83" s="108"/>
      <c r="AB83" s="108"/>
      <c r="AC83" s="108"/>
      <c r="AD83" s="108"/>
      <c r="AE83" s="109"/>
      <c r="AF83" s="114"/>
      <c r="AG83" s="107" t="s">
        <v>120</v>
      </c>
      <c r="AH83" s="108"/>
      <c r="AI83" s="108"/>
      <c r="AJ83" s="108"/>
      <c r="AK83" s="108"/>
      <c r="AL83" s="109"/>
      <c r="AM83" s="114"/>
      <c r="AN83" s="107"/>
      <c r="AO83" s="108"/>
      <c r="AP83" s="108"/>
      <c r="AQ83" s="108"/>
      <c r="AR83" s="108"/>
      <c r="AS83" s="109"/>
      <c r="AT83" s="114"/>
      <c r="AU83" s="107"/>
      <c r="AV83" s="108"/>
      <c r="AW83" s="108"/>
      <c r="AX83" s="108"/>
      <c r="AY83" s="108"/>
      <c r="AZ83" s="109"/>
      <c r="BA83" s="114"/>
      <c r="BB83" s="107"/>
      <c r="BC83" s="108"/>
      <c r="BD83" s="108"/>
      <c r="BE83" s="108"/>
      <c r="BF83" s="108"/>
      <c r="BG83" s="109"/>
      <c r="BH83" s="114"/>
      <c r="BI83" s="107"/>
      <c r="BJ83" s="108"/>
      <c r="BK83" s="108"/>
      <c r="BL83" s="108"/>
      <c r="BM83" s="108"/>
      <c r="BN83" s="109"/>
      <c r="BO83" s="114"/>
      <c r="BP83" s="107"/>
      <c r="BQ83" s="108"/>
      <c r="BR83" s="108"/>
      <c r="BS83" s="108"/>
      <c r="BT83" s="108"/>
      <c r="BU83" s="109"/>
      <c r="BV83" s="114"/>
      <c r="BW83" s="107"/>
      <c r="BX83" s="108"/>
      <c r="BY83" s="108"/>
      <c r="BZ83" s="108"/>
      <c r="CA83" s="108"/>
      <c r="CB83" s="109"/>
      <c r="CC83" s="114"/>
      <c r="CD83" s="107"/>
      <c r="CE83" s="108"/>
      <c r="CF83" s="108"/>
      <c r="CG83" s="108"/>
      <c r="CH83" s="108"/>
      <c r="CI83" s="109"/>
      <c r="CJ83" s="114"/>
      <c r="CK83" s="107"/>
      <c r="CL83" s="108"/>
      <c r="CM83" s="108"/>
      <c r="CN83" s="108"/>
      <c r="CO83" s="108"/>
      <c r="CP83" s="109"/>
      <c r="CQ83" s="114"/>
    </row>
    <row r="84" spans="12:99" ht="14.25" customHeight="1" x14ac:dyDescent="0.2">
      <c r="L84" s="107"/>
      <c r="M84" s="108"/>
      <c r="N84" s="108"/>
      <c r="O84" s="108"/>
      <c r="P84" s="108"/>
      <c r="Q84" s="109"/>
      <c r="R84" s="114"/>
      <c r="S84" s="107"/>
      <c r="T84" s="108"/>
      <c r="U84" s="108"/>
      <c r="V84" s="108"/>
      <c r="W84" s="108"/>
      <c r="X84" s="109"/>
      <c r="Y84" s="114"/>
      <c r="Z84" s="107" t="s">
        <v>121</v>
      </c>
      <c r="AA84" s="108"/>
      <c r="AB84" s="108"/>
      <c r="AC84" s="108"/>
      <c r="AD84" s="108"/>
      <c r="AE84" s="109"/>
      <c r="AF84" s="114">
        <f>1408.64</f>
        <v>1408.64</v>
      </c>
      <c r="AG84" s="107" t="s">
        <v>121</v>
      </c>
      <c r="AH84" s="108"/>
      <c r="AI84" s="108"/>
      <c r="AJ84" s="108"/>
      <c r="AK84" s="108"/>
      <c r="AL84" s="109"/>
      <c r="AM84" s="114"/>
      <c r="AN84" s="107"/>
      <c r="AO84" s="108"/>
      <c r="AP84" s="108"/>
      <c r="AQ84" s="108"/>
      <c r="AR84" s="108"/>
      <c r="AS84" s="109"/>
      <c r="AT84" s="114"/>
      <c r="AU84" s="107"/>
      <c r="AV84" s="108"/>
      <c r="AW84" s="108"/>
      <c r="AX84" s="108"/>
      <c r="AY84" s="108"/>
      <c r="AZ84" s="109"/>
      <c r="BA84" s="114"/>
      <c r="BB84" s="107"/>
      <c r="BC84" s="108"/>
      <c r="BD84" s="108"/>
      <c r="BE84" s="108"/>
      <c r="BF84" s="108"/>
      <c r="BG84" s="109"/>
      <c r="BH84" s="114"/>
      <c r="BI84" s="107"/>
      <c r="BJ84" s="108"/>
      <c r="BK84" s="108"/>
      <c r="BL84" s="108"/>
      <c r="BM84" s="108"/>
      <c r="BN84" s="109"/>
      <c r="BO84" s="114"/>
      <c r="BP84" s="107"/>
      <c r="BQ84" s="108"/>
      <c r="BR84" s="108"/>
      <c r="BS84" s="108"/>
      <c r="BT84" s="108"/>
      <c r="BU84" s="109"/>
      <c r="BV84" s="114"/>
      <c r="BW84" s="107"/>
      <c r="BX84" s="108"/>
      <c r="BY84" s="108"/>
      <c r="BZ84" s="108"/>
      <c r="CA84" s="108"/>
      <c r="CB84" s="109"/>
      <c r="CC84" s="114"/>
      <c r="CD84" s="107"/>
      <c r="CE84" s="108"/>
      <c r="CF84" s="108"/>
      <c r="CG84" s="108"/>
      <c r="CH84" s="108"/>
      <c r="CI84" s="109"/>
      <c r="CJ84" s="114"/>
      <c r="CK84" s="107"/>
      <c r="CL84" s="108"/>
      <c r="CM84" s="108"/>
      <c r="CN84" s="108"/>
      <c r="CO84" s="108"/>
      <c r="CP84" s="109"/>
      <c r="CQ84" s="114"/>
    </row>
    <row r="85" spans="12:99" ht="14.25" customHeight="1" x14ac:dyDescent="0.2">
      <c r="L85" s="107"/>
      <c r="M85" s="108"/>
      <c r="N85" s="108"/>
      <c r="O85" s="108"/>
      <c r="P85" s="108"/>
      <c r="Q85" s="109"/>
      <c r="R85" s="114"/>
      <c r="S85" s="107"/>
      <c r="T85" s="108"/>
      <c r="U85" s="108"/>
      <c r="V85" s="108"/>
      <c r="W85" s="108"/>
      <c r="X85" s="109"/>
      <c r="Y85" s="114"/>
      <c r="Z85" s="107"/>
      <c r="AA85" s="108"/>
      <c r="AB85" s="108"/>
      <c r="AC85" s="108"/>
      <c r="AD85" s="108"/>
      <c r="AE85" s="109"/>
      <c r="AF85" s="114"/>
      <c r="AG85" s="107" t="s">
        <v>122</v>
      </c>
      <c r="AH85" s="108"/>
      <c r="AI85" s="108"/>
      <c r="AJ85" s="108"/>
      <c r="AK85" s="108"/>
      <c r="AL85" s="109"/>
      <c r="AM85" s="114">
        <f>94+29+335.12+86.3+45.9</f>
        <v>590.31999999999994</v>
      </c>
      <c r="AN85" s="107"/>
      <c r="AO85" s="108"/>
      <c r="AP85" s="108"/>
      <c r="AQ85" s="108"/>
      <c r="AR85" s="108"/>
      <c r="AS85" s="109"/>
      <c r="AT85" s="114"/>
      <c r="AU85" s="107"/>
      <c r="AV85" s="108"/>
      <c r="AW85" s="108"/>
      <c r="AX85" s="108"/>
      <c r="AY85" s="108"/>
      <c r="AZ85" s="109"/>
      <c r="BA85" s="114"/>
      <c r="BB85" s="107"/>
      <c r="BC85" s="108"/>
      <c r="BD85" s="108"/>
      <c r="BE85" s="108"/>
      <c r="BF85" s="108"/>
      <c r="BG85" s="109"/>
      <c r="BH85" s="114"/>
      <c r="BI85" s="107"/>
      <c r="BJ85" s="108"/>
      <c r="BK85" s="108"/>
      <c r="BL85" s="108"/>
      <c r="BM85" s="108"/>
      <c r="BN85" s="109"/>
      <c r="BO85" s="114"/>
      <c r="BP85" s="107"/>
      <c r="BQ85" s="108"/>
      <c r="BR85" s="108"/>
      <c r="BS85" s="108"/>
      <c r="BT85" s="108"/>
      <c r="BU85" s="109"/>
      <c r="BV85" s="114"/>
      <c r="BW85" s="107"/>
      <c r="BX85" s="108"/>
      <c r="BY85" s="108"/>
      <c r="BZ85" s="108"/>
      <c r="CA85" s="108"/>
      <c r="CB85" s="109"/>
      <c r="CC85" s="114"/>
      <c r="CD85" s="107"/>
      <c r="CE85" s="108"/>
      <c r="CF85" s="108"/>
      <c r="CG85" s="108"/>
      <c r="CH85" s="108"/>
      <c r="CI85" s="109"/>
      <c r="CJ85" s="114"/>
      <c r="CK85" s="107"/>
      <c r="CL85" s="108"/>
      <c r="CM85" s="108"/>
      <c r="CN85" s="108"/>
      <c r="CO85" s="108"/>
      <c r="CP85" s="109"/>
      <c r="CQ85" s="114"/>
    </row>
    <row r="86" spans="12:99" ht="14.25" customHeight="1" x14ac:dyDescent="0.2">
      <c r="L86" s="107"/>
      <c r="M86" s="108"/>
      <c r="N86" s="108"/>
      <c r="O86" s="108"/>
      <c r="P86" s="108"/>
      <c r="Q86" s="109"/>
      <c r="R86" s="114"/>
      <c r="S86" s="107"/>
      <c r="T86" s="108"/>
      <c r="U86" s="108"/>
      <c r="V86" s="108"/>
      <c r="W86" s="108"/>
      <c r="X86" s="109"/>
      <c r="Y86" s="114"/>
      <c r="Z86" s="107"/>
      <c r="AA86" s="108"/>
      <c r="AB86" s="108"/>
      <c r="AC86" s="108"/>
      <c r="AD86" s="108"/>
      <c r="AE86" s="109"/>
      <c r="AF86" s="114"/>
      <c r="AG86" s="107" t="s">
        <v>123</v>
      </c>
      <c r="AH86" s="108"/>
      <c r="AI86" s="108"/>
      <c r="AJ86" s="108"/>
      <c r="AK86" s="108"/>
      <c r="AL86" s="109"/>
      <c r="AM86" s="114">
        <f>250</f>
        <v>250</v>
      </c>
      <c r="AN86" s="107"/>
      <c r="AO86" s="108"/>
      <c r="AP86" s="108"/>
      <c r="AQ86" s="108"/>
      <c r="AR86" s="108"/>
      <c r="AS86" s="109"/>
      <c r="AT86" s="114"/>
      <c r="AU86" s="107"/>
      <c r="AV86" s="108"/>
      <c r="AW86" s="108"/>
      <c r="AX86" s="108"/>
      <c r="AY86" s="108"/>
      <c r="AZ86" s="109"/>
      <c r="BA86" s="114"/>
      <c r="BB86" s="107"/>
      <c r="BC86" s="108"/>
      <c r="BD86" s="108"/>
      <c r="BE86" s="108"/>
      <c r="BF86" s="108"/>
      <c r="BG86" s="109"/>
      <c r="BH86" s="114"/>
      <c r="BI86" s="107"/>
      <c r="BJ86" s="108"/>
      <c r="BK86" s="108"/>
      <c r="BL86" s="108"/>
      <c r="BM86" s="108"/>
      <c r="BN86" s="109"/>
      <c r="BO86" s="114"/>
      <c r="BP86" s="107"/>
      <c r="BQ86" s="108"/>
      <c r="BR86" s="108"/>
      <c r="BS86" s="108"/>
      <c r="BT86" s="108"/>
      <c r="BU86" s="109"/>
      <c r="BV86" s="114"/>
      <c r="BW86" s="107"/>
      <c r="BX86" s="108"/>
      <c r="BY86" s="108"/>
      <c r="BZ86" s="108"/>
      <c r="CA86" s="108"/>
      <c r="CB86" s="109"/>
      <c r="CC86" s="114"/>
      <c r="CD86" s="107"/>
      <c r="CE86" s="108"/>
      <c r="CF86" s="108"/>
      <c r="CG86" s="108"/>
      <c r="CH86" s="108"/>
      <c r="CI86" s="109"/>
      <c r="CJ86" s="114"/>
      <c r="CK86" s="107"/>
      <c r="CL86" s="108"/>
      <c r="CM86" s="108"/>
      <c r="CN86" s="108"/>
      <c r="CO86" s="108"/>
      <c r="CP86" s="109"/>
      <c r="CQ86" s="114"/>
    </row>
    <row r="87" spans="12:99" ht="14.25" customHeight="1" x14ac:dyDescent="0.2">
      <c r="L87" s="107"/>
      <c r="M87" s="108"/>
      <c r="N87" s="108"/>
      <c r="O87" s="108"/>
      <c r="P87" s="108"/>
      <c r="Q87" s="109"/>
      <c r="R87" s="114"/>
      <c r="S87" s="107"/>
      <c r="T87" s="108"/>
      <c r="U87" s="108"/>
      <c r="V87" s="108"/>
      <c r="W87" s="108"/>
      <c r="X87" s="109"/>
      <c r="Y87" s="114"/>
      <c r="Z87" s="107"/>
      <c r="AA87" s="108"/>
      <c r="AB87" s="108"/>
      <c r="AC87" s="108"/>
      <c r="AD87" s="108"/>
      <c r="AE87" s="109"/>
      <c r="AF87" s="114"/>
      <c r="AG87" s="107"/>
      <c r="AH87" s="108"/>
      <c r="AI87" s="108"/>
      <c r="AJ87" s="108"/>
      <c r="AK87" s="108"/>
      <c r="AL87" s="109"/>
      <c r="AM87" s="114"/>
      <c r="AN87" s="107"/>
      <c r="AO87" s="108"/>
      <c r="AP87" s="108"/>
      <c r="AQ87" s="108"/>
      <c r="AR87" s="108"/>
      <c r="AS87" s="109"/>
      <c r="AT87" s="114"/>
      <c r="AU87" s="107"/>
      <c r="AV87" s="108"/>
      <c r="AW87" s="108"/>
      <c r="AX87" s="108"/>
      <c r="AY87" s="108"/>
      <c r="AZ87" s="109"/>
      <c r="BA87" s="114"/>
      <c r="BB87" s="107"/>
      <c r="BC87" s="108"/>
      <c r="BD87" s="108"/>
      <c r="BE87" s="108"/>
      <c r="BF87" s="108"/>
      <c r="BG87" s="109"/>
      <c r="BH87" s="114"/>
      <c r="BI87" s="107"/>
      <c r="BJ87" s="108"/>
      <c r="BK87" s="108"/>
      <c r="BL87" s="108"/>
      <c r="BM87" s="108"/>
      <c r="BN87" s="109"/>
      <c r="BO87" s="114"/>
      <c r="BP87" s="107"/>
      <c r="BQ87" s="108"/>
      <c r="BR87" s="108"/>
      <c r="BS87" s="108"/>
      <c r="BT87" s="108"/>
      <c r="BU87" s="109"/>
      <c r="BV87" s="114"/>
      <c r="BW87" s="107"/>
      <c r="BX87" s="108"/>
      <c r="BY87" s="108"/>
      <c r="BZ87" s="108"/>
      <c r="CA87" s="108"/>
      <c r="CB87" s="109"/>
      <c r="CC87" s="114"/>
      <c r="CD87" s="107"/>
      <c r="CE87" s="108"/>
      <c r="CF87" s="108"/>
      <c r="CG87" s="108"/>
      <c r="CH87" s="108"/>
      <c r="CI87" s="109"/>
      <c r="CJ87" s="114"/>
      <c r="CK87" s="107"/>
      <c r="CL87" s="108"/>
      <c r="CM87" s="108"/>
      <c r="CN87" s="108"/>
      <c r="CO87" s="108"/>
      <c r="CP87" s="109"/>
      <c r="CQ87" s="114"/>
    </row>
    <row r="88" spans="12:99" ht="14.25" customHeight="1" x14ac:dyDescent="0.2">
      <c r="L88" s="108" t="s">
        <v>82</v>
      </c>
      <c r="M88" s="108"/>
      <c r="N88" s="108"/>
      <c r="O88" s="108"/>
      <c r="P88" s="108"/>
      <c r="Q88" s="108"/>
      <c r="R88" s="114">
        <f>SUM(R61:R87)</f>
        <v>21384.99</v>
      </c>
      <c r="S88" s="108" t="s">
        <v>82</v>
      </c>
      <c r="T88" s="108"/>
      <c r="U88" s="108"/>
      <c r="V88" s="108"/>
      <c r="W88" s="108"/>
      <c r="X88" s="108"/>
      <c r="Y88" s="114">
        <f>SUM(Y61:Y87)</f>
        <v>15712.619999999999</v>
      </c>
      <c r="Z88" s="108" t="s">
        <v>82</v>
      </c>
      <c r="AA88" s="108"/>
      <c r="AB88" s="108"/>
      <c r="AC88" s="108"/>
      <c r="AD88" s="108"/>
      <c r="AE88" s="108"/>
      <c r="AF88" s="114">
        <f>SUM(AF61:AF87)</f>
        <v>13876.109999999999</v>
      </c>
      <c r="AG88" s="108" t="s">
        <v>82</v>
      </c>
      <c r="AH88" s="108"/>
      <c r="AI88" s="108"/>
      <c r="AJ88" s="108"/>
      <c r="AK88" s="108"/>
      <c r="AL88" s="108"/>
      <c r="AM88" s="114">
        <f>SUM(AM61:AM87)</f>
        <v>14397.559999999998</v>
      </c>
      <c r="AN88" s="108" t="s">
        <v>82</v>
      </c>
      <c r="AO88" s="108"/>
      <c r="AP88" s="108"/>
      <c r="AQ88" s="108"/>
      <c r="AR88" s="108"/>
      <c r="AS88" s="108"/>
      <c r="AT88" s="114">
        <f>SUM(AT61:AT87)</f>
        <v>0</v>
      </c>
      <c r="AU88" s="108" t="s">
        <v>82</v>
      </c>
      <c r="AV88" s="108"/>
      <c r="AW88" s="108"/>
      <c r="AX88" s="108"/>
      <c r="AY88" s="108"/>
      <c r="AZ88" s="108"/>
      <c r="BA88" s="114">
        <f>SUM(BA61:BA87)</f>
        <v>0</v>
      </c>
      <c r="BB88" s="108" t="s">
        <v>82</v>
      </c>
      <c r="BC88" s="108"/>
      <c r="BD88" s="108"/>
      <c r="BE88" s="108"/>
      <c r="BF88" s="108"/>
      <c r="BG88" s="108"/>
      <c r="BH88" s="114">
        <f>SUM(BH61:BH87)</f>
        <v>0</v>
      </c>
      <c r="BI88" s="108" t="s">
        <v>82</v>
      </c>
      <c r="BJ88" s="108"/>
      <c r="BK88" s="108"/>
      <c r="BL88" s="108"/>
      <c r="BM88" s="108"/>
      <c r="BN88" s="108"/>
      <c r="BO88" s="114">
        <f>SUM(BO61:BO87)</f>
        <v>0</v>
      </c>
      <c r="BP88" s="108" t="s">
        <v>82</v>
      </c>
      <c r="BQ88" s="108"/>
      <c r="BR88" s="108"/>
      <c r="BS88" s="108"/>
      <c r="BT88" s="108"/>
      <c r="BU88" s="108"/>
      <c r="BV88" s="114">
        <f>SUM(BV61:BV87)</f>
        <v>0</v>
      </c>
      <c r="BW88" s="108" t="s">
        <v>82</v>
      </c>
      <c r="BX88" s="108"/>
      <c r="BY88" s="108"/>
      <c r="BZ88" s="108"/>
      <c r="CA88" s="108"/>
      <c r="CB88" s="108"/>
      <c r="CC88" s="114">
        <f>SUM(CC61:CC87)</f>
        <v>0</v>
      </c>
      <c r="CD88" s="108" t="s">
        <v>82</v>
      </c>
      <c r="CE88" s="108"/>
      <c r="CF88" s="108"/>
      <c r="CG88" s="108"/>
      <c r="CH88" s="108"/>
      <c r="CI88" s="108"/>
      <c r="CJ88" s="114">
        <f>SUM(CJ61:CJ87)</f>
        <v>0</v>
      </c>
      <c r="CK88" s="108" t="s">
        <v>82</v>
      </c>
      <c r="CL88" s="108"/>
      <c r="CM88" s="108"/>
      <c r="CN88" s="108"/>
      <c r="CO88" s="108"/>
      <c r="CP88" s="108"/>
      <c r="CQ88" s="114">
        <f>SUM(CQ61:CQ87)</f>
        <v>0</v>
      </c>
    </row>
    <row r="89" spans="12:99" ht="14.25" customHeight="1" x14ac:dyDescent="0.2">
      <c r="AT89" s="139"/>
      <c r="BA89" s="156"/>
      <c r="BV89" s="140"/>
      <c r="CJ89" s="156"/>
      <c r="CQ89" s="156"/>
    </row>
    <row r="90" spans="12:99" ht="14.25" customHeight="1" x14ac:dyDescent="0.2">
      <c r="AT90" s="139"/>
      <c r="BA90" s="140"/>
      <c r="CJ90" s="156"/>
      <c r="CQ90" s="156"/>
    </row>
    <row r="91" spans="12:99" ht="14.25" customHeight="1" x14ac:dyDescent="0.2">
      <c r="AT91" s="139"/>
      <c r="CJ91" s="140"/>
      <c r="CQ91" s="140"/>
    </row>
    <row r="92" spans="12:99" ht="14.25" customHeight="1" x14ac:dyDescent="0.2">
      <c r="AT92" s="139"/>
      <c r="BA92" s="139"/>
    </row>
    <row r="93" spans="12:99" ht="14.25" customHeight="1" x14ac:dyDescent="0.2">
      <c r="AT93" s="139"/>
      <c r="BA93" s="139"/>
    </row>
    <row r="94" spans="12:99" ht="14.25" customHeight="1" x14ac:dyDescent="0.2">
      <c r="AT94" s="140"/>
      <c r="BA94" s="139"/>
    </row>
    <row r="95" spans="12:99" ht="14.25" customHeight="1" x14ac:dyDescent="0.2">
      <c r="BA95" s="139"/>
      <c r="CU95" s="155"/>
    </row>
    <row r="96" spans="12:99" ht="14.25" customHeight="1" x14ac:dyDescent="0.2">
      <c r="BA96" s="139"/>
    </row>
    <row r="97" spans="53:53" ht="14.25" customHeight="1" x14ac:dyDescent="0.2">
      <c r="BA97" s="139"/>
    </row>
    <row r="98" spans="53:53" ht="14.25" customHeight="1" x14ac:dyDescent="0.2">
      <c r="BA98" s="139"/>
    </row>
    <row r="99" spans="53:53" ht="14.25" customHeight="1" x14ac:dyDescent="0.2">
      <c r="BA99" s="139"/>
    </row>
    <row r="100" spans="53:53" ht="14.25" customHeight="1" x14ac:dyDescent="0.2">
      <c r="BA100" s="139"/>
    </row>
    <row r="101" spans="53:53" ht="14.25" customHeight="1" x14ac:dyDescent="0.2">
      <c r="BA101" s="139"/>
    </row>
    <row r="102" spans="53:53" ht="14.25" customHeight="1" x14ac:dyDescent="0.2">
      <c r="BA102" s="139"/>
    </row>
    <row r="103" spans="53:53" ht="14.25" customHeight="1" x14ac:dyDescent="0.2">
      <c r="BA103" s="139"/>
    </row>
    <row r="104" spans="53:53" ht="14.25" customHeight="1" x14ac:dyDescent="0.2">
      <c r="BA104" s="139"/>
    </row>
    <row r="105" spans="53:53" ht="14.25" customHeight="1" x14ac:dyDescent="0.2">
      <c r="BA105" s="139"/>
    </row>
    <row r="106" spans="53:53" ht="14.25" customHeight="1" x14ac:dyDescent="0.2">
      <c r="BA106" s="139"/>
    </row>
    <row r="107" spans="53:53" ht="14.25" customHeight="1" x14ac:dyDescent="0.2">
      <c r="BA107" s="139"/>
    </row>
    <row r="108" spans="53:53" ht="14.25" customHeight="1" x14ac:dyDescent="0.2">
      <c r="BA108" s="139"/>
    </row>
    <row r="109" spans="53:53" ht="14.25" customHeight="1" x14ac:dyDescent="0.2">
      <c r="BA109" s="139"/>
    </row>
    <row r="110" spans="53:53" ht="14.25" customHeight="1" x14ac:dyDescent="0.2">
      <c r="BA110" s="139"/>
    </row>
    <row r="111" spans="53:53" ht="14.25" customHeight="1" x14ac:dyDescent="0.2">
      <c r="BA111" s="139"/>
    </row>
    <row r="112" spans="53:53" ht="14.25" customHeight="1" x14ac:dyDescent="0.2">
      <c r="BA112" s="139"/>
    </row>
    <row r="113" spans="53:53" ht="14.25" customHeight="1" x14ac:dyDescent="0.2">
      <c r="BA113" s="139"/>
    </row>
    <row r="114" spans="53:53" ht="14.25" customHeight="1" x14ac:dyDescent="0.2"/>
    <row r="115" spans="53:53" ht="14.25" customHeight="1" x14ac:dyDescent="0.2"/>
    <row r="116" spans="53:53" ht="14.25" customHeight="1" x14ac:dyDescent="0.2"/>
    <row r="117" spans="53:53" ht="14.25" customHeight="1" x14ac:dyDescent="0.2"/>
    <row r="118" spans="53:53" ht="14.25" customHeight="1" x14ac:dyDescent="0.2"/>
    <row r="119" spans="53:53" ht="14.25" customHeight="1" x14ac:dyDescent="0.2"/>
    <row r="120" spans="53:53" ht="14.25" customHeight="1" x14ac:dyDescent="0.2"/>
    <row r="121" spans="53:53" ht="14.25" customHeight="1" x14ac:dyDescent="0.2"/>
    <row r="122" spans="53:53" ht="14.25" customHeight="1" x14ac:dyDescent="0.2"/>
    <row r="123" spans="53:53" ht="14.25" customHeight="1" x14ac:dyDescent="0.2"/>
    <row r="124" spans="53:53" ht="14.25" customHeight="1" x14ac:dyDescent="0.2"/>
    <row r="125" spans="53:53" ht="14.25" customHeight="1" x14ac:dyDescent="0.2"/>
    <row r="126" spans="53:53" ht="14.25" customHeight="1" x14ac:dyDescent="0.2"/>
    <row r="127" spans="53:53" ht="14.25" customHeight="1" x14ac:dyDescent="0.2"/>
    <row r="128" spans="53:53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/>
    <row r="194" spans="99:99" ht="14.25" customHeight="1" x14ac:dyDescent="0.2"/>
    <row r="195" spans="99:99" ht="14.25" customHeight="1" x14ac:dyDescent="0.2"/>
    <row r="196" spans="99:99" ht="14.25" customHeight="1" x14ac:dyDescent="0.2"/>
    <row r="197" spans="99:99" ht="14.25" customHeight="1" x14ac:dyDescent="0.2"/>
    <row r="198" spans="99:99" ht="14.25" customHeight="1" x14ac:dyDescent="0.2"/>
    <row r="199" spans="99:99" ht="14.25" customHeight="1" x14ac:dyDescent="0.2"/>
    <row r="200" spans="99:99" ht="14.25" customHeight="1" x14ac:dyDescent="0.2"/>
    <row r="201" spans="99:99" ht="14.25" customHeight="1" x14ac:dyDescent="0.2"/>
    <row r="202" spans="99:99" ht="14.25" customHeight="1" x14ac:dyDescent="0.2"/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P2:BV2"/>
    <mergeCell ref="BW2:CC2"/>
    <mergeCell ref="CD2:CJ2"/>
    <mergeCell ref="B2:K2"/>
    <mergeCell ref="L2:R2"/>
    <mergeCell ref="S2:Y2"/>
    <mergeCell ref="Z2:AF2"/>
    <mergeCell ref="AG2:AM2"/>
    <mergeCell ref="AN2:AT2"/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FA1E2-7599-BE49-815C-462E1897D5CC}">
  <sheetPr>
    <pageSetUpPr fitToPage="1"/>
  </sheetPr>
  <dimension ref="A1:CU1000"/>
  <sheetViews>
    <sheetView zoomScale="85" zoomScaleNormal="85" workbookViewId="0">
      <pane xSplit="11" ySplit="3" topLeftCell="CH36" activePane="bottomRight" state="frozen"/>
      <selection activeCell="J2" sqref="J2:P58"/>
      <selection pane="topRight" activeCell="J2" sqref="J2:P58"/>
      <selection pane="bottomLeft" activeCell="J2" sqref="J2:P58"/>
      <selection pane="bottomRight" activeCell="K57" sqref="K40:K57"/>
    </sheetView>
  </sheetViews>
  <sheetFormatPr baseColWidth="10" defaultColWidth="14.5" defaultRowHeight="15" customHeight="1" x14ac:dyDescent="0.2"/>
  <cols>
    <col min="1" max="1" width="32.33203125" customWidth="1"/>
    <col min="2" max="9" width="11.5" customWidth="1"/>
    <col min="10" max="10" width="11.33203125" customWidth="1"/>
    <col min="11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1385880.542072</v>
      </c>
      <c r="C4" s="18">
        <f t="shared" si="0"/>
        <v>1215555.8234513509</v>
      </c>
      <c r="D4" s="19">
        <f t="shared" si="0"/>
        <v>170324.71862064872</v>
      </c>
      <c r="E4" s="17">
        <f>+L4+S4+Z4+AG4</f>
        <v>487880.20711999992</v>
      </c>
      <c r="F4" s="20">
        <f>+M4+T4+AA4+AH4</f>
        <v>427919.72966495197</v>
      </c>
      <c r="G4" s="21">
        <f>+N4+U4+AB4+AI4</f>
        <v>59960.477455047992</v>
      </c>
      <c r="H4" s="18">
        <f t="shared" ref="H4:J35" si="1">+O4+V4+AC4+AJ4+AQ4+AX4+BE4+BL4+BS4+BZ4+CG4+CN4</f>
        <v>404944.41754000005</v>
      </c>
      <c r="I4" s="20">
        <f t="shared" si="1"/>
        <v>72809.732460000014</v>
      </c>
      <c r="J4" s="20">
        <f t="shared" si="1"/>
        <v>477754.15</v>
      </c>
      <c r="K4" s="25">
        <f t="shared" ref="K4:K54" si="2">IF(E4=0,"",(+J4/E4-1))</f>
        <v>-2.075521198077479E-2</v>
      </c>
      <c r="L4" s="23">
        <f>[1]BOA!$E4</f>
        <v>106904.80177999998</v>
      </c>
      <c r="M4" s="18">
        <f>L4-N4</f>
        <v>93766.201641237989</v>
      </c>
      <c r="N4" s="18">
        <f>+L4*12.29%</f>
        <v>13138.600138761996</v>
      </c>
      <c r="O4" s="18">
        <f>+Q4-P4</f>
        <v>83472.43626799999</v>
      </c>
      <c r="P4" s="18">
        <f>+Q4*15.24%</f>
        <v>15008.493731999999</v>
      </c>
      <c r="Q4" s="20">
        <f>51460.95+88709.46-Q5-Q6-Q7-Q8-Q9</f>
        <v>98480.93</v>
      </c>
      <c r="R4" s="25">
        <f t="shared" ref="R4:R54" si="3">IF(L4=0,"",(+Q4/L4-1))</f>
        <v>-7.8797880354668504E-2</v>
      </c>
      <c r="S4" s="23">
        <f>[1]BOA!$F4</f>
        <v>167165.80177999998</v>
      </c>
      <c r="T4" s="18">
        <f>S4-U4</f>
        <v>146621.12474123799</v>
      </c>
      <c r="U4" s="18">
        <f>+S4*12.29%</f>
        <v>20544.677038761998</v>
      </c>
      <c r="V4" s="18">
        <f>+X4-W4</f>
        <v>105420.43647200003</v>
      </c>
      <c r="W4" s="18">
        <f>+X4*15.24%</f>
        <v>18954.783528000007</v>
      </c>
      <c r="X4" s="20">
        <f>164165.5-X5-X6-X7-X8-X9</f>
        <v>124375.22000000003</v>
      </c>
      <c r="Y4" s="25">
        <f t="shared" ref="Y4:Y54" si="4">IF(S4=0,"",(+X4/S4-1))</f>
        <v>-0.25597688836090338</v>
      </c>
      <c r="Z4" s="23">
        <f>[1]BOA!$G4</f>
        <v>106904.80177999998</v>
      </c>
      <c r="AA4" s="18">
        <f>Z4-AB4</f>
        <v>93766.201641237989</v>
      </c>
      <c r="AB4" s="18">
        <f>+Z4*12.29%</f>
        <v>13138.600138761996</v>
      </c>
      <c r="AC4" s="18">
        <f>+AE4-AD4</f>
        <v>81364.929723999987</v>
      </c>
      <c r="AD4" s="18">
        <f>+AE4*15.24%</f>
        <v>14629.560276</v>
      </c>
      <c r="AE4" s="20">
        <f>144166.36-AE5-AE6-AE7-AE8-AE9</f>
        <v>95994.489999999991</v>
      </c>
      <c r="AF4" s="25">
        <f t="shared" ref="AF4:AF54" si="5">IF(Z4=0,"",(+AE4/Z4-1))</f>
        <v>-0.10205633047664575</v>
      </c>
      <c r="AG4" s="23">
        <f>[1]BOA!$H4</f>
        <v>106904.80177999998</v>
      </c>
      <c r="AH4" s="18">
        <f>AG4-AI4</f>
        <v>93766.201641237989</v>
      </c>
      <c r="AI4" s="18">
        <f>+AG4*12.29%</f>
        <v>13138.600138761996</v>
      </c>
      <c r="AJ4" s="18">
        <f>+AL4-AK4</f>
        <v>134686.61507600002</v>
      </c>
      <c r="AK4" s="18">
        <f>+AL4*15.24%</f>
        <v>24216.894924000004</v>
      </c>
      <c r="AL4" s="24">
        <f>203654.32-AL5-AL6-AL7-AL8-AL9</f>
        <v>158903.51</v>
      </c>
      <c r="AM4" s="25">
        <f t="shared" ref="AM4:AM54" si="6">IF(AG4=0,"",(+AL4/AG4-1))</f>
        <v>0.48640198900521314</v>
      </c>
      <c r="AN4" s="23">
        <f>[1]BOA!$I4</f>
        <v>106904.80177999998</v>
      </c>
      <c r="AO4" s="18">
        <f>AN4-AP4</f>
        <v>93766.201641237989</v>
      </c>
      <c r="AP4" s="18">
        <f>+AN4*12.29%</f>
        <v>13138.600138761996</v>
      </c>
      <c r="AQ4" s="18">
        <f>+AS4-AR4</f>
        <v>0</v>
      </c>
      <c r="AR4" s="18">
        <f>+AS4*15.24%</f>
        <v>0</v>
      </c>
      <c r="AS4" s="20"/>
      <c r="AT4" s="25">
        <f t="shared" ref="AT4:AT54" si="7">IF(AN4=0,"",(+AS4/AN4-1))</f>
        <v>-1</v>
      </c>
      <c r="AU4" s="23">
        <f>[1]BOA!$J4</f>
        <v>106904.80177999998</v>
      </c>
      <c r="AV4" s="18">
        <f>AU4-AW4</f>
        <v>93766.201641237989</v>
      </c>
      <c r="AW4" s="18">
        <f>+AU4*12.29%</f>
        <v>13138.600138761996</v>
      </c>
      <c r="AX4" s="18">
        <f>+AZ4-AY4</f>
        <v>0</v>
      </c>
      <c r="AY4" s="18">
        <f>+AZ4*15.24%</f>
        <v>0</v>
      </c>
      <c r="AZ4" s="157"/>
      <c r="BA4" s="25">
        <f t="shared" ref="BA4:BA54" si="8">IF(AU4=0,"",(+AZ4/AU4-1))</f>
        <v>-1</v>
      </c>
      <c r="BB4" s="23">
        <f>[1]BOA!$K4</f>
        <v>106904.80177999998</v>
      </c>
      <c r="BC4" s="18">
        <f>BB4-BD4</f>
        <v>93766.201641237989</v>
      </c>
      <c r="BD4" s="18">
        <f>+BB4*12.29%</f>
        <v>13138.600138761996</v>
      </c>
      <c r="BE4" s="18">
        <f>+BG4-BF4</f>
        <v>0</v>
      </c>
      <c r="BF4" s="18">
        <f>+BG4*15.24%</f>
        <v>0</v>
      </c>
      <c r="BG4" s="20"/>
      <c r="BH4" s="25">
        <f t="shared" ref="BH4:BH54" si="9">IF(BB4=0,"",(+BG4/BB4-1))</f>
        <v>-1</v>
      </c>
      <c r="BI4" s="23">
        <f>[1]BOA!$L4</f>
        <v>115457.18592239999</v>
      </c>
      <c r="BJ4" s="18">
        <f>BI4-BK4</f>
        <v>101267.49777253703</v>
      </c>
      <c r="BK4" s="18">
        <f>+BI4*12.29%</f>
        <v>14189.688149862959</v>
      </c>
      <c r="BL4" s="18">
        <f>+BN4-BM4</f>
        <v>0</v>
      </c>
      <c r="BM4" s="18">
        <f>+BN4*15.24%</f>
        <v>0</v>
      </c>
      <c r="BN4" s="20"/>
      <c r="BO4" s="25">
        <f t="shared" ref="BO4:BO54" si="10">IF(BI4=0,"",(+BN4/BI4-1))</f>
        <v>-1</v>
      </c>
      <c r="BP4" s="23">
        <f>[1]BOA!$M4</f>
        <v>115457.18592239999</v>
      </c>
      <c r="BQ4" s="18">
        <f>BP4-BR4</f>
        <v>101267.49777253703</v>
      </c>
      <c r="BR4" s="18">
        <f>+BP4*12.29%</f>
        <v>14189.688149862959</v>
      </c>
      <c r="BS4" s="18">
        <f>+BU4-BT4</f>
        <v>0</v>
      </c>
      <c r="BT4" s="18">
        <f>+BU4*15.24%</f>
        <v>0</v>
      </c>
      <c r="BU4" s="20"/>
      <c r="BV4" s="25">
        <f t="shared" ref="BV4:BV54" si="11">IF(BP4=0,"",(+BU4/BP4-1))</f>
        <v>-1</v>
      </c>
      <c r="BW4" s="23">
        <f>[1]BOA!$N4</f>
        <v>115457.18592239999</v>
      </c>
      <c r="BX4" s="18">
        <f>BW4-BY4</f>
        <v>101267.49777253703</v>
      </c>
      <c r="BY4" s="18">
        <f>+BW4*12.29%</f>
        <v>14189.688149862959</v>
      </c>
      <c r="BZ4" s="18">
        <f>+CB4-CA4</f>
        <v>0</v>
      </c>
      <c r="CA4" s="18">
        <f>+CB4*15.24%</f>
        <v>0</v>
      </c>
      <c r="CB4" s="20"/>
      <c r="CC4" s="25">
        <f t="shared" ref="CC4:CC54" si="12">IF(BW4=0,"",(+CB4/BW4-1))</f>
        <v>-1</v>
      </c>
      <c r="CD4" s="23">
        <f>[1]BOA!$O4</f>
        <v>115457.18592239999</v>
      </c>
      <c r="CE4" s="18">
        <f>CD4-CF4</f>
        <v>101267.49777253703</v>
      </c>
      <c r="CF4" s="18">
        <f>+CD4*12.29%</f>
        <v>14189.688149862959</v>
      </c>
      <c r="CG4" s="18">
        <f>+CI4-CH4</f>
        <v>0</v>
      </c>
      <c r="CH4" s="18">
        <f>+CI4*15.24%</f>
        <v>0</v>
      </c>
      <c r="CI4" s="20"/>
      <c r="CJ4" s="25">
        <f t="shared" ref="CJ4:CJ54" si="13">IF(CD4=0,"",(+CI4/CD4-1))</f>
        <v>-1</v>
      </c>
      <c r="CK4" s="23">
        <f>[1]BOA!$P4</f>
        <v>115457.18592239999</v>
      </c>
      <c r="CL4" s="18">
        <f>CK4-CM4</f>
        <v>101267.49777253703</v>
      </c>
      <c r="CM4" s="18">
        <f>+CK4*12.29%</f>
        <v>14189.688149862959</v>
      </c>
      <c r="CN4" s="18">
        <f>+CP4-CO4</f>
        <v>0</v>
      </c>
      <c r="CO4" s="18">
        <f>+CP4*15.24%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87000</v>
      </c>
      <c r="C5" s="31">
        <f t="shared" si="0"/>
        <v>76307.7</v>
      </c>
      <c r="D5" s="32">
        <f t="shared" si="0"/>
        <v>10692.299999999997</v>
      </c>
      <c r="E5" s="30">
        <f t="shared" ref="E5:G36" si="15">+L5+S5+Z5+AG5</f>
        <v>29000</v>
      </c>
      <c r="F5" s="33">
        <f t="shared" si="15"/>
        <v>25435.9</v>
      </c>
      <c r="G5" s="34">
        <f t="shared" si="15"/>
        <v>3564.1</v>
      </c>
      <c r="H5" s="31">
        <f t="shared" si="1"/>
        <v>30942.426268000003</v>
      </c>
      <c r="I5" s="33">
        <f t="shared" si="1"/>
        <v>5563.5037320000001</v>
      </c>
      <c r="J5" s="33">
        <f t="shared" si="1"/>
        <v>36505.93</v>
      </c>
      <c r="K5" s="37">
        <f t="shared" si="2"/>
        <v>0.2588251724137931</v>
      </c>
      <c r="L5" s="36">
        <f>[1]BOA!$E5</f>
        <v>7250</v>
      </c>
      <c r="M5" s="31">
        <f t="shared" ref="M5:M54" si="16">L5-N5</f>
        <v>6358.9750000000004</v>
      </c>
      <c r="N5" s="31">
        <f t="shared" ref="N5:N54" si="17">+L5*12.29%</f>
        <v>891.02499999999998</v>
      </c>
      <c r="O5" s="31">
        <f t="shared" ref="O5:O54" si="18">+Q5-P5</f>
        <v>8642.0109360000006</v>
      </c>
      <c r="P5" s="31">
        <f t="shared" ref="P5:P54" si="19">+Q5*15.24%</f>
        <v>1553.8490640000002</v>
      </c>
      <c r="Q5" s="33">
        <f>6428.29+3767.57</f>
        <v>10195.86</v>
      </c>
      <c r="R5" s="37">
        <f t="shared" si="3"/>
        <v>0.40632551724137933</v>
      </c>
      <c r="S5" s="36">
        <f>[1]BOA!$F5</f>
        <v>7250</v>
      </c>
      <c r="T5" s="31">
        <f t="shared" ref="T5:T54" si="20">S5-U5</f>
        <v>6358.9750000000004</v>
      </c>
      <c r="U5" s="31">
        <f t="shared" ref="U5:U54" si="21">+S5*12.29%</f>
        <v>891.02499999999998</v>
      </c>
      <c r="V5" s="31">
        <f t="shared" ref="V5:V54" si="22">+X5-W5</f>
        <v>7567.0422360000002</v>
      </c>
      <c r="W5" s="31">
        <f t="shared" ref="W5:W54" si="23">+X5*15.24%</f>
        <v>1360.5677640000001</v>
      </c>
      <c r="X5" s="33">
        <f>5146.09+3781.52</f>
        <v>8927.61</v>
      </c>
      <c r="Y5" s="37">
        <f t="shared" si="4"/>
        <v>0.23139448275862073</v>
      </c>
      <c r="Z5" s="36">
        <f>[1]BOA!$G5</f>
        <v>7250</v>
      </c>
      <c r="AA5" s="31">
        <f t="shared" ref="AA5:AA54" si="24">Z5-AB5</f>
        <v>6358.9750000000004</v>
      </c>
      <c r="AB5" s="31">
        <f t="shared" ref="AB5:AB54" si="25">+Z5*12.29%</f>
        <v>891.02499999999998</v>
      </c>
      <c r="AC5" s="31">
        <f t="shared" ref="AC5:AC54" si="26">+AE5-AD5</f>
        <v>7440.5972680000004</v>
      </c>
      <c r="AD5" s="31">
        <f t="shared" ref="AD5:AD54" si="27">+AE5*15.24%</f>
        <v>1337.8327320000001</v>
      </c>
      <c r="AE5" s="33">
        <f>5076.01+3702.42</f>
        <v>8778.43</v>
      </c>
      <c r="AF5" s="37">
        <f t="shared" si="5"/>
        <v>0.21081793103448287</v>
      </c>
      <c r="AG5" s="36">
        <f>[1]BOA!$H5</f>
        <v>7250</v>
      </c>
      <c r="AH5" s="31">
        <f t="shared" ref="AH5:AH54" si="28">AG5-AI5</f>
        <v>6358.9750000000004</v>
      </c>
      <c r="AI5" s="31">
        <f t="shared" ref="AI5:AI54" si="29">+AG5*12.29%</f>
        <v>891.02499999999998</v>
      </c>
      <c r="AJ5" s="31">
        <f t="shared" ref="AJ5:AJ54" si="30">+AL5-AK5</f>
        <v>7292.7758280000007</v>
      </c>
      <c r="AK5" s="31">
        <f t="shared" ref="AK5:AK54" si="31">+AL5*15.24%</f>
        <v>1311.2541720000002</v>
      </c>
      <c r="AL5" s="27">
        <f>8604.03</f>
        <v>8604.0300000000007</v>
      </c>
      <c r="AM5" s="37">
        <f t="shared" si="6"/>
        <v>0.1867627586206897</v>
      </c>
      <c r="AN5" s="36">
        <f>[1]BOA!$I5</f>
        <v>7250</v>
      </c>
      <c r="AO5" s="31">
        <f t="shared" ref="AO5:AO54" si="32">AN5-AP5</f>
        <v>6358.9750000000004</v>
      </c>
      <c r="AP5" s="31">
        <f t="shared" ref="AP5:AP54" si="33">+AN5*12.29%</f>
        <v>891.02499999999998</v>
      </c>
      <c r="AQ5" s="31">
        <f t="shared" ref="AQ5:AQ54" si="34">+AS5-AR5</f>
        <v>0</v>
      </c>
      <c r="AR5" s="31">
        <f t="shared" ref="AR5:AR54" si="35">+AS5*15.24%</f>
        <v>0</v>
      </c>
      <c r="AS5" s="33"/>
      <c r="AT5" s="37">
        <f t="shared" si="7"/>
        <v>-1</v>
      </c>
      <c r="AU5" s="36">
        <f>[1]BOA!$J5</f>
        <v>7250</v>
      </c>
      <c r="AV5" s="31">
        <f t="shared" ref="AV5:AV54" si="36">AU5-AW5</f>
        <v>6358.9750000000004</v>
      </c>
      <c r="AW5" s="31">
        <f t="shared" ref="AW5:AW54" si="37">+AU5*12.29%</f>
        <v>891.02499999999998</v>
      </c>
      <c r="AX5" s="31">
        <f t="shared" ref="AX5:AX54" si="38">+AZ5-AY5</f>
        <v>0</v>
      </c>
      <c r="AY5" s="31">
        <f t="shared" ref="AY5:AY54" si="39">+AZ5*15.24%</f>
        <v>0</v>
      </c>
      <c r="AZ5" s="158"/>
      <c r="BA5" s="37">
        <f t="shared" si="8"/>
        <v>-1</v>
      </c>
      <c r="BB5" s="36">
        <f>[1]BOA!$K5</f>
        <v>7250</v>
      </c>
      <c r="BC5" s="31">
        <f t="shared" ref="BC5:BC54" si="40">BB5-BD5</f>
        <v>6358.9750000000004</v>
      </c>
      <c r="BD5" s="31">
        <f t="shared" ref="BD5:BD54" si="41">+BB5*12.29%</f>
        <v>891.02499999999998</v>
      </c>
      <c r="BE5" s="31">
        <f t="shared" ref="BE5:BE54" si="42">+BG5-BF5</f>
        <v>0</v>
      </c>
      <c r="BF5" s="31">
        <f t="shared" ref="BF5:BF54" si="43">+BG5*15.24%</f>
        <v>0</v>
      </c>
      <c r="BG5" s="33"/>
      <c r="BH5" s="37">
        <f t="shared" si="9"/>
        <v>-1</v>
      </c>
      <c r="BI5" s="36">
        <f>[1]BOA!$L5</f>
        <v>7250</v>
      </c>
      <c r="BJ5" s="31">
        <f t="shared" ref="BJ5:BJ54" si="44">BI5-BK5</f>
        <v>6358.9750000000004</v>
      </c>
      <c r="BK5" s="31">
        <f t="shared" ref="BK5:BK54" si="45">+BI5*12.29%</f>
        <v>891.02499999999998</v>
      </c>
      <c r="BL5" s="31">
        <f t="shared" ref="BL5:BL54" si="46">+BN5-BM5</f>
        <v>0</v>
      </c>
      <c r="BM5" s="31">
        <f t="shared" ref="BM5:BM54" si="47">+BN5*15.24%</f>
        <v>0</v>
      </c>
      <c r="BN5" s="33"/>
      <c r="BO5" s="37">
        <f t="shared" si="10"/>
        <v>-1</v>
      </c>
      <c r="BP5" s="36">
        <f>[1]BOA!$M5</f>
        <v>7250</v>
      </c>
      <c r="BQ5" s="31">
        <f t="shared" ref="BQ5:BQ54" si="48">BP5-BR5</f>
        <v>6358.9750000000004</v>
      </c>
      <c r="BR5" s="31">
        <f t="shared" ref="BR5:BR54" si="49">+BP5*12.29%</f>
        <v>891.02499999999998</v>
      </c>
      <c r="BS5" s="31">
        <f t="shared" ref="BS5:BS54" si="50">+BU5-BT5</f>
        <v>0</v>
      </c>
      <c r="BT5" s="31">
        <f t="shared" ref="BT5:BT54" si="51">+BU5*15.24%</f>
        <v>0</v>
      </c>
      <c r="BU5" s="33"/>
      <c r="BV5" s="37">
        <f t="shared" si="11"/>
        <v>-1</v>
      </c>
      <c r="BW5" s="36">
        <f>[1]BOA!$N5</f>
        <v>7250</v>
      </c>
      <c r="BX5" s="31">
        <f t="shared" ref="BX5:BX54" si="52">BW5-BY5</f>
        <v>6358.9750000000004</v>
      </c>
      <c r="BY5" s="31">
        <f t="shared" ref="BY5:BY54" si="53">+BW5*12.29%</f>
        <v>891.02499999999998</v>
      </c>
      <c r="BZ5" s="31">
        <f t="shared" ref="BZ5:BZ54" si="54">+CB5-CA5</f>
        <v>0</v>
      </c>
      <c r="CA5" s="31">
        <f t="shared" ref="CA5:CA54" si="55">+CB5*15.24%</f>
        <v>0</v>
      </c>
      <c r="CB5" s="33"/>
      <c r="CC5" s="37">
        <f t="shared" si="12"/>
        <v>-1</v>
      </c>
      <c r="CD5" s="36">
        <f>[1]BOA!$O5</f>
        <v>7250</v>
      </c>
      <c r="CE5" s="31">
        <f t="shared" ref="CE5:CE54" si="56">CD5-CF5</f>
        <v>6358.9750000000004</v>
      </c>
      <c r="CF5" s="31">
        <f t="shared" ref="CF5:CF54" si="57">+CD5*12.29%</f>
        <v>891.02499999999998</v>
      </c>
      <c r="CG5" s="31">
        <f t="shared" ref="CG5:CG54" si="58">+CI5-CH5</f>
        <v>0</v>
      </c>
      <c r="CH5" s="31">
        <f t="shared" ref="CH5:CH54" si="59">+CI5*15.24%</f>
        <v>0</v>
      </c>
      <c r="CI5" s="33"/>
      <c r="CJ5" s="37">
        <f t="shared" si="13"/>
        <v>-1</v>
      </c>
      <c r="CK5" s="36">
        <f>[1]BOA!$P5</f>
        <v>7250</v>
      </c>
      <c r="CL5" s="31">
        <f t="shared" ref="CL5:CL54" si="60">CK5-CM5</f>
        <v>6358.9750000000004</v>
      </c>
      <c r="CM5" s="31">
        <f t="shared" ref="CM5:CM54" si="61">+CK5*12.29%</f>
        <v>891.02499999999998</v>
      </c>
      <c r="CN5" s="31">
        <f t="shared" ref="CN5:CN54" si="62">+CP5-CO5</f>
        <v>0</v>
      </c>
      <c r="CO5" s="31">
        <f t="shared" ref="CO5:CO54" si="63">+CP5*15.24%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168373.56688731996</v>
      </c>
      <c r="C6" s="31">
        <f t="shared" si="0"/>
        <v>147680.45551686833</v>
      </c>
      <c r="D6" s="32">
        <f t="shared" si="0"/>
        <v>20693.111370451625</v>
      </c>
      <c r="E6" s="30">
        <f t="shared" si="15"/>
        <v>54417.144157199989</v>
      </c>
      <c r="F6" s="33">
        <f t="shared" si="15"/>
        <v>47729.277140280108</v>
      </c>
      <c r="G6" s="34">
        <f t="shared" si="15"/>
        <v>6687.8670169198786</v>
      </c>
      <c r="H6" s="31">
        <f t="shared" si="1"/>
        <v>46486.655903999999</v>
      </c>
      <c r="I6" s="33">
        <f t="shared" si="1"/>
        <v>8358.3840959999998</v>
      </c>
      <c r="J6" s="33">
        <f t="shared" si="1"/>
        <v>54845.04</v>
      </c>
      <c r="K6" s="37">
        <f t="shared" si="2"/>
        <v>7.863254300223943E-3</v>
      </c>
      <c r="L6" s="36">
        <f>[1]BOA!$E6</f>
        <v>13604.286039299997</v>
      </c>
      <c r="M6" s="31">
        <f t="shared" si="16"/>
        <v>11932.319285070027</v>
      </c>
      <c r="N6" s="31">
        <f t="shared" si="17"/>
        <v>1671.9667542299696</v>
      </c>
      <c r="O6" s="31">
        <f t="shared" si="18"/>
        <v>11302.61886</v>
      </c>
      <c r="P6" s="31">
        <f t="shared" si="19"/>
        <v>2032.2311400000001</v>
      </c>
      <c r="Q6" s="33">
        <f>13334.85</f>
        <v>13334.85</v>
      </c>
      <c r="R6" s="37">
        <f t="shared" si="3"/>
        <v>-1.9805231860139605E-2</v>
      </c>
      <c r="S6" s="36">
        <f>[1]BOA!$F6</f>
        <v>13604.286039299997</v>
      </c>
      <c r="T6" s="31">
        <f t="shared" si="20"/>
        <v>11932.319285070027</v>
      </c>
      <c r="U6" s="31">
        <f t="shared" si="21"/>
        <v>1671.9667542299696</v>
      </c>
      <c r="V6" s="31">
        <f t="shared" si="22"/>
        <v>11199.092995999999</v>
      </c>
      <c r="W6" s="31">
        <f t="shared" si="23"/>
        <v>2013.617004</v>
      </c>
      <c r="X6" s="33">
        <v>13212.71</v>
      </c>
      <c r="Y6" s="37">
        <f t="shared" si="4"/>
        <v>-2.878328478016523E-2</v>
      </c>
      <c r="Z6" s="36">
        <f>[1]BOA!$G6</f>
        <v>13604.286039299997</v>
      </c>
      <c r="AA6" s="31">
        <f t="shared" si="24"/>
        <v>11932.319285070027</v>
      </c>
      <c r="AB6" s="31">
        <f t="shared" si="25"/>
        <v>1671.9667542299696</v>
      </c>
      <c r="AC6" s="31">
        <f t="shared" si="26"/>
        <v>12079.817204000001</v>
      </c>
      <c r="AD6" s="31">
        <f t="shared" si="27"/>
        <v>2171.972796</v>
      </c>
      <c r="AE6" s="33">
        <v>14251.79</v>
      </c>
      <c r="AF6" s="37">
        <f t="shared" si="5"/>
        <v>4.7595585599236712E-2</v>
      </c>
      <c r="AG6" s="36">
        <f>[1]BOA!$H6</f>
        <v>13604.286039299997</v>
      </c>
      <c r="AH6" s="31">
        <f t="shared" si="28"/>
        <v>11932.319285070027</v>
      </c>
      <c r="AI6" s="31">
        <f t="shared" si="29"/>
        <v>1671.9667542299696</v>
      </c>
      <c r="AJ6" s="31">
        <f t="shared" si="30"/>
        <v>11905.126844</v>
      </c>
      <c r="AK6" s="31">
        <f t="shared" si="31"/>
        <v>2140.5631560000002</v>
      </c>
      <c r="AL6" s="27">
        <f>13556+489.69</f>
        <v>14045.69</v>
      </c>
      <c r="AM6" s="37">
        <f t="shared" si="6"/>
        <v>3.2445948241964118E-2</v>
      </c>
      <c r="AN6" s="36">
        <f>[1]BOA!$I6</f>
        <v>13604.286039299997</v>
      </c>
      <c r="AO6" s="31">
        <f t="shared" si="32"/>
        <v>11932.319285070027</v>
      </c>
      <c r="AP6" s="31">
        <f t="shared" si="33"/>
        <v>1671.9667542299696</v>
      </c>
      <c r="AQ6" s="31">
        <f t="shared" si="34"/>
        <v>0</v>
      </c>
      <c r="AR6" s="31">
        <f t="shared" si="35"/>
        <v>0</v>
      </c>
      <c r="AS6" s="33"/>
      <c r="AT6" s="37">
        <f t="shared" si="7"/>
        <v>-1</v>
      </c>
      <c r="AU6" s="36">
        <f>[1]BOA!$J6</f>
        <v>13604.286039299997</v>
      </c>
      <c r="AV6" s="31">
        <f t="shared" si="36"/>
        <v>11932.319285070027</v>
      </c>
      <c r="AW6" s="31">
        <f t="shared" si="37"/>
        <v>1671.9667542299696</v>
      </c>
      <c r="AX6" s="31">
        <f t="shared" si="38"/>
        <v>0</v>
      </c>
      <c r="AY6" s="31">
        <f t="shared" si="39"/>
        <v>0</v>
      </c>
      <c r="AZ6" s="158"/>
      <c r="BA6" s="37">
        <f t="shared" si="8"/>
        <v>-1</v>
      </c>
      <c r="BB6" s="36">
        <f>[1]BOA!$K6</f>
        <v>13604.286039299997</v>
      </c>
      <c r="BC6" s="31">
        <f t="shared" si="40"/>
        <v>11932.319285070027</v>
      </c>
      <c r="BD6" s="31">
        <f t="shared" si="41"/>
        <v>1671.9667542299696</v>
      </c>
      <c r="BE6" s="31">
        <f t="shared" si="42"/>
        <v>0</v>
      </c>
      <c r="BF6" s="31">
        <f t="shared" si="43"/>
        <v>0</v>
      </c>
      <c r="BG6" s="33"/>
      <c r="BH6" s="37">
        <f t="shared" si="9"/>
        <v>-1</v>
      </c>
      <c r="BI6" s="36">
        <f>[1]BOA!$L6</f>
        <v>14628.712922443998</v>
      </c>
      <c r="BJ6" s="31">
        <f t="shared" si="44"/>
        <v>12830.844104275631</v>
      </c>
      <c r="BK6" s="31">
        <f t="shared" si="45"/>
        <v>1797.8688181683672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[1]BOA!$M6</f>
        <v>14628.712922443998</v>
      </c>
      <c r="BQ6" s="31">
        <f t="shared" si="48"/>
        <v>12830.844104275631</v>
      </c>
      <c r="BR6" s="31">
        <f t="shared" si="49"/>
        <v>1797.8688181683672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[1]BOA!$N6</f>
        <v>14628.712922443998</v>
      </c>
      <c r="BX6" s="31">
        <f t="shared" si="52"/>
        <v>12830.844104275631</v>
      </c>
      <c r="BY6" s="31">
        <f t="shared" si="53"/>
        <v>1797.8688181683672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[1]BOA!$O6</f>
        <v>14628.712922443998</v>
      </c>
      <c r="CE6" s="31">
        <f t="shared" si="56"/>
        <v>12830.844104275631</v>
      </c>
      <c r="CF6" s="31">
        <f t="shared" si="57"/>
        <v>1797.8688181683672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[1]BOA!$P6</f>
        <v>14628.712922443998</v>
      </c>
      <c r="CL6" s="31">
        <f t="shared" si="60"/>
        <v>12830.844104275631</v>
      </c>
      <c r="CM6" s="31">
        <f t="shared" si="61"/>
        <v>1797.8688181683672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130634.66396429995</v>
      </c>
      <c r="C7" s="31">
        <f t="shared" si="0"/>
        <v>114579.66376308748</v>
      </c>
      <c r="D7" s="32">
        <f t="shared" si="0"/>
        <v>16055.000201212462</v>
      </c>
      <c r="E7" s="30">
        <f t="shared" si="15"/>
        <v>42220.198052999986</v>
      </c>
      <c r="F7" s="33">
        <f t="shared" si="15"/>
        <v>37031.335712286287</v>
      </c>
      <c r="G7" s="34">
        <f t="shared" si="15"/>
        <v>5188.8623407136984</v>
      </c>
      <c r="H7" s="31">
        <f t="shared" si="1"/>
        <v>31931.829748</v>
      </c>
      <c r="I7" s="33">
        <f t="shared" si="1"/>
        <v>5741.4002520000004</v>
      </c>
      <c r="J7" s="33">
        <f t="shared" si="1"/>
        <v>37673.229999999996</v>
      </c>
      <c r="K7" s="37">
        <f t="shared" si="2"/>
        <v>-0.10769651168599625</v>
      </c>
      <c r="L7" s="36">
        <f>[1]BOA!$E7</f>
        <v>10555.049513249996</v>
      </c>
      <c r="M7" s="31">
        <f t="shared" si="16"/>
        <v>9257.8339280715718</v>
      </c>
      <c r="N7" s="31">
        <f t="shared" si="17"/>
        <v>1297.2155851784246</v>
      </c>
      <c r="O7" s="31">
        <f t="shared" si="18"/>
        <v>7790.757779999999</v>
      </c>
      <c r="P7" s="31">
        <f t="shared" si="19"/>
        <v>1400.79222</v>
      </c>
      <c r="Q7" s="33">
        <f>9191.55</f>
        <v>9191.5499999999993</v>
      </c>
      <c r="R7" s="37">
        <f t="shared" si="3"/>
        <v>-0.12917983108827347</v>
      </c>
      <c r="S7" s="36">
        <f>[1]BOA!$F7</f>
        <v>10555.049513249996</v>
      </c>
      <c r="T7" s="31">
        <f t="shared" si="20"/>
        <v>9257.8339280715718</v>
      </c>
      <c r="U7" s="31">
        <f t="shared" si="21"/>
        <v>1297.2155851784246</v>
      </c>
      <c r="V7" s="31">
        <f t="shared" si="22"/>
        <v>7806.7350399999996</v>
      </c>
      <c r="W7" s="31">
        <f t="shared" si="23"/>
        <v>1403.6649600000001</v>
      </c>
      <c r="X7" s="33">
        <v>9210.4</v>
      </c>
      <c r="Y7" s="37">
        <f t="shared" si="4"/>
        <v>-0.12739395599821934</v>
      </c>
      <c r="Z7" s="36">
        <f>[1]BOA!$G7</f>
        <v>10555.049513249996</v>
      </c>
      <c r="AA7" s="31">
        <f t="shared" si="24"/>
        <v>9257.8339280715718</v>
      </c>
      <c r="AB7" s="31">
        <f t="shared" si="25"/>
        <v>1297.2155851784246</v>
      </c>
      <c r="AC7" s="31">
        <f t="shared" si="26"/>
        <v>8253.6999479999995</v>
      </c>
      <c r="AD7" s="31">
        <f t="shared" si="27"/>
        <v>1484.0300520000001</v>
      </c>
      <c r="AE7" s="33">
        <v>9737.73</v>
      </c>
      <c r="AF7" s="37">
        <f t="shared" si="5"/>
        <v>-7.7433981927227946E-2</v>
      </c>
      <c r="AG7" s="36">
        <f>[1]BOA!$H7</f>
        <v>10555.049513249996</v>
      </c>
      <c r="AH7" s="31">
        <f t="shared" si="28"/>
        <v>9257.8339280715718</v>
      </c>
      <c r="AI7" s="31">
        <f t="shared" si="29"/>
        <v>1297.2155851784246</v>
      </c>
      <c r="AJ7" s="31">
        <f t="shared" si="30"/>
        <v>8080.6369799999993</v>
      </c>
      <c r="AK7" s="31">
        <f t="shared" si="31"/>
        <v>1452.91302</v>
      </c>
      <c r="AL7" s="27">
        <v>9533.5499999999993</v>
      </c>
      <c r="AM7" s="37">
        <f t="shared" si="6"/>
        <v>-9.6778277730264151E-2</v>
      </c>
      <c r="AN7" s="36">
        <f>[1]BOA!$I7</f>
        <v>10555.049513249996</v>
      </c>
      <c r="AO7" s="31">
        <f t="shared" si="32"/>
        <v>9257.8339280715718</v>
      </c>
      <c r="AP7" s="31">
        <f t="shared" si="33"/>
        <v>1297.2155851784246</v>
      </c>
      <c r="AQ7" s="31">
        <f t="shared" si="34"/>
        <v>0</v>
      </c>
      <c r="AR7" s="31">
        <f t="shared" si="35"/>
        <v>0</v>
      </c>
      <c r="AS7" s="33"/>
      <c r="AT7" s="37">
        <f t="shared" si="7"/>
        <v>-1</v>
      </c>
      <c r="AU7" s="36">
        <f>[1]BOA!$J7</f>
        <v>10555.049513249996</v>
      </c>
      <c r="AV7" s="31">
        <f t="shared" si="36"/>
        <v>9257.8339280715718</v>
      </c>
      <c r="AW7" s="31">
        <f t="shared" si="37"/>
        <v>1297.2155851784246</v>
      </c>
      <c r="AX7" s="31">
        <f t="shared" si="38"/>
        <v>0</v>
      </c>
      <c r="AY7" s="31">
        <f t="shared" si="39"/>
        <v>0</v>
      </c>
      <c r="AZ7" s="158"/>
      <c r="BA7" s="37">
        <f t="shared" si="8"/>
        <v>-1</v>
      </c>
      <c r="BB7" s="36">
        <f>[1]BOA!$K7</f>
        <v>10555.049513249996</v>
      </c>
      <c r="BC7" s="31">
        <f t="shared" si="40"/>
        <v>9257.8339280715718</v>
      </c>
      <c r="BD7" s="31">
        <f t="shared" si="41"/>
        <v>1297.2155851784246</v>
      </c>
      <c r="BE7" s="31">
        <f t="shared" si="42"/>
        <v>0</v>
      </c>
      <c r="BF7" s="31">
        <f t="shared" si="43"/>
        <v>0</v>
      </c>
      <c r="BG7" s="33"/>
      <c r="BH7" s="37">
        <f t="shared" si="9"/>
        <v>-1</v>
      </c>
      <c r="BI7" s="36">
        <f>[1]BOA!$L7</f>
        <v>11349.863474309997</v>
      </c>
      <c r="BJ7" s="31">
        <f t="shared" si="44"/>
        <v>9954.9652533172994</v>
      </c>
      <c r="BK7" s="31">
        <f t="shared" si="45"/>
        <v>1394.8982209926987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[1]BOA!$M7</f>
        <v>11349.863474309997</v>
      </c>
      <c r="BQ7" s="31">
        <f t="shared" si="48"/>
        <v>9954.9652533172994</v>
      </c>
      <c r="BR7" s="31">
        <f t="shared" si="49"/>
        <v>1394.8982209926987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[1]BOA!$N7</f>
        <v>11349.863474309997</v>
      </c>
      <c r="BX7" s="31">
        <f t="shared" si="52"/>
        <v>9954.9652533172994</v>
      </c>
      <c r="BY7" s="31">
        <f t="shared" si="53"/>
        <v>1394.8982209926987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[1]BOA!$O7</f>
        <v>11349.863474309997</v>
      </c>
      <c r="CE7" s="31">
        <f t="shared" si="56"/>
        <v>9954.9652533172994</v>
      </c>
      <c r="CF7" s="31">
        <f t="shared" si="57"/>
        <v>1394.8982209926987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[1]BOA!$P7</f>
        <v>11349.863474309997</v>
      </c>
      <c r="CL7" s="31">
        <f t="shared" si="60"/>
        <v>9954.9652533172994</v>
      </c>
      <c r="CM7" s="31">
        <f t="shared" si="61"/>
        <v>1394.8982209926987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127249.00634594599</v>
      </c>
      <c r="C8" s="31">
        <f t="shared" si="0"/>
        <v>111610.10346602924</v>
      </c>
      <c r="D8" s="32">
        <f t="shared" si="0"/>
        <v>15638.902879916763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[1]BOA!$E8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[1]BOA!$F8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[1]BOA!$G8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[1]BOA!$H8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27"/>
      <c r="AM8" s="37" t="str">
        <f t="shared" si="6"/>
        <v/>
      </c>
      <c r="AN8" s="36">
        <f>[1]BOA!$I8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7"/>
        <v/>
      </c>
      <c r="AU8" s="36">
        <f>[1]BOA!$J8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158"/>
      <c r="BA8" s="37" t="str">
        <f t="shared" si="8"/>
        <v/>
      </c>
      <c r="BB8" s="36">
        <f>[1]BOA!$K8</f>
        <v>127249.00634594599</v>
      </c>
      <c r="BC8" s="31">
        <f t="shared" si="40"/>
        <v>111610.10346602924</v>
      </c>
      <c r="BD8" s="31">
        <f t="shared" si="41"/>
        <v>15638.902879916763</v>
      </c>
      <c r="BE8" s="31">
        <f t="shared" si="42"/>
        <v>0</v>
      </c>
      <c r="BF8" s="31">
        <f t="shared" si="43"/>
        <v>0</v>
      </c>
      <c r="BG8" s="33"/>
      <c r="BH8" s="37">
        <f t="shared" si="9"/>
        <v>-1</v>
      </c>
      <c r="BI8" s="36">
        <f>[1]BOA!$L8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[1]BOA!$M8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[1]BOA!$N8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[1]BOA!$O8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[1]BOA!$P8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163789.89446751997</v>
      </c>
      <c r="C9" s="31">
        <f t="shared" si="0"/>
        <v>143660.11643746181</v>
      </c>
      <c r="D9" s="32">
        <f t="shared" si="0"/>
        <v>20129.778030058209</v>
      </c>
      <c r="E9" s="30">
        <f t="shared" si="15"/>
        <v>52935.733699199991</v>
      </c>
      <c r="F9" s="33">
        <f t="shared" si="15"/>
        <v>46429.932027568313</v>
      </c>
      <c r="G9" s="34">
        <f t="shared" si="15"/>
        <v>6505.8016716316788</v>
      </c>
      <c r="H9" s="31">
        <f t="shared" si="1"/>
        <v>38462.596224000001</v>
      </c>
      <c r="I9" s="33">
        <f t="shared" si="1"/>
        <v>6915.6437759999999</v>
      </c>
      <c r="J9" s="33">
        <f t="shared" si="1"/>
        <v>45378.239999999998</v>
      </c>
      <c r="K9" s="37">
        <f t="shared" si="2"/>
        <v>-0.14276733637327876</v>
      </c>
      <c r="L9" s="36">
        <f>[1]BOA!$E9</f>
        <v>13233.933424799998</v>
      </c>
      <c r="M9" s="31">
        <f t="shared" si="16"/>
        <v>11607.483006892078</v>
      </c>
      <c r="N9" s="31">
        <f t="shared" si="17"/>
        <v>1626.4504179079197</v>
      </c>
      <c r="O9" s="31">
        <f t="shared" si="18"/>
        <v>7600.6156719999999</v>
      </c>
      <c r="P9" s="31">
        <f t="shared" si="19"/>
        <v>1366.6043279999999</v>
      </c>
      <c r="Q9" s="33">
        <f>8967.22</f>
        <v>8967.2199999999993</v>
      </c>
      <c r="R9" s="37">
        <f t="shared" si="3"/>
        <v>-0.32240704920007413</v>
      </c>
      <c r="S9" s="36">
        <f>[1]BOA!$F9</f>
        <v>13233.933424799998</v>
      </c>
      <c r="T9" s="31">
        <f t="shared" si="20"/>
        <v>11607.483006892078</v>
      </c>
      <c r="U9" s="31">
        <f t="shared" si="21"/>
        <v>1626.4504179079197</v>
      </c>
      <c r="V9" s="31">
        <f t="shared" si="22"/>
        <v>7153.371056</v>
      </c>
      <c r="W9" s="31">
        <f t="shared" si="23"/>
        <v>1286.188944</v>
      </c>
      <c r="X9" s="33">
        <f>8439.56</f>
        <v>8439.56</v>
      </c>
      <c r="Y9" s="37">
        <f t="shared" si="4"/>
        <v>-0.36227879277490427</v>
      </c>
      <c r="Z9" s="36">
        <f>[1]BOA!$G9</f>
        <v>13233.933424799998</v>
      </c>
      <c r="AA9" s="31">
        <f t="shared" si="24"/>
        <v>11607.483006892078</v>
      </c>
      <c r="AB9" s="31">
        <f t="shared" si="25"/>
        <v>1626.4504179079197</v>
      </c>
      <c r="AC9" s="31">
        <f t="shared" si="26"/>
        <v>13056.362591999999</v>
      </c>
      <c r="AD9" s="31">
        <f t="shared" si="27"/>
        <v>2347.5574080000001</v>
      </c>
      <c r="AE9" s="33">
        <f>15403.92</f>
        <v>15403.92</v>
      </c>
      <c r="AF9" s="37">
        <f t="shared" si="5"/>
        <v>0.16397139879315947</v>
      </c>
      <c r="AG9" s="36">
        <f>[1]BOA!$H9</f>
        <v>13233.933424799998</v>
      </c>
      <c r="AH9" s="31">
        <f t="shared" si="28"/>
        <v>11607.483006892078</v>
      </c>
      <c r="AI9" s="31">
        <f t="shared" si="29"/>
        <v>1626.4504179079197</v>
      </c>
      <c r="AJ9" s="31">
        <f t="shared" si="30"/>
        <v>10652.246904</v>
      </c>
      <c r="AK9" s="31">
        <f t="shared" si="31"/>
        <v>1915.2930960000003</v>
      </c>
      <c r="AL9" s="27">
        <f>12567.54</f>
        <v>12567.54</v>
      </c>
      <c r="AM9" s="37">
        <f t="shared" si="6"/>
        <v>-5.0354902311295802E-2</v>
      </c>
      <c r="AN9" s="36">
        <f>[1]BOA!$I9</f>
        <v>13233.933424799998</v>
      </c>
      <c r="AO9" s="31">
        <f t="shared" si="32"/>
        <v>11607.483006892078</v>
      </c>
      <c r="AP9" s="31">
        <f t="shared" si="33"/>
        <v>1626.4504179079197</v>
      </c>
      <c r="AQ9" s="31">
        <f t="shared" si="34"/>
        <v>0</v>
      </c>
      <c r="AR9" s="31">
        <f t="shared" si="35"/>
        <v>0</v>
      </c>
      <c r="AS9" s="33"/>
      <c r="AT9" s="37">
        <f t="shared" si="7"/>
        <v>-1</v>
      </c>
      <c r="AU9" s="36">
        <f>[1]BOA!$J9</f>
        <v>13233.933424799998</v>
      </c>
      <c r="AV9" s="31">
        <f t="shared" si="36"/>
        <v>11607.483006892078</v>
      </c>
      <c r="AW9" s="31">
        <f t="shared" si="37"/>
        <v>1626.4504179079197</v>
      </c>
      <c r="AX9" s="31">
        <f t="shared" si="38"/>
        <v>0</v>
      </c>
      <c r="AY9" s="31">
        <f t="shared" si="39"/>
        <v>0</v>
      </c>
      <c r="AZ9" s="158"/>
      <c r="BA9" s="37">
        <f t="shared" si="8"/>
        <v>-1</v>
      </c>
      <c r="BB9" s="36">
        <f>[1]BOA!$K9</f>
        <v>13233.933424799998</v>
      </c>
      <c r="BC9" s="31">
        <f t="shared" si="40"/>
        <v>11607.483006892078</v>
      </c>
      <c r="BD9" s="31">
        <f t="shared" si="41"/>
        <v>1626.4504179079197</v>
      </c>
      <c r="BE9" s="31">
        <f t="shared" si="42"/>
        <v>0</v>
      </c>
      <c r="BF9" s="31">
        <f t="shared" si="43"/>
        <v>0</v>
      </c>
      <c r="BG9" s="33"/>
      <c r="BH9" s="37">
        <f t="shared" si="9"/>
        <v>-1</v>
      </c>
      <c r="BI9" s="36">
        <f>[1]BOA!$L9</f>
        <v>14230.472098784001</v>
      </c>
      <c r="BJ9" s="31">
        <f t="shared" si="44"/>
        <v>12481.547077843446</v>
      </c>
      <c r="BK9" s="31">
        <f t="shared" si="45"/>
        <v>1748.9250209405536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[1]BOA!$M9</f>
        <v>14230.472098784001</v>
      </c>
      <c r="BQ9" s="31">
        <f t="shared" si="48"/>
        <v>12481.547077843446</v>
      </c>
      <c r="BR9" s="31">
        <f t="shared" si="49"/>
        <v>1748.9250209405536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[1]BOA!$N9</f>
        <v>14230.472098784001</v>
      </c>
      <c r="BX9" s="31">
        <f t="shared" si="52"/>
        <v>12481.547077843446</v>
      </c>
      <c r="BY9" s="31">
        <f t="shared" si="53"/>
        <v>1748.9250209405536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[1]BOA!$O9</f>
        <v>14230.472098784001</v>
      </c>
      <c r="CE9" s="31">
        <f t="shared" si="56"/>
        <v>12481.547077843446</v>
      </c>
      <c r="CF9" s="31">
        <f t="shared" si="57"/>
        <v>1748.9250209405536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[1]BOA!$P9</f>
        <v>14230.472098784001</v>
      </c>
      <c r="CL9" s="31">
        <f t="shared" si="60"/>
        <v>12481.547077843446</v>
      </c>
      <c r="CM9" s="31">
        <f t="shared" si="61"/>
        <v>1748.9250209405536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96000</v>
      </c>
      <c r="C10" s="31">
        <f t="shared" si="0"/>
        <v>84201.60000000002</v>
      </c>
      <c r="D10" s="32">
        <f t="shared" si="0"/>
        <v>11798.400000000001</v>
      </c>
      <c r="E10" s="30">
        <f t="shared" si="15"/>
        <v>32000</v>
      </c>
      <c r="F10" s="33">
        <f t="shared" si="15"/>
        <v>28067.200000000001</v>
      </c>
      <c r="G10" s="34">
        <f t="shared" si="15"/>
        <v>3932.7999999999997</v>
      </c>
      <c r="H10" s="31">
        <f t="shared" si="1"/>
        <v>67813.161883999986</v>
      </c>
      <c r="I10" s="33">
        <f t="shared" si="1"/>
        <v>12192.928116000001</v>
      </c>
      <c r="J10" s="33">
        <f t="shared" si="1"/>
        <v>80006.09</v>
      </c>
      <c r="K10" s="37">
        <f t="shared" si="2"/>
        <v>1.5001903125</v>
      </c>
      <c r="L10" s="36">
        <f>[1]BOA!$E10</f>
        <v>8000</v>
      </c>
      <c r="M10" s="31">
        <f t="shared" si="16"/>
        <v>7016.8</v>
      </c>
      <c r="N10" s="31">
        <f t="shared" si="17"/>
        <v>983.19999999999993</v>
      </c>
      <c r="O10" s="31">
        <f t="shared" si="18"/>
        <v>27756.221583999999</v>
      </c>
      <c r="P10" s="31">
        <f t="shared" si="19"/>
        <v>4990.6184160000003</v>
      </c>
      <c r="Q10" s="33">
        <f>7000+7350+8750+1257.6+812.2+7577.04</f>
        <v>32746.84</v>
      </c>
      <c r="R10" s="37">
        <f t="shared" si="3"/>
        <v>3.0933549999999999</v>
      </c>
      <c r="S10" s="36">
        <f>[1]BOA!$F10</f>
        <v>8000</v>
      </c>
      <c r="T10" s="31">
        <f t="shared" si="20"/>
        <v>7016.8</v>
      </c>
      <c r="U10" s="31">
        <f t="shared" si="21"/>
        <v>983.19999999999993</v>
      </c>
      <c r="V10" s="31">
        <f t="shared" si="22"/>
        <v>11267.765547999999</v>
      </c>
      <c r="W10" s="31">
        <f t="shared" si="23"/>
        <v>2025.9644519999999</v>
      </c>
      <c r="X10" s="33">
        <f>3150+10143.73</f>
        <v>13293.73</v>
      </c>
      <c r="Y10" s="37">
        <f t="shared" si="4"/>
        <v>0.66171625000000001</v>
      </c>
      <c r="Z10" s="36">
        <f>[1]BOA!$G10</f>
        <v>8000</v>
      </c>
      <c r="AA10" s="31">
        <f t="shared" si="24"/>
        <v>7016.8</v>
      </c>
      <c r="AB10" s="31">
        <f t="shared" si="25"/>
        <v>983.19999999999993</v>
      </c>
      <c r="AC10" s="31">
        <f t="shared" si="26"/>
        <v>14978.202355999998</v>
      </c>
      <c r="AD10" s="31">
        <f t="shared" si="27"/>
        <v>2693.1076439999997</v>
      </c>
      <c r="AE10" s="33">
        <f>6800+10871.31</f>
        <v>17671.309999999998</v>
      </c>
      <c r="AF10" s="37">
        <f t="shared" si="5"/>
        <v>1.2089137499999998</v>
      </c>
      <c r="AG10" s="36">
        <f>[1]BOA!$H10</f>
        <v>8000</v>
      </c>
      <c r="AH10" s="31">
        <f t="shared" si="28"/>
        <v>7016.8</v>
      </c>
      <c r="AI10" s="31">
        <f t="shared" si="29"/>
        <v>983.19999999999993</v>
      </c>
      <c r="AJ10" s="31">
        <f t="shared" si="30"/>
        <v>13810.972395999999</v>
      </c>
      <c r="AK10" s="31">
        <f t="shared" si="31"/>
        <v>2483.2376039999999</v>
      </c>
      <c r="AL10" s="33">
        <f>7200+9094.21</f>
        <v>16294.21</v>
      </c>
      <c r="AM10" s="37">
        <f t="shared" si="6"/>
        <v>1.03677625</v>
      </c>
      <c r="AN10" s="36">
        <f>[1]BOA!$I10</f>
        <v>8000</v>
      </c>
      <c r="AO10" s="31">
        <f t="shared" si="32"/>
        <v>7016.8</v>
      </c>
      <c r="AP10" s="31">
        <f t="shared" si="33"/>
        <v>983.19999999999993</v>
      </c>
      <c r="AQ10" s="31">
        <f t="shared" si="34"/>
        <v>0</v>
      </c>
      <c r="AR10" s="31">
        <f t="shared" si="35"/>
        <v>0</v>
      </c>
      <c r="AS10" s="33"/>
      <c r="AT10" s="37">
        <f t="shared" si="7"/>
        <v>-1</v>
      </c>
      <c r="AU10" s="36">
        <f>[1]BOA!$J10</f>
        <v>8000</v>
      </c>
      <c r="AV10" s="31">
        <f t="shared" si="36"/>
        <v>7016.8</v>
      </c>
      <c r="AW10" s="31">
        <f t="shared" si="37"/>
        <v>983.19999999999993</v>
      </c>
      <c r="AX10" s="31">
        <f t="shared" si="38"/>
        <v>0</v>
      </c>
      <c r="AY10" s="31">
        <f t="shared" si="39"/>
        <v>0</v>
      </c>
      <c r="AZ10" s="158"/>
      <c r="BA10" s="37">
        <f t="shared" si="8"/>
        <v>-1</v>
      </c>
      <c r="BB10" s="36">
        <f>[1]BOA!$K10</f>
        <v>8000</v>
      </c>
      <c r="BC10" s="31">
        <f t="shared" si="40"/>
        <v>7016.8</v>
      </c>
      <c r="BD10" s="31">
        <f t="shared" si="41"/>
        <v>983.19999999999993</v>
      </c>
      <c r="BE10" s="31">
        <f t="shared" si="42"/>
        <v>0</v>
      </c>
      <c r="BF10" s="31">
        <f t="shared" si="43"/>
        <v>0</v>
      </c>
      <c r="BG10" s="33"/>
      <c r="BH10" s="37">
        <f t="shared" si="9"/>
        <v>-1</v>
      </c>
      <c r="BI10" s="36">
        <f>[1]BOA!$L10</f>
        <v>8000</v>
      </c>
      <c r="BJ10" s="31">
        <f t="shared" si="44"/>
        <v>7016.8</v>
      </c>
      <c r="BK10" s="31">
        <f t="shared" si="45"/>
        <v>983.19999999999993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[1]BOA!$M10</f>
        <v>8000</v>
      </c>
      <c r="BQ10" s="31">
        <f t="shared" si="48"/>
        <v>7016.8</v>
      </c>
      <c r="BR10" s="31">
        <f t="shared" si="49"/>
        <v>983.19999999999993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[1]BOA!$N10</f>
        <v>8000</v>
      </c>
      <c r="BX10" s="31">
        <f t="shared" si="52"/>
        <v>7016.8</v>
      </c>
      <c r="BY10" s="31">
        <f t="shared" si="53"/>
        <v>983.19999999999993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[1]BOA!$O10</f>
        <v>8000</v>
      </c>
      <c r="CE10" s="31">
        <f t="shared" si="56"/>
        <v>7016.8</v>
      </c>
      <c r="CF10" s="31">
        <f t="shared" si="57"/>
        <v>983.19999999999993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[1]BOA!$P10</f>
        <v>8000</v>
      </c>
      <c r="CL10" s="31">
        <f t="shared" si="60"/>
        <v>7016.8</v>
      </c>
      <c r="CM10" s="31">
        <f t="shared" si="61"/>
        <v>983.19999999999993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3600.2911880000001</v>
      </c>
      <c r="I11" s="33">
        <f t="shared" si="1"/>
        <v>647.33881200000008</v>
      </c>
      <c r="J11" s="33">
        <f t="shared" si="1"/>
        <v>4247.63</v>
      </c>
      <c r="K11" s="37" t="str">
        <f t="shared" si="2"/>
        <v/>
      </c>
      <c r="L11" s="36">
        <f>[1]BOA!$E11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[1]BOA!$F11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4"/>
        <v/>
      </c>
      <c r="Z11" s="36">
        <f>[1]BOA!$G11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33"/>
      <c r="AF11" s="37" t="str">
        <f t="shared" si="5"/>
        <v/>
      </c>
      <c r="AG11" s="36">
        <f>[1]BOA!$H11</f>
        <v>0</v>
      </c>
      <c r="AH11" s="31">
        <f t="shared" si="28"/>
        <v>0</v>
      </c>
      <c r="AI11" s="31">
        <f t="shared" si="29"/>
        <v>0</v>
      </c>
      <c r="AJ11" s="31">
        <f t="shared" si="30"/>
        <v>3600.2911880000001</v>
      </c>
      <c r="AK11" s="31">
        <f t="shared" si="31"/>
        <v>647.33881200000008</v>
      </c>
      <c r="AL11" s="33">
        <f>1604.62+2643.01</f>
        <v>4247.63</v>
      </c>
      <c r="AM11" s="37" t="str">
        <f t="shared" si="6"/>
        <v/>
      </c>
      <c r="AN11" s="36">
        <f>[1]BOA!$I11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7"/>
        <v/>
      </c>
      <c r="AU11" s="36">
        <f>[1]BOA!$J11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158"/>
      <c r="BA11" s="37" t="str">
        <f t="shared" si="8"/>
        <v/>
      </c>
      <c r="BB11" s="36">
        <f>[1]BOA!$K11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33"/>
      <c r="BH11" s="37" t="str">
        <f t="shared" si="9"/>
        <v/>
      </c>
      <c r="BI11" s="36">
        <f>[1]BOA!$L11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[1]BOA!$M11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[1]BOA!$N11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[1]BOA!$O11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[1]BOA!$P11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10168.06388</v>
      </c>
      <c r="I12" s="33">
        <f t="shared" si="1"/>
        <v>1828.23612</v>
      </c>
      <c r="J12" s="33">
        <f t="shared" si="1"/>
        <v>11996.3</v>
      </c>
      <c r="K12" s="37">
        <f t="shared" si="2"/>
        <v>-3.4114331723027469E-2</v>
      </c>
      <c r="L12" s="36">
        <f>[1]BOA!$E12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2453.7172399999999</v>
      </c>
      <c r="P12" s="31">
        <f t="shared" si="19"/>
        <v>441.18276000000003</v>
      </c>
      <c r="Q12" s="33">
        <f>2894.9</f>
        <v>2894.9</v>
      </c>
      <c r="R12" s="37">
        <f t="shared" si="3"/>
        <v>-6.766505636070852E-2</v>
      </c>
      <c r="S12" s="36">
        <f>[1]BOA!$F12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0</v>
      </c>
      <c r="W12" s="31">
        <f t="shared" si="23"/>
        <v>0</v>
      </c>
      <c r="X12" s="33"/>
      <c r="Y12" s="37">
        <f t="shared" si="4"/>
        <v>-1</v>
      </c>
      <c r="Z12" s="36">
        <f>[1]BOA!$G12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5084.4557399999994</v>
      </c>
      <c r="AD12" s="31">
        <f t="shared" si="27"/>
        <v>914.19425999999999</v>
      </c>
      <c r="AE12" s="33">
        <f>5998.65</f>
        <v>5998.65</v>
      </c>
      <c r="AF12" s="37">
        <f t="shared" si="5"/>
        <v>0.93193236714975836</v>
      </c>
      <c r="AG12" s="36">
        <f>[1]BOA!$H12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2629.8908999999999</v>
      </c>
      <c r="AK12" s="31">
        <f t="shared" si="31"/>
        <v>472.85910000000001</v>
      </c>
      <c r="AL12" s="33">
        <f>3102.75</f>
        <v>3102.75</v>
      </c>
      <c r="AM12" s="37">
        <f t="shared" si="6"/>
        <v>-7.246376811593791E-4</v>
      </c>
      <c r="AN12" s="36">
        <f>[1]BOA!$I12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[1]BOA!$J12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158"/>
      <c r="BA12" s="37">
        <f t="shared" si="8"/>
        <v>-1</v>
      </c>
      <c r="BB12" s="36">
        <f>[1]BOA!$K12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33"/>
      <c r="BH12" s="37">
        <f t="shared" si="9"/>
        <v>-1</v>
      </c>
      <c r="BI12" s="36">
        <f>[1]BOA!$L12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[1]BOA!$M12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[1]BOA!$N12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[1]BOA!$O12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[1]BOA!$P12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0</v>
      </c>
      <c r="C13" s="31">
        <f t="shared" si="0"/>
        <v>0</v>
      </c>
      <c r="D13" s="32">
        <f t="shared" si="0"/>
        <v>0</v>
      </c>
      <c r="E13" s="30">
        <f t="shared" si="15"/>
        <v>0</v>
      </c>
      <c r="F13" s="33">
        <f t="shared" si="15"/>
        <v>0</v>
      </c>
      <c r="G13" s="34">
        <f t="shared" si="15"/>
        <v>0</v>
      </c>
      <c r="H13" s="31">
        <f t="shared" si="1"/>
        <v>11866.4</v>
      </c>
      <c r="I13" s="33">
        <f t="shared" si="1"/>
        <v>2133.6</v>
      </c>
      <c r="J13" s="33">
        <f t="shared" si="1"/>
        <v>14000</v>
      </c>
      <c r="K13" s="37" t="str">
        <f t="shared" si="2"/>
        <v/>
      </c>
      <c r="L13" s="36">
        <f>[1]BOA!$E13</f>
        <v>0</v>
      </c>
      <c r="M13" s="31">
        <f t="shared" si="16"/>
        <v>0</v>
      </c>
      <c r="N13" s="31">
        <f t="shared" si="17"/>
        <v>0</v>
      </c>
      <c r="O13" s="31">
        <f t="shared" si="18"/>
        <v>8476</v>
      </c>
      <c r="P13" s="31">
        <f t="shared" si="19"/>
        <v>1524</v>
      </c>
      <c r="Q13" s="33">
        <f>10000</f>
        <v>10000</v>
      </c>
      <c r="R13" s="37" t="str">
        <f t="shared" si="3"/>
        <v/>
      </c>
      <c r="S13" s="36">
        <f>[1]BOA!$F13</f>
        <v>0</v>
      </c>
      <c r="T13" s="31">
        <f t="shared" si="20"/>
        <v>0</v>
      </c>
      <c r="U13" s="31">
        <f t="shared" si="21"/>
        <v>0</v>
      </c>
      <c r="V13" s="31">
        <f t="shared" si="22"/>
        <v>3390.4</v>
      </c>
      <c r="W13" s="31">
        <f t="shared" si="23"/>
        <v>609.6</v>
      </c>
      <c r="X13" s="33">
        <f>4000</f>
        <v>4000</v>
      </c>
      <c r="Y13" s="37" t="str">
        <f t="shared" si="4"/>
        <v/>
      </c>
      <c r="Z13" s="36">
        <f>[1]BOA!$G13</f>
        <v>0</v>
      </c>
      <c r="AA13" s="31">
        <f t="shared" si="24"/>
        <v>0</v>
      </c>
      <c r="AB13" s="31">
        <f t="shared" si="25"/>
        <v>0</v>
      </c>
      <c r="AC13" s="31">
        <f t="shared" si="26"/>
        <v>0</v>
      </c>
      <c r="AD13" s="31">
        <f t="shared" si="27"/>
        <v>0</v>
      </c>
      <c r="AE13" s="33"/>
      <c r="AF13" s="37" t="str">
        <f t="shared" si="5"/>
        <v/>
      </c>
      <c r="AG13" s="36">
        <f>[1]BOA!$H13</f>
        <v>0</v>
      </c>
      <c r="AH13" s="31">
        <f t="shared" si="28"/>
        <v>0</v>
      </c>
      <c r="AI13" s="31">
        <f t="shared" si="29"/>
        <v>0</v>
      </c>
      <c r="AJ13" s="31">
        <f t="shared" si="30"/>
        <v>0</v>
      </c>
      <c r="AK13" s="31">
        <f t="shared" si="31"/>
        <v>0</v>
      </c>
      <c r="AL13" s="27"/>
      <c r="AM13" s="37" t="str">
        <f t="shared" si="6"/>
        <v/>
      </c>
      <c r="AN13" s="36">
        <f>[1]BOA!$I13</f>
        <v>0</v>
      </c>
      <c r="AO13" s="31">
        <f t="shared" si="32"/>
        <v>0</v>
      </c>
      <c r="AP13" s="31">
        <f t="shared" si="33"/>
        <v>0</v>
      </c>
      <c r="AQ13" s="31">
        <f t="shared" si="34"/>
        <v>0</v>
      </c>
      <c r="AR13" s="31">
        <f t="shared" si="35"/>
        <v>0</v>
      </c>
      <c r="AS13" s="33"/>
      <c r="AT13" s="37" t="str">
        <f t="shared" si="7"/>
        <v/>
      </c>
      <c r="AU13" s="36">
        <f>[1]BOA!$J13</f>
        <v>0</v>
      </c>
      <c r="AV13" s="31">
        <f t="shared" si="36"/>
        <v>0</v>
      </c>
      <c r="AW13" s="31">
        <f t="shared" si="37"/>
        <v>0</v>
      </c>
      <c r="AX13" s="31">
        <f t="shared" si="38"/>
        <v>0</v>
      </c>
      <c r="AY13" s="31">
        <f t="shared" si="39"/>
        <v>0</v>
      </c>
      <c r="AZ13" s="158"/>
      <c r="BA13" s="37" t="str">
        <f t="shared" si="8"/>
        <v/>
      </c>
      <c r="BB13" s="36">
        <f>[1]BOA!$K13</f>
        <v>0</v>
      </c>
      <c r="BC13" s="31">
        <f t="shared" si="40"/>
        <v>0</v>
      </c>
      <c r="BD13" s="31">
        <f t="shared" si="41"/>
        <v>0</v>
      </c>
      <c r="BE13" s="31">
        <f t="shared" si="42"/>
        <v>0</v>
      </c>
      <c r="BF13" s="31">
        <f t="shared" si="43"/>
        <v>0</v>
      </c>
      <c r="BG13" s="33"/>
      <c r="BH13" s="37" t="str">
        <f t="shared" si="9"/>
        <v/>
      </c>
      <c r="BI13" s="36">
        <f>[1]BOA!$L13</f>
        <v>0</v>
      </c>
      <c r="BJ13" s="31">
        <f t="shared" si="44"/>
        <v>0</v>
      </c>
      <c r="BK13" s="31">
        <f t="shared" si="45"/>
        <v>0</v>
      </c>
      <c r="BL13" s="31">
        <f t="shared" si="46"/>
        <v>0</v>
      </c>
      <c r="BM13" s="31">
        <f t="shared" si="47"/>
        <v>0</v>
      </c>
      <c r="BN13" s="33"/>
      <c r="BO13" s="37" t="str">
        <f t="shared" si="10"/>
        <v/>
      </c>
      <c r="BP13" s="36">
        <f>[1]BOA!$M13</f>
        <v>0</v>
      </c>
      <c r="BQ13" s="31">
        <f t="shared" si="48"/>
        <v>0</v>
      </c>
      <c r="BR13" s="31">
        <f t="shared" si="49"/>
        <v>0</v>
      </c>
      <c r="BS13" s="31">
        <f t="shared" si="50"/>
        <v>0</v>
      </c>
      <c r="BT13" s="31">
        <f t="shared" si="51"/>
        <v>0</v>
      </c>
      <c r="BU13" s="33"/>
      <c r="BV13" s="37" t="str">
        <f t="shared" si="11"/>
        <v/>
      </c>
      <c r="BW13" s="36">
        <f>[1]BOA!$N13</f>
        <v>0</v>
      </c>
      <c r="BX13" s="31">
        <f t="shared" si="52"/>
        <v>0</v>
      </c>
      <c r="BY13" s="31">
        <f t="shared" si="53"/>
        <v>0</v>
      </c>
      <c r="BZ13" s="31">
        <f t="shared" si="54"/>
        <v>0</v>
      </c>
      <c r="CA13" s="31">
        <f t="shared" si="55"/>
        <v>0</v>
      </c>
      <c r="CB13" s="33"/>
      <c r="CC13" s="37" t="str">
        <f t="shared" si="12"/>
        <v/>
      </c>
      <c r="CD13" s="36">
        <f>[1]BOA!$O13</f>
        <v>0</v>
      </c>
      <c r="CE13" s="31">
        <f t="shared" si="56"/>
        <v>0</v>
      </c>
      <c r="CF13" s="31">
        <f t="shared" si="57"/>
        <v>0</v>
      </c>
      <c r="CG13" s="31">
        <f t="shared" si="58"/>
        <v>0</v>
      </c>
      <c r="CH13" s="31">
        <f t="shared" si="59"/>
        <v>0</v>
      </c>
      <c r="CI13" s="33"/>
      <c r="CJ13" s="37" t="str">
        <f t="shared" si="13"/>
        <v/>
      </c>
      <c r="CK13" s="36">
        <f>[1]BOA!$P13</f>
        <v>0</v>
      </c>
      <c r="CL13" s="31">
        <f t="shared" si="60"/>
        <v>0</v>
      </c>
      <c r="CM13" s="31">
        <f t="shared" si="61"/>
        <v>0</v>
      </c>
      <c r="CN13" s="31">
        <f t="shared" si="62"/>
        <v>0</v>
      </c>
      <c r="CO13" s="31">
        <f t="shared" si="63"/>
        <v>0</v>
      </c>
      <c r="CP13" s="33"/>
      <c r="CQ13" s="37" t="str">
        <f t="shared" si="14"/>
        <v/>
      </c>
    </row>
    <row r="14" spans="1:99" s="26" customFormat="1" ht="16" customHeight="1" x14ac:dyDescent="0.2">
      <c r="A14" s="39" t="s">
        <v>38</v>
      </c>
      <c r="B14" s="30">
        <f t="shared" si="0"/>
        <v>77072.75999999998</v>
      </c>
      <c r="C14" s="31">
        <f t="shared" si="0"/>
        <v>67600.517796</v>
      </c>
      <c r="D14" s="32">
        <f t="shared" si="0"/>
        <v>9472.2422039999965</v>
      </c>
      <c r="E14" s="30">
        <f t="shared" si="15"/>
        <v>25690.92</v>
      </c>
      <c r="F14" s="33">
        <f t="shared" si="15"/>
        <v>22533.505932</v>
      </c>
      <c r="G14" s="34">
        <f t="shared" si="15"/>
        <v>3157.4140679999996</v>
      </c>
      <c r="H14" s="31">
        <f t="shared" si="1"/>
        <v>26720.064487999996</v>
      </c>
      <c r="I14" s="33">
        <f t="shared" si="1"/>
        <v>4804.3155120000001</v>
      </c>
      <c r="J14" s="33">
        <f t="shared" si="1"/>
        <v>31524.38</v>
      </c>
      <c r="K14" s="37">
        <f t="shared" si="2"/>
        <v>0.22706310245020433</v>
      </c>
      <c r="L14" s="36">
        <f>[1]BOA!$E14</f>
        <v>6422.73</v>
      </c>
      <c r="M14" s="31">
        <f t="shared" si="16"/>
        <v>5633.376483</v>
      </c>
      <c r="N14" s="31">
        <f t="shared" si="17"/>
        <v>789.3535169999999</v>
      </c>
      <c r="O14" s="31">
        <f t="shared" si="18"/>
        <v>4173.5739240000003</v>
      </c>
      <c r="P14" s="31">
        <f t="shared" si="19"/>
        <v>750.41607599999998</v>
      </c>
      <c r="Q14" s="33">
        <f>4923.99</f>
        <v>4923.99</v>
      </c>
      <c r="R14" s="37">
        <f t="shared" si="3"/>
        <v>-0.233349370127656</v>
      </c>
      <c r="S14" s="36">
        <f>[1]BOA!$F14</f>
        <v>6422.73</v>
      </c>
      <c r="T14" s="31">
        <f t="shared" si="20"/>
        <v>5633.376483</v>
      </c>
      <c r="U14" s="31">
        <f t="shared" si="21"/>
        <v>789.3535169999999</v>
      </c>
      <c r="V14" s="31">
        <f t="shared" si="22"/>
        <v>11931.080355999999</v>
      </c>
      <c r="W14" s="31">
        <f t="shared" si="23"/>
        <v>2145.229644</v>
      </c>
      <c r="X14" s="33">
        <f>14076.31</f>
        <v>14076.31</v>
      </c>
      <c r="Y14" s="37">
        <f t="shared" si="4"/>
        <v>1.1916396921558281</v>
      </c>
      <c r="Z14" s="36">
        <f>[1]BOA!$G14</f>
        <v>6422.73</v>
      </c>
      <c r="AA14" s="31">
        <f t="shared" si="24"/>
        <v>5633.376483</v>
      </c>
      <c r="AB14" s="31">
        <f t="shared" si="25"/>
        <v>789.3535169999999</v>
      </c>
      <c r="AC14" s="31">
        <f t="shared" si="26"/>
        <v>5456.4589040000001</v>
      </c>
      <c r="AD14" s="31">
        <f t="shared" si="27"/>
        <v>981.081096</v>
      </c>
      <c r="AE14" s="33">
        <f>6437.54</f>
        <v>6437.54</v>
      </c>
      <c r="AF14" s="37">
        <f t="shared" si="5"/>
        <v>2.3058730477538703E-3</v>
      </c>
      <c r="AG14" s="36">
        <f>[1]BOA!$H14</f>
        <v>6422.73</v>
      </c>
      <c r="AH14" s="31">
        <f t="shared" si="28"/>
        <v>5633.376483</v>
      </c>
      <c r="AI14" s="31">
        <f t="shared" si="29"/>
        <v>789.3535169999999</v>
      </c>
      <c r="AJ14" s="31">
        <f t="shared" si="30"/>
        <v>5158.9513040000002</v>
      </c>
      <c r="AK14" s="31">
        <f t="shared" si="31"/>
        <v>927.58869600000003</v>
      </c>
      <c r="AL14" s="33">
        <v>6086.54</v>
      </c>
      <c r="AM14" s="37">
        <f t="shared" si="6"/>
        <v>-5.2343785275108856E-2</v>
      </c>
      <c r="AN14" s="36">
        <f>[1]BOA!$I14</f>
        <v>6422.73</v>
      </c>
      <c r="AO14" s="31">
        <f t="shared" si="32"/>
        <v>5633.376483</v>
      </c>
      <c r="AP14" s="31">
        <f t="shared" si="33"/>
        <v>789.3535169999999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[1]BOA!$J14</f>
        <v>6422.73</v>
      </c>
      <c r="AV14" s="31">
        <f t="shared" si="36"/>
        <v>5633.376483</v>
      </c>
      <c r="AW14" s="31">
        <f t="shared" si="37"/>
        <v>789.3535169999999</v>
      </c>
      <c r="AX14" s="31">
        <f t="shared" si="38"/>
        <v>0</v>
      </c>
      <c r="AY14" s="31">
        <f t="shared" si="39"/>
        <v>0</v>
      </c>
      <c r="AZ14" s="158"/>
      <c r="BA14" s="37">
        <f t="shared" si="8"/>
        <v>-1</v>
      </c>
      <c r="BB14" s="36">
        <f>[1]BOA!$K14</f>
        <v>6422.73</v>
      </c>
      <c r="BC14" s="31">
        <f t="shared" si="40"/>
        <v>5633.376483</v>
      </c>
      <c r="BD14" s="31">
        <f t="shared" si="41"/>
        <v>789.3535169999999</v>
      </c>
      <c r="BE14" s="31">
        <f t="shared" si="42"/>
        <v>0</v>
      </c>
      <c r="BF14" s="31">
        <f t="shared" si="43"/>
        <v>0</v>
      </c>
      <c r="BG14" s="33"/>
      <c r="BH14" s="37">
        <f t="shared" si="9"/>
        <v>-1</v>
      </c>
      <c r="BI14" s="36">
        <f>[1]BOA!$L14</f>
        <v>6422.73</v>
      </c>
      <c r="BJ14" s="31">
        <f t="shared" si="44"/>
        <v>5633.376483</v>
      </c>
      <c r="BK14" s="31">
        <f t="shared" si="45"/>
        <v>789.3535169999999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[1]BOA!$M14</f>
        <v>6422.73</v>
      </c>
      <c r="BQ14" s="31">
        <f t="shared" si="48"/>
        <v>5633.376483</v>
      </c>
      <c r="BR14" s="31">
        <f t="shared" si="49"/>
        <v>789.3535169999999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[1]BOA!$N14</f>
        <v>6422.73</v>
      </c>
      <c r="BX14" s="31">
        <f t="shared" si="52"/>
        <v>5633.376483</v>
      </c>
      <c r="BY14" s="31">
        <f t="shared" si="53"/>
        <v>789.3535169999999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[1]BOA!$O14</f>
        <v>6422.73</v>
      </c>
      <c r="CE14" s="31">
        <f t="shared" si="56"/>
        <v>5633.376483</v>
      </c>
      <c r="CF14" s="31">
        <f t="shared" si="57"/>
        <v>789.3535169999999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[1]BOA!$P14</f>
        <v>6422.73</v>
      </c>
      <c r="CL14" s="31">
        <f t="shared" si="60"/>
        <v>5633.376483</v>
      </c>
      <c r="CM14" s="31">
        <f t="shared" si="61"/>
        <v>789.3535169999999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161103.80000000002</v>
      </c>
      <c r="C15" s="31">
        <f t="shared" si="0"/>
        <v>141304.14298</v>
      </c>
      <c r="D15" s="32">
        <f t="shared" si="0"/>
        <v>19799.657019999999</v>
      </c>
      <c r="E15" s="30">
        <f t="shared" si="15"/>
        <v>53354.400000000001</v>
      </c>
      <c r="F15" s="33">
        <f t="shared" si="15"/>
        <v>46797.144240000001</v>
      </c>
      <c r="G15" s="34">
        <f t="shared" si="15"/>
        <v>6557.25576</v>
      </c>
      <c r="H15" s="31">
        <f t="shared" si="1"/>
        <v>53614.666767999995</v>
      </c>
      <c r="I15" s="33">
        <f t="shared" si="1"/>
        <v>9640.0132319999993</v>
      </c>
      <c r="J15" s="33">
        <f t="shared" si="1"/>
        <v>63254.679999999993</v>
      </c>
      <c r="K15" s="37">
        <f t="shared" si="2"/>
        <v>0.1855569550027738</v>
      </c>
      <c r="L15" s="36">
        <f>[1]BOA!$E15</f>
        <v>13338.6</v>
      </c>
      <c r="M15" s="40">
        <f t="shared" si="16"/>
        <v>11699.28606</v>
      </c>
      <c r="N15" s="40">
        <f t="shared" si="17"/>
        <v>1639.31394</v>
      </c>
      <c r="O15" s="40">
        <f t="shared" si="18"/>
        <v>10135.677083999999</v>
      </c>
      <c r="P15" s="40">
        <f t="shared" si="19"/>
        <v>1822.4129159999998</v>
      </c>
      <c r="Q15" s="115">
        <f>916.53+19737.69-(14.08+8682.05)</f>
        <v>11958.089999999998</v>
      </c>
      <c r="R15" s="37">
        <f t="shared" si="3"/>
        <v>-0.10349736853942704</v>
      </c>
      <c r="S15" s="36">
        <f>[1]BOA!$F15</f>
        <v>13338.6</v>
      </c>
      <c r="T15" s="40">
        <f t="shared" si="20"/>
        <v>11699.28606</v>
      </c>
      <c r="U15" s="40">
        <f t="shared" si="21"/>
        <v>1639.31394</v>
      </c>
      <c r="V15" s="40">
        <f t="shared" si="22"/>
        <v>10097.763936000001</v>
      </c>
      <c r="W15" s="40">
        <f t="shared" si="23"/>
        <v>1815.5960640000001</v>
      </c>
      <c r="X15" s="115">
        <f>927.17+116437.84-(31574.22+73877.43)</f>
        <v>11913.36</v>
      </c>
      <c r="Y15" s="37">
        <f t="shared" si="4"/>
        <v>-0.10685079393639507</v>
      </c>
      <c r="Z15" s="36">
        <f>[1]BOA!$G15</f>
        <v>13338.6</v>
      </c>
      <c r="AA15" s="40">
        <f t="shared" si="24"/>
        <v>11699.28606</v>
      </c>
      <c r="AB15" s="40">
        <f t="shared" si="25"/>
        <v>1639.31394</v>
      </c>
      <c r="AC15" s="40">
        <f t="shared" si="26"/>
        <v>15127.880039999998</v>
      </c>
      <c r="AD15" s="40">
        <f t="shared" si="27"/>
        <v>2720.0199599999996</v>
      </c>
      <c r="AE15" s="115">
        <f>916.53+16931.37</f>
        <v>17847.899999999998</v>
      </c>
      <c r="AF15" s="37">
        <f t="shared" si="5"/>
        <v>0.33806396473392986</v>
      </c>
      <c r="AG15" s="36">
        <f>[1]BOA!$H15</f>
        <v>13338.6</v>
      </c>
      <c r="AH15" s="40">
        <f t="shared" si="28"/>
        <v>11699.28606</v>
      </c>
      <c r="AI15" s="40">
        <f t="shared" si="29"/>
        <v>1639.31394</v>
      </c>
      <c r="AJ15" s="40">
        <f t="shared" si="30"/>
        <v>18253.345707999997</v>
      </c>
      <c r="AK15" s="40">
        <f t="shared" si="31"/>
        <v>3281.9842920000001</v>
      </c>
      <c r="AL15" s="115">
        <f>923.32+20612.01</f>
        <v>21535.329999999998</v>
      </c>
      <c r="AM15" s="37">
        <f t="shared" si="6"/>
        <v>0.61451201775298747</v>
      </c>
      <c r="AN15" s="36">
        <f>[1]BOA!$I15</f>
        <v>13338.6</v>
      </c>
      <c r="AO15" s="40">
        <f t="shared" si="32"/>
        <v>11699.28606</v>
      </c>
      <c r="AP15" s="40">
        <f t="shared" si="33"/>
        <v>1639.31394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[1]BOA!$J15</f>
        <v>13338.6</v>
      </c>
      <c r="AV15" s="40">
        <f t="shared" si="36"/>
        <v>11699.28606</v>
      </c>
      <c r="AW15" s="40">
        <f t="shared" si="37"/>
        <v>1639.31394</v>
      </c>
      <c r="AX15" s="40">
        <f t="shared" si="38"/>
        <v>0</v>
      </c>
      <c r="AY15" s="40">
        <f t="shared" si="39"/>
        <v>0</v>
      </c>
      <c r="AZ15" s="159"/>
      <c r="BA15" s="37">
        <f t="shared" si="8"/>
        <v>-1</v>
      </c>
      <c r="BB15" s="36">
        <f>[1]BOA!$K15</f>
        <v>14379.2</v>
      </c>
      <c r="BC15" s="40">
        <f t="shared" si="40"/>
        <v>12611.99632</v>
      </c>
      <c r="BD15" s="40">
        <f t="shared" si="41"/>
        <v>1767.2036800000001</v>
      </c>
      <c r="BE15" s="40">
        <f t="shared" si="42"/>
        <v>0</v>
      </c>
      <c r="BF15" s="40">
        <f t="shared" si="43"/>
        <v>0</v>
      </c>
      <c r="BG15" s="115"/>
      <c r="BH15" s="37">
        <f t="shared" si="9"/>
        <v>-1</v>
      </c>
      <c r="BI15" s="36">
        <f>[1]BOA!$L15</f>
        <v>13338.6</v>
      </c>
      <c r="BJ15" s="40">
        <f t="shared" si="44"/>
        <v>11699.28606</v>
      </c>
      <c r="BK15" s="40">
        <f t="shared" si="45"/>
        <v>1639.31394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[1]BOA!$M15</f>
        <v>13338.6</v>
      </c>
      <c r="BQ15" s="40">
        <f t="shared" si="48"/>
        <v>11699.28606</v>
      </c>
      <c r="BR15" s="40">
        <f t="shared" si="49"/>
        <v>1639.31394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[1]BOA!$N15</f>
        <v>13338.6</v>
      </c>
      <c r="BX15" s="40">
        <f t="shared" si="52"/>
        <v>11699.28606</v>
      </c>
      <c r="BY15" s="40">
        <f t="shared" si="53"/>
        <v>1639.31394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[1]BOA!$O15</f>
        <v>13338.6</v>
      </c>
      <c r="CE15" s="40">
        <f t="shared" si="56"/>
        <v>11699.28606</v>
      </c>
      <c r="CF15" s="40">
        <f t="shared" si="57"/>
        <v>1639.31394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[1]BOA!$P15</f>
        <v>13338.6</v>
      </c>
      <c r="CL15" s="40">
        <f t="shared" si="60"/>
        <v>11699.28606</v>
      </c>
      <c r="CM15" s="40">
        <f t="shared" si="61"/>
        <v>1639.31394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8400</v>
      </c>
      <c r="C16" s="31">
        <f t="shared" si="0"/>
        <v>7367.6400000000021</v>
      </c>
      <c r="D16" s="32">
        <f t="shared" si="0"/>
        <v>1032.3599999999999</v>
      </c>
      <c r="E16" s="30">
        <f t="shared" si="15"/>
        <v>2800</v>
      </c>
      <c r="F16" s="33">
        <f t="shared" si="15"/>
        <v>2455.88</v>
      </c>
      <c r="G16" s="34">
        <f t="shared" si="15"/>
        <v>344.12</v>
      </c>
      <c r="H16" s="31">
        <f t="shared" si="1"/>
        <v>4853.0863680000002</v>
      </c>
      <c r="I16" s="33">
        <f t="shared" si="1"/>
        <v>872.59363200000007</v>
      </c>
      <c r="J16" s="33">
        <f t="shared" si="1"/>
        <v>5725.68</v>
      </c>
      <c r="K16" s="37">
        <f t="shared" si="2"/>
        <v>1.0448857142857144</v>
      </c>
      <c r="L16" s="36">
        <f>[1]BOA!$E16</f>
        <v>700</v>
      </c>
      <c r="M16" s="31">
        <f t="shared" si="16"/>
        <v>613.97</v>
      </c>
      <c r="N16" s="31">
        <f t="shared" si="17"/>
        <v>86.03</v>
      </c>
      <c r="O16" s="31">
        <f t="shared" si="18"/>
        <v>686.22543599999995</v>
      </c>
      <c r="P16" s="31">
        <f t="shared" si="19"/>
        <v>123.38456400000001</v>
      </c>
      <c r="Q16" s="33">
        <f>809.61</f>
        <v>809.61</v>
      </c>
      <c r="R16" s="37">
        <f t="shared" si="3"/>
        <v>0.15658571428571433</v>
      </c>
      <c r="S16" s="36">
        <f>[1]BOA!$F16</f>
        <v>700</v>
      </c>
      <c r="T16" s="31">
        <f t="shared" si="20"/>
        <v>613.97</v>
      </c>
      <c r="U16" s="31">
        <f t="shared" si="21"/>
        <v>86.03</v>
      </c>
      <c r="V16" s="31">
        <f t="shared" si="22"/>
        <v>798.56633999999997</v>
      </c>
      <c r="W16" s="31">
        <f t="shared" si="23"/>
        <v>143.58366000000001</v>
      </c>
      <c r="X16" s="33">
        <f>942.15</f>
        <v>942.15</v>
      </c>
      <c r="Y16" s="37">
        <f t="shared" si="4"/>
        <v>0.34592857142857136</v>
      </c>
      <c r="Z16" s="36">
        <f>[1]BOA!$G16</f>
        <v>700</v>
      </c>
      <c r="AA16" s="31">
        <f t="shared" si="24"/>
        <v>613.97</v>
      </c>
      <c r="AB16" s="31">
        <f t="shared" si="25"/>
        <v>86.03</v>
      </c>
      <c r="AC16" s="31">
        <f t="shared" si="26"/>
        <v>2374.0852199999999</v>
      </c>
      <c r="AD16" s="31">
        <f t="shared" si="27"/>
        <v>426.86478</v>
      </c>
      <c r="AE16" s="33">
        <f>2800.95</f>
        <v>2800.95</v>
      </c>
      <c r="AF16" s="37">
        <f t="shared" si="5"/>
        <v>3.0013571428571426</v>
      </c>
      <c r="AG16" s="36">
        <f>[1]BOA!$H16</f>
        <v>700</v>
      </c>
      <c r="AH16" s="31">
        <f t="shared" si="28"/>
        <v>613.97</v>
      </c>
      <c r="AI16" s="31">
        <f t="shared" si="29"/>
        <v>86.03</v>
      </c>
      <c r="AJ16" s="31">
        <f t="shared" si="30"/>
        <v>994.20937200000003</v>
      </c>
      <c r="AK16" s="31">
        <f t="shared" si="31"/>
        <v>178.76062800000003</v>
      </c>
      <c r="AL16" s="33">
        <f>1172.97</f>
        <v>1172.97</v>
      </c>
      <c r="AM16" s="37">
        <f t="shared" si="6"/>
        <v>0.6756714285714287</v>
      </c>
      <c r="AN16" s="36">
        <f>[1]BOA!$I16</f>
        <v>700</v>
      </c>
      <c r="AO16" s="31">
        <f t="shared" si="32"/>
        <v>613.97</v>
      </c>
      <c r="AP16" s="31">
        <f t="shared" si="33"/>
        <v>86.03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[1]BOA!$J16</f>
        <v>700</v>
      </c>
      <c r="AV16" s="31">
        <f t="shared" si="36"/>
        <v>613.97</v>
      </c>
      <c r="AW16" s="31">
        <f t="shared" si="37"/>
        <v>86.03</v>
      </c>
      <c r="AX16" s="31">
        <f t="shared" si="38"/>
        <v>0</v>
      </c>
      <c r="AY16" s="31">
        <f t="shared" si="39"/>
        <v>0</v>
      </c>
      <c r="AZ16" s="158"/>
      <c r="BA16" s="37">
        <f t="shared" si="8"/>
        <v>-1</v>
      </c>
      <c r="BB16" s="36">
        <f>[1]BOA!$K16</f>
        <v>700</v>
      </c>
      <c r="BC16" s="31">
        <f t="shared" si="40"/>
        <v>613.97</v>
      </c>
      <c r="BD16" s="31">
        <f t="shared" si="41"/>
        <v>86.03</v>
      </c>
      <c r="BE16" s="31">
        <f t="shared" si="42"/>
        <v>0</v>
      </c>
      <c r="BF16" s="31">
        <f t="shared" si="43"/>
        <v>0</v>
      </c>
      <c r="BG16" s="33"/>
      <c r="BH16" s="37">
        <f t="shared" si="9"/>
        <v>-1</v>
      </c>
      <c r="BI16" s="36">
        <f>[1]BOA!$L16</f>
        <v>700</v>
      </c>
      <c r="BJ16" s="31">
        <f t="shared" si="44"/>
        <v>613.97</v>
      </c>
      <c r="BK16" s="31">
        <f t="shared" si="45"/>
        <v>86.03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[1]BOA!$M16</f>
        <v>700</v>
      </c>
      <c r="BQ16" s="31">
        <f t="shared" si="48"/>
        <v>613.97</v>
      </c>
      <c r="BR16" s="31">
        <f t="shared" si="49"/>
        <v>86.03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[1]BOA!$N16</f>
        <v>700</v>
      </c>
      <c r="BX16" s="31">
        <f t="shared" si="52"/>
        <v>613.97</v>
      </c>
      <c r="BY16" s="31">
        <f t="shared" si="53"/>
        <v>86.03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[1]BOA!$O16</f>
        <v>700</v>
      </c>
      <c r="CE16" s="31">
        <f t="shared" si="56"/>
        <v>613.97</v>
      </c>
      <c r="CF16" s="31">
        <f t="shared" si="57"/>
        <v>86.03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[1]BOA!$P16</f>
        <v>700</v>
      </c>
      <c r="CL16" s="31">
        <f t="shared" si="60"/>
        <v>613.97</v>
      </c>
      <c r="CM16" s="31">
        <f t="shared" si="61"/>
        <v>86.03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721224</v>
      </c>
      <c r="C17" s="31">
        <f t="shared" si="0"/>
        <v>632585.57040000008</v>
      </c>
      <c r="D17" s="32">
        <f t="shared" si="0"/>
        <v>88638.429599999989</v>
      </c>
      <c r="E17" s="30">
        <f t="shared" si="15"/>
        <v>240408</v>
      </c>
      <c r="F17" s="33">
        <f t="shared" si="15"/>
        <v>210861.85680000001</v>
      </c>
      <c r="G17" s="34">
        <f t="shared" si="15"/>
        <v>29546.143199999999</v>
      </c>
      <c r="H17" s="31">
        <f t="shared" si="1"/>
        <v>208313.39755200001</v>
      </c>
      <c r="I17" s="33">
        <f t="shared" si="1"/>
        <v>37455.122448000002</v>
      </c>
      <c r="J17" s="33">
        <f t="shared" si="1"/>
        <v>245768.52000000002</v>
      </c>
      <c r="K17" s="37">
        <f t="shared" si="2"/>
        <v>2.2297594090046946E-2</v>
      </c>
      <c r="L17" s="36">
        <f>[1]BOA!$E17</f>
        <v>60102</v>
      </c>
      <c r="M17" s="31">
        <f t="shared" si="16"/>
        <v>52715.464200000002</v>
      </c>
      <c r="N17" s="31">
        <f t="shared" si="17"/>
        <v>7386.5357999999997</v>
      </c>
      <c r="O17" s="31">
        <f t="shared" si="18"/>
        <v>30810.310855999996</v>
      </c>
      <c r="P17" s="31">
        <f t="shared" si="19"/>
        <v>5539.7491440000003</v>
      </c>
      <c r="Q17" s="33">
        <f>36350.06</f>
        <v>36350.06</v>
      </c>
      <c r="R17" s="37">
        <f t="shared" si="3"/>
        <v>-0.39519383714352274</v>
      </c>
      <c r="S17" s="36">
        <f>[1]BOA!$F17</f>
        <v>60102</v>
      </c>
      <c r="T17" s="31">
        <f t="shared" si="20"/>
        <v>52715.464200000002</v>
      </c>
      <c r="U17" s="31">
        <f t="shared" si="21"/>
        <v>7386.5357999999997</v>
      </c>
      <c r="V17" s="31">
        <f t="shared" si="22"/>
        <v>37432.084144</v>
      </c>
      <c r="W17" s="31">
        <f t="shared" si="23"/>
        <v>6730.355856000001</v>
      </c>
      <c r="X17" s="33">
        <v>44162.44</v>
      </c>
      <c r="Y17" s="37">
        <f t="shared" si="4"/>
        <v>-0.26520847891917065</v>
      </c>
      <c r="Z17" s="36">
        <f>[1]BOA!$G17</f>
        <v>60102</v>
      </c>
      <c r="AA17" s="31">
        <f t="shared" si="24"/>
        <v>52715.464200000002</v>
      </c>
      <c r="AB17" s="31">
        <f t="shared" si="25"/>
        <v>7386.5357999999997</v>
      </c>
      <c r="AC17" s="31">
        <f t="shared" si="26"/>
        <v>38743.440008000005</v>
      </c>
      <c r="AD17" s="31">
        <f t="shared" si="27"/>
        <v>6966.1399920000003</v>
      </c>
      <c r="AE17" s="33">
        <v>45709.58</v>
      </c>
      <c r="AF17" s="37">
        <f t="shared" si="5"/>
        <v>-0.23946657349173073</v>
      </c>
      <c r="AG17" s="36">
        <f>[1]BOA!$H17</f>
        <v>60102</v>
      </c>
      <c r="AH17" s="31">
        <f t="shared" si="28"/>
        <v>52715.464200000002</v>
      </c>
      <c r="AI17" s="31">
        <f t="shared" si="29"/>
        <v>7386.5357999999997</v>
      </c>
      <c r="AJ17" s="31">
        <f t="shared" si="30"/>
        <v>101327.562544</v>
      </c>
      <c r="AK17" s="31">
        <f t="shared" si="31"/>
        <v>18218.877456000002</v>
      </c>
      <c r="AL17" s="27">
        <v>119546.44</v>
      </c>
      <c r="AM17" s="37">
        <f t="shared" si="6"/>
        <v>0.9890592659146118</v>
      </c>
      <c r="AN17" s="36">
        <f>[1]BOA!$I17</f>
        <v>60102</v>
      </c>
      <c r="AO17" s="31">
        <f t="shared" si="32"/>
        <v>52715.464200000002</v>
      </c>
      <c r="AP17" s="31">
        <f t="shared" si="33"/>
        <v>7386.5357999999997</v>
      </c>
      <c r="AQ17" s="31">
        <f t="shared" si="34"/>
        <v>0</v>
      </c>
      <c r="AR17" s="31">
        <f t="shared" si="35"/>
        <v>0</v>
      </c>
      <c r="AS17" s="33"/>
      <c r="AT17" s="37">
        <f t="shared" si="7"/>
        <v>-1</v>
      </c>
      <c r="AU17" s="36">
        <f>[1]BOA!$J17</f>
        <v>60102</v>
      </c>
      <c r="AV17" s="31">
        <f t="shared" si="36"/>
        <v>52715.464200000002</v>
      </c>
      <c r="AW17" s="31">
        <f t="shared" si="37"/>
        <v>7386.5357999999997</v>
      </c>
      <c r="AX17" s="31">
        <f t="shared" si="38"/>
        <v>0</v>
      </c>
      <c r="AY17" s="31">
        <f t="shared" si="39"/>
        <v>0</v>
      </c>
      <c r="AZ17" s="158"/>
      <c r="BA17" s="37">
        <f t="shared" si="8"/>
        <v>-1</v>
      </c>
      <c r="BB17" s="36">
        <f>[1]BOA!$K17</f>
        <v>60102</v>
      </c>
      <c r="BC17" s="31">
        <f t="shared" si="40"/>
        <v>52715.464200000002</v>
      </c>
      <c r="BD17" s="31">
        <f t="shared" si="41"/>
        <v>7386.5357999999997</v>
      </c>
      <c r="BE17" s="31">
        <f t="shared" si="42"/>
        <v>0</v>
      </c>
      <c r="BF17" s="31">
        <f t="shared" si="43"/>
        <v>0</v>
      </c>
      <c r="BG17" s="33"/>
      <c r="BH17" s="37">
        <f t="shared" si="9"/>
        <v>-1</v>
      </c>
      <c r="BI17" s="36">
        <f>[1]BOA!$L17</f>
        <v>60102</v>
      </c>
      <c r="BJ17" s="31">
        <f t="shared" si="44"/>
        <v>52715.464200000002</v>
      </c>
      <c r="BK17" s="31">
        <f t="shared" si="45"/>
        <v>7386.5357999999997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[1]BOA!$M17</f>
        <v>60102</v>
      </c>
      <c r="BQ17" s="31">
        <f t="shared" si="48"/>
        <v>52715.464200000002</v>
      </c>
      <c r="BR17" s="31">
        <f t="shared" si="49"/>
        <v>7386.5357999999997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[1]BOA!$N17</f>
        <v>60102</v>
      </c>
      <c r="BX17" s="31">
        <f t="shared" si="52"/>
        <v>52715.464200000002</v>
      </c>
      <c r="BY17" s="31">
        <f t="shared" si="53"/>
        <v>7386.5357999999997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[1]BOA!$O17</f>
        <v>60102</v>
      </c>
      <c r="CE17" s="31">
        <f t="shared" si="56"/>
        <v>52715.464200000002</v>
      </c>
      <c r="CF17" s="31">
        <f t="shared" si="57"/>
        <v>7386.5357999999997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[1]BOA!$P17</f>
        <v>60102</v>
      </c>
      <c r="CL17" s="31">
        <f t="shared" si="60"/>
        <v>52715.464200000002</v>
      </c>
      <c r="CM17" s="31">
        <f t="shared" si="61"/>
        <v>7386.5357999999997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112083.99999999999</v>
      </c>
      <c r="C18" s="31">
        <f t="shared" si="0"/>
        <v>98308.876399999994</v>
      </c>
      <c r="D18" s="32">
        <f t="shared" si="0"/>
        <v>13775.123599999997</v>
      </c>
      <c r="E18" s="30">
        <f t="shared" si="15"/>
        <v>37361.333333333336</v>
      </c>
      <c r="F18" s="33">
        <f t="shared" si="15"/>
        <v>32769.625466666672</v>
      </c>
      <c r="G18" s="34">
        <f t="shared" si="15"/>
        <v>4591.7078666666666</v>
      </c>
      <c r="H18" s="31">
        <f t="shared" si="1"/>
        <v>38972.809043999994</v>
      </c>
      <c r="I18" s="33">
        <f t="shared" si="1"/>
        <v>7007.380956</v>
      </c>
      <c r="J18" s="33">
        <f t="shared" si="1"/>
        <v>45980.19</v>
      </c>
      <c r="K18" s="37">
        <f t="shared" si="2"/>
        <v>0.23068921523143349</v>
      </c>
      <c r="L18" s="36">
        <f>[1]BOA!$E18</f>
        <v>9340.3333333333339</v>
      </c>
      <c r="M18" s="31">
        <f t="shared" si="16"/>
        <v>8192.406366666668</v>
      </c>
      <c r="N18" s="31">
        <f t="shared" si="17"/>
        <v>1147.9269666666667</v>
      </c>
      <c r="O18" s="31">
        <f t="shared" si="18"/>
        <v>14186.899947999998</v>
      </c>
      <c r="P18" s="31">
        <f t="shared" si="19"/>
        <v>2550.8300520000003</v>
      </c>
      <c r="Q18" s="33">
        <v>16737.73</v>
      </c>
      <c r="R18" s="37">
        <f t="shared" si="3"/>
        <v>0.79198422611612695</v>
      </c>
      <c r="S18" s="36">
        <f>[1]BOA!$F18</f>
        <v>9340.3333333333339</v>
      </c>
      <c r="T18" s="31">
        <f t="shared" si="20"/>
        <v>8192.406366666668</v>
      </c>
      <c r="U18" s="31">
        <f t="shared" si="21"/>
        <v>1147.9269666666667</v>
      </c>
      <c r="V18" s="31">
        <f t="shared" si="22"/>
        <v>24785.909095999999</v>
      </c>
      <c r="W18" s="31">
        <f t="shared" si="23"/>
        <v>4456.5509039999997</v>
      </c>
      <c r="X18" s="33">
        <v>29242.46</v>
      </c>
      <c r="Y18" s="37">
        <f t="shared" si="4"/>
        <v>2.130772634809607</v>
      </c>
      <c r="Z18" s="36">
        <f>[1]BOA!$G18</f>
        <v>9340.3333333333339</v>
      </c>
      <c r="AA18" s="31">
        <f t="shared" si="24"/>
        <v>8192.406366666668</v>
      </c>
      <c r="AB18" s="31">
        <f t="shared" si="25"/>
        <v>1147.9269666666667</v>
      </c>
      <c r="AC18" s="31">
        <f t="shared" si="26"/>
        <v>0</v>
      </c>
      <c r="AD18" s="31">
        <f t="shared" si="27"/>
        <v>0</v>
      </c>
      <c r="AE18" s="33"/>
      <c r="AF18" s="37">
        <f t="shared" si="5"/>
        <v>-1</v>
      </c>
      <c r="AG18" s="36">
        <f>[1]BOA!$H18</f>
        <v>9340.3333333333339</v>
      </c>
      <c r="AH18" s="31">
        <f t="shared" si="28"/>
        <v>8192.406366666668</v>
      </c>
      <c r="AI18" s="31">
        <f t="shared" si="29"/>
        <v>1147.9269666666667</v>
      </c>
      <c r="AJ18" s="31">
        <f t="shared" si="30"/>
        <v>0</v>
      </c>
      <c r="AK18" s="31">
        <f t="shared" si="31"/>
        <v>0</v>
      </c>
      <c r="AL18" s="27"/>
      <c r="AM18" s="37">
        <f t="shared" si="6"/>
        <v>-1</v>
      </c>
      <c r="AN18" s="36">
        <f>[1]BOA!$I18</f>
        <v>9340.3333333333339</v>
      </c>
      <c r="AO18" s="31">
        <f t="shared" si="32"/>
        <v>8192.406366666668</v>
      </c>
      <c r="AP18" s="31">
        <f t="shared" si="33"/>
        <v>1147.9269666666667</v>
      </c>
      <c r="AQ18" s="31">
        <f t="shared" si="34"/>
        <v>0</v>
      </c>
      <c r="AR18" s="31">
        <f t="shared" si="35"/>
        <v>0</v>
      </c>
      <c r="AS18" s="33"/>
      <c r="AT18" s="37">
        <f t="shared" si="7"/>
        <v>-1</v>
      </c>
      <c r="AU18" s="36">
        <f>[1]BOA!$J18</f>
        <v>9340.3333333333339</v>
      </c>
      <c r="AV18" s="31">
        <f t="shared" si="36"/>
        <v>8192.406366666668</v>
      </c>
      <c r="AW18" s="31">
        <f t="shared" si="37"/>
        <v>1147.9269666666667</v>
      </c>
      <c r="AX18" s="31">
        <f t="shared" si="38"/>
        <v>0</v>
      </c>
      <c r="AY18" s="31">
        <f t="shared" si="39"/>
        <v>0</v>
      </c>
      <c r="AZ18" s="158"/>
      <c r="BA18" s="37">
        <f t="shared" si="8"/>
        <v>-1</v>
      </c>
      <c r="BB18" s="36">
        <f>[1]BOA!$K18</f>
        <v>9340.3333333333339</v>
      </c>
      <c r="BC18" s="31">
        <f t="shared" si="40"/>
        <v>8192.406366666668</v>
      </c>
      <c r="BD18" s="31">
        <f t="shared" si="41"/>
        <v>1147.9269666666667</v>
      </c>
      <c r="BE18" s="31">
        <f t="shared" si="42"/>
        <v>0</v>
      </c>
      <c r="BF18" s="31">
        <f t="shared" si="43"/>
        <v>0</v>
      </c>
      <c r="BG18" s="33"/>
      <c r="BH18" s="37">
        <f t="shared" si="9"/>
        <v>-1</v>
      </c>
      <c r="BI18" s="36">
        <f>[1]BOA!$L18</f>
        <v>9340.3333333333339</v>
      </c>
      <c r="BJ18" s="31">
        <f t="shared" si="44"/>
        <v>8192.406366666668</v>
      </c>
      <c r="BK18" s="31">
        <f t="shared" si="45"/>
        <v>1147.9269666666667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[1]BOA!$M18</f>
        <v>9340.3333333333339</v>
      </c>
      <c r="BQ18" s="31">
        <f t="shared" si="48"/>
        <v>8192.406366666668</v>
      </c>
      <c r="BR18" s="31">
        <f t="shared" si="49"/>
        <v>1147.9269666666667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[1]BOA!$N18</f>
        <v>9340.3333333333339</v>
      </c>
      <c r="BX18" s="31">
        <f t="shared" si="52"/>
        <v>8192.406366666668</v>
      </c>
      <c r="BY18" s="31">
        <f t="shared" si="53"/>
        <v>1147.9269666666667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[1]BOA!$O18</f>
        <v>9340.3333333333339</v>
      </c>
      <c r="CE18" s="31">
        <f t="shared" si="56"/>
        <v>8192.406366666668</v>
      </c>
      <c r="CF18" s="31">
        <f t="shared" si="57"/>
        <v>1147.9269666666667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[1]BOA!$P18</f>
        <v>9340.3333333333339</v>
      </c>
      <c r="CL18" s="31">
        <f t="shared" si="60"/>
        <v>8192.406366666668</v>
      </c>
      <c r="CM18" s="31">
        <f t="shared" si="61"/>
        <v>1147.9269666666667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35000.000000000007</v>
      </c>
      <c r="C19" s="31">
        <f t="shared" si="0"/>
        <v>30698.499999999989</v>
      </c>
      <c r="D19" s="32">
        <f t="shared" si="0"/>
        <v>4301.5000000000009</v>
      </c>
      <c r="E19" s="30">
        <f t="shared" si="15"/>
        <v>11666.666666666666</v>
      </c>
      <c r="F19" s="33">
        <f t="shared" si="15"/>
        <v>10232.833333333332</v>
      </c>
      <c r="G19" s="34">
        <f t="shared" si="15"/>
        <v>1433.8333333333333</v>
      </c>
      <c r="H19" s="31">
        <f t="shared" si="1"/>
        <v>11238.167356</v>
      </c>
      <c r="I19" s="33">
        <f t="shared" si="1"/>
        <v>2020.642644</v>
      </c>
      <c r="J19" s="33">
        <f t="shared" si="1"/>
        <v>13258.810000000001</v>
      </c>
      <c r="K19" s="37">
        <f t="shared" si="2"/>
        <v>0.13646942857142874</v>
      </c>
      <c r="L19" s="36">
        <f>[1]BOA!$E19</f>
        <v>2916.6666666666665</v>
      </c>
      <c r="M19" s="31">
        <f t="shared" si="16"/>
        <v>2558.208333333333</v>
      </c>
      <c r="N19" s="31">
        <f t="shared" si="17"/>
        <v>358.45833333333331</v>
      </c>
      <c r="O19" s="31">
        <f t="shared" si="18"/>
        <v>3847.7141039999997</v>
      </c>
      <c r="P19" s="31">
        <f t="shared" si="19"/>
        <v>691.82589600000006</v>
      </c>
      <c r="Q19" s="33">
        <v>4539.54</v>
      </c>
      <c r="R19" s="37">
        <f t="shared" si="3"/>
        <v>0.5564137142857144</v>
      </c>
      <c r="S19" s="36">
        <f>[1]BOA!$F19</f>
        <v>2916.6666666666665</v>
      </c>
      <c r="T19" s="31">
        <f t="shared" si="20"/>
        <v>2558.208333333333</v>
      </c>
      <c r="U19" s="31">
        <f t="shared" si="21"/>
        <v>358.45833333333331</v>
      </c>
      <c r="V19" s="31">
        <f t="shared" si="22"/>
        <v>2110.8545639999998</v>
      </c>
      <c r="W19" s="31">
        <f t="shared" si="23"/>
        <v>379.535436</v>
      </c>
      <c r="X19" s="33">
        <v>2490.39</v>
      </c>
      <c r="Y19" s="37">
        <f t="shared" si="4"/>
        <v>-0.14615199999999995</v>
      </c>
      <c r="Z19" s="36">
        <f>[1]BOA!$G19</f>
        <v>2916.6666666666665</v>
      </c>
      <c r="AA19" s="31">
        <f t="shared" si="24"/>
        <v>2558.208333333333</v>
      </c>
      <c r="AB19" s="31">
        <f t="shared" si="25"/>
        <v>358.45833333333331</v>
      </c>
      <c r="AC19" s="31">
        <f t="shared" si="26"/>
        <v>516.1884</v>
      </c>
      <c r="AD19" s="31">
        <f t="shared" si="27"/>
        <v>92.811599999999999</v>
      </c>
      <c r="AE19" s="33">
        <v>609</v>
      </c>
      <c r="AF19" s="37">
        <f t="shared" si="5"/>
        <v>-0.79120000000000001</v>
      </c>
      <c r="AG19" s="36">
        <f>[1]BOA!$H19</f>
        <v>2916.6666666666665</v>
      </c>
      <c r="AH19" s="31">
        <f t="shared" si="28"/>
        <v>2558.208333333333</v>
      </c>
      <c r="AI19" s="31">
        <f t="shared" si="29"/>
        <v>358.45833333333331</v>
      </c>
      <c r="AJ19" s="31">
        <f t="shared" si="30"/>
        <v>4763.410288</v>
      </c>
      <c r="AK19" s="31">
        <f t="shared" si="31"/>
        <v>856.46971200000007</v>
      </c>
      <c r="AL19" s="27">
        <v>5619.88</v>
      </c>
      <c r="AM19" s="37">
        <f t="shared" si="6"/>
        <v>0.92681600000000008</v>
      </c>
      <c r="AN19" s="36">
        <f>[1]BOA!$I19</f>
        <v>2916.6666666666665</v>
      </c>
      <c r="AO19" s="31">
        <f t="shared" si="32"/>
        <v>2558.208333333333</v>
      </c>
      <c r="AP19" s="31">
        <f t="shared" si="33"/>
        <v>358.45833333333331</v>
      </c>
      <c r="AQ19" s="31">
        <f t="shared" si="34"/>
        <v>0</v>
      </c>
      <c r="AR19" s="31">
        <f t="shared" si="35"/>
        <v>0</v>
      </c>
      <c r="AS19" s="33"/>
      <c r="AT19" s="37">
        <f t="shared" si="7"/>
        <v>-1</v>
      </c>
      <c r="AU19" s="36">
        <f>[1]BOA!$J19</f>
        <v>2916.6666666666665</v>
      </c>
      <c r="AV19" s="31">
        <f t="shared" si="36"/>
        <v>2558.208333333333</v>
      </c>
      <c r="AW19" s="31">
        <f t="shared" si="37"/>
        <v>358.45833333333331</v>
      </c>
      <c r="AX19" s="31">
        <f t="shared" si="38"/>
        <v>0</v>
      </c>
      <c r="AY19" s="31">
        <f t="shared" si="39"/>
        <v>0</v>
      </c>
      <c r="AZ19" s="158"/>
      <c r="BA19" s="37">
        <f t="shared" si="8"/>
        <v>-1</v>
      </c>
      <c r="BB19" s="36">
        <f>[1]BOA!$K19</f>
        <v>2916.6666666666665</v>
      </c>
      <c r="BC19" s="31">
        <f t="shared" si="40"/>
        <v>2558.208333333333</v>
      </c>
      <c r="BD19" s="31">
        <f t="shared" si="41"/>
        <v>358.45833333333331</v>
      </c>
      <c r="BE19" s="31">
        <f t="shared" si="42"/>
        <v>0</v>
      </c>
      <c r="BF19" s="31">
        <f t="shared" si="43"/>
        <v>0</v>
      </c>
      <c r="BG19" s="33"/>
      <c r="BH19" s="37">
        <f t="shared" si="9"/>
        <v>-1</v>
      </c>
      <c r="BI19" s="36">
        <f>[1]BOA!$L19</f>
        <v>2916.6666666666665</v>
      </c>
      <c r="BJ19" s="31">
        <f t="shared" si="44"/>
        <v>2558.208333333333</v>
      </c>
      <c r="BK19" s="31">
        <f t="shared" si="45"/>
        <v>358.45833333333331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[1]BOA!$M19</f>
        <v>2916.6666666666665</v>
      </c>
      <c r="BQ19" s="31">
        <f t="shared" si="48"/>
        <v>2558.208333333333</v>
      </c>
      <c r="BR19" s="31">
        <f t="shared" si="49"/>
        <v>358.45833333333331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[1]BOA!$N19</f>
        <v>2916.6666666666665</v>
      </c>
      <c r="BX19" s="31">
        <f t="shared" si="52"/>
        <v>2558.208333333333</v>
      </c>
      <c r="BY19" s="31">
        <f t="shared" si="53"/>
        <v>358.45833333333331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[1]BOA!$O19</f>
        <v>2916.6666666666665</v>
      </c>
      <c r="CE19" s="31">
        <f t="shared" si="56"/>
        <v>2558.208333333333</v>
      </c>
      <c r="CF19" s="31">
        <f t="shared" si="57"/>
        <v>358.45833333333331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[1]BOA!$P19</f>
        <v>2916.6666666666665</v>
      </c>
      <c r="CL19" s="31">
        <f t="shared" si="60"/>
        <v>2558.208333333333</v>
      </c>
      <c r="CM19" s="31">
        <f t="shared" si="61"/>
        <v>358.45833333333331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1090448.5700571425</v>
      </c>
      <c r="C20" s="31">
        <f t="shared" si="0"/>
        <v>956432.44079711975</v>
      </c>
      <c r="D20" s="32">
        <f t="shared" si="0"/>
        <v>134016.12926002278</v>
      </c>
      <c r="E20" s="30">
        <f t="shared" si="15"/>
        <v>508072.99254857103</v>
      </c>
      <c r="F20" s="33">
        <f t="shared" si="15"/>
        <v>445630.82176435163</v>
      </c>
      <c r="G20" s="34">
        <f t="shared" si="15"/>
        <v>62442.170784219379</v>
      </c>
      <c r="H20" s="31">
        <f t="shared" si="1"/>
        <v>321249.43541600002</v>
      </c>
      <c r="I20" s="33">
        <f t="shared" si="1"/>
        <v>57761.224584000011</v>
      </c>
      <c r="J20" s="33">
        <f t="shared" si="1"/>
        <v>379010.66000000003</v>
      </c>
      <c r="K20" s="37">
        <f t="shared" si="2"/>
        <v>-0.25402321013202223</v>
      </c>
      <c r="L20" s="36">
        <f>[1]BOA!$E20</f>
        <v>0</v>
      </c>
      <c r="M20" s="31">
        <f t="shared" si="16"/>
        <v>0</v>
      </c>
      <c r="N20" s="31">
        <f t="shared" si="17"/>
        <v>0</v>
      </c>
      <c r="O20" s="31">
        <f t="shared" si="18"/>
        <v>19388.256679999999</v>
      </c>
      <c r="P20" s="31">
        <f t="shared" si="19"/>
        <v>3486.0433200000002</v>
      </c>
      <c r="Q20" s="33">
        <v>22874.3</v>
      </c>
      <c r="R20" s="37" t="str">
        <f t="shared" si="3"/>
        <v/>
      </c>
      <c r="S20" s="36">
        <f>[1]BOA!$F20</f>
        <v>0</v>
      </c>
      <c r="T20" s="31">
        <f t="shared" si="20"/>
        <v>0</v>
      </c>
      <c r="U20" s="31">
        <f t="shared" si="21"/>
        <v>0</v>
      </c>
      <c r="V20" s="31">
        <f t="shared" si="22"/>
        <v>3104.7672760000019</v>
      </c>
      <c r="W20" s="31">
        <f t="shared" si="23"/>
        <v>558.24272400000029</v>
      </c>
      <c r="X20" s="33">
        <f>34993.01-31330</f>
        <v>3663.010000000002</v>
      </c>
      <c r="Y20" s="37" t="str">
        <f t="shared" si="4"/>
        <v/>
      </c>
      <c r="Z20" s="36">
        <f>[1]BOA!$G20</f>
        <v>508072.99254857103</v>
      </c>
      <c r="AA20" s="31">
        <f t="shared" si="24"/>
        <v>445630.82176435163</v>
      </c>
      <c r="AB20" s="31">
        <f t="shared" si="25"/>
        <v>62442.170784219379</v>
      </c>
      <c r="AC20" s="31">
        <f t="shared" si="26"/>
        <v>245451.72048799999</v>
      </c>
      <c r="AD20" s="31">
        <f t="shared" si="27"/>
        <v>44132.659512000006</v>
      </c>
      <c r="AE20" s="33">
        <f>289584.38</f>
        <v>289584.38</v>
      </c>
      <c r="AF20" s="37">
        <f t="shared" si="5"/>
        <v>-0.43003390409043207</v>
      </c>
      <c r="AG20" s="36">
        <f>[1]BOA!$H20</f>
        <v>0</v>
      </c>
      <c r="AH20" s="31">
        <f t="shared" si="28"/>
        <v>0</v>
      </c>
      <c r="AI20" s="31">
        <f t="shared" si="29"/>
        <v>0</v>
      </c>
      <c r="AJ20" s="31">
        <f t="shared" si="30"/>
        <v>53304.690971999997</v>
      </c>
      <c r="AK20" s="31">
        <f t="shared" si="31"/>
        <v>9584.2790280000008</v>
      </c>
      <c r="AL20" s="27">
        <f>62888.97</f>
        <v>62888.97</v>
      </c>
      <c r="AM20" s="37" t="str">
        <f t="shared" si="6"/>
        <v/>
      </c>
      <c r="AN20" s="36">
        <f>[1]BOA!$I20</f>
        <v>13140.573119999999</v>
      </c>
      <c r="AO20" s="31">
        <f t="shared" si="32"/>
        <v>11525.596683551999</v>
      </c>
      <c r="AP20" s="31">
        <f t="shared" si="33"/>
        <v>1614.9764364479997</v>
      </c>
      <c r="AQ20" s="31">
        <f t="shared" si="34"/>
        <v>0</v>
      </c>
      <c r="AR20" s="31">
        <f t="shared" si="35"/>
        <v>0</v>
      </c>
      <c r="AS20" s="33"/>
      <c r="AT20" s="37">
        <f t="shared" si="7"/>
        <v>-1</v>
      </c>
      <c r="AU20" s="36">
        <f>[1]BOA!$J20</f>
        <v>13140.573119999999</v>
      </c>
      <c r="AV20" s="31">
        <f t="shared" si="36"/>
        <v>11525.596683551999</v>
      </c>
      <c r="AW20" s="31">
        <f t="shared" si="37"/>
        <v>1614.9764364479997</v>
      </c>
      <c r="AX20" s="31">
        <f t="shared" si="38"/>
        <v>0</v>
      </c>
      <c r="AY20" s="31">
        <f t="shared" si="39"/>
        <v>0</v>
      </c>
      <c r="AZ20" s="158"/>
      <c r="BA20" s="37">
        <f t="shared" si="8"/>
        <v>-1</v>
      </c>
      <c r="BB20" s="36">
        <f>[1]BOA!$K20</f>
        <v>239828.57311999999</v>
      </c>
      <c r="BC20" s="31">
        <f t="shared" si="40"/>
        <v>210353.641483552</v>
      </c>
      <c r="BD20" s="31">
        <f t="shared" si="41"/>
        <v>29474.931636447996</v>
      </c>
      <c r="BE20" s="31">
        <f t="shared" si="42"/>
        <v>0</v>
      </c>
      <c r="BF20" s="31">
        <f t="shared" si="43"/>
        <v>0</v>
      </c>
      <c r="BG20" s="33"/>
      <c r="BH20" s="37">
        <f t="shared" si="9"/>
        <v>-1</v>
      </c>
      <c r="BI20" s="36">
        <f>[1]BOA!$L20</f>
        <v>34738.565668571398</v>
      </c>
      <c r="BJ20" s="31">
        <f t="shared" si="44"/>
        <v>30469.195947903972</v>
      </c>
      <c r="BK20" s="31">
        <f t="shared" si="45"/>
        <v>4269.3697206674251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[1]BOA!$M20</f>
        <v>242105.57311999999</v>
      </c>
      <c r="BQ20" s="31">
        <f t="shared" si="48"/>
        <v>212350.79818355199</v>
      </c>
      <c r="BR20" s="31">
        <f t="shared" si="49"/>
        <v>29754.774936447997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[1]BOA!$N20</f>
        <v>13140.573119999999</v>
      </c>
      <c r="BX20" s="31">
        <f t="shared" si="52"/>
        <v>11525.596683551999</v>
      </c>
      <c r="BY20" s="31">
        <f t="shared" si="53"/>
        <v>1614.9764364479997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[1]BOA!$O20</f>
        <v>13140.573119999999</v>
      </c>
      <c r="CE20" s="31">
        <f t="shared" si="56"/>
        <v>11525.596683551999</v>
      </c>
      <c r="CF20" s="31">
        <f t="shared" si="57"/>
        <v>1614.9764364479997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[1]BOA!$P20</f>
        <v>13140.573119999999</v>
      </c>
      <c r="CL20" s="31">
        <f t="shared" si="60"/>
        <v>11525.596683551999</v>
      </c>
      <c r="CM20" s="31">
        <f t="shared" si="61"/>
        <v>1614.9764364479997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73616.804999999993</v>
      </c>
      <c r="C21" s="31">
        <f t="shared" si="0"/>
        <v>64569.299665499995</v>
      </c>
      <c r="D21" s="32">
        <f t="shared" si="0"/>
        <v>9047.5053344999997</v>
      </c>
      <c r="E21" s="30">
        <f t="shared" si="15"/>
        <v>73616.804999999993</v>
      </c>
      <c r="F21" s="33">
        <f t="shared" si="15"/>
        <v>64569.299665499995</v>
      </c>
      <c r="G21" s="34">
        <f t="shared" si="15"/>
        <v>9047.5053344999997</v>
      </c>
      <c r="H21" s="31">
        <f t="shared" si="1"/>
        <v>28123.367999999999</v>
      </c>
      <c r="I21" s="33">
        <f t="shared" si="1"/>
        <v>5056.6320000000005</v>
      </c>
      <c r="J21" s="33">
        <f t="shared" si="1"/>
        <v>33180</v>
      </c>
      <c r="K21" s="37">
        <f t="shared" si="2"/>
        <v>-0.54928769321080961</v>
      </c>
      <c r="L21" s="36">
        <f>[1]BOA!$E21</f>
        <v>73616.804999999993</v>
      </c>
      <c r="M21" s="31">
        <f t="shared" si="16"/>
        <v>64569.299665499995</v>
      </c>
      <c r="N21" s="31">
        <f t="shared" si="17"/>
        <v>9047.5053344999997</v>
      </c>
      <c r="O21" s="31">
        <f t="shared" si="18"/>
        <v>20161.013599999998</v>
      </c>
      <c r="P21" s="31">
        <f t="shared" si="19"/>
        <v>3624.9864000000002</v>
      </c>
      <c r="Q21" s="33">
        <f>23786</f>
        <v>23786</v>
      </c>
      <c r="R21" s="37">
        <f t="shared" si="3"/>
        <v>-0.6768944264831922</v>
      </c>
      <c r="S21" s="36">
        <f>[1]BOA!$F21</f>
        <v>0</v>
      </c>
      <c r="T21" s="31">
        <f t="shared" si="20"/>
        <v>0</v>
      </c>
      <c r="U21" s="31">
        <f t="shared" si="21"/>
        <v>0</v>
      </c>
      <c r="V21" s="31">
        <f t="shared" si="22"/>
        <v>7962.3544000000002</v>
      </c>
      <c r="W21" s="31">
        <f t="shared" si="23"/>
        <v>1431.6456000000001</v>
      </c>
      <c r="X21" s="33">
        <v>9394</v>
      </c>
      <c r="Y21" s="37" t="str">
        <f t="shared" si="4"/>
        <v/>
      </c>
      <c r="Z21" s="36">
        <f>[1]BOA!$G21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33"/>
      <c r="AF21" s="37" t="str">
        <f t="shared" si="5"/>
        <v/>
      </c>
      <c r="AG21" s="36">
        <f>[1]BOA!$H21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27"/>
      <c r="AM21" s="37" t="str">
        <f t="shared" si="6"/>
        <v/>
      </c>
      <c r="AN21" s="36">
        <f>[1]BOA!$I21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7"/>
        <v/>
      </c>
      <c r="AU21" s="36">
        <f>[1]BOA!$J21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158"/>
      <c r="BA21" s="37" t="str">
        <f t="shared" si="8"/>
        <v/>
      </c>
      <c r="BB21" s="36">
        <f>[1]BOA!$K21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33"/>
      <c r="BH21" s="37" t="str">
        <f t="shared" si="9"/>
        <v/>
      </c>
      <c r="BI21" s="36">
        <f>[1]BOA!$L21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[1]BOA!$M21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[1]BOA!$N21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[1]BOA!$O21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[1]BOA!$P21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332784.1919999987</v>
      </c>
      <c r="C22" s="31">
        <f t="shared" si="0"/>
        <v>291885.01480319892</v>
      </c>
      <c r="D22" s="32">
        <f t="shared" si="0"/>
        <v>40899.177196799857</v>
      </c>
      <c r="E22" s="30">
        <f t="shared" si="15"/>
        <v>110928.06399999961</v>
      </c>
      <c r="F22" s="33">
        <f t="shared" si="15"/>
        <v>97295.004934399651</v>
      </c>
      <c r="G22" s="34">
        <f t="shared" si="15"/>
        <v>13633.059065599951</v>
      </c>
      <c r="H22" s="31">
        <f t="shared" si="1"/>
        <v>102945.10543200001</v>
      </c>
      <c r="I22" s="33">
        <f t="shared" si="1"/>
        <v>18509.714567999999</v>
      </c>
      <c r="J22" s="33">
        <f t="shared" si="1"/>
        <v>121454.82</v>
      </c>
      <c r="K22" s="37">
        <f t="shared" si="2"/>
        <v>9.4897139825684151E-2</v>
      </c>
      <c r="L22" s="36">
        <f>[1]BOA!$E22</f>
        <v>27732.015999999901</v>
      </c>
      <c r="M22" s="31">
        <f t="shared" si="16"/>
        <v>24323.751233599913</v>
      </c>
      <c r="N22" s="31">
        <f t="shared" si="17"/>
        <v>3408.2647663999878</v>
      </c>
      <c r="O22" s="31">
        <f t="shared" si="18"/>
        <v>31792.891155999998</v>
      </c>
      <c r="P22" s="31">
        <f t="shared" si="19"/>
        <v>5716.4188439999998</v>
      </c>
      <c r="Q22" s="33">
        <f>25289.31+12220</f>
        <v>37509.31</v>
      </c>
      <c r="R22" s="37">
        <f t="shared" si="3"/>
        <v>0.35256340541560816</v>
      </c>
      <c r="S22" s="36">
        <f>[1]BOA!$F22</f>
        <v>27732.015999999901</v>
      </c>
      <c r="T22" s="31">
        <f t="shared" si="20"/>
        <v>24323.751233599913</v>
      </c>
      <c r="U22" s="31">
        <f t="shared" si="21"/>
        <v>3408.2647663999878</v>
      </c>
      <c r="V22" s="31">
        <f t="shared" si="22"/>
        <v>53374.516259999997</v>
      </c>
      <c r="W22" s="31">
        <f t="shared" si="23"/>
        <v>9596.83374</v>
      </c>
      <c r="X22" s="33">
        <f>31641.35+31330</f>
        <v>62971.35</v>
      </c>
      <c r="Y22" s="37">
        <f t="shared" si="4"/>
        <v>1.2707094211975147</v>
      </c>
      <c r="Z22" s="36">
        <f>[1]BOA!$G22</f>
        <v>27732.015999999901</v>
      </c>
      <c r="AA22" s="31">
        <f t="shared" si="24"/>
        <v>24323.751233599913</v>
      </c>
      <c r="AB22" s="31">
        <f t="shared" si="25"/>
        <v>3408.2647663999878</v>
      </c>
      <c r="AC22" s="31">
        <f t="shared" si="26"/>
        <v>10458.36688</v>
      </c>
      <c r="AD22" s="31">
        <f t="shared" si="27"/>
        <v>1880.4331199999999</v>
      </c>
      <c r="AE22" s="33">
        <f>12338.8</f>
        <v>12338.8</v>
      </c>
      <c r="AF22" s="37">
        <f t="shared" si="5"/>
        <v>-0.55507021198891415</v>
      </c>
      <c r="AG22" s="36">
        <f>[1]BOA!$H22</f>
        <v>27732.015999999901</v>
      </c>
      <c r="AH22" s="31">
        <f t="shared" si="28"/>
        <v>24323.751233599913</v>
      </c>
      <c r="AI22" s="31">
        <f t="shared" si="29"/>
        <v>3408.2647663999878</v>
      </c>
      <c r="AJ22" s="31">
        <f t="shared" si="30"/>
        <v>7319.3311360000007</v>
      </c>
      <c r="AK22" s="31">
        <f t="shared" si="31"/>
        <v>1316.0288640000001</v>
      </c>
      <c r="AL22" s="27">
        <f>8634.76+0.6</f>
        <v>8635.36</v>
      </c>
      <c r="AM22" s="37">
        <f t="shared" si="6"/>
        <v>-0.6886140553214728</v>
      </c>
      <c r="AN22" s="36">
        <f>[1]BOA!$I22</f>
        <v>27732.015999999901</v>
      </c>
      <c r="AO22" s="31">
        <f t="shared" si="32"/>
        <v>24323.751233599913</v>
      </c>
      <c r="AP22" s="31">
        <f t="shared" si="33"/>
        <v>3408.2647663999878</v>
      </c>
      <c r="AQ22" s="31">
        <f t="shared" si="34"/>
        <v>0</v>
      </c>
      <c r="AR22" s="31">
        <f t="shared" si="35"/>
        <v>0</v>
      </c>
      <c r="AS22" s="33"/>
      <c r="AT22" s="37">
        <f t="shared" si="7"/>
        <v>-1</v>
      </c>
      <c r="AU22" s="36">
        <f>[1]BOA!$J22</f>
        <v>27732.015999999901</v>
      </c>
      <c r="AV22" s="31">
        <f t="shared" si="36"/>
        <v>24323.751233599913</v>
      </c>
      <c r="AW22" s="31">
        <f t="shared" si="37"/>
        <v>3408.2647663999878</v>
      </c>
      <c r="AX22" s="31">
        <f t="shared" si="38"/>
        <v>0</v>
      </c>
      <c r="AY22" s="31">
        <f t="shared" si="39"/>
        <v>0</v>
      </c>
      <c r="AZ22" s="158"/>
      <c r="BA22" s="37">
        <f t="shared" si="8"/>
        <v>-1</v>
      </c>
      <c r="BB22" s="36">
        <f>[1]BOA!$K22</f>
        <v>27732.015999999901</v>
      </c>
      <c r="BC22" s="31">
        <f t="shared" si="40"/>
        <v>24323.751233599913</v>
      </c>
      <c r="BD22" s="31">
        <f t="shared" si="41"/>
        <v>3408.2647663999878</v>
      </c>
      <c r="BE22" s="31">
        <f t="shared" si="42"/>
        <v>0</v>
      </c>
      <c r="BF22" s="31">
        <f t="shared" si="43"/>
        <v>0</v>
      </c>
      <c r="BG22" s="33"/>
      <c r="BH22" s="37">
        <f t="shared" si="9"/>
        <v>-1</v>
      </c>
      <c r="BI22" s="36">
        <f>[1]BOA!$L22</f>
        <v>27732.015999999901</v>
      </c>
      <c r="BJ22" s="31">
        <f t="shared" si="44"/>
        <v>24323.751233599913</v>
      </c>
      <c r="BK22" s="31">
        <f t="shared" si="45"/>
        <v>3408.2647663999878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[1]BOA!$M22</f>
        <v>27732.015999999901</v>
      </c>
      <c r="BQ22" s="31">
        <f t="shared" si="48"/>
        <v>24323.751233599913</v>
      </c>
      <c r="BR22" s="31">
        <f t="shared" si="49"/>
        <v>3408.2647663999878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[1]BOA!$N22</f>
        <v>27732.015999999901</v>
      </c>
      <c r="BX22" s="31">
        <f t="shared" si="52"/>
        <v>24323.751233599913</v>
      </c>
      <c r="BY22" s="31">
        <f t="shared" si="53"/>
        <v>3408.2647663999878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[1]BOA!$O22</f>
        <v>27732.015999999901</v>
      </c>
      <c r="CE22" s="31">
        <f t="shared" si="56"/>
        <v>24323.751233599913</v>
      </c>
      <c r="CF22" s="31">
        <f t="shared" si="57"/>
        <v>3408.2647663999878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[1]BOA!$P22</f>
        <v>27732.015999999901</v>
      </c>
      <c r="CL22" s="31">
        <f t="shared" si="60"/>
        <v>24323.751233599913</v>
      </c>
      <c r="CM22" s="31">
        <f t="shared" si="61"/>
        <v>3408.2647663999878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[1]BOA!$E23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[1]BOA!$F23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[1]BOA!$G23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[1]BOA!$H23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27"/>
      <c r="AM23" s="37" t="str">
        <f t="shared" si="6"/>
        <v/>
      </c>
      <c r="AN23" s="36">
        <f>[1]BOA!$I23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7"/>
        <v/>
      </c>
      <c r="AU23" s="36">
        <f>[1]BOA!$J23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158"/>
      <c r="BA23" s="37" t="str">
        <f t="shared" si="8"/>
        <v/>
      </c>
      <c r="BB23" s="36">
        <f>[1]BOA!$K23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33"/>
      <c r="BH23" s="37" t="str">
        <f t="shared" si="9"/>
        <v/>
      </c>
      <c r="BI23" s="36">
        <f>[1]BOA!$L23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[1]BOA!$M23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[1]BOA!$N23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[1]BOA!$O23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[1]BOA!$P23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289208.05539010919</v>
      </c>
      <c r="C24" s="31">
        <f t="shared" si="0"/>
        <v>253664.38538266488</v>
      </c>
      <c r="D24" s="32">
        <f t="shared" si="0"/>
        <v>35543.670007444416</v>
      </c>
      <c r="E24" s="30">
        <f t="shared" si="15"/>
        <v>97818.97628907641</v>
      </c>
      <c r="F24" s="33">
        <f t="shared" si="15"/>
        <v>85797.024103148928</v>
      </c>
      <c r="G24" s="34">
        <f t="shared" si="15"/>
        <v>12021.95218592749</v>
      </c>
      <c r="H24" s="31">
        <f t="shared" si="1"/>
        <v>94159.205920000008</v>
      </c>
      <c r="I24" s="33">
        <f t="shared" si="1"/>
        <v>16929.99408</v>
      </c>
      <c r="J24" s="33">
        <f t="shared" si="1"/>
        <v>111089.20000000001</v>
      </c>
      <c r="K24" s="37">
        <f t="shared" si="2"/>
        <v>0.1356610364813795</v>
      </c>
      <c r="L24" s="36">
        <f>[1]BOA!$E24</f>
        <v>24454.744072269103</v>
      </c>
      <c r="M24" s="31">
        <f t="shared" si="16"/>
        <v>21449.256025787232</v>
      </c>
      <c r="N24" s="31">
        <f t="shared" si="17"/>
        <v>3005.4880464818725</v>
      </c>
      <c r="O24" s="31">
        <f t="shared" si="18"/>
        <v>26826.717995999999</v>
      </c>
      <c r="P24" s="31">
        <f t="shared" si="19"/>
        <v>4823.4920039999997</v>
      </c>
      <c r="Q24" s="33">
        <f>31650.21</f>
        <v>31650.21</v>
      </c>
      <c r="R24" s="37">
        <f t="shared" si="3"/>
        <v>0.29423599390231714</v>
      </c>
      <c r="S24" s="36">
        <f>[1]BOA!$F24</f>
        <v>24454.744072269103</v>
      </c>
      <c r="T24" s="31">
        <f t="shared" si="20"/>
        <v>21449.256025787232</v>
      </c>
      <c r="U24" s="31">
        <f t="shared" si="21"/>
        <v>3005.4880464818725</v>
      </c>
      <c r="V24" s="31">
        <f t="shared" si="22"/>
        <v>45940.920167999997</v>
      </c>
      <c r="W24" s="31">
        <f t="shared" si="23"/>
        <v>8260.2598319999997</v>
      </c>
      <c r="X24" s="33">
        <v>54201.18</v>
      </c>
      <c r="Y24" s="37">
        <f t="shared" si="4"/>
        <v>1.2163871288050978</v>
      </c>
      <c r="Z24" s="36">
        <f>[1]BOA!$G24</f>
        <v>24454.744072269103</v>
      </c>
      <c r="AA24" s="31">
        <f t="shared" si="24"/>
        <v>21449.256025787232</v>
      </c>
      <c r="AB24" s="31">
        <f t="shared" si="25"/>
        <v>3005.4880464818725</v>
      </c>
      <c r="AC24" s="31">
        <f t="shared" si="26"/>
        <v>3041.3244159999999</v>
      </c>
      <c r="AD24" s="31">
        <f t="shared" si="27"/>
        <v>546.83558400000004</v>
      </c>
      <c r="AE24" s="33">
        <v>3588.16</v>
      </c>
      <c r="AF24" s="37">
        <f t="shared" si="5"/>
        <v>-0.8532734593583885</v>
      </c>
      <c r="AG24" s="36">
        <f>[1]BOA!$H24</f>
        <v>24454.744072269103</v>
      </c>
      <c r="AH24" s="31">
        <f t="shared" si="28"/>
        <v>21449.256025787232</v>
      </c>
      <c r="AI24" s="31">
        <f t="shared" si="29"/>
        <v>3005.4880464818725</v>
      </c>
      <c r="AJ24" s="31">
        <f t="shared" si="30"/>
        <v>18350.243340000001</v>
      </c>
      <c r="AK24" s="31">
        <f t="shared" si="31"/>
        <v>3299.4066600000006</v>
      </c>
      <c r="AL24" s="27">
        <v>21649.65</v>
      </c>
      <c r="AM24" s="37">
        <f t="shared" si="6"/>
        <v>-0.11470551742350832</v>
      </c>
      <c r="AN24" s="36">
        <f>[1]BOA!$I24</f>
        <v>24454.744072269103</v>
      </c>
      <c r="AO24" s="31">
        <f t="shared" si="32"/>
        <v>21449.256025787232</v>
      </c>
      <c r="AP24" s="31">
        <f t="shared" si="33"/>
        <v>3005.4880464818725</v>
      </c>
      <c r="AQ24" s="31">
        <f t="shared" si="34"/>
        <v>0</v>
      </c>
      <c r="AR24" s="31">
        <f t="shared" si="35"/>
        <v>0</v>
      </c>
      <c r="AS24" s="33"/>
      <c r="AT24" s="37">
        <f t="shared" si="7"/>
        <v>-1</v>
      </c>
      <c r="AU24" s="36">
        <f>[1]BOA!$J24</f>
        <v>24454.744072269103</v>
      </c>
      <c r="AV24" s="31">
        <f t="shared" si="36"/>
        <v>21449.256025787232</v>
      </c>
      <c r="AW24" s="31">
        <f t="shared" si="37"/>
        <v>3005.4880464818725</v>
      </c>
      <c r="AX24" s="31">
        <f t="shared" si="38"/>
        <v>0</v>
      </c>
      <c r="AY24" s="31">
        <f t="shared" si="39"/>
        <v>0</v>
      </c>
      <c r="AZ24" s="158"/>
      <c r="BA24" s="37">
        <f t="shared" si="8"/>
        <v>-1</v>
      </c>
      <c r="BB24" s="36">
        <f>[1]BOA!$K24</f>
        <v>20205.870595149099</v>
      </c>
      <c r="BC24" s="31">
        <f t="shared" si="40"/>
        <v>17722.569099005275</v>
      </c>
      <c r="BD24" s="31">
        <f t="shared" si="41"/>
        <v>2483.3014961438244</v>
      </c>
      <c r="BE24" s="31">
        <f t="shared" si="42"/>
        <v>0</v>
      </c>
      <c r="BF24" s="31">
        <f t="shared" si="43"/>
        <v>0</v>
      </c>
      <c r="BG24" s="33"/>
      <c r="BH24" s="37">
        <f t="shared" si="9"/>
        <v>-1</v>
      </c>
      <c r="BI24" s="36">
        <f>[1]BOA!$L24</f>
        <v>24454.744072269103</v>
      </c>
      <c r="BJ24" s="31">
        <f t="shared" si="44"/>
        <v>21449.256025787232</v>
      </c>
      <c r="BK24" s="31">
        <f t="shared" si="45"/>
        <v>3005.4880464818725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[1]BOA!$M24</f>
        <v>24454.744072269103</v>
      </c>
      <c r="BQ24" s="31">
        <f t="shared" si="48"/>
        <v>21449.256025787232</v>
      </c>
      <c r="BR24" s="31">
        <f t="shared" si="49"/>
        <v>3005.4880464818725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[1]BOA!$N24</f>
        <v>24454.744072269103</v>
      </c>
      <c r="BX24" s="31">
        <f t="shared" si="52"/>
        <v>21449.256025787232</v>
      </c>
      <c r="BY24" s="31">
        <f t="shared" si="53"/>
        <v>3005.4880464818725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[1]BOA!$O24</f>
        <v>24454.744072269103</v>
      </c>
      <c r="CE24" s="31">
        <f t="shared" si="56"/>
        <v>21449.256025787232</v>
      </c>
      <c r="CF24" s="31">
        <f t="shared" si="57"/>
        <v>3005.4880464818725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[1]BOA!$P24</f>
        <v>24454.744072269103</v>
      </c>
      <c r="CL24" s="31">
        <f t="shared" si="60"/>
        <v>21449.256025787232</v>
      </c>
      <c r="CM24" s="31">
        <f t="shared" si="61"/>
        <v>3005.4880464818725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642657.48364199651</v>
      </c>
      <c r="C25" s="31">
        <f t="shared" si="0"/>
        <v>563674.87890239526</v>
      </c>
      <c r="D25" s="32">
        <f t="shared" si="0"/>
        <v>78982.604739601389</v>
      </c>
      <c r="E25" s="30">
        <f t="shared" si="15"/>
        <v>204854.73991199891</v>
      </c>
      <c r="F25" s="33">
        <f t="shared" si="15"/>
        <v>179678.09237681422</v>
      </c>
      <c r="G25" s="34">
        <f t="shared" si="15"/>
        <v>25176.64753518466</v>
      </c>
      <c r="H25" s="31">
        <f t="shared" si="1"/>
        <v>269623.84004400001</v>
      </c>
      <c r="I25" s="33">
        <f t="shared" si="1"/>
        <v>48478.849956000005</v>
      </c>
      <c r="J25" s="33">
        <f t="shared" si="1"/>
        <v>318102.69</v>
      </c>
      <c r="K25" s="37">
        <f t="shared" si="2"/>
        <v>0.55282074574720563</v>
      </c>
      <c r="L25" s="36">
        <f>[1]BOA!$E25</f>
        <v>0</v>
      </c>
      <c r="M25" s="31">
        <f t="shared" si="16"/>
        <v>0</v>
      </c>
      <c r="N25" s="31">
        <f t="shared" si="17"/>
        <v>0</v>
      </c>
      <c r="O25" s="31">
        <f t="shared" si="18"/>
        <v>15207.6392</v>
      </c>
      <c r="P25" s="31">
        <f t="shared" si="19"/>
        <v>2734.3607999999999</v>
      </c>
      <c r="Q25" s="33">
        <f>17942</f>
        <v>17942</v>
      </c>
      <c r="R25" s="37" t="str">
        <f t="shared" si="3"/>
        <v/>
      </c>
      <c r="S25" s="36">
        <f>[1]BOA!$F25</f>
        <v>0</v>
      </c>
      <c r="T25" s="31">
        <f t="shared" si="20"/>
        <v>0</v>
      </c>
      <c r="U25" s="31">
        <f t="shared" si="21"/>
        <v>0</v>
      </c>
      <c r="V25" s="31">
        <f t="shared" si="22"/>
        <v>26279.999043999997</v>
      </c>
      <c r="W25" s="31">
        <f t="shared" si="23"/>
        <v>4725.1909560000004</v>
      </c>
      <c r="X25" s="33">
        <v>31005.19</v>
      </c>
      <c r="Y25" s="37" t="str">
        <f t="shared" si="4"/>
        <v/>
      </c>
      <c r="Z25" s="36">
        <f>[1]BOA!$G25</f>
        <v>87906.524159999899</v>
      </c>
      <c r="AA25" s="31">
        <f t="shared" si="24"/>
        <v>77102.812340735909</v>
      </c>
      <c r="AB25" s="31">
        <f t="shared" si="25"/>
        <v>10803.711819263986</v>
      </c>
      <c r="AC25" s="31">
        <f t="shared" si="26"/>
        <v>47078.373940000005</v>
      </c>
      <c r="AD25" s="31">
        <f t="shared" si="27"/>
        <v>8464.7760600000001</v>
      </c>
      <c r="AE25" s="33">
        <v>55543.15</v>
      </c>
      <c r="AF25" s="37">
        <f t="shared" si="5"/>
        <v>-0.36815668085220687</v>
      </c>
      <c r="AG25" s="36">
        <f>[1]BOA!$H25</f>
        <v>116948.215751999</v>
      </c>
      <c r="AH25" s="31">
        <f t="shared" si="28"/>
        <v>102575.28003607833</v>
      </c>
      <c r="AI25" s="31">
        <f t="shared" si="29"/>
        <v>14372.935715920676</v>
      </c>
      <c r="AJ25" s="31">
        <f t="shared" si="30"/>
        <v>181057.82786000002</v>
      </c>
      <c r="AK25" s="31">
        <f t="shared" si="31"/>
        <v>32554.522140000001</v>
      </c>
      <c r="AL25" s="27">
        <f>213612.35</f>
        <v>213612.35</v>
      </c>
      <c r="AM25" s="37">
        <f t="shared" si="6"/>
        <v>0.82655501519567842</v>
      </c>
      <c r="AN25" s="36">
        <f>[1]BOA!$I25</f>
        <v>116948.215751999</v>
      </c>
      <c r="AO25" s="31">
        <f t="shared" si="32"/>
        <v>102575.28003607833</v>
      </c>
      <c r="AP25" s="31">
        <f t="shared" si="33"/>
        <v>14372.935715920676</v>
      </c>
      <c r="AQ25" s="31">
        <f t="shared" si="34"/>
        <v>0</v>
      </c>
      <c r="AR25" s="31">
        <f t="shared" si="35"/>
        <v>0</v>
      </c>
      <c r="AS25" s="33"/>
      <c r="AT25" s="37">
        <f t="shared" si="7"/>
        <v>-1</v>
      </c>
      <c r="AU25" s="36">
        <f>[1]BOA!$J25</f>
        <v>121784.398295999</v>
      </c>
      <c r="AV25" s="31">
        <f t="shared" si="36"/>
        <v>106817.09574542072</v>
      </c>
      <c r="AW25" s="31">
        <f t="shared" si="37"/>
        <v>14967.302550578275</v>
      </c>
      <c r="AX25" s="31">
        <f t="shared" si="38"/>
        <v>0</v>
      </c>
      <c r="AY25" s="31">
        <f t="shared" si="39"/>
        <v>0</v>
      </c>
      <c r="AZ25" s="158"/>
      <c r="BA25" s="37">
        <f t="shared" si="8"/>
        <v>-1</v>
      </c>
      <c r="BB25" s="36">
        <f>[1]BOA!$K25</f>
        <v>41993.285495999997</v>
      </c>
      <c r="BC25" s="31">
        <f t="shared" si="40"/>
        <v>36832.310708541598</v>
      </c>
      <c r="BD25" s="31">
        <f t="shared" si="41"/>
        <v>5160.9747874583991</v>
      </c>
      <c r="BE25" s="31">
        <f t="shared" si="42"/>
        <v>0</v>
      </c>
      <c r="BF25" s="31">
        <f t="shared" si="43"/>
        <v>0</v>
      </c>
      <c r="BG25" s="33"/>
      <c r="BH25" s="37">
        <f t="shared" si="9"/>
        <v>-1</v>
      </c>
      <c r="BI25" s="36">
        <f>[1]BOA!$L25</f>
        <v>41993.285495999997</v>
      </c>
      <c r="BJ25" s="31">
        <f t="shared" si="44"/>
        <v>36832.310708541598</v>
      </c>
      <c r="BK25" s="31">
        <f t="shared" si="45"/>
        <v>5160.9747874583991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[1]BOA!$M25</f>
        <v>41993.285495999997</v>
      </c>
      <c r="BQ25" s="31">
        <f t="shared" si="48"/>
        <v>36832.310708541598</v>
      </c>
      <c r="BR25" s="31">
        <f t="shared" si="49"/>
        <v>5160.9747874583991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[1]BOA!$N25</f>
        <v>31589.033874000001</v>
      </c>
      <c r="BX25" s="31">
        <f t="shared" si="52"/>
        <v>27706.741610885401</v>
      </c>
      <c r="BY25" s="31">
        <f t="shared" si="53"/>
        <v>3882.2922631145998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[1]BOA!$O25</f>
        <v>20750.619659999898</v>
      </c>
      <c r="CE25" s="31">
        <f t="shared" si="56"/>
        <v>18200.36850378591</v>
      </c>
      <c r="CF25" s="31">
        <f t="shared" si="57"/>
        <v>2550.2511562139875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[1]BOA!$P25</f>
        <v>20750.619659999898</v>
      </c>
      <c r="CL25" s="31">
        <f t="shared" si="60"/>
        <v>18200.36850378591</v>
      </c>
      <c r="CM25" s="31">
        <f t="shared" si="61"/>
        <v>2550.2511562139875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3573595.9979260275</v>
      </c>
      <c r="C26" s="31">
        <f t="shared" si="0"/>
        <v>3134401.0497809183</v>
      </c>
      <c r="D26" s="32">
        <f t="shared" si="0"/>
        <v>439194.94814510876</v>
      </c>
      <c r="E26" s="30">
        <f t="shared" si="15"/>
        <v>978292.14633231098</v>
      </c>
      <c r="F26" s="33">
        <f t="shared" si="15"/>
        <v>858060.04154807003</v>
      </c>
      <c r="G26" s="34">
        <f t="shared" si="15"/>
        <v>120232.10478424103</v>
      </c>
      <c r="H26" s="31">
        <f t="shared" si="1"/>
        <v>948919.65443599992</v>
      </c>
      <c r="I26" s="33">
        <f t="shared" si="1"/>
        <v>170617.45556400003</v>
      </c>
      <c r="J26" s="33">
        <f t="shared" si="1"/>
        <v>1119537.1100000001</v>
      </c>
      <c r="K26" s="37">
        <f t="shared" si="2"/>
        <v>0.14437912457666857</v>
      </c>
      <c r="L26" s="36">
        <f>[1]BOA!$E26</f>
        <v>110134.9057818624</v>
      </c>
      <c r="M26" s="31">
        <f t="shared" si="16"/>
        <v>96599.325861271514</v>
      </c>
      <c r="N26" s="31">
        <f t="shared" si="17"/>
        <v>13535.579920590888</v>
      </c>
      <c r="O26" s="31">
        <f t="shared" si="18"/>
        <v>137919.32757200001</v>
      </c>
      <c r="P26" s="31">
        <f t="shared" si="19"/>
        <v>24798.142428000003</v>
      </c>
      <c r="Q26" s="33">
        <f>162717.47</f>
        <v>162717.47</v>
      </c>
      <c r="R26" s="37">
        <f t="shared" si="3"/>
        <v>0.47743777365447371</v>
      </c>
      <c r="S26" s="36">
        <f>[1]BOA!$F26</f>
        <v>216555.53336586154</v>
      </c>
      <c r="T26" s="31">
        <f t="shared" si="20"/>
        <v>189940.85831519717</v>
      </c>
      <c r="U26" s="31">
        <f t="shared" si="21"/>
        <v>26614.675050664384</v>
      </c>
      <c r="V26" s="31">
        <f t="shared" si="22"/>
        <v>202203.82046799999</v>
      </c>
      <c r="W26" s="31">
        <f t="shared" si="23"/>
        <v>36356.609532000002</v>
      </c>
      <c r="X26" s="33">
        <f>237623.43+937</f>
        <v>238560.43</v>
      </c>
      <c r="Y26" s="37">
        <f t="shared" si="4"/>
        <v>0.10161318111859141</v>
      </c>
      <c r="Z26" s="36">
        <f>[1]BOA!$G26</f>
        <v>329801.34367357357</v>
      </c>
      <c r="AA26" s="31">
        <f t="shared" si="24"/>
        <v>289268.75853609137</v>
      </c>
      <c r="AB26" s="31">
        <f t="shared" si="25"/>
        <v>40532.585137482194</v>
      </c>
      <c r="AC26" s="31">
        <f t="shared" si="26"/>
        <v>277615.91129999998</v>
      </c>
      <c r="AD26" s="31">
        <f t="shared" si="27"/>
        <v>49915.8387</v>
      </c>
      <c r="AE26" s="33">
        <f>882+326649.75</f>
        <v>327531.75</v>
      </c>
      <c r="AF26" s="37">
        <f t="shared" si="5"/>
        <v>-6.8816992929535692E-3</v>
      </c>
      <c r="AG26" s="36">
        <f>[1]BOA!$H26</f>
        <v>321800.36351101351</v>
      </c>
      <c r="AH26" s="31">
        <f t="shared" si="28"/>
        <v>282251.09883550997</v>
      </c>
      <c r="AI26" s="31">
        <f t="shared" si="29"/>
        <v>39549.26467550356</v>
      </c>
      <c r="AJ26" s="31">
        <f t="shared" si="30"/>
        <v>331180.595096</v>
      </c>
      <c r="AK26" s="31">
        <f t="shared" si="31"/>
        <v>59546.864904000009</v>
      </c>
      <c r="AL26" s="27">
        <v>390727.46</v>
      </c>
      <c r="AM26" s="37">
        <f t="shared" si="6"/>
        <v>0.21419210263455013</v>
      </c>
      <c r="AN26" s="36">
        <f>[1]BOA!$I26</f>
        <v>368780.91560586152</v>
      </c>
      <c r="AO26" s="31">
        <f t="shared" si="32"/>
        <v>323457.74107790116</v>
      </c>
      <c r="AP26" s="31">
        <f t="shared" si="33"/>
        <v>45323.174527960378</v>
      </c>
      <c r="AQ26" s="31">
        <f t="shared" si="34"/>
        <v>0</v>
      </c>
      <c r="AR26" s="31">
        <f t="shared" si="35"/>
        <v>0</v>
      </c>
      <c r="AS26" s="33"/>
      <c r="AT26" s="37">
        <f t="shared" si="7"/>
        <v>-1</v>
      </c>
      <c r="AU26" s="36">
        <f>[1]BOA!$J26</f>
        <v>286876.52868157439</v>
      </c>
      <c r="AV26" s="31">
        <f t="shared" si="36"/>
        <v>251619.4033066089</v>
      </c>
      <c r="AW26" s="31">
        <f t="shared" si="37"/>
        <v>35257.125374965493</v>
      </c>
      <c r="AX26" s="31">
        <f t="shared" si="38"/>
        <v>0</v>
      </c>
      <c r="AY26" s="31">
        <f t="shared" si="39"/>
        <v>0</v>
      </c>
      <c r="AZ26" s="158"/>
      <c r="BA26" s="37">
        <f t="shared" si="8"/>
        <v>-1</v>
      </c>
      <c r="BB26" s="36">
        <f>[1]BOA!$K26</f>
        <v>239895.9765867255</v>
      </c>
      <c r="BC26" s="31">
        <f t="shared" si="40"/>
        <v>210412.76106421693</v>
      </c>
      <c r="BD26" s="31">
        <f t="shared" si="41"/>
        <v>29483.215522508563</v>
      </c>
      <c r="BE26" s="31">
        <f t="shared" si="42"/>
        <v>0</v>
      </c>
      <c r="BF26" s="31">
        <f t="shared" si="43"/>
        <v>0</v>
      </c>
      <c r="BG26" s="33"/>
      <c r="BH26" s="37">
        <f t="shared" si="9"/>
        <v>-1</v>
      </c>
      <c r="BI26" s="36">
        <f>[1]BOA!$L26</f>
        <v>329801.34367357357</v>
      </c>
      <c r="BJ26" s="31">
        <f t="shared" si="44"/>
        <v>289268.75853609137</v>
      </c>
      <c r="BK26" s="31">
        <f t="shared" si="45"/>
        <v>40532.585137482194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[1]BOA!$M26</f>
        <v>411816.04600099201</v>
      </c>
      <c r="BQ26" s="31">
        <f t="shared" si="48"/>
        <v>361203.85394747008</v>
      </c>
      <c r="BR26" s="31">
        <f t="shared" si="49"/>
        <v>50612.192053521918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[1]BOA!$N26</f>
        <v>386225.26349471917</v>
      </c>
      <c r="BX26" s="31">
        <f t="shared" si="52"/>
        <v>338758.17861121817</v>
      </c>
      <c r="BY26" s="31">
        <f t="shared" si="53"/>
        <v>47467.084883500982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[1]BOA!$O26</f>
        <v>289366.48013699113</v>
      </c>
      <c r="CE26" s="31">
        <f t="shared" si="56"/>
        <v>253803.33972815491</v>
      </c>
      <c r="CF26" s="31">
        <f t="shared" si="57"/>
        <v>35563.140408836211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[1]BOA!$P26</f>
        <v>282541.29741327913</v>
      </c>
      <c r="CL26" s="31">
        <f t="shared" si="60"/>
        <v>247816.97196118714</v>
      </c>
      <c r="CM26" s="31">
        <f t="shared" si="61"/>
        <v>34724.325452092002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185250.0908987993</v>
      </c>
      <c r="C27" s="31">
        <f t="shared" si="0"/>
        <v>162482.85472733685</v>
      </c>
      <c r="D27" s="32">
        <f t="shared" si="0"/>
        <v>22767.236171462439</v>
      </c>
      <c r="E27" s="30">
        <f t="shared" si="15"/>
        <v>55847.270836799798</v>
      </c>
      <c r="F27" s="33">
        <f t="shared" si="15"/>
        <v>48983.641250957109</v>
      </c>
      <c r="G27" s="34">
        <f t="shared" si="15"/>
        <v>6863.6295858426947</v>
      </c>
      <c r="H27" s="31">
        <f t="shared" si="1"/>
        <v>101225.04532399999</v>
      </c>
      <c r="I27" s="33">
        <f t="shared" si="1"/>
        <v>18200.444675999999</v>
      </c>
      <c r="J27" s="33">
        <f t="shared" si="1"/>
        <v>119425.48999999999</v>
      </c>
      <c r="K27" s="37">
        <f t="shared" si="2"/>
        <v>1.1384301902413858</v>
      </c>
      <c r="L27" s="36">
        <f>[1]BOA!$E27</f>
        <v>4634.7986303999996</v>
      </c>
      <c r="M27" s="31">
        <f t="shared" si="16"/>
        <v>4065.1818787238399</v>
      </c>
      <c r="N27" s="31">
        <f t="shared" si="17"/>
        <v>569.61675167615988</v>
      </c>
      <c r="O27" s="31">
        <f t="shared" si="18"/>
        <v>21034.372164</v>
      </c>
      <c r="P27" s="31">
        <f t="shared" si="19"/>
        <v>3782.017836</v>
      </c>
      <c r="Q27" s="33">
        <f>24816.39</f>
        <v>24816.39</v>
      </c>
      <c r="R27" s="37">
        <f t="shared" si="3"/>
        <v>4.3543620724377092</v>
      </c>
      <c r="S27" s="36">
        <f>[1]BOA!$F27</f>
        <v>16731.940723199899</v>
      </c>
      <c r="T27" s="31">
        <f t="shared" si="20"/>
        <v>14675.585208318633</v>
      </c>
      <c r="U27" s="31">
        <f t="shared" si="21"/>
        <v>2056.3555148812675</v>
      </c>
      <c r="V27" s="31">
        <f t="shared" si="22"/>
        <v>17951.125452</v>
      </c>
      <c r="W27" s="31">
        <f t="shared" si="23"/>
        <v>3227.6445480000002</v>
      </c>
      <c r="X27" s="33">
        <v>21178.77</v>
      </c>
      <c r="Y27" s="37">
        <f t="shared" si="4"/>
        <v>0.26576888780357022</v>
      </c>
      <c r="Z27" s="36">
        <f>[1]BOA!$G27</f>
        <v>16731.940723199899</v>
      </c>
      <c r="AA27" s="31">
        <f t="shared" si="24"/>
        <v>14675.585208318633</v>
      </c>
      <c r="AB27" s="31">
        <f t="shared" si="25"/>
        <v>2056.3555148812675</v>
      </c>
      <c r="AC27" s="31">
        <f t="shared" si="26"/>
        <v>41399.428511999999</v>
      </c>
      <c r="AD27" s="31">
        <f t="shared" si="27"/>
        <v>7443.6914880000004</v>
      </c>
      <c r="AE27" s="33">
        <v>48843.12</v>
      </c>
      <c r="AF27" s="37">
        <f t="shared" si="5"/>
        <v>1.9191544966613412</v>
      </c>
      <c r="AG27" s="36">
        <f>[1]BOA!$H27</f>
        <v>17748.590759999999</v>
      </c>
      <c r="AH27" s="31">
        <f t="shared" si="28"/>
        <v>15567.288955595999</v>
      </c>
      <c r="AI27" s="31">
        <f t="shared" si="29"/>
        <v>2181.301804404</v>
      </c>
      <c r="AJ27" s="31">
        <f t="shared" si="30"/>
        <v>20840.119196</v>
      </c>
      <c r="AK27" s="31">
        <f t="shared" si="31"/>
        <v>3747.0908039999999</v>
      </c>
      <c r="AL27" s="27">
        <f>24587.21</f>
        <v>24587.21</v>
      </c>
      <c r="AM27" s="37">
        <f t="shared" si="6"/>
        <v>0.38530491420266433</v>
      </c>
      <c r="AN27" s="36">
        <f>[1]BOA!$I27</f>
        <v>6952.4643599999999</v>
      </c>
      <c r="AO27" s="31">
        <f t="shared" si="32"/>
        <v>6098.0064901559999</v>
      </c>
      <c r="AP27" s="31">
        <f t="shared" si="33"/>
        <v>854.45786984400002</v>
      </c>
      <c r="AQ27" s="31">
        <f t="shared" si="34"/>
        <v>0</v>
      </c>
      <c r="AR27" s="31">
        <f t="shared" si="35"/>
        <v>0</v>
      </c>
      <c r="AS27" s="33"/>
      <c r="AT27" s="37">
        <f t="shared" si="7"/>
        <v>-1</v>
      </c>
      <c r="AU27" s="36">
        <f>[1]BOA!$J27</f>
        <v>22383.389390399901</v>
      </c>
      <c r="AV27" s="31">
        <f t="shared" si="36"/>
        <v>19632.470834319753</v>
      </c>
      <c r="AW27" s="31">
        <f t="shared" si="37"/>
        <v>2750.9185560801479</v>
      </c>
      <c r="AX27" s="31">
        <f t="shared" si="38"/>
        <v>0</v>
      </c>
      <c r="AY27" s="31">
        <f t="shared" si="39"/>
        <v>0</v>
      </c>
      <c r="AZ27" s="158"/>
      <c r="BA27" s="37">
        <f t="shared" si="8"/>
        <v>-1</v>
      </c>
      <c r="BB27" s="36">
        <f>[1]BOA!$K27</f>
        <v>11587.2629903999</v>
      </c>
      <c r="BC27" s="31">
        <f t="shared" si="40"/>
        <v>10163.188368879753</v>
      </c>
      <c r="BD27" s="31">
        <f t="shared" si="41"/>
        <v>1424.0746215201477</v>
      </c>
      <c r="BE27" s="31">
        <f t="shared" si="42"/>
        <v>0</v>
      </c>
      <c r="BF27" s="31">
        <f t="shared" si="43"/>
        <v>0</v>
      </c>
      <c r="BG27" s="33"/>
      <c r="BH27" s="37">
        <f t="shared" si="9"/>
        <v>-1</v>
      </c>
      <c r="BI27" s="36">
        <f>[1]BOA!$L27</f>
        <v>22383.389390399901</v>
      </c>
      <c r="BJ27" s="31">
        <f t="shared" si="44"/>
        <v>19632.470834319753</v>
      </c>
      <c r="BK27" s="31">
        <f t="shared" si="45"/>
        <v>2750.9185560801479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[1]BOA!$M27</f>
        <v>22383.389390399901</v>
      </c>
      <c r="BQ27" s="31">
        <f t="shared" si="48"/>
        <v>19632.470834319753</v>
      </c>
      <c r="BR27" s="31">
        <f t="shared" si="49"/>
        <v>2750.9185560801479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[1]BOA!$N27</f>
        <v>17660.840600399901</v>
      </c>
      <c r="BX27" s="31">
        <f t="shared" si="52"/>
        <v>15490.323290610753</v>
      </c>
      <c r="BY27" s="31">
        <f t="shared" si="53"/>
        <v>2170.5173097891479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[1]BOA!$O27</f>
        <v>13026.04197</v>
      </c>
      <c r="CE27" s="31">
        <f t="shared" si="56"/>
        <v>11425.141411887</v>
      </c>
      <c r="CF27" s="31">
        <f t="shared" si="57"/>
        <v>1600.900558113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[1]BOA!$P27</f>
        <v>13026.04197</v>
      </c>
      <c r="CL27" s="31">
        <f t="shared" si="60"/>
        <v>11425.141411887</v>
      </c>
      <c r="CM27" s="31">
        <f t="shared" si="61"/>
        <v>1600.900558113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199039.13450999992</v>
      </c>
      <c r="C28" s="31">
        <f t="shared" si="0"/>
        <v>174577.22487872091</v>
      </c>
      <c r="D28" s="32">
        <f t="shared" si="0"/>
        <v>24461.909631278984</v>
      </c>
      <c r="E28" s="30">
        <f t="shared" si="15"/>
        <v>68798.030039999998</v>
      </c>
      <c r="F28" s="33">
        <f t="shared" si="15"/>
        <v>60342.752148084001</v>
      </c>
      <c r="G28" s="34">
        <f t="shared" si="15"/>
        <v>8455.2778919159991</v>
      </c>
      <c r="H28" s="31">
        <f t="shared" si="1"/>
        <v>51868.534484000003</v>
      </c>
      <c r="I28" s="33">
        <f t="shared" si="1"/>
        <v>9326.0555160000004</v>
      </c>
      <c r="J28" s="33">
        <f t="shared" si="1"/>
        <v>61194.590000000004</v>
      </c>
      <c r="K28" s="37">
        <f t="shared" si="2"/>
        <v>-0.11051828134583597</v>
      </c>
      <c r="L28" s="36">
        <f>[1]BOA!$E28</f>
        <v>14647.083119999999</v>
      </c>
      <c r="M28" s="31">
        <f t="shared" si="16"/>
        <v>12846.956604552</v>
      </c>
      <c r="N28" s="31">
        <f t="shared" si="17"/>
        <v>1800.1265154479997</v>
      </c>
      <c r="O28" s="31">
        <f t="shared" si="18"/>
        <v>12172.027608</v>
      </c>
      <c r="P28" s="31">
        <f t="shared" si="19"/>
        <v>2188.5523920000001</v>
      </c>
      <c r="Q28" s="33">
        <f>14360.58</f>
        <v>14360.58</v>
      </c>
      <c r="R28" s="37">
        <f t="shared" si="3"/>
        <v>-1.9560421529170591E-2</v>
      </c>
      <c r="S28" s="36">
        <f>[1]BOA!$F28</f>
        <v>14647.083119999999</v>
      </c>
      <c r="T28" s="31">
        <f t="shared" si="20"/>
        <v>12846.956604552</v>
      </c>
      <c r="U28" s="31">
        <f t="shared" si="21"/>
        <v>1800.1265154479997</v>
      </c>
      <c r="V28" s="31">
        <f t="shared" si="22"/>
        <v>14367.430272000001</v>
      </c>
      <c r="W28" s="31">
        <f t="shared" si="23"/>
        <v>2583.2897280000002</v>
      </c>
      <c r="X28" s="33">
        <v>16950.72</v>
      </c>
      <c r="Y28" s="37">
        <f t="shared" si="4"/>
        <v>0.15727615260505212</v>
      </c>
      <c r="Z28" s="36">
        <f>[1]BOA!$G28</f>
        <v>19529.444159999999</v>
      </c>
      <c r="AA28" s="31">
        <f t="shared" si="24"/>
        <v>17129.275472736001</v>
      </c>
      <c r="AB28" s="31">
        <f t="shared" si="25"/>
        <v>2400.1686872639998</v>
      </c>
      <c r="AC28" s="31">
        <f t="shared" si="26"/>
        <v>15409.401904</v>
      </c>
      <c r="AD28" s="31">
        <f t="shared" si="27"/>
        <v>2770.6380960000001</v>
      </c>
      <c r="AE28" s="33">
        <v>18180.04</v>
      </c>
      <c r="AF28" s="37">
        <f t="shared" si="5"/>
        <v>-6.9095881528662972E-2</v>
      </c>
      <c r="AG28" s="36">
        <f>[1]BOA!$H28</f>
        <v>19974.41964</v>
      </c>
      <c r="AH28" s="31">
        <f t="shared" si="28"/>
        <v>17519.563466243999</v>
      </c>
      <c r="AI28" s="31">
        <f t="shared" si="29"/>
        <v>2454.8561737559999</v>
      </c>
      <c r="AJ28" s="31">
        <f t="shared" si="30"/>
        <v>9919.6746999999996</v>
      </c>
      <c r="AK28" s="31">
        <f t="shared" si="31"/>
        <v>1783.5753000000002</v>
      </c>
      <c r="AL28" s="27">
        <v>11703.25</v>
      </c>
      <c r="AM28" s="37">
        <f t="shared" si="6"/>
        <v>-0.41408810814390196</v>
      </c>
      <c r="AN28" s="36">
        <f>[1]BOA!$I28</f>
        <v>17088.263639999899</v>
      </c>
      <c r="AO28" s="31">
        <f t="shared" si="32"/>
        <v>14988.116038643911</v>
      </c>
      <c r="AP28" s="31">
        <f t="shared" si="33"/>
        <v>2100.1476013559877</v>
      </c>
      <c r="AQ28" s="31">
        <f t="shared" si="34"/>
        <v>0</v>
      </c>
      <c r="AR28" s="31">
        <f t="shared" si="35"/>
        <v>0</v>
      </c>
      <c r="AS28" s="33"/>
      <c r="AT28" s="37">
        <f t="shared" si="7"/>
        <v>-1</v>
      </c>
      <c r="AU28" s="36">
        <f>[1]BOA!$J28</f>
        <v>15092.0586</v>
      </c>
      <c r="AV28" s="31">
        <f t="shared" si="36"/>
        <v>13237.24459806</v>
      </c>
      <c r="AW28" s="31">
        <f t="shared" si="37"/>
        <v>1854.81400194</v>
      </c>
      <c r="AX28" s="31">
        <f t="shared" si="38"/>
        <v>0</v>
      </c>
      <c r="AY28" s="31">
        <f t="shared" si="39"/>
        <v>0</v>
      </c>
      <c r="AZ28" s="158"/>
      <c r="BA28" s="37">
        <f t="shared" si="8"/>
        <v>-1</v>
      </c>
      <c r="BB28" s="36">
        <f>[1]BOA!$K28</f>
        <v>12205.902599999999</v>
      </c>
      <c r="BC28" s="31">
        <f t="shared" si="40"/>
        <v>10705.797170459999</v>
      </c>
      <c r="BD28" s="31">
        <f t="shared" si="41"/>
        <v>1500.1054295399999</v>
      </c>
      <c r="BE28" s="31">
        <f t="shared" si="42"/>
        <v>0</v>
      </c>
      <c r="BF28" s="31">
        <f t="shared" si="43"/>
        <v>0</v>
      </c>
      <c r="BG28" s="33"/>
      <c r="BH28" s="37">
        <f t="shared" si="9"/>
        <v>-1</v>
      </c>
      <c r="BI28" s="36">
        <f>[1]BOA!$L28</f>
        <v>19974.41964</v>
      </c>
      <c r="BJ28" s="31">
        <f t="shared" si="44"/>
        <v>17519.563466243999</v>
      </c>
      <c r="BK28" s="31">
        <f t="shared" si="45"/>
        <v>2454.8561737559999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[1]BOA!$M28</f>
        <v>19974.41964</v>
      </c>
      <c r="BQ28" s="31">
        <f t="shared" si="48"/>
        <v>17519.563466243999</v>
      </c>
      <c r="BR28" s="31">
        <f t="shared" si="49"/>
        <v>2454.8561737559999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[1]BOA!$N28</f>
        <v>18556.92081</v>
      </c>
      <c r="BX28" s="31">
        <f t="shared" si="52"/>
        <v>16276.275242451</v>
      </c>
      <c r="BY28" s="31">
        <f t="shared" si="53"/>
        <v>2280.6455675489997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[1]BOA!$O28</f>
        <v>13674.55977</v>
      </c>
      <c r="CE28" s="31">
        <f t="shared" si="56"/>
        <v>11993.956374267</v>
      </c>
      <c r="CF28" s="31">
        <f t="shared" si="57"/>
        <v>1680.6033957329998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[1]BOA!$P28</f>
        <v>13674.55977</v>
      </c>
      <c r="CL28" s="31">
        <f t="shared" si="60"/>
        <v>11993.956374267</v>
      </c>
      <c r="CM28" s="31">
        <f t="shared" si="61"/>
        <v>1680.6033957329998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434289.06399999885</v>
      </c>
      <c r="C29" s="31">
        <f t="shared" si="0"/>
        <v>380914.93803439889</v>
      </c>
      <c r="D29" s="32">
        <f t="shared" si="0"/>
        <v>53374.125965599851</v>
      </c>
      <c r="E29" s="30">
        <f t="shared" si="15"/>
        <v>144763.02133333293</v>
      </c>
      <c r="F29" s="33">
        <f t="shared" si="15"/>
        <v>126971.64601146632</v>
      </c>
      <c r="G29" s="34">
        <f t="shared" si="15"/>
        <v>17791.375321866617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[1]BOA!$E29</f>
        <v>29030.078333333233</v>
      </c>
      <c r="M29" s="31">
        <f t="shared" si="16"/>
        <v>25462.281706166577</v>
      </c>
      <c r="N29" s="31">
        <f t="shared" si="17"/>
        <v>3567.7966271666542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[1]BOA!$F29</f>
        <v>43351.432333333236</v>
      </c>
      <c r="T29" s="31">
        <f t="shared" si="20"/>
        <v>38023.541299566583</v>
      </c>
      <c r="U29" s="31">
        <f t="shared" si="21"/>
        <v>5327.8910337666548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[1]BOA!$G29</f>
        <v>29030.078333333233</v>
      </c>
      <c r="AA29" s="31">
        <f t="shared" si="24"/>
        <v>25462.281706166577</v>
      </c>
      <c r="AB29" s="31">
        <f t="shared" si="25"/>
        <v>3567.7966271666542</v>
      </c>
      <c r="AC29" s="31">
        <f t="shared" si="26"/>
        <v>0</v>
      </c>
      <c r="AD29" s="31">
        <f t="shared" si="27"/>
        <v>0</v>
      </c>
      <c r="AE29" s="33"/>
      <c r="AF29" s="37">
        <f t="shared" si="5"/>
        <v>-1</v>
      </c>
      <c r="AG29" s="36">
        <f>[1]BOA!$H29</f>
        <v>43351.432333333236</v>
      </c>
      <c r="AH29" s="31">
        <f t="shared" si="28"/>
        <v>38023.541299566583</v>
      </c>
      <c r="AI29" s="31">
        <f t="shared" si="29"/>
        <v>5327.8910337666548</v>
      </c>
      <c r="AJ29" s="31">
        <f t="shared" si="30"/>
        <v>0</v>
      </c>
      <c r="AK29" s="31">
        <f t="shared" si="31"/>
        <v>0</v>
      </c>
      <c r="AL29" s="27"/>
      <c r="AM29" s="37">
        <f t="shared" si="6"/>
        <v>-1</v>
      </c>
      <c r="AN29" s="36">
        <f>[1]BOA!$I29</f>
        <v>29030.078333333233</v>
      </c>
      <c r="AO29" s="31">
        <f t="shared" si="32"/>
        <v>25462.281706166577</v>
      </c>
      <c r="AP29" s="31">
        <f t="shared" si="33"/>
        <v>3567.7966271666542</v>
      </c>
      <c r="AQ29" s="31">
        <f t="shared" si="34"/>
        <v>0</v>
      </c>
      <c r="AR29" s="31">
        <f t="shared" si="35"/>
        <v>0</v>
      </c>
      <c r="AS29" s="33"/>
      <c r="AT29" s="37">
        <f t="shared" si="7"/>
        <v>-1</v>
      </c>
      <c r="AU29" s="36">
        <f>[1]BOA!$J29</f>
        <v>43351.432333333236</v>
      </c>
      <c r="AV29" s="31">
        <f t="shared" si="36"/>
        <v>38023.541299566583</v>
      </c>
      <c r="AW29" s="31">
        <f t="shared" si="37"/>
        <v>5327.8910337666548</v>
      </c>
      <c r="AX29" s="31">
        <f t="shared" si="38"/>
        <v>0</v>
      </c>
      <c r="AY29" s="31">
        <f t="shared" si="39"/>
        <v>0</v>
      </c>
      <c r="AZ29" s="158"/>
      <c r="BA29" s="37">
        <f t="shared" si="8"/>
        <v>-1</v>
      </c>
      <c r="BB29" s="36">
        <f>[1]BOA!$K29</f>
        <v>29030.078333333233</v>
      </c>
      <c r="BC29" s="31">
        <f t="shared" si="40"/>
        <v>25462.281706166577</v>
      </c>
      <c r="BD29" s="31">
        <f t="shared" si="41"/>
        <v>3567.7966271666542</v>
      </c>
      <c r="BE29" s="31">
        <f t="shared" si="42"/>
        <v>0</v>
      </c>
      <c r="BF29" s="31">
        <f t="shared" si="43"/>
        <v>0</v>
      </c>
      <c r="BG29" s="33"/>
      <c r="BH29" s="37">
        <f t="shared" si="9"/>
        <v>-1</v>
      </c>
      <c r="BI29" s="36">
        <f>[1]BOA!$L29</f>
        <v>43351.432333333236</v>
      </c>
      <c r="BJ29" s="31">
        <f t="shared" si="44"/>
        <v>38023.541299566583</v>
      </c>
      <c r="BK29" s="31">
        <f t="shared" si="45"/>
        <v>5327.8910337666548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[1]BOA!$M29</f>
        <v>29030.078333333233</v>
      </c>
      <c r="BQ29" s="31">
        <f t="shared" si="48"/>
        <v>25462.281706166577</v>
      </c>
      <c r="BR29" s="31">
        <f t="shared" si="49"/>
        <v>3567.7966271666542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[1]BOA!$N29</f>
        <v>43351.432333333236</v>
      </c>
      <c r="BX29" s="31">
        <f t="shared" si="52"/>
        <v>38023.541299566583</v>
      </c>
      <c r="BY29" s="31">
        <f t="shared" si="53"/>
        <v>5327.8910337666548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[1]BOA!$O29</f>
        <v>29030.078333333233</v>
      </c>
      <c r="CE29" s="31">
        <f t="shared" si="56"/>
        <v>25462.281706166577</v>
      </c>
      <c r="CF29" s="31">
        <f t="shared" si="57"/>
        <v>3567.7966271666542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[1]BOA!$P29</f>
        <v>43351.432333333236</v>
      </c>
      <c r="CL29" s="31">
        <f t="shared" si="60"/>
        <v>38023.541299566583</v>
      </c>
      <c r="CM29" s="31">
        <f t="shared" si="61"/>
        <v>5327.8910337666548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129999.99999999999</v>
      </c>
      <c r="C30" s="31">
        <f t="shared" si="0"/>
        <v>114023.00000000004</v>
      </c>
      <c r="D30" s="32">
        <f t="shared" si="0"/>
        <v>15976.999999999998</v>
      </c>
      <c r="E30" s="30">
        <f t="shared" si="15"/>
        <v>43333.333333333336</v>
      </c>
      <c r="F30" s="33">
        <f t="shared" si="15"/>
        <v>38007.666666666672</v>
      </c>
      <c r="G30" s="34">
        <f t="shared" si="15"/>
        <v>5325.666666666667</v>
      </c>
      <c r="H30" s="31">
        <f t="shared" si="1"/>
        <v>508.56</v>
      </c>
      <c r="I30" s="33">
        <f t="shared" si="1"/>
        <v>91.44</v>
      </c>
      <c r="J30" s="33">
        <f t="shared" si="1"/>
        <v>600</v>
      </c>
      <c r="K30" s="37">
        <f t="shared" si="2"/>
        <v>-0.98615384615384616</v>
      </c>
      <c r="L30" s="36">
        <f>[1]BOA!$E30</f>
        <v>10833.333333333334</v>
      </c>
      <c r="M30" s="31">
        <f t="shared" si="16"/>
        <v>9501.9166666666679</v>
      </c>
      <c r="N30" s="31">
        <f t="shared" si="17"/>
        <v>1331.4166666666667</v>
      </c>
      <c r="O30" s="31">
        <f t="shared" si="18"/>
        <v>0</v>
      </c>
      <c r="P30" s="31">
        <f t="shared" si="19"/>
        <v>0</v>
      </c>
      <c r="Q30" s="33"/>
      <c r="R30" s="37">
        <f t="shared" si="3"/>
        <v>-1</v>
      </c>
      <c r="S30" s="36">
        <f>[1]BOA!$F30</f>
        <v>10833.333333333334</v>
      </c>
      <c r="T30" s="31">
        <f t="shared" si="20"/>
        <v>9501.9166666666679</v>
      </c>
      <c r="U30" s="31">
        <f t="shared" si="21"/>
        <v>1331.4166666666667</v>
      </c>
      <c r="V30" s="31">
        <f t="shared" si="22"/>
        <v>0</v>
      </c>
      <c r="W30" s="31">
        <f t="shared" si="23"/>
        <v>0</v>
      </c>
      <c r="X30" s="33"/>
      <c r="Y30" s="37">
        <f t="shared" si="4"/>
        <v>-1</v>
      </c>
      <c r="Z30" s="36">
        <f>[1]BOA!$G30</f>
        <v>10833.333333333334</v>
      </c>
      <c r="AA30" s="31">
        <f t="shared" si="24"/>
        <v>9501.9166666666679</v>
      </c>
      <c r="AB30" s="31">
        <f t="shared" si="25"/>
        <v>1331.4166666666667</v>
      </c>
      <c r="AC30" s="31">
        <f t="shared" si="26"/>
        <v>0</v>
      </c>
      <c r="AD30" s="31">
        <f t="shared" si="27"/>
        <v>0</v>
      </c>
      <c r="AE30" s="33"/>
      <c r="AF30" s="37">
        <f t="shared" si="5"/>
        <v>-1</v>
      </c>
      <c r="AG30" s="36">
        <f>[1]BOA!$H30</f>
        <v>10833.333333333334</v>
      </c>
      <c r="AH30" s="31">
        <f t="shared" si="28"/>
        <v>9501.9166666666679</v>
      </c>
      <c r="AI30" s="31">
        <f t="shared" si="29"/>
        <v>1331.4166666666667</v>
      </c>
      <c r="AJ30" s="31">
        <f t="shared" si="30"/>
        <v>508.56</v>
      </c>
      <c r="AK30" s="31">
        <f t="shared" si="31"/>
        <v>91.44</v>
      </c>
      <c r="AL30" s="33">
        <f>600</f>
        <v>600</v>
      </c>
      <c r="AM30" s="37">
        <f t="shared" si="6"/>
        <v>-0.94461538461538463</v>
      </c>
      <c r="AN30" s="36">
        <f>[1]BOA!$I30</f>
        <v>10833.333333333334</v>
      </c>
      <c r="AO30" s="31">
        <f t="shared" si="32"/>
        <v>9501.9166666666679</v>
      </c>
      <c r="AP30" s="31">
        <f t="shared" si="33"/>
        <v>1331.4166666666667</v>
      </c>
      <c r="AQ30" s="31">
        <f t="shared" si="34"/>
        <v>0</v>
      </c>
      <c r="AR30" s="31">
        <f t="shared" si="35"/>
        <v>0</v>
      </c>
      <c r="AS30" s="33"/>
      <c r="AT30" s="37">
        <f t="shared" si="7"/>
        <v>-1</v>
      </c>
      <c r="AU30" s="36">
        <f>[1]BOA!$J30</f>
        <v>10833.333333333334</v>
      </c>
      <c r="AV30" s="31">
        <f t="shared" si="36"/>
        <v>9501.9166666666679</v>
      </c>
      <c r="AW30" s="31">
        <f t="shared" si="37"/>
        <v>1331.4166666666667</v>
      </c>
      <c r="AX30" s="31">
        <f t="shared" si="38"/>
        <v>0</v>
      </c>
      <c r="AY30" s="31">
        <f t="shared" si="39"/>
        <v>0</v>
      </c>
      <c r="AZ30" s="158"/>
      <c r="BA30" s="37">
        <f t="shared" si="8"/>
        <v>-1</v>
      </c>
      <c r="BB30" s="36">
        <f>[1]BOA!$K30</f>
        <v>10833.333333333334</v>
      </c>
      <c r="BC30" s="31">
        <f t="shared" si="40"/>
        <v>9501.9166666666679</v>
      </c>
      <c r="BD30" s="31">
        <f t="shared" si="41"/>
        <v>1331.4166666666667</v>
      </c>
      <c r="BE30" s="31">
        <f t="shared" si="42"/>
        <v>0</v>
      </c>
      <c r="BF30" s="31">
        <f t="shared" si="43"/>
        <v>0</v>
      </c>
      <c r="BG30" s="33"/>
      <c r="BH30" s="37">
        <f t="shared" si="9"/>
        <v>-1</v>
      </c>
      <c r="BI30" s="36">
        <f>[1]BOA!$L30</f>
        <v>10833.333333333334</v>
      </c>
      <c r="BJ30" s="31">
        <f t="shared" si="44"/>
        <v>9501.9166666666679</v>
      </c>
      <c r="BK30" s="31">
        <f t="shared" si="45"/>
        <v>1331.4166666666667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[1]BOA!$M30</f>
        <v>10833.333333333334</v>
      </c>
      <c r="BQ30" s="31">
        <f t="shared" si="48"/>
        <v>9501.9166666666679</v>
      </c>
      <c r="BR30" s="31">
        <f t="shared" si="49"/>
        <v>1331.4166666666667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[1]BOA!$N30</f>
        <v>10833.333333333334</v>
      </c>
      <c r="BX30" s="31">
        <f t="shared" si="52"/>
        <v>9501.9166666666679</v>
      </c>
      <c r="BY30" s="31">
        <f t="shared" si="53"/>
        <v>1331.4166666666667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[1]BOA!$O30</f>
        <v>10833.333333333334</v>
      </c>
      <c r="CE30" s="31">
        <f t="shared" si="56"/>
        <v>9501.9166666666679</v>
      </c>
      <c r="CF30" s="31">
        <f t="shared" si="57"/>
        <v>1331.4166666666667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[1]BOA!$P30</f>
        <v>10833.333333333334</v>
      </c>
      <c r="CL30" s="31">
        <f t="shared" si="60"/>
        <v>9501.9166666666679</v>
      </c>
      <c r="CM30" s="31">
        <f t="shared" si="61"/>
        <v>1331.4166666666667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70000.000000000015</v>
      </c>
      <c r="C31" s="31">
        <f t="shared" si="0"/>
        <v>61396.999999999978</v>
      </c>
      <c r="D31" s="32">
        <f t="shared" si="0"/>
        <v>8603.0000000000018</v>
      </c>
      <c r="E31" s="30">
        <f t="shared" si="15"/>
        <v>23333.333333333332</v>
      </c>
      <c r="F31" s="33">
        <f t="shared" si="15"/>
        <v>20465.666666666664</v>
      </c>
      <c r="G31" s="34">
        <f t="shared" si="15"/>
        <v>2867.6666666666665</v>
      </c>
      <c r="H31" s="31">
        <f t="shared" si="1"/>
        <v>115167.96361199999</v>
      </c>
      <c r="I31" s="33">
        <f t="shared" si="1"/>
        <v>20707.406388000003</v>
      </c>
      <c r="J31" s="33">
        <f t="shared" si="1"/>
        <v>135875.37000000002</v>
      </c>
      <c r="K31" s="37">
        <f t="shared" si="2"/>
        <v>4.8232301428571445</v>
      </c>
      <c r="L31" s="36">
        <f>[1]BOA!$E31</f>
        <v>5833.333333333333</v>
      </c>
      <c r="M31" s="31">
        <f t="shared" si="16"/>
        <v>5116.4166666666661</v>
      </c>
      <c r="N31" s="31">
        <f t="shared" si="17"/>
        <v>716.91666666666663</v>
      </c>
      <c r="O31" s="31">
        <f t="shared" si="18"/>
        <v>53000.258480000004</v>
      </c>
      <c r="P31" s="31">
        <f t="shared" si="19"/>
        <v>9529.5415200000007</v>
      </c>
      <c r="Q31" s="33">
        <f>898.8+40731+9300+2100+9500</f>
        <v>62529.8</v>
      </c>
      <c r="R31" s="37">
        <f t="shared" si="3"/>
        <v>9.7193942857142872</v>
      </c>
      <c r="S31" s="36">
        <f>[1]BOA!$F31</f>
        <v>5833.333333333333</v>
      </c>
      <c r="T31" s="31">
        <f t="shared" si="20"/>
        <v>5116.4166666666661</v>
      </c>
      <c r="U31" s="31">
        <f t="shared" si="21"/>
        <v>716.91666666666663</v>
      </c>
      <c r="V31" s="31">
        <f t="shared" si="22"/>
        <v>8531.6025599999994</v>
      </c>
      <c r="W31" s="31">
        <f t="shared" si="23"/>
        <v>1533.9974400000001</v>
      </c>
      <c r="X31" s="33">
        <f>1065.6+9000</f>
        <v>10065.6</v>
      </c>
      <c r="Y31" s="37">
        <f t="shared" si="4"/>
        <v>0.72553142857142872</v>
      </c>
      <c r="Z31" s="36">
        <f>[1]BOA!$G31</f>
        <v>5833.333333333333</v>
      </c>
      <c r="AA31" s="31">
        <f t="shared" si="24"/>
        <v>5116.4166666666661</v>
      </c>
      <c r="AB31" s="31">
        <f t="shared" si="25"/>
        <v>716.91666666666663</v>
      </c>
      <c r="AC31" s="31">
        <f t="shared" si="26"/>
        <v>3368.633632</v>
      </c>
      <c r="AD31" s="31">
        <f t="shared" si="27"/>
        <v>605.68636800000002</v>
      </c>
      <c r="AE31" s="33">
        <f>3000+974.32</f>
        <v>3974.32</v>
      </c>
      <c r="AF31" s="37">
        <f t="shared" si="5"/>
        <v>-0.31868799999999997</v>
      </c>
      <c r="AG31" s="36">
        <f>[1]BOA!$H31</f>
        <v>5833.333333333333</v>
      </c>
      <c r="AH31" s="31">
        <f t="shared" si="28"/>
        <v>5116.4166666666661</v>
      </c>
      <c r="AI31" s="31">
        <f t="shared" si="29"/>
        <v>716.91666666666663</v>
      </c>
      <c r="AJ31" s="31">
        <f t="shared" si="30"/>
        <v>50267.468939999999</v>
      </c>
      <c r="AK31" s="31">
        <f t="shared" si="31"/>
        <v>9038.1810600000008</v>
      </c>
      <c r="AL31" s="33">
        <f>12738.65+9785+10312.5+2955+23514.5</f>
        <v>59305.65</v>
      </c>
      <c r="AM31" s="37">
        <f t="shared" si="6"/>
        <v>9.1666828571428578</v>
      </c>
      <c r="AN31" s="36">
        <f>[1]BOA!$I31</f>
        <v>5833.333333333333</v>
      </c>
      <c r="AO31" s="31">
        <f t="shared" si="32"/>
        <v>5116.4166666666661</v>
      </c>
      <c r="AP31" s="31">
        <f t="shared" si="33"/>
        <v>716.91666666666663</v>
      </c>
      <c r="AQ31" s="31">
        <f t="shared" si="34"/>
        <v>0</v>
      </c>
      <c r="AR31" s="31">
        <f t="shared" si="35"/>
        <v>0</v>
      </c>
      <c r="AS31" s="33"/>
      <c r="AT31" s="37">
        <f t="shared" si="7"/>
        <v>-1</v>
      </c>
      <c r="AU31" s="36">
        <f>[1]BOA!$J31</f>
        <v>5833.333333333333</v>
      </c>
      <c r="AV31" s="31">
        <f t="shared" si="36"/>
        <v>5116.4166666666661</v>
      </c>
      <c r="AW31" s="31">
        <f t="shared" si="37"/>
        <v>716.91666666666663</v>
      </c>
      <c r="AX31" s="31">
        <f t="shared" si="38"/>
        <v>0</v>
      </c>
      <c r="AY31" s="31">
        <f t="shared" si="39"/>
        <v>0</v>
      </c>
      <c r="AZ31" s="158"/>
      <c r="BA31" s="37">
        <f t="shared" si="8"/>
        <v>-1</v>
      </c>
      <c r="BB31" s="36">
        <f>[1]BOA!$K31</f>
        <v>5833.333333333333</v>
      </c>
      <c r="BC31" s="31">
        <f t="shared" si="40"/>
        <v>5116.4166666666661</v>
      </c>
      <c r="BD31" s="31">
        <f t="shared" si="41"/>
        <v>716.91666666666663</v>
      </c>
      <c r="BE31" s="31">
        <f t="shared" si="42"/>
        <v>0</v>
      </c>
      <c r="BF31" s="31">
        <f t="shared" si="43"/>
        <v>0</v>
      </c>
      <c r="BG31" s="33"/>
      <c r="BH31" s="37">
        <f t="shared" si="9"/>
        <v>-1</v>
      </c>
      <c r="BI31" s="36">
        <f>[1]BOA!$L31</f>
        <v>5833.333333333333</v>
      </c>
      <c r="BJ31" s="31">
        <f t="shared" si="44"/>
        <v>5116.4166666666661</v>
      </c>
      <c r="BK31" s="31">
        <f t="shared" si="45"/>
        <v>716.91666666666663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[1]BOA!$M31</f>
        <v>5833.333333333333</v>
      </c>
      <c r="BQ31" s="31">
        <f t="shared" si="48"/>
        <v>5116.4166666666661</v>
      </c>
      <c r="BR31" s="31">
        <f t="shared" si="49"/>
        <v>716.91666666666663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[1]BOA!$N31</f>
        <v>5833.333333333333</v>
      </c>
      <c r="BX31" s="31">
        <f t="shared" si="52"/>
        <v>5116.4166666666661</v>
      </c>
      <c r="BY31" s="31">
        <f t="shared" si="53"/>
        <v>716.91666666666663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[1]BOA!$O31</f>
        <v>5833.333333333333</v>
      </c>
      <c r="CE31" s="31">
        <f t="shared" si="56"/>
        <v>5116.4166666666661</v>
      </c>
      <c r="CF31" s="31">
        <f t="shared" si="57"/>
        <v>716.91666666666663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[1]BOA!$P31</f>
        <v>5833.333333333333</v>
      </c>
      <c r="CL31" s="31">
        <f t="shared" si="60"/>
        <v>5116.4166666666661</v>
      </c>
      <c r="CM31" s="31">
        <f t="shared" si="61"/>
        <v>716.91666666666663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125</v>
      </c>
      <c r="B32" s="30">
        <f t="shared" si="0"/>
        <v>5233437.4399999995</v>
      </c>
      <c r="C32" s="31">
        <f t="shared" si="0"/>
        <v>4590247.9786240002</v>
      </c>
      <c r="D32" s="32">
        <f t="shared" si="0"/>
        <v>643189.46137599985</v>
      </c>
      <c r="E32" s="30">
        <f t="shared" si="15"/>
        <v>2732288.8560000001</v>
      </c>
      <c r="F32" s="33">
        <f t="shared" si="15"/>
        <v>2396490.5555976001</v>
      </c>
      <c r="G32" s="34">
        <f t="shared" si="15"/>
        <v>335798.30040239997</v>
      </c>
      <c r="H32" s="31">
        <f t="shared" si="1"/>
        <v>2493008.3313199999</v>
      </c>
      <c r="I32" s="33">
        <f t="shared" si="1"/>
        <v>448247.36868000001</v>
      </c>
      <c r="J32" s="33">
        <f t="shared" si="1"/>
        <v>2941255.6999999997</v>
      </c>
      <c r="K32" s="37">
        <f t="shared" si="2"/>
        <v>7.6480509570251431E-2</v>
      </c>
      <c r="L32" s="36">
        <f>[1]BOA!$E32</f>
        <v>675081.52799999993</v>
      </c>
      <c r="M32" s="31">
        <f t="shared" si="16"/>
        <v>592114.00820879999</v>
      </c>
      <c r="N32" s="31">
        <f t="shared" si="17"/>
        <v>82967.519791199986</v>
      </c>
      <c r="O32" s="31">
        <f t="shared" si="18"/>
        <v>986444.19478799985</v>
      </c>
      <c r="P32" s="31">
        <f t="shared" si="19"/>
        <v>177364.43521199998</v>
      </c>
      <c r="Q32" s="33">
        <f>563598.74+539850.33-1729.2+47914.56+14174.2</f>
        <v>1163808.6299999999</v>
      </c>
      <c r="R32" s="37">
        <f t="shared" si="3"/>
        <v>0.72395271049395382</v>
      </c>
      <c r="S32" s="36">
        <f>[1]BOA!$F32</f>
        <v>717943.77599999995</v>
      </c>
      <c r="T32" s="31">
        <f t="shared" si="20"/>
        <v>629708.48592959996</v>
      </c>
      <c r="U32" s="31">
        <f t="shared" si="21"/>
        <v>88235.290070399991</v>
      </c>
      <c r="V32" s="31">
        <f t="shared" si="22"/>
        <v>469380.67321600002</v>
      </c>
      <c r="W32" s="31">
        <f t="shared" si="23"/>
        <v>84395.486784000008</v>
      </c>
      <c r="X32" s="33">
        <f>501120.28+43086.92+9568.96</f>
        <v>553776.16</v>
      </c>
      <c r="Y32" s="37">
        <f t="shared" si="4"/>
        <v>-0.22866361056105866</v>
      </c>
      <c r="Z32" s="36">
        <f>[1]BOA!$G32</f>
        <v>688551.77599999995</v>
      </c>
      <c r="AA32" s="31">
        <f t="shared" si="24"/>
        <v>603928.76272959996</v>
      </c>
      <c r="AB32" s="31">
        <f t="shared" si="25"/>
        <v>84623.013270399984</v>
      </c>
      <c r="AC32" s="31">
        <f t="shared" si="26"/>
        <v>566749.65557599999</v>
      </c>
      <c r="AD32" s="31">
        <f t="shared" si="27"/>
        <v>101902.604424</v>
      </c>
      <c r="AE32" s="33">
        <f>611567.04+51054.02+6031.2</f>
        <v>668652.26</v>
      </c>
      <c r="AF32" s="37">
        <f t="shared" si="5"/>
        <v>-2.8900536885696715E-2</v>
      </c>
      <c r="AG32" s="36">
        <f>[1]BOA!$H32</f>
        <v>650711.77599999995</v>
      </c>
      <c r="AH32" s="31">
        <f t="shared" si="28"/>
        <v>570739.29872959992</v>
      </c>
      <c r="AI32" s="31">
        <f t="shared" si="29"/>
        <v>79972.477270399992</v>
      </c>
      <c r="AJ32" s="31">
        <f t="shared" si="30"/>
        <v>470433.80774000002</v>
      </c>
      <c r="AK32" s="31">
        <f t="shared" si="31"/>
        <v>84584.842260000005</v>
      </c>
      <c r="AL32" s="27">
        <f>551556.25+3462.4</f>
        <v>555018.65</v>
      </c>
      <c r="AM32" s="37">
        <f t="shared" si="6"/>
        <v>-0.14705915818557425</v>
      </c>
      <c r="AN32" s="36">
        <f>[1]BOA!$I32</f>
        <v>693574.02399999998</v>
      </c>
      <c r="AO32" s="31">
        <f t="shared" si="32"/>
        <v>608333.77645040001</v>
      </c>
      <c r="AP32" s="31">
        <f t="shared" si="33"/>
        <v>85240.247549599997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[1]BOA!$J32</f>
        <v>795289.52799999993</v>
      </c>
      <c r="AV32" s="31">
        <f t="shared" si="36"/>
        <v>697548.4450087999</v>
      </c>
      <c r="AW32" s="31">
        <f t="shared" si="37"/>
        <v>97741.08299119999</v>
      </c>
      <c r="AX32" s="31">
        <f t="shared" si="38"/>
        <v>0</v>
      </c>
      <c r="AY32" s="31">
        <f t="shared" si="39"/>
        <v>0</v>
      </c>
      <c r="AZ32" s="158"/>
      <c r="BA32" s="37">
        <f t="shared" si="8"/>
        <v>-1</v>
      </c>
      <c r="BB32" s="36">
        <f>[1]BOA!$K32</f>
        <v>830125.03199999989</v>
      </c>
      <c r="BC32" s="31">
        <f t="shared" si="40"/>
        <v>728102.66556719993</v>
      </c>
      <c r="BD32" s="31">
        <f t="shared" si="41"/>
        <v>102022.36643279999</v>
      </c>
      <c r="BE32" s="31">
        <f t="shared" si="42"/>
        <v>0</v>
      </c>
      <c r="BF32" s="31">
        <f t="shared" si="43"/>
        <v>0</v>
      </c>
      <c r="BG32" s="33"/>
      <c r="BH32" s="37">
        <f t="shared" si="9"/>
        <v>-1</v>
      </c>
      <c r="BI32" s="36">
        <f>[1]BOA!$L32</f>
        <v>139920</v>
      </c>
      <c r="BJ32" s="31">
        <f t="shared" si="44"/>
        <v>122723.83199999999</v>
      </c>
      <c r="BK32" s="31">
        <f t="shared" si="45"/>
        <v>17196.167999999998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[1]BOA!$M32</f>
        <v>34320</v>
      </c>
      <c r="BQ32" s="31">
        <f t="shared" si="48"/>
        <v>30102.072</v>
      </c>
      <c r="BR32" s="31">
        <f t="shared" si="49"/>
        <v>4217.9279999999999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[1]BOA!$N32</f>
        <v>7920</v>
      </c>
      <c r="BX32" s="31">
        <f t="shared" si="52"/>
        <v>6946.6319999999996</v>
      </c>
      <c r="BY32" s="31">
        <f t="shared" si="53"/>
        <v>973.36799999999994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[1]BOA!$O32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[1]BOA!$P32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3330612.2448979593</v>
      </c>
      <c r="C33" s="31">
        <f t="shared" si="0"/>
        <v>2921280</v>
      </c>
      <c r="D33" s="32">
        <f t="shared" si="0"/>
        <v>409332.24489795917</v>
      </c>
      <c r="E33" s="30">
        <f t="shared" si="15"/>
        <v>1956734.6938775512</v>
      </c>
      <c r="F33" s="33">
        <f t="shared" si="15"/>
        <v>1716252</v>
      </c>
      <c r="G33" s="34">
        <f t="shared" si="15"/>
        <v>240482.69387755101</v>
      </c>
      <c r="H33" s="31">
        <f t="shared" si="1"/>
        <v>886692.26131199999</v>
      </c>
      <c r="I33" s="33">
        <f t="shared" si="1"/>
        <v>159428.85868800001</v>
      </c>
      <c r="J33" s="33">
        <f t="shared" si="1"/>
        <v>1046121.12</v>
      </c>
      <c r="K33" s="37">
        <f t="shared" si="2"/>
        <v>-0.46537406257822289</v>
      </c>
      <c r="L33" s="36">
        <f>[1]BOA!$E33</f>
        <v>457959.18367346941</v>
      </c>
      <c r="M33" s="31">
        <f t="shared" si="16"/>
        <v>401676</v>
      </c>
      <c r="N33" s="31">
        <f t="shared" si="17"/>
        <v>56283.183673469386</v>
      </c>
      <c r="O33" s="31">
        <f t="shared" si="18"/>
        <v>651780.50615600008</v>
      </c>
      <c r="P33" s="31">
        <f t="shared" si="19"/>
        <v>117191.30384400001</v>
      </c>
      <c r="Q33" s="33">
        <f>477390.83+291580.98</f>
        <v>768971.81</v>
      </c>
      <c r="R33" s="37">
        <f t="shared" si="3"/>
        <v>0.67912739260249566</v>
      </c>
      <c r="S33" s="36">
        <f>[1]BOA!$F33</f>
        <v>499591.8367346939</v>
      </c>
      <c r="T33" s="31">
        <f t="shared" si="20"/>
        <v>438192</v>
      </c>
      <c r="U33" s="31">
        <f t="shared" si="21"/>
        <v>61399.836734693876</v>
      </c>
      <c r="V33" s="31">
        <f t="shared" si="22"/>
        <v>142540.11220799998</v>
      </c>
      <c r="W33" s="31">
        <f t="shared" si="23"/>
        <v>25628.967791999999</v>
      </c>
      <c r="X33" s="33">
        <f>168169.08</f>
        <v>168169.08</v>
      </c>
      <c r="Y33" s="37">
        <f t="shared" si="4"/>
        <v>-0.66338705392156871</v>
      </c>
      <c r="Z33" s="36">
        <f>[1]BOA!$G33</f>
        <v>499591.8367346939</v>
      </c>
      <c r="AA33" s="31">
        <f t="shared" si="24"/>
        <v>438192</v>
      </c>
      <c r="AB33" s="31">
        <f t="shared" si="25"/>
        <v>61399.836734693876</v>
      </c>
      <c r="AC33" s="31">
        <f t="shared" si="26"/>
        <v>74607.794716000004</v>
      </c>
      <c r="AD33" s="31">
        <f t="shared" si="27"/>
        <v>13414.615284000001</v>
      </c>
      <c r="AE33" s="33">
        <v>88022.41</v>
      </c>
      <c r="AF33" s="37">
        <f t="shared" si="5"/>
        <v>-0.82381135253267979</v>
      </c>
      <c r="AG33" s="36">
        <f>[1]BOA!$H33</f>
        <v>499591.8367346939</v>
      </c>
      <c r="AH33" s="31">
        <f t="shared" si="28"/>
        <v>438192</v>
      </c>
      <c r="AI33" s="31">
        <f t="shared" si="29"/>
        <v>61399.836734693876</v>
      </c>
      <c r="AJ33" s="31">
        <f t="shared" si="30"/>
        <v>17763.848232</v>
      </c>
      <c r="AK33" s="31">
        <f t="shared" si="31"/>
        <v>3193.9717680000003</v>
      </c>
      <c r="AL33" s="27">
        <v>20957.82</v>
      </c>
      <c r="AM33" s="37">
        <f t="shared" si="6"/>
        <v>-0.95805011519607841</v>
      </c>
      <c r="AN33" s="36">
        <f>[1]BOA!$I33</f>
        <v>541224.48979591834</v>
      </c>
      <c r="AO33" s="31">
        <f t="shared" si="32"/>
        <v>474708</v>
      </c>
      <c r="AP33" s="31">
        <f t="shared" si="33"/>
        <v>66516.489795918358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[1]BOA!$J33</f>
        <v>457959.18367346941</v>
      </c>
      <c r="AV33" s="31">
        <f t="shared" si="36"/>
        <v>401676</v>
      </c>
      <c r="AW33" s="31">
        <f t="shared" si="37"/>
        <v>56283.183673469386</v>
      </c>
      <c r="AX33" s="31">
        <f t="shared" si="38"/>
        <v>0</v>
      </c>
      <c r="AY33" s="31">
        <f t="shared" si="39"/>
        <v>0</v>
      </c>
      <c r="AZ33" s="158"/>
      <c r="BA33" s="37">
        <f t="shared" si="8"/>
        <v>-1</v>
      </c>
      <c r="BB33" s="36">
        <f>[1]BOA!$K33</f>
        <v>374693.87755102041</v>
      </c>
      <c r="BC33" s="31">
        <f t="shared" si="40"/>
        <v>328644</v>
      </c>
      <c r="BD33" s="31">
        <f t="shared" si="41"/>
        <v>46049.877551020407</v>
      </c>
      <c r="BE33" s="31">
        <f t="shared" si="42"/>
        <v>0</v>
      </c>
      <c r="BF33" s="31">
        <f t="shared" si="43"/>
        <v>0</v>
      </c>
      <c r="BG33" s="33"/>
      <c r="BH33" s="37">
        <f t="shared" si="9"/>
        <v>-1</v>
      </c>
      <c r="BI33" s="36">
        <f>[1]BOA!$L33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[1]BOA!$M33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[1]BOA!$N33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[1]BOA!$O33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[1]BOA!$P33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126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[1]BOA!$E34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3"/>
        <v/>
      </c>
      <c r="S34" s="36">
        <f>[1]BOA!$F34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[1]BOA!$G34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33"/>
      <c r="AF34" s="37" t="str">
        <f t="shared" si="5"/>
        <v/>
      </c>
      <c r="AG34" s="36">
        <f>[1]BOA!$H34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27"/>
      <c r="AM34" s="37" t="str">
        <f t="shared" si="6"/>
        <v/>
      </c>
      <c r="AN34" s="36">
        <f>[1]BOA!$I34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7"/>
        <v/>
      </c>
      <c r="AU34" s="36">
        <f>[1]BOA!$J34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158"/>
      <c r="BA34" s="37" t="str">
        <f t="shared" si="8"/>
        <v/>
      </c>
      <c r="BB34" s="36">
        <f>[1]BOA!$K34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33"/>
      <c r="BH34" s="37" t="str">
        <f t="shared" si="9"/>
        <v/>
      </c>
      <c r="BI34" s="36">
        <f>[1]BOA!$L34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[1]BOA!$M34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[1]BOA!$N34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[1]BOA!$O34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[1]BOA!$P34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[1]BOA!$E35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3"/>
        <v/>
      </c>
      <c r="S35" s="36">
        <f>[1]BOA!$F35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[1]BOA!$G35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33"/>
      <c r="AF35" s="37" t="str">
        <f t="shared" si="5"/>
        <v/>
      </c>
      <c r="AG35" s="36">
        <f>[1]BOA!$H35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27"/>
      <c r="AM35" s="37" t="str">
        <f t="shared" si="6"/>
        <v/>
      </c>
      <c r="AN35" s="36">
        <f>[1]BOA!$I35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7"/>
        <v/>
      </c>
      <c r="AU35" s="36">
        <f>[1]BOA!$J35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158"/>
      <c r="BA35" s="37" t="str">
        <f t="shared" si="8"/>
        <v/>
      </c>
      <c r="BB35" s="36">
        <f>[1]BOA!$K35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33"/>
      <c r="BH35" s="37" t="str">
        <f t="shared" si="9"/>
        <v/>
      </c>
      <c r="BI35" s="36">
        <f>[1]BOA!$L35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[1]BOA!$M35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[1]BOA!$N35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[1]BOA!$O35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[1]BOA!$P35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199999.99999999997</v>
      </c>
      <c r="C36" s="31">
        <f t="shared" si="64"/>
        <v>175420.00000000003</v>
      </c>
      <c r="D36" s="32">
        <f t="shared" si="64"/>
        <v>24579.999999999996</v>
      </c>
      <c r="E36" s="30">
        <f t="shared" si="15"/>
        <v>66666.666666666672</v>
      </c>
      <c r="F36" s="33">
        <f t="shared" si="15"/>
        <v>58473.333333333336</v>
      </c>
      <c r="G36" s="34">
        <f t="shared" si="15"/>
        <v>8193.3333333333339</v>
      </c>
      <c r="H36" s="31">
        <f t="shared" ref="H36:J54" si="65">+O36+V36+AC36+AJ36+AQ36+AX36+BE36+BL36+BS36+BZ36+CG36+CN36</f>
        <v>127661.65711520001</v>
      </c>
      <c r="I36" s="33">
        <f t="shared" si="65"/>
        <v>22953.794884800001</v>
      </c>
      <c r="J36" s="33">
        <f t="shared" si="65"/>
        <v>150615.45200000002</v>
      </c>
      <c r="K36" s="37">
        <f t="shared" si="2"/>
        <v>1.2592317799999999</v>
      </c>
      <c r="L36" s="36">
        <f>[1]BOA!$E36</f>
        <v>16666.666666666668</v>
      </c>
      <c r="M36" s="31">
        <f t="shared" si="16"/>
        <v>14618.333333333334</v>
      </c>
      <c r="N36" s="31">
        <f t="shared" si="17"/>
        <v>2048.3333333333335</v>
      </c>
      <c r="O36" s="31">
        <f t="shared" si="18"/>
        <v>34692.852843999994</v>
      </c>
      <c r="P36" s="31">
        <f t="shared" si="19"/>
        <v>6237.8371559999996</v>
      </c>
      <c r="Q36" s="33">
        <f>959.54+850+145+97.52+2474.07+11.37+132.55+590+625+31.2+240+580+1880+86.4+41.6+960+83.08+34.91+120+850+684.4+990+195+348+398+750+980+824+940+376+280+360+1180+96.66+14.41+94.68+2666.66+378.79+698.06+700+900+963+153.58+402.95+180+691.3+900+525.17+81.92+198+2977.44+995+93.5+682+869.4+1395+648+4527.53</f>
        <v>40930.689999999995</v>
      </c>
      <c r="R36" s="37">
        <f t="shared" si="3"/>
        <v>1.4558413999999997</v>
      </c>
      <c r="S36" s="36">
        <f>[1]BOA!$F36</f>
        <v>16666.666666666668</v>
      </c>
      <c r="T36" s="31">
        <f t="shared" si="20"/>
        <v>14618.333333333334</v>
      </c>
      <c r="U36" s="31">
        <f t="shared" si="21"/>
        <v>2048.3333333333335</v>
      </c>
      <c r="V36" s="31">
        <f t="shared" si="22"/>
        <v>24055.396560000001</v>
      </c>
      <c r="W36" s="31">
        <f t="shared" si="23"/>
        <v>4325.2034400000002</v>
      </c>
      <c r="X36" s="33">
        <f>2199.97+1899.97+900+900+850+850+105.32+2291.34+1145.66+1237.03+876.68+987.93+919.46+72.48+725.5+1350+850+1300+495+590+480+625+203.66+59.18+228+88.7+337.5+248+52.5+696+1518+1300+950+590+457.72</f>
        <v>28380.600000000002</v>
      </c>
      <c r="Y36" s="37">
        <f t="shared" si="4"/>
        <v>0.70283600000000002</v>
      </c>
      <c r="Z36" s="36">
        <f>[1]BOA!$G36</f>
        <v>16666.666666666668</v>
      </c>
      <c r="AA36" s="31">
        <f t="shared" si="24"/>
        <v>14618.333333333334</v>
      </c>
      <c r="AB36" s="31">
        <f t="shared" si="25"/>
        <v>2048.3333333333335</v>
      </c>
      <c r="AC36" s="31">
        <f t="shared" si="26"/>
        <v>32049.57155920002</v>
      </c>
      <c r="AD36" s="31">
        <f t="shared" si="27"/>
        <v>5762.5704408000038</v>
      </c>
      <c r="AE36" s="33">
        <f>594+2368.61+2368.61+2368.61+369.42+939.11+491.25+404.56+100+54.4+487.75+900+990+282.04+897+2700+600+1550+75.42+1830+480+99.11+77.27+708.2+8.22+8.522+422.5+57.99+87.58+800+881.2+45.57+42.61+11.44+1395+1860+47.34+836.8+559.93+349.68+881.53+552.78+900+832+156.13+260.35+107.02+869.4+195+37.08+72.19+920.4+840+72.55+468.16+58.48+760+600+79.33</f>
        <v>37812.142000000022</v>
      </c>
      <c r="AF36" s="37">
        <f t="shared" si="5"/>
        <v>1.2687285200000011</v>
      </c>
      <c r="AG36" s="36">
        <f>[1]BOA!$H36</f>
        <v>16666.666666666668</v>
      </c>
      <c r="AH36" s="31">
        <f t="shared" si="28"/>
        <v>14618.333333333334</v>
      </c>
      <c r="AI36" s="31">
        <f t="shared" si="29"/>
        <v>2048.3333333333335</v>
      </c>
      <c r="AJ36" s="31">
        <f t="shared" si="30"/>
        <v>36863.836151999996</v>
      </c>
      <c r="AK36" s="31">
        <f t="shared" si="31"/>
        <v>6628.1838479999997</v>
      </c>
      <c r="AL36" s="33">
        <f>944+522.74+728.68+221.74+900+424.12+803.97+168.06+795.48+795.48+766.94+174.84+192.21+1550+4.09+36.3+960+480+305.8+7500+300+700+195+67.17+760+637.2+637.2+987.2+990+789.6+810+28.43+653.86+514.21+1508+14.21+360+280+68.23+61.41+109.17+162.62+820+375+600+200+783.2+240+68.23+973.32+634.62+1312+53.6+381.6+1550+800+920.4+901.6+24.81+81.88+460+330.8+2378+155+540</f>
        <v>43492.02</v>
      </c>
      <c r="AM36" s="37">
        <f t="shared" si="6"/>
        <v>1.6095211999999997</v>
      </c>
      <c r="AN36" s="36">
        <f>[1]BOA!$I36</f>
        <v>16666.666666666668</v>
      </c>
      <c r="AO36" s="31">
        <f t="shared" si="32"/>
        <v>14618.333333333334</v>
      </c>
      <c r="AP36" s="31">
        <f t="shared" si="33"/>
        <v>2048.3333333333335</v>
      </c>
      <c r="AQ36" s="31">
        <f t="shared" si="34"/>
        <v>0</v>
      </c>
      <c r="AR36" s="31">
        <f t="shared" si="35"/>
        <v>0</v>
      </c>
      <c r="AS36" s="33"/>
      <c r="AT36" s="37">
        <f t="shared" si="7"/>
        <v>-1</v>
      </c>
      <c r="AU36" s="36">
        <f>[1]BOA!$J36</f>
        <v>16666.666666666668</v>
      </c>
      <c r="AV36" s="31">
        <f t="shared" si="36"/>
        <v>14618.333333333334</v>
      </c>
      <c r="AW36" s="31">
        <f t="shared" si="37"/>
        <v>2048.3333333333335</v>
      </c>
      <c r="AX36" s="31">
        <f t="shared" si="38"/>
        <v>0</v>
      </c>
      <c r="AY36" s="31">
        <f t="shared" si="39"/>
        <v>0</v>
      </c>
      <c r="AZ36" s="160"/>
      <c r="BA36" s="37">
        <f t="shared" si="8"/>
        <v>-1</v>
      </c>
      <c r="BB36" s="36">
        <f>[1]BOA!$K36</f>
        <v>16666.666666666668</v>
      </c>
      <c r="BC36" s="31">
        <f t="shared" si="40"/>
        <v>14618.333333333334</v>
      </c>
      <c r="BD36" s="31">
        <f t="shared" si="41"/>
        <v>2048.3333333333335</v>
      </c>
      <c r="BE36" s="31">
        <f t="shared" si="42"/>
        <v>0</v>
      </c>
      <c r="BF36" s="31">
        <f t="shared" si="43"/>
        <v>0</v>
      </c>
      <c r="BG36" s="33"/>
      <c r="BH36" s="37">
        <f t="shared" si="9"/>
        <v>-1</v>
      </c>
      <c r="BI36" s="36">
        <f>[1]BOA!$L36</f>
        <v>16666.666666666668</v>
      </c>
      <c r="BJ36" s="31">
        <f t="shared" si="44"/>
        <v>14618.333333333334</v>
      </c>
      <c r="BK36" s="31">
        <f t="shared" si="45"/>
        <v>2048.3333333333335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[1]BOA!$M36</f>
        <v>16666.666666666668</v>
      </c>
      <c r="BQ36" s="31">
        <f t="shared" si="48"/>
        <v>14618.333333333334</v>
      </c>
      <c r="BR36" s="31">
        <f t="shared" si="49"/>
        <v>2048.3333333333335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[1]BOA!$N36</f>
        <v>16666.666666666668</v>
      </c>
      <c r="BX36" s="31">
        <f t="shared" si="52"/>
        <v>14618.333333333334</v>
      </c>
      <c r="BY36" s="31">
        <f t="shared" si="53"/>
        <v>2048.3333333333335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[1]BOA!$O36</f>
        <v>16666.666666666668</v>
      </c>
      <c r="CE36" s="31">
        <f t="shared" si="56"/>
        <v>14618.333333333334</v>
      </c>
      <c r="CF36" s="31">
        <f t="shared" si="57"/>
        <v>2048.3333333333335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[1]BOA!$P36</f>
        <v>16666.666666666668</v>
      </c>
      <c r="CL36" s="31">
        <f t="shared" si="60"/>
        <v>14618.333333333334</v>
      </c>
      <c r="CM36" s="31">
        <f t="shared" si="61"/>
        <v>2048.3333333333335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199999.99999999997</v>
      </c>
      <c r="C37" s="31">
        <f t="shared" si="64"/>
        <v>175420.00000000003</v>
      </c>
      <c r="D37" s="32">
        <f t="shared" si="64"/>
        <v>24579.999999999996</v>
      </c>
      <c r="E37" s="30">
        <f t="shared" ref="E37:G54" si="66">+L37+S37+Z37+AG37</f>
        <v>66666.666666666672</v>
      </c>
      <c r="F37" s="33">
        <f t="shared" si="66"/>
        <v>58473.333333333336</v>
      </c>
      <c r="G37" s="34">
        <f t="shared" si="66"/>
        <v>8193.3333333333339</v>
      </c>
      <c r="H37" s="31">
        <f t="shared" si="65"/>
        <v>114594.5435648</v>
      </c>
      <c r="I37" s="33">
        <f t="shared" si="65"/>
        <v>20604.3044352</v>
      </c>
      <c r="J37" s="33">
        <f t="shared" si="65"/>
        <v>135198.848</v>
      </c>
      <c r="K37" s="37">
        <f t="shared" si="2"/>
        <v>1.0279827199999998</v>
      </c>
      <c r="L37" s="36">
        <f>[1]BOA!$E37</f>
        <v>16666.666666666668</v>
      </c>
      <c r="M37" s="31">
        <f t="shared" si="16"/>
        <v>14618.333333333334</v>
      </c>
      <c r="N37" s="31">
        <f t="shared" si="17"/>
        <v>2048.3333333333335</v>
      </c>
      <c r="O37" s="31">
        <f t="shared" si="18"/>
        <v>21082.346324000009</v>
      </c>
      <c r="P37" s="31">
        <f t="shared" si="19"/>
        <v>3790.643676000002</v>
      </c>
      <c r="Q37" s="33">
        <f>(65242.44+561.24)-Q36</f>
        <v>24872.990000000013</v>
      </c>
      <c r="R37" s="37">
        <f t="shared" si="3"/>
        <v>0.49237940000000058</v>
      </c>
      <c r="S37" s="36">
        <f>[1]BOA!$F37</f>
        <v>16666.666666666668</v>
      </c>
      <c r="T37" s="31">
        <f t="shared" si="20"/>
        <v>14618.333333333334</v>
      </c>
      <c r="U37" s="31">
        <f t="shared" si="21"/>
        <v>2048.3333333333335</v>
      </c>
      <c r="V37" s="31">
        <f t="shared" si="22"/>
        <v>23194.845231999996</v>
      </c>
      <c r="W37" s="31">
        <f t="shared" si="23"/>
        <v>4170.474768</v>
      </c>
      <c r="X37" s="33">
        <f>(53737.79+723+28.68+996.45+260)-X36</f>
        <v>27365.319999999996</v>
      </c>
      <c r="Y37" s="37">
        <f t="shared" si="4"/>
        <v>0.64191919999999958</v>
      </c>
      <c r="Z37" s="36">
        <f>[1]BOA!$G37</f>
        <v>16666.666666666668</v>
      </c>
      <c r="AA37" s="31">
        <f t="shared" si="24"/>
        <v>14618.333333333334</v>
      </c>
      <c r="AB37" s="31">
        <f t="shared" si="25"/>
        <v>2048.3333333333335</v>
      </c>
      <c r="AC37" s="31">
        <f t="shared" si="26"/>
        <v>31755.603536799987</v>
      </c>
      <c r="AD37" s="31">
        <f t="shared" si="27"/>
        <v>5709.7144631999981</v>
      </c>
      <c r="AE37" s="33">
        <f>75277.46-AE36</f>
        <v>37465.317999999985</v>
      </c>
      <c r="AF37" s="37">
        <f t="shared" si="5"/>
        <v>1.2479190799999991</v>
      </c>
      <c r="AG37" s="36">
        <f>[1]BOA!$H37</f>
        <v>16666.666666666668</v>
      </c>
      <c r="AH37" s="31">
        <f t="shared" si="28"/>
        <v>14618.333333333334</v>
      </c>
      <c r="AI37" s="31">
        <f t="shared" si="29"/>
        <v>2048.3333333333335</v>
      </c>
      <c r="AJ37" s="31">
        <f t="shared" si="30"/>
        <v>38561.748472000007</v>
      </c>
      <c r="AK37" s="31">
        <f t="shared" si="31"/>
        <v>6933.4715280000019</v>
      </c>
      <c r="AL37" s="33">
        <f>88987.24-AL36</f>
        <v>45495.220000000008</v>
      </c>
      <c r="AM37" s="37">
        <f t="shared" si="6"/>
        <v>1.7297132000000004</v>
      </c>
      <c r="AN37" s="36">
        <f>[1]BOA!$I37</f>
        <v>16666.666666666668</v>
      </c>
      <c r="AO37" s="31">
        <f t="shared" si="32"/>
        <v>14618.333333333334</v>
      </c>
      <c r="AP37" s="31">
        <f t="shared" si="33"/>
        <v>2048.3333333333335</v>
      </c>
      <c r="AQ37" s="31">
        <f t="shared" si="34"/>
        <v>0</v>
      </c>
      <c r="AR37" s="31">
        <f t="shared" si="35"/>
        <v>0</v>
      </c>
      <c r="AS37" s="33"/>
      <c r="AT37" s="37">
        <f t="shared" si="7"/>
        <v>-1</v>
      </c>
      <c r="AU37" s="36">
        <f>[1]BOA!$J37</f>
        <v>16666.666666666668</v>
      </c>
      <c r="AV37" s="31">
        <f t="shared" si="36"/>
        <v>14618.333333333334</v>
      </c>
      <c r="AW37" s="31">
        <f t="shared" si="37"/>
        <v>2048.3333333333335</v>
      </c>
      <c r="AX37" s="31">
        <f t="shared" si="38"/>
        <v>0</v>
      </c>
      <c r="AY37" s="31">
        <f t="shared" si="39"/>
        <v>0</v>
      </c>
      <c r="AZ37" s="160"/>
      <c r="BA37" s="37">
        <f t="shared" si="8"/>
        <v>-1</v>
      </c>
      <c r="BB37" s="36">
        <f>[1]BOA!$K37</f>
        <v>16666.666666666668</v>
      </c>
      <c r="BC37" s="31">
        <f t="shared" si="40"/>
        <v>14618.333333333334</v>
      </c>
      <c r="BD37" s="31">
        <f t="shared" si="41"/>
        <v>2048.3333333333335</v>
      </c>
      <c r="BE37" s="31">
        <f t="shared" si="42"/>
        <v>0</v>
      </c>
      <c r="BF37" s="31">
        <f t="shared" si="43"/>
        <v>0</v>
      </c>
      <c r="BG37" s="33"/>
      <c r="BH37" s="37">
        <f t="shared" si="9"/>
        <v>-1</v>
      </c>
      <c r="BI37" s="36">
        <f>[1]BOA!$L37</f>
        <v>16666.666666666668</v>
      </c>
      <c r="BJ37" s="31">
        <f t="shared" si="44"/>
        <v>14618.333333333334</v>
      </c>
      <c r="BK37" s="31">
        <f t="shared" si="45"/>
        <v>2048.3333333333335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[1]BOA!$M37</f>
        <v>16666.666666666668</v>
      </c>
      <c r="BQ37" s="31">
        <f t="shared" si="48"/>
        <v>14618.333333333334</v>
      </c>
      <c r="BR37" s="31">
        <f t="shared" si="49"/>
        <v>2048.3333333333335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[1]BOA!$N37</f>
        <v>16666.666666666668</v>
      </c>
      <c r="BX37" s="31">
        <f t="shared" si="52"/>
        <v>14618.333333333334</v>
      </c>
      <c r="BY37" s="31">
        <f t="shared" si="53"/>
        <v>2048.3333333333335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[1]BOA!$O37</f>
        <v>16666.666666666668</v>
      </c>
      <c r="CE37" s="31">
        <f t="shared" si="56"/>
        <v>14618.333333333334</v>
      </c>
      <c r="CF37" s="31">
        <f t="shared" si="57"/>
        <v>2048.3333333333335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[1]BOA!$P37</f>
        <v>16666.666666666668</v>
      </c>
      <c r="CL37" s="31">
        <f t="shared" si="60"/>
        <v>14618.333333333334</v>
      </c>
      <c r="CM37" s="31">
        <f t="shared" si="61"/>
        <v>2048.3333333333335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30000</v>
      </c>
      <c r="C38" s="31">
        <f t="shared" si="64"/>
        <v>26313</v>
      </c>
      <c r="D38" s="32">
        <f t="shared" si="64"/>
        <v>3687</v>
      </c>
      <c r="E38" s="30">
        <f t="shared" si="66"/>
        <v>10000</v>
      </c>
      <c r="F38" s="33">
        <f t="shared" si="66"/>
        <v>8771</v>
      </c>
      <c r="G38" s="34">
        <f t="shared" si="66"/>
        <v>1229</v>
      </c>
      <c r="H38" s="31">
        <f t="shared" si="65"/>
        <v>37305.605272000001</v>
      </c>
      <c r="I38" s="33">
        <f t="shared" si="65"/>
        <v>6707.6147280000014</v>
      </c>
      <c r="J38" s="33">
        <f t="shared" si="65"/>
        <v>44013.22</v>
      </c>
      <c r="K38" s="37">
        <f t="shared" si="2"/>
        <v>3.4013220000000004</v>
      </c>
      <c r="L38" s="36">
        <f>[1]BOA!$E38</f>
        <v>2500</v>
      </c>
      <c r="M38" s="31">
        <f t="shared" si="16"/>
        <v>2192.75</v>
      </c>
      <c r="N38" s="31">
        <f t="shared" si="17"/>
        <v>307.25</v>
      </c>
      <c r="O38" s="31">
        <f t="shared" si="18"/>
        <v>1188.2334880000001</v>
      </c>
      <c r="P38" s="31">
        <f t="shared" si="19"/>
        <v>213.64651200000003</v>
      </c>
      <c r="Q38" s="33">
        <f>1401.88</f>
        <v>1401.88</v>
      </c>
      <c r="R38" s="37">
        <f t="shared" si="3"/>
        <v>-0.43924799999999997</v>
      </c>
      <c r="S38" s="36">
        <f>[1]BOA!$F38</f>
        <v>2500</v>
      </c>
      <c r="T38" s="31">
        <f t="shared" si="20"/>
        <v>2192.75</v>
      </c>
      <c r="U38" s="31">
        <f t="shared" si="21"/>
        <v>307.25</v>
      </c>
      <c r="V38" s="31">
        <f t="shared" si="22"/>
        <v>8703.6314559999992</v>
      </c>
      <c r="W38" s="31">
        <f t="shared" si="23"/>
        <v>1564.9285440000001</v>
      </c>
      <c r="X38" s="33">
        <f>10268.56</f>
        <v>10268.56</v>
      </c>
      <c r="Y38" s="37">
        <f t="shared" si="4"/>
        <v>3.107424</v>
      </c>
      <c r="Z38" s="36">
        <f>[1]BOA!$G38</f>
        <v>2500</v>
      </c>
      <c r="AA38" s="31">
        <f t="shared" si="24"/>
        <v>2192.75</v>
      </c>
      <c r="AB38" s="31">
        <f t="shared" si="25"/>
        <v>307.25</v>
      </c>
      <c r="AC38" s="31">
        <f t="shared" si="26"/>
        <v>24168.059551999999</v>
      </c>
      <c r="AD38" s="31">
        <f t="shared" si="27"/>
        <v>4345.4604480000007</v>
      </c>
      <c r="AE38" s="33">
        <f>28513.52</f>
        <v>28513.52</v>
      </c>
      <c r="AF38" s="37">
        <f t="shared" si="5"/>
        <v>10.405408</v>
      </c>
      <c r="AG38" s="36">
        <f>[1]BOA!$H38</f>
        <v>2500</v>
      </c>
      <c r="AH38" s="31">
        <f t="shared" si="28"/>
        <v>2192.75</v>
      </c>
      <c r="AI38" s="31">
        <f t="shared" si="29"/>
        <v>307.25</v>
      </c>
      <c r="AJ38" s="31">
        <f t="shared" si="30"/>
        <v>3245.6807760000002</v>
      </c>
      <c r="AK38" s="31">
        <f t="shared" si="31"/>
        <v>583.57922400000007</v>
      </c>
      <c r="AL38" s="33">
        <f>3829.26</f>
        <v>3829.26</v>
      </c>
      <c r="AM38" s="37">
        <f t="shared" si="6"/>
        <v>0.53170400000000018</v>
      </c>
      <c r="AN38" s="36">
        <f>[1]BOA!$I38</f>
        <v>2500</v>
      </c>
      <c r="AO38" s="31">
        <f t="shared" si="32"/>
        <v>2192.75</v>
      </c>
      <c r="AP38" s="31">
        <f t="shared" si="33"/>
        <v>307.25</v>
      </c>
      <c r="AQ38" s="31">
        <f t="shared" si="34"/>
        <v>0</v>
      </c>
      <c r="AR38" s="31">
        <f t="shared" si="35"/>
        <v>0</v>
      </c>
      <c r="AS38" s="33"/>
      <c r="AT38" s="37">
        <f t="shared" si="7"/>
        <v>-1</v>
      </c>
      <c r="AU38" s="36">
        <f>[1]BOA!$J38</f>
        <v>2500</v>
      </c>
      <c r="AV38" s="31">
        <f t="shared" si="36"/>
        <v>2192.75</v>
      </c>
      <c r="AW38" s="31">
        <f t="shared" si="37"/>
        <v>307.25</v>
      </c>
      <c r="AX38" s="31">
        <f t="shared" si="38"/>
        <v>0</v>
      </c>
      <c r="AY38" s="31">
        <f t="shared" si="39"/>
        <v>0</v>
      </c>
      <c r="AZ38" s="160"/>
      <c r="BA38" s="37">
        <f t="shared" si="8"/>
        <v>-1</v>
      </c>
      <c r="BB38" s="36">
        <f>[1]BOA!$K38</f>
        <v>2500</v>
      </c>
      <c r="BC38" s="31">
        <f t="shared" si="40"/>
        <v>2192.75</v>
      </c>
      <c r="BD38" s="31">
        <f t="shared" si="41"/>
        <v>307.25</v>
      </c>
      <c r="BE38" s="31">
        <f t="shared" si="42"/>
        <v>0</v>
      </c>
      <c r="BF38" s="31">
        <f t="shared" si="43"/>
        <v>0</v>
      </c>
      <c r="BG38" s="33"/>
      <c r="BH38" s="37">
        <f t="shared" si="9"/>
        <v>-1</v>
      </c>
      <c r="BI38" s="36">
        <f>[1]BOA!$L38</f>
        <v>2500</v>
      </c>
      <c r="BJ38" s="31">
        <f t="shared" si="44"/>
        <v>2192.75</v>
      </c>
      <c r="BK38" s="31">
        <f t="shared" si="45"/>
        <v>307.25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[1]BOA!$M38</f>
        <v>2500</v>
      </c>
      <c r="BQ38" s="31">
        <f t="shared" si="48"/>
        <v>2192.75</v>
      </c>
      <c r="BR38" s="31">
        <f t="shared" si="49"/>
        <v>307.25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[1]BOA!$N38</f>
        <v>2500</v>
      </c>
      <c r="BX38" s="31">
        <f t="shared" si="52"/>
        <v>2192.75</v>
      </c>
      <c r="BY38" s="31">
        <f t="shared" si="53"/>
        <v>307.25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[1]BOA!$O38</f>
        <v>2500</v>
      </c>
      <c r="CE38" s="31">
        <f t="shared" si="56"/>
        <v>2192.75</v>
      </c>
      <c r="CF38" s="31">
        <f t="shared" si="57"/>
        <v>307.25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[1]BOA!$P38</f>
        <v>2500</v>
      </c>
      <c r="CL38" s="31">
        <f t="shared" si="60"/>
        <v>2192.75</v>
      </c>
      <c r="CM38" s="31">
        <f t="shared" si="61"/>
        <v>307.25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12000</v>
      </c>
      <c r="C39" s="31">
        <f t="shared" si="64"/>
        <v>10525.200000000003</v>
      </c>
      <c r="D39" s="32">
        <f t="shared" si="64"/>
        <v>1474.8000000000002</v>
      </c>
      <c r="E39" s="30">
        <f t="shared" si="66"/>
        <v>4000</v>
      </c>
      <c r="F39" s="33">
        <f t="shared" si="66"/>
        <v>3508.4</v>
      </c>
      <c r="G39" s="34">
        <f t="shared" si="66"/>
        <v>491.59999999999997</v>
      </c>
      <c r="H39" s="31">
        <f t="shared" si="65"/>
        <v>17707.330264</v>
      </c>
      <c r="I39" s="33">
        <f t="shared" si="65"/>
        <v>3183.8097359999997</v>
      </c>
      <c r="J39" s="33">
        <f t="shared" si="65"/>
        <v>20891.14</v>
      </c>
      <c r="K39" s="37">
        <f t="shared" si="2"/>
        <v>4.222785</v>
      </c>
      <c r="L39" s="36">
        <f>[1]BOA!$E39</f>
        <v>1000</v>
      </c>
      <c r="M39" s="31">
        <f t="shared" si="16"/>
        <v>877.1</v>
      </c>
      <c r="N39" s="31">
        <f t="shared" si="17"/>
        <v>122.89999999999999</v>
      </c>
      <c r="O39" s="31">
        <f t="shared" si="18"/>
        <v>1497.7431039999999</v>
      </c>
      <c r="P39" s="31">
        <f t="shared" si="19"/>
        <v>269.296896</v>
      </c>
      <c r="Q39" s="33">
        <f>1314.36+452.68</f>
        <v>1767.04</v>
      </c>
      <c r="R39" s="37">
        <f t="shared" si="3"/>
        <v>0.76703999999999994</v>
      </c>
      <c r="S39" s="36">
        <f>[1]BOA!$F39</f>
        <v>1000</v>
      </c>
      <c r="T39" s="31">
        <f t="shared" si="20"/>
        <v>877.1</v>
      </c>
      <c r="U39" s="31">
        <f t="shared" si="21"/>
        <v>122.89999999999999</v>
      </c>
      <c r="V39" s="31">
        <f t="shared" si="22"/>
        <v>0</v>
      </c>
      <c r="W39" s="31">
        <f t="shared" si="23"/>
        <v>0</v>
      </c>
      <c r="X39" s="33"/>
      <c r="Y39" s="37">
        <f t="shared" si="4"/>
        <v>-1</v>
      </c>
      <c r="Z39" s="36">
        <f>[1]BOA!$G39</f>
        <v>1000</v>
      </c>
      <c r="AA39" s="31">
        <f t="shared" si="24"/>
        <v>877.1</v>
      </c>
      <c r="AB39" s="31">
        <f t="shared" si="25"/>
        <v>122.89999999999999</v>
      </c>
      <c r="AC39" s="31">
        <f t="shared" si="26"/>
        <v>0</v>
      </c>
      <c r="AD39" s="31">
        <f t="shared" si="27"/>
        <v>0</v>
      </c>
      <c r="AE39" s="33"/>
      <c r="AF39" s="37">
        <f t="shared" si="5"/>
        <v>-1</v>
      </c>
      <c r="AG39" s="36">
        <f>[1]BOA!$H39</f>
        <v>1000</v>
      </c>
      <c r="AH39" s="31">
        <f t="shared" si="28"/>
        <v>877.1</v>
      </c>
      <c r="AI39" s="31">
        <f t="shared" si="29"/>
        <v>122.89999999999999</v>
      </c>
      <c r="AJ39" s="31">
        <f t="shared" si="30"/>
        <v>16209.587159999999</v>
      </c>
      <c r="AK39" s="31">
        <f t="shared" si="31"/>
        <v>2914.5128399999999</v>
      </c>
      <c r="AL39" s="33">
        <f>19027.8+96.3</f>
        <v>19124.099999999999</v>
      </c>
      <c r="AM39" s="37">
        <f t="shared" si="6"/>
        <v>18.124099999999999</v>
      </c>
      <c r="AN39" s="36">
        <f>[1]BOA!$I39</f>
        <v>1000</v>
      </c>
      <c r="AO39" s="31">
        <f t="shared" si="32"/>
        <v>877.1</v>
      </c>
      <c r="AP39" s="31">
        <f t="shared" si="33"/>
        <v>122.89999999999999</v>
      </c>
      <c r="AQ39" s="31">
        <f t="shared" si="34"/>
        <v>0</v>
      </c>
      <c r="AR39" s="31">
        <f t="shared" si="35"/>
        <v>0</v>
      </c>
      <c r="AS39" s="33"/>
      <c r="AT39" s="37">
        <f t="shared" si="7"/>
        <v>-1</v>
      </c>
      <c r="AU39" s="36">
        <f>[1]BOA!$J39</f>
        <v>1000</v>
      </c>
      <c r="AV39" s="31">
        <f t="shared" si="36"/>
        <v>877.1</v>
      </c>
      <c r="AW39" s="31">
        <f t="shared" si="37"/>
        <v>122.89999999999999</v>
      </c>
      <c r="AX39" s="31">
        <f t="shared" si="38"/>
        <v>0</v>
      </c>
      <c r="AY39" s="31">
        <f t="shared" si="39"/>
        <v>0</v>
      </c>
      <c r="AZ39" s="160"/>
      <c r="BA39" s="37">
        <f t="shared" si="8"/>
        <v>-1</v>
      </c>
      <c r="BB39" s="36">
        <f>[1]BOA!$K39</f>
        <v>1000</v>
      </c>
      <c r="BC39" s="31">
        <f t="shared" si="40"/>
        <v>877.1</v>
      </c>
      <c r="BD39" s="31">
        <f t="shared" si="41"/>
        <v>122.89999999999999</v>
      </c>
      <c r="BE39" s="31">
        <f t="shared" si="42"/>
        <v>0</v>
      </c>
      <c r="BF39" s="31">
        <f t="shared" si="43"/>
        <v>0</v>
      </c>
      <c r="BG39" s="33"/>
      <c r="BH39" s="37">
        <f t="shared" si="9"/>
        <v>-1</v>
      </c>
      <c r="BI39" s="36">
        <f>[1]BOA!$L39</f>
        <v>1000</v>
      </c>
      <c r="BJ39" s="31">
        <f t="shared" si="44"/>
        <v>877.1</v>
      </c>
      <c r="BK39" s="31">
        <f t="shared" si="45"/>
        <v>122.89999999999999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[1]BOA!$M39</f>
        <v>1000</v>
      </c>
      <c r="BQ39" s="31">
        <f t="shared" si="48"/>
        <v>877.1</v>
      </c>
      <c r="BR39" s="31">
        <f t="shared" si="49"/>
        <v>122.89999999999999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[1]BOA!$N39</f>
        <v>1000</v>
      </c>
      <c r="BX39" s="31">
        <f t="shared" si="52"/>
        <v>877.1</v>
      </c>
      <c r="BY39" s="31">
        <f t="shared" si="53"/>
        <v>122.89999999999999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[1]BOA!$O39</f>
        <v>1000</v>
      </c>
      <c r="CE39" s="31">
        <f t="shared" si="56"/>
        <v>877.1</v>
      </c>
      <c r="CF39" s="31">
        <f t="shared" si="57"/>
        <v>122.89999999999999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[1]BOA!$P39</f>
        <v>1000</v>
      </c>
      <c r="CL39" s="31">
        <f t="shared" si="60"/>
        <v>877.1</v>
      </c>
      <c r="CM39" s="31">
        <f t="shared" si="61"/>
        <v>122.89999999999999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80000</v>
      </c>
      <c r="C40" s="31">
        <f t="shared" si="64"/>
        <v>70168.000000000015</v>
      </c>
      <c r="D40" s="32">
        <f t="shared" si="64"/>
        <v>9832</v>
      </c>
      <c r="E40" s="30">
        <f t="shared" si="66"/>
        <v>26666.666666666668</v>
      </c>
      <c r="F40" s="33">
        <f t="shared" si="66"/>
        <v>23389.333333333336</v>
      </c>
      <c r="G40" s="34">
        <f t="shared" si="66"/>
        <v>3277.3333333333335</v>
      </c>
      <c r="H40" s="31">
        <f t="shared" si="65"/>
        <v>17100.143528000001</v>
      </c>
      <c r="I40" s="33">
        <f t="shared" si="65"/>
        <v>3074.6364720000001</v>
      </c>
      <c r="J40" s="33">
        <f t="shared" si="65"/>
        <v>20174.78</v>
      </c>
      <c r="K40" s="37">
        <f t="shared" si="2"/>
        <v>-0.24344575000000013</v>
      </c>
      <c r="L40" s="36">
        <f>[1]BOA!$E40</f>
        <v>6666.666666666667</v>
      </c>
      <c r="M40" s="31">
        <f t="shared" si="16"/>
        <v>5847.3333333333339</v>
      </c>
      <c r="N40" s="31">
        <f t="shared" si="17"/>
        <v>819.33333333333337</v>
      </c>
      <c r="O40" s="31">
        <f t="shared" si="18"/>
        <v>3805.0120159999997</v>
      </c>
      <c r="P40" s="31">
        <f t="shared" si="19"/>
        <v>684.14798400000006</v>
      </c>
      <c r="Q40" s="33">
        <f>4489.16</f>
        <v>4489.16</v>
      </c>
      <c r="R40" s="37">
        <f t="shared" si="3"/>
        <v>-0.32662600000000008</v>
      </c>
      <c r="S40" s="36">
        <f>[1]BOA!$F40</f>
        <v>6666.666666666667</v>
      </c>
      <c r="T40" s="31">
        <f t="shared" si="20"/>
        <v>5847.3333333333339</v>
      </c>
      <c r="U40" s="31">
        <f t="shared" si="21"/>
        <v>819.33333333333337</v>
      </c>
      <c r="V40" s="31">
        <f t="shared" si="22"/>
        <v>4820.1316800000004</v>
      </c>
      <c r="W40" s="31">
        <f t="shared" si="23"/>
        <v>866.66832000000011</v>
      </c>
      <c r="X40" s="33">
        <f>5686.8</f>
        <v>5686.8</v>
      </c>
      <c r="Y40" s="37">
        <f t="shared" si="4"/>
        <v>-0.14698</v>
      </c>
      <c r="Z40" s="36">
        <f>[1]BOA!$G40</f>
        <v>6666.666666666667</v>
      </c>
      <c r="AA40" s="31">
        <f t="shared" si="24"/>
        <v>5847.3333333333339</v>
      </c>
      <c r="AB40" s="31">
        <f t="shared" si="25"/>
        <v>819.33333333333337</v>
      </c>
      <c r="AC40" s="31">
        <f t="shared" si="26"/>
        <v>4237.4999159999998</v>
      </c>
      <c r="AD40" s="31">
        <f t="shared" si="27"/>
        <v>761.91008399999998</v>
      </c>
      <c r="AE40" s="33">
        <f>4999.41</f>
        <v>4999.41</v>
      </c>
      <c r="AF40" s="37">
        <f t="shared" si="5"/>
        <v>-0.25008850000000005</v>
      </c>
      <c r="AG40" s="36">
        <f>[1]BOA!$H40</f>
        <v>6666.666666666667</v>
      </c>
      <c r="AH40" s="31">
        <f t="shared" si="28"/>
        <v>5847.3333333333339</v>
      </c>
      <c r="AI40" s="31">
        <f t="shared" si="29"/>
        <v>819.33333333333337</v>
      </c>
      <c r="AJ40" s="31">
        <f t="shared" si="30"/>
        <v>4237.4999159999998</v>
      </c>
      <c r="AK40" s="31">
        <f t="shared" si="31"/>
        <v>761.91008399999998</v>
      </c>
      <c r="AL40" s="33">
        <f>4999.41</f>
        <v>4999.41</v>
      </c>
      <c r="AM40" s="37">
        <f t="shared" si="6"/>
        <v>-0.25008850000000005</v>
      </c>
      <c r="AN40" s="36">
        <f>[1]BOA!$I40</f>
        <v>6666.666666666667</v>
      </c>
      <c r="AO40" s="31">
        <f t="shared" si="32"/>
        <v>5847.3333333333339</v>
      </c>
      <c r="AP40" s="31">
        <f t="shared" si="33"/>
        <v>819.33333333333337</v>
      </c>
      <c r="AQ40" s="31">
        <f t="shared" si="34"/>
        <v>0</v>
      </c>
      <c r="AR40" s="31">
        <f t="shared" si="35"/>
        <v>0</v>
      </c>
      <c r="AS40" s="33"/>
      <c r="AT40" s="37">
        <f t="shared" si="7"/>
        <v>-1</v>
      </c>
      <c r="AU40" s="36">
        <f>[1]BOA!$J40</f>
        <v>6666.666666666667</v>
      </c>
      <c r="AV40" s="31">
        <f t="shared" si="36"/>
        <v>5847.3333333333339</v>
      </c>
      <c r="AW40" s="31">
        <f t="shared" si="37"/>
        <v>819.33333333333337</v>
      </c>
      <c r="AX40" s="31">
        <f t="shared" si="38"/>
        <v>0</v>
      </c>
      <c r="AY40" s="31">
        <f t="shared" si="39"/>
        <v>0</v>
      </c>
      <c r="AZ40" s="158"/>
      <c r="BA40" s="37">
        <f t="shared" si="8"/>
        <v>-1</v>
      </c>
      <c r="BB40" s="36">
        <f>[1]BOA!$K40</f>
        <v>6666.666666666667</v>
      </c>
      <c r="BC40" s="31">
        <f t="shared" si="40"/>
        <v>5847.3333333333339</v>
      </c>
      <c r="BD40" s="31">
        <f t="shared" si="41"/>
        <v>819.33333333333337</v>
      </c>
      <c r="BE40" s="31">
        <f t="shared" si="42"/>
        <v>0</v>
      </c>
      <c r="BF40" s="31">
        <f t="shared" si="43"/>
        <v>0</v>
      </c>
      <c r="BG40" s="33"/>
      <c r="BH40" s="37">
        <f t="shared" si="9"/>
        <v>-1</v>
      </c>
      <c r="BI40" s="36">
        <f>[1]BOA!$L40</f>
        <v>6666.666666666667</v>
      </c>
      <c r="BJ40" s="31">
        <f t="shared" si="44"/>
        <v>5847.3333333333339</v>
      </c>
      <c r="BK40" s="31">
        <f t="shared" si="45"/>
        <v>819.33333333333337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[1]BOA!$M40</f>
        <v>6666.666666666667</v>
      </c>
      <c r="BQ40" s="31">
        <f t="shared" si="48"/>
        <v>5847.3333333333339</v>
      </c>
      <c r="BR40" s="31">
        <f t="shared" si="49"/>
        <v>819.33333333333337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[1]BOA!$N40</f>
        <v>6666.666666666667</v>
      </c>
      <c r="BX40" s="31">
        <f t="shared" si="52"/>
        <v>5847.3333333333339</v>
      </c>
      <c r="BY40" s="31">
        <f t="shared" si="53"/>
        <v>819.33333333333337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[1]BOA!$O40</f>
        <v>6666.666666666667</v>
      </c>
      <c r="CE40" s="31">
        <f t="shared" si="56"/>
        <v>5847.3333333333339</v>
      </c>
      <c r="CF40" s="31">
        <f t="shared" si="57"/>
        <v>819.33333333333337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[1]BOA!$P40</f>
        <v>6666.666666666667</v>
      </c>
      <c r="CL40" s="31">
        <f t="shared" si="60"/>
        <v>5847.3333333333339</v>
      </c>
      <c r="CM40" s="31">
        <f t="shared" si="61"/>
        <v>819.33333333333337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299000</v>
      </c>
      <c r="C41" s="31">
        <f t="shared" si="64"/>
        <v>262252.89999999997</v>
      </c>
      <c r="D41" s="32">
        <f t="shared" si="64"/>
        <v>36747.099999999991</v>
      </c>
      <c r="E41" s="30">
        <f t="shared" si="66"/>
        <v>99666.666666666672</v>
      </c>
      <c r="F41" s="33">
        <f t="shared" si="66"/>
        <v>87417.633333333331</v>
      </c>
      <c r="G41" s="34">
        <f t="shared" si="66"/>
        <v>12249.033333333333</v>
      </c>
      <c r="H41" s="31">
        <f t="shared" si="65"/>
        <v>84477.466666666674</v>
      </c>
      <c r="I41" s="33">
        <f t="shared" si="65"/>
        <v>15189.2</v>
      </c>
      <c r="J41" s="33">
        <f t="shared" si="65"/>
        <v>99666.666666666672</v>
      </c>
      <c r="K41" s="37">
        <f t="shared" si="2"/>
        <v>0</v>
      </c>
      <c r="L41" s="46">
        <f>[1]BOA!$E41</f>
        <v>24916.666666666668</v>
      </c>
      <c r="M41" s="47">
        <f t="shared" si="16"/>
        <v>21854.408333333333</v>
      </c>
      <c r="N41" s="47">
        <f t="shared" si="17"/>
        <v>3062.2583333333332</v>
      </c>
      <c r="O41" s="47">
        <f t="shared" si="18"/>
        <v>21119.366666666669</v>
      </c>
      <c r="P41" s="47">
        <f t="shared" si="19"/>
        <v>3797.3</v>
      </c>
      <c r="Q41" s="45">
        <v>24916.666666666668</v>
      </c>
      <c r="R41" s="37">
        <f t="shared" si="3"/>
        <v>0</v>
      </c>
      <c r="S41" s="46">
        <f>[1]BOA!$F41</f>
        <v>24916.666666666668</v>
      </c>
      <c r="T41" s="47">
        <f t="shared" si="20"/>
        <v>21854.408333333333</v>
      </c>
      <c r="U41" s="47">
        <f t="shared" si="21"/>
        <v>3062.2583333333332</v>
      </c>
      <c r="V41" s="47">
        <f t="shared" si="22"/>
        <v>21119.366666666669</v>
      </c>
      <c r="W41" s="47">
        <f t="shared" si="23"/>
        <v>3797.3</v>
      </c>
      <c r="X41" s="45">
        <v>24916.666666666668</v>
      </c>
      <c r="Y41" s="37">
        <f t="shared" si="4"/>
        <v>0</v>
      </c>
      <c r="Z41" s="46">
        <f>[1]BOA!$G41</f>
        <v>24916.666666666668</v>
      </c>
      <c r="AA41" s="47">
        <f t="shared" si="24"/>
        <v>21854.408333333333</v>
      </c>
      <c r="AB41" s="47">
        <f t="shared" si="25"/>
        <v>3062.2583333333332</v>
      </c>
      <c r="AC41" s="47">
        <f t="shared" si="26"/>
        <v>21119.366666666669</v>
      </c>
      <c r="AD41" s="47">
        <f t="shared" si="27"/>
        <v>3797.3</v>
      </c>
      <c r="AE41" s="45">
        <v>24916.666666666668</v>
      </c>
      <c r="AF41" s="37">
        <f t="shared" si="5"/>
        <v>0</v>
      </c>
      <c r="AG41" s="46">
        <f>[1]BOA!$H41</f>
        <v>24916.666666666668</v>
      </c>
      <c r="AH41" s="47">
        <f t="shared" si="28"/>
        <v>21854.408333333333</v>
      </c>
      <c r="AI41" s="47">
        <f t="shared" si="29"/>
        <v>3062.2583333333332</v>
      </c>
      <c r="AJ41" s="47">
        <f t="shared" si="30"/>
        <v>21119.366666666669</v>
      </c>
      <c r="AK41" s="47">
        <f t="shared" si="31"/>
        <v>3797.3</v>
      </c>
      <c r="AL41" s="45">
        <v>24916.666666666668</v>
      </c>
      <c r="AM41" s="37">
        <f t="shared" si="6"/>
        <v>0</v>
      </c>
      <c r="AN41" s="46">
        <f>[1]BOA!$I41</f>
        <v>24916.666666666668</v>
      </c>
      <c r="AO41" s="47">
        <f t="shared" si="32"/>
        <v>21854.408333333333</v>
      </c>
      <c r="AP41" s="47">
        <f t="shared" si="33"/>
        <v>3062.2583333333332</v>
      </c>
      <c r="AQ41" s="47">
        <f t="shared" si="34"/>
        <v>0</v>
      </c>
      <c r="AR41" s="47">
        <f t="shared" si="35"/>
        <v>0</v>
      </c>
      <c r="AS41" s="45"/>
      <c r="AT41" s="37">
        <f t="shared" si="7"/>
        <v>-1</v>
      </c>
      <c r="AU41" s="46">
        <f>[1]BOA!$J41</f>
        <v>24916.666666666668</v>
      </c>
      <c r="AV41" s="47">
        <f t="shared" si="36"/>
        <v>21854.408333333333</v>
      </c>
      <c r="AW41" s="47">
        <f t="shared" si="37"/>
        <v>3062.2583333333332</v>
      </c>
      <c r="AX41" s="47">
        <f t="shared" si="38"/>
        <v>0</v>
      </c>
      <c r="AY41" s="47">
        <f t="shared" si="39"/>
        <v>0</v>
      </c>
      <c r="AZ41" s="161"/>
      <c r="BA41" s="37">
        <f t="shared" si="8"/>
        <v>-1</v>
      </c>
      <c r="BB41" s="46">
        <f>[1]BOA!$K41</f>
        <v>24916.666666666668</v>
      </c>
      <c r="BC41" s="47">
        <f t="shared" si="40"/>
        <v>21854.408333333333</v>
      </c>
      <c r="BD41" s="47">
        <f t="shared" si="41"/>
        <v>3062.2583333333332</v>
      </c>
      <c r="BE41" s="47">
        <f t="shared" si="42"/>
        <v>0</v>
      </c>
      <c r="BF41" s="47">
        <f t="shared" si="43"/>
        <v>0</v>
      </c>
      <c r="BG41" s="45"/>
      <c r="BH41" s="37">
        <f t="shared" si="9"/>
        <v>-1</v>
      </c>
      <c r="BI41" s="46">
        <f>[1]BOA!$L41</f>
        <v>24916.666666666668</v>
      </c>
      <c r="BJ41" s="47">
        <f t="shared" si="44"/>
        <v>21854.408333333333</v>
      </c>
      <c r="BK41" s="47">
        <f t="shared" si="45"/>
        <v>3062.2583333333332</v>
      </c>
      <c r="BL41" s="47">
        <f t="shared" si="46"/>
        <v>0</v>
      </c>
      <c r="BM41" s="47">
        <f t="shared" si="47"/>
        <v>0</v>
      </c>
      <c r="BN41" s="45"/>
      <c r="BO41" s="37">
        <f t="shared" si="10"/>
        <v>-1</v>
      </c>
      <c r="BP41" s="46">
        <f>[1]BOA!$M41</f>
        <v>24916.666666666668</v>
      </c>
      <c r="BQ41" s="47">
        <f t="shared" si="48"/>
        <v>21854.408333333333</v>
      </c>
      <c r="BR41" s="47">
        <f t="shared" si="49"/>
        <v>3062.2583333333332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[1]BOA!$N41</f>
        <v>24916.666666666668</v>
      </c>
      <c r="BX41" s="47">
        <f t="shared" si="52"/>
        <v>21854.408333333333</v>
      </c>
      <c r="BY41" s="47">
        <f t="shared" si="53"/>
        <v>3062.2583333333332</v>
      </c>
      <c r="BZ41" s="47">
        <f t="shared" si="54"/>
        <v>0</v>
      </c>
      <c r="CA41" s="47">
        <f t="shared" si="55"/>
        <v>0</v>
      </c>
      <c r="CB41" s="45"/>
      <c r="CC41" s="37">
        <f t="shared" si="12"/>
        <v>-1</v>
      </c>
      <c r="CD41" s="46">
        <f>[1]BOA!$O41</f>
        <v>24916.666666666668</v>
      </c>
      <c r="CE41" s="47">
        <f t="shared" si="56"/>
        <v>21854.408333333333</v>
      </c>
      <c r="CF41" s="47">
        <f t="shared" si="57"/>
        <v>3062.2583333333332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[1]BOA!$P41</f>
        <v>24916.666666666668</v>
      </c>
      <c r="CL41" s="47">
        <f t="shared" si="60"/>
        <v>21854.408333333333</v>
      </c>
      <c r="CM41" s="47">
        <f t="shared" si="61"/>
        <v>3062.2583333333332</v>
      </c>
      <c r="CN41" s="47">
        <f t="shared" si="62"/>
        <v>0</v>
      </c>
      <c r="CO41" s="47">
        <f t="shared" si="63"/>
        <v>0</v>
      </c>
      <c r="CP41" s="162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1440000</v>
      </c>
      <c r="C42" s="31">
        <f t="shared" si="64"/>
        <v>1263024</v>
      </c>
      <c r="D42" s="32">
        <f t="shared" si="64"/>
        <v>176976</v>
      </c>
      <c r="E42" s="30">
        <f t="shared" si="66"/>
        <v>1440000</v>
      </c>
      <c r="F42" s="33">
        <f t="shared" si="66"/>
        <v>1263024</v>
      </c>
      <c r="G42" s="34">
        <f t="shared" si="66"/>
        <v>176976</v>
      </c>
      <c r="H42" s="31">
        <f t="shared" si="65"/>
        <v>970530.95401599992</v>
      </c>
      <c r="I42" s="33">
        <f t="shared" si="65"/>
        <v>174503.205984</v>
      </c>
      <c r="J42" s="33">
        <f t="shared" si="65"/>
        <v>1145034.1599999999</v>
      </c>
      <c r="K42" s="37">
        <f t="shared" si="2"/>
        <v>-0.20483738888888892</v>
      </c>
      <c r="L42" s="36">
        <f>[1]BOA!$E42</f>
        <v>720000</v>
      </c>
      <c r="M42" s="31">
        <f t="shared" si="16"/>
        <v>631512</v>
      </c>
      <c r="N42" s="31">
        <f t="shared" si="17"/>
        <v>88488</v>
      </c>
      <c r="O42" s="31">
        <f t="shared" si="18"/>
        <v>101712</v>
      </c>
      <c r="P42" s="31">
        <f t="shared" si="19"/>
        <v>18288</v>
      </c>
      <c r="Q42" s="33">
        <v>120000</v>
      </c>
      <c r="R42" s="37">
        <f t="shared" si="3"/>
        <v>-0.83333333333333337</v>
      </c>
      <c r="S42" s="36">
        <f>[1]BOA!$F42</f>
        <v>720000</v>
      </c>
      <c r="T42" s="31">
        <f t="shared" si="20"/>
        <v>631512</v>
      </c>
      <c r="U42" s="31">
        <f t="shared" si="21"/>
        <v>88488</v>
      </c>
      <c r="V42" s="31">
        <f t="shared" si="22"/>
        <v>326706.30116799998</v>
      </c>
      <c r="W42" s="31">
        <f t="shared" si="23"/>
        <v>58742.378832000002</v>
      </c>
      <c r="X42" s="33">
        <f>385448.68</f>
        <v>385448.68</v>
      </c>
      <c r="Y42" s="37">
        <f t="shared" si="4"/>
        <v>-0.46465461111111117</v>
      </c>
      <c r="Z42" s="36">
        <f>[1]BOA!$G42</f>
        <v>0</v>
      </c>
      <c r="AA42" s="31">
        <f t="shared" si="24"/>
        <v>0</v>
      </c>
      <c r="AB42" s="31">
        <f t="shared" si="25"/>
        <v>0</v>
      </c>
      <c r="AC42" s="31">
        <f t="shared" si="26"/>
        <v>415921.20200799999</v>
      </c>
      <c r="AD42" s="31">
        <f t="shared" si="27"/>
        <v>74783.377992000009</v>
      </c>
      <c r="AE42" s="33">
        <f>490704.58</f>
        <v>490704.58</v>
      </c>
      <c r="AF42" s="37" t="str">
        <f t="shared" si="5"/>
        <v/>
      </c>
      <c r="AG42" s="36">
        <f>[1]BOA!$H42</f>
        <v>0</v>
      </c>
      <c r="AH42" s="31">
        <f t="shared" si="28"/>
        <v>0</v>
      </c>
      <c r="AI42" s="31">
        <f t="shared" si="29"/>
        <v>0</v>
      </c>
      <c r="AJ42" s="31">
        <f t="shared" si="30"/>
        <v>126191.45083999999</v>
      </c>
      <c r="AK42" s="31">
        <f t="shared" si="31"/>
        <v>22689.44916</v>
      </c>
      <c r="AL42" s="33">
        <v>148880.9</v>
      </c>
      <c r="AM42" s="37" t="str">
        <f t="shared" si="6"/>
        <v/>
      </c>
      <c r="AN42" s="36">
        <f>[1]BOA!$I42</f>
        <v>0</v>
      </c>
      <c r="AO42" s="31">
        <f t="shared" si="32"/>
        <v>0</v>
      </c>
      <c r="AP42" s="31">
        <f t="shared" si="33"/>
        <v>0</v>
      </c>
      <c r="AQ42" s="31">
        <f t="shared" si="34"/>
        <v>0</v>
      </c>
      <c r="AR42" s="31">
        <f t="shared" si="35"/>
        <v>0</v>
      </c>
      <c r="AS42" s="33"/>
      <c r="AT42" s="37" t="str">
        <f t="shared" si="7"/>
        <v/>
      </c>
      <c r="AU42" s="36">
        <f>[1]BOA!$J42</f>
        <v>0</v>
      </c>
      <c r="AV42" s="31">
        <f t="shared" si="36"/>
        <v>0</v>
      </c>
      <c r="AW42" s="31">
        <f t="shared" si="37"/>
        <v>0</v>
      </c>
      <c r="AX42" s="31">
        <f t="shared" si="38"/>
        <v>0</v>
      </c>
      <c r="AY42" s="31">
        <f t="shared" si="39"/>
        <v>0</v>
      </c>
      <c r="AZ42" s="158"/>
      <c r="BA42" s="37" t="str">
        <f t="shared" si="8"/>
        <v/>
      </c>
      <c r="BB42" s="36">
        <f>[1]BOA!$K42</f>
        <v>0</v>
      </c>
      <c r="BC42" s="31">
        <f t="shared" si="40"/>
        <v>0</v>
      </c>
      <c r="BD42" s="31">
        <f t="shared" si="41"/>
        <v>0</v>
      </c>
      <c r="BE42" s="31">
        <f t="shared" si="42"/>
        <v>0</v>
      </c>
      <c r="BF42" s="31">
        <f t="shared" si="43"/>
        <v>0</v>
      </c>
      <c r="BG42" s="33"/>
      <c r="BH42" s="37" t="str">
        <f t="shared" si="9"/>
        <v/>
      </c>
      <c r="BI42" s="36">
        <f>[1]BOA!$L42</f>
        <v>0</v>
      </c>
      <c r="BJ42" s="31">
        <f t="shared" si="44"/>
        <v>0</v>
      </c>
      <c r="BK42" s="31">
        <f t="shared" si="45"/>
        <v>0</v>
      </c>
      <c r="BL42" s="31">
        <f t="shared" si="46"/>
        <v>0</v>
      </c>
      <c r="BM42" s="31">
        <f t="shared" si="47"/>
        <v>0</v>
      </c>
      <c r="BN42" s="33"/>
      <c r="BO42" s="37" t="str">
        <f t="shared" si="10"/>
        <v/>
      </c>
      <c r="BP42" s="36">
        <f>[1]BOA!$M42</f>
        <v>0</v>
      </c>
      <c r="BQ42" s="31">
        <f t="shared" si="48"/>
        <v>0</v>
      </c>
      <c r="BR42" s="31">
        <f t="shared" si="49"/>
        <v>0</v>
      </c>
      <c r="BS42" s="31">
        <f t="shared" si="50"/>
        <v>0</v>
      </c>
      <c r="BT42" s="31">
        <f t="shared" si="51"/>
        <v>0</v>
      </c>
      <c r="BU42" s="33"/>
      <c r="BV42" s="37" t="str">
        <f t="shared" si="11"/>
        <v/>
      </c>
      <c r="BW42" s="36">
        <f>[1]BOA!$N42</f>
        <v>0</v>
      </c>
      <c r="BX42" s="31">
        <f t="shared" si="52"/>
        <v>0</v>
      </c>
      <c r="BY42" s="31">
        <f t="shared" si="53"/>
        <v>0</v>
      </c>
      <c r="BZ42" s="31">
        <f t="shared" si="54"/>
        <v>0</v>
      </c>
      <c r="CA42" s="31">
        <f t="shared" si="55"/>
        <v>0</v>
      </c>
      <c r="CB42" s="33"/>
      <c r="CC42" s="37" t="str">
        <f t="shared" si="12"/>
        <v/>
      </c>
      <c r="CD42" s="36">
        <f>[1]BOA!$O42</f>
        <v>0</v>
      </c>
      <c r="CE42" s="31">
        <f t="shared" si="56"/>
        <v>0</v>
      </c>
      <c r="CF42" s="31">
        <f t="shared" si="57"/>
        <v>0</v>
      </c>
      <c r="CG42" s="31">
        <f t="shared" si="58"/>
        <v>0</v>
      </c>
      <c r="CH42" s="31">
        <f t="shared" si="59"/>
        <v>0</v>
      </c>
      <c r="CI42" s="33"/>
      <c r="CJ42" s="37" t="str">
        <f t="shared" si="13"/>
        <v/>
      </c>
      <c r="CK42" s="36">
        <f>[1]BOA!$P42</f>
        <v>0</v>
      </c>
      <c r="CL42" s="31">
        <f t="shared" si="60"/>
        <v>0</v>
      </c>
      <c r="CM42" s="31">
        <f t="shared" si="61"/>
        <v>0</v>
      </c>
      <c r="CN42" s="31">
        <f t="shared" si="62"/>
        <v>0</v>
      </c>
      <c r="CO42" s="31">
        <f t="shared" si="63"/>
        <v>0</v>
      </c>
      <c r="CP42" s="33"/>
      <c r="CQ42" s="37" t="str">
        <f t="shared" si="14"/>
        <v/>
      </c>
    </row>
    <row r="43" spans="1:95" s="26" customFormat="1" ht="16" customHeight="1" x14ac:dyDescent="0.2">
      <c r="A43" s="38" t="s">
        <v>67</v>
      </c>
      <c r="B43" s="30">
        <f t="shared" si="64"/>
        <v>100347</v>
      </c>
      <c r="C43" s="31">
        <f t="shared" si="64"/>
        <v>88014.353700000021</v>
      </c>
      <c r="D43" s="32">
        <f t="shared" si="64"/>
        <v>12332.646300000002</v>
      </c>
      <c r="E43" s="30">
        <f t="shared" si="66"/>
        <v>33449</v>
      </c>
      <c r="F43" s="33">
        <f t="shared" si="66"/>
        <v>29338.117900000001</v>
      </c>
      <c r="G43" s="34">
        <f t="shared" si="66"/>
        <v>4110.8820999999998</v>
      </c>
      <c r="H43" s="31">
        <f t="shared" si="65"/>
        <v>31734.389803999999</v>
      </c>
      <c r="I43" s="33">
        <f t="shared" si="65"/>
        <v>5705.9001960000005</v>
      </c>
      <c r="J43" s="33">
        <f t="shared" si="65"/>
        <v>37440.29</v>
      </c>
      <c r="K43" s="37">
        <f t="shared" si="2"/>
        <v>0.11932464348709981</v>
      </c>
      <c r="L43" s="36">
        <f>[1]BOA!$E43</f>
        <v>8362.25</v>
      </c>
      <c r="M43" s="31">
        <f t="shared" si="16"/>
        <v>7334.5294750000003</v>
      </c>
      <c r="N43" s="31">
        <f t="shared" si="17"/>
        <v>1027.720525</v>
      </c>
      <c r="O43" s="31">
        <f t="shared" si="18"/>
        <v>8529.5598439999994</v>
      </c>
      <c r="P43" s="31">
        <f t="shared" si="19"/>
        <v>1533.6301560000002</v>
      </c>
      <c r="Q43" s="33">
        <f>10063.19</f>
        <v>10063.19</v>
      </c>
      <c r="R43" s="37">
        <f t="shared" si="3"/>
        <v>0.20340697778707884</v>
      </c>
      <c r="S43" s="36">
        <f>[1]BOA!$F43</f>
        <v>8362.25</v>
      </c>
      <c r="T43" s="31">
        <f t="shared" si="20"/>
        <v>7334.5294750000003</v>
      </c>
      <c r="U43" s="31">
        <f t="shared" si="21"/>
        <v>1027.720525</v>
      </c>
      <c r="V43" s="31">
        <f t="shared" si="22"/>
        <v>7301.2094479999996</v>
      </c>
      <c r="W43" s="31">
        <f t="shared" si="23"/>
        <v>1312.770552</v>
      </c>
      <c r="X43" s="33">
        <f>8613.98</f>
        <v>8613.98</v>
      </c>
      <c r="Y43" s="37">
        <f t="shared" si="4"/>
        <v>3.0103142096923552E-2</v>
      </c>
      <c r="Z43" s="36">
        <f>[1]BOA!$G43</f>
        <v>8362.25</v>
      </c>
      <c r="AA43" s="31">
        <f t="shared" si="24"/>
        <v>7334.5294750000003</v>
      </c>
      <c r="AB43" s="31">
        <f t="shared" si="25"/>
        <v>1027.720525</v>
      </c>
      <c r="AC43" s="31">
        <f t="shared" si="26"/>
        <v>7627.137076</v>
      </c>
      <c r="AD43" s="31">
        <f t="shared" si="27"/>
        <v>1371.372924</v>
      </c>
      <c r="AE43" s="33">
        <f>8998.51</f>
        <v>8998.51</v>
      </c>
      <c r="AF43" s="37">
        <f t="shared" si="5"/>
        <v>7.6087177494095437E-2</v>
      </c>
      <c r="AG43" s="36">
        <f>[1]BOA!$H43</f>
        <v>8362.25</v>
      </c>
      <c r="AH43" s="31">
        <f t="shared" si="28"/>
        <v>7334.5294750000003</v>
      </c>
      <c r="AI43" s="31">
        <f t="shared" si="29"/>
        <v>1027.720525</v>
      </c>
      <c r="AJ43" s="31">
        <f t="shared" si="30"/>
        <v>8276.4834360000004</v>
      </c>
      <c r="AK43" s="31">
        <f t="shared" si="31"/>
        <v>1488.1265640000001</v>
      </c>
      <c r="AL43" s="33">
        <f>9764.61</f>
        <v>9764.61</v>
      </c>
      <c r="AM43" s="37">
        <f t="shared" si="6"/>
        <v>0.16770127657030121</v>
      </c>
      <c r="AN43" s="36">
        <f>[1]BOA!$I43</f>
        <v>8362.25</v>
      </c>
      <c r="AO43" s="31">
        <f t="shared" si="32"/>
        <v>7334.5294750000003</v>
      </c>
      <c r="AP43" s="31">
        <f t="shared" si="33"/>
        <v>1027.720525</v>
      </c>
      <c r="AQ43" s="31">
        <f t="shared" si="34"/>
        <v>0</v>
      </c>
      <c r="AR43" s="31">
        <f t="shared" si="35"/>
        <v>0</v>
      </c>
      <c r="AS43" s="33"/>
      <c r="AT43" s="37">
        <f t="shared" si="7"/>
        <v>-1</v>
      </c>
      <c r="AU43" s="36">
        <f>[1]BOA!$J43</f>
        <v>8362.25</v>
      </c>
      <c r="AV43" s="31">
        <f t="shared" si="36"/>
        <v>7334.5294750000003</v>
      </c>
      <c r="AW43" s="31">
        <f t="shared" si="37"/>
        <v>1027.720525</v>
      </c>
      <c r="AX43" s="31">
        <f t="shared" si="38"/>
        <v>0</v>
      </c>
      <c r="AY43" s="31">
        <f t="shared" si="39"/>
        <v>0</v>
      </c>
      <c r="AZ43" s="158"/>
      <c r="BA43" s="37">
        <f t="shared" si="8"/>
        <v>-1</v>
      </c>
      <c r="BB43" s="36">
        <f>[1]BOA!$K43</f>
        <v>8362.25</v>
      </c>
      <c r="BC43" s="31">
        <f t="shared" si="40"/>
        <v>7334.5294750000003</v>
      </c>
      <c r="BD43" s="31">
        <f t="shared" si="41"/>
        <v>1027.720525</v>
      </c>
      <c r="BE43" s="31">
        <f t="shared" si="42"/>
        <v>0</v>
      </c>
      <c r="BF43" s="31">
        <f t="shared" si="43"/>
        <v>0</v>
      </c>
      <c r="BG43" s="33"/>
      <c r="BH43" s="37">
        <f t="shared" si="9"/>
        <v>-1</v>
      </c>
      <c r="BI43" s="36">
        <f>[1]BOA!$L43</f>
        <v>8362.25</v>
      </c>
      <c r="BJ43" s="31">
        <f t="shared" si="44"/>
        <v>7334.5294750000003</v>
      </c>
      <c r="BK43" s="31">
        <f t="shared" si="45"/>
        <v>1027.720525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[1]BOA!$M43</f>
        <v>8362.25</v>
      </c>
      <c r="BQ43" s="31">
        <f t="shared" si="48"/>
        <v>7334.5294750000003</v>
      </c>
      <c r="BR43" s="31">
        <f t="shared" si="49"/>
        <v>1027.720525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[1]BOA!$N43</f>
        <v>8362.25</v>
      </c>
      <c r="BX43" s="31">
        <f t="shared" si="52"/>
        <v>7334.5294750000003</v>
      </c>
      <c r="BY43" s="31">
        <f t="shared" si="53"/>
        <v>1027.720525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[1]BOA!$O43</f>
        <v>8362.25</v>
      </c>
      <c r="CE43" s="31">
        <f t="shared" si="56"/>
        <v>7334.5294750000003</v>
      </c>
      <c r="CF43" s="31">
        <f t="shared" si="57"/>
        <v>1027.720525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[1]BOA!$P43</f>
        <v>8362.25</v>
      </c>
      <c r="CL43" s="31">
        <f t="shared" si="60"/>
        <v>7334.5294750000003</v>
      </c>
      <c r="CM43" s="31">
        <f t="shared" si="61"/>
        <v>1027.720525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[1]BOA!$E44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[1]BOA!$F44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[1]BOA!$G44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33"/>
      <c r="AF44" s="37" t="str">
        <f t="shared" si="5"/>
        <v/>
      </c>
      <c r="AG44" s="36">
        <f>[1]BOA!$H44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27"/>
      <c r="AM44" s="37" t="str">
        <f t="shared" si="6"/>
        <v/>
      </c>
      <c r="AN44" s="36">
        <f>[1]BOA!$I44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7"/>
        <v/>
      </c>
      <c r="AU44" s="36">
        <f>[1]BOA!$J44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158"/>
      <c r="BA44" s="37" t="str">
        <f t="shared" si="8"/>
        <v/>
      </c>
      <c r="BB44" s="36">
        <f>[1]BOA!$K44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33"/>
      <c r="BH44" s="37" t="str">
        <f t="shared" si="9"/>
        <v/>
      </c>
      <c r="BI44" s="36">
        <f>[1]BOA!$L44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[1]BOA!$M44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[1]BOA!$N44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[1]BOA!$O44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[1]BOA!$P44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[1]BOA!$E45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[1]BOA!$F45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[1]BOA!$G45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33"/>
      <c r="AF45" s="37" t="str">
        <f t="shared" si="5"/>
        <v/>
      </c>
      <c r="AG45" s="36">
        <f>[1]BOA!$H45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27"/>
      <c r="AM45" s="37" t="str">
        <f t="shared" si="6"/>
        <v/>
      </c>
      <c r="AN45" s="36">
        <f>[1]BOA!$I45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7"/>
        <v/>
      </c>
      <c r="AU45" s="36">
        <f>[1]BOA!$J45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158"/>
      <c r="BA45" s="37" t="str">
        <f t="shared" si="8"/>
        <v/>
      </c>
      <c r="BB45" s="36">
        <f>[1]BOA!$K45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33"/>
      <c r="BH45" s="37" t="str">
        <f t="shared" si="9"/>
        <v/>
      </c>
      <c r="BI45" s="36">
        <f>[1]BOA!$L45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[1]BOA!$M45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[1]BOA!$N45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[1]BOA!$O45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[1]BOA!$P45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[1]BOA!$E46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[1]BOA!$F46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[1]BOA!$G46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33"/>
      <c r="AF46" s="37" t="str">
        <f t="shared" si="5"/>
        <v/>
      </c>
      <c r="AG46" s="36">
        <f>[1]BOA!$H46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27"/>
      <c r="AM46" s="37" t="str">
        <f t="shared" si="6"/>
        <v/>
      </c>
      <c r="AN46" s="36">
        <f>[1]BOA!$I46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7"/>
        <v/>
      </c>
      <c r="AU46" s="36">
        <f>[1]BOA!$J46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158"/>
      <c r="BA46" s="37" t="str">
        <f t="shared" si="8"/>
        <v/>
      </c>
      <c r="BB46" s="36">
        <f>[1]BOA!$K46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33"/>
      <c r="BH46" s="37" t="str">
        <f t="shared" si="9"/>
        <v/>
      </c>
      <c r="BI46" s="36">
        <f>[1]BOA!$L46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[1]BOA!$M46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[1]BOA!$N46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[1]BOA!$O46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[1]BOA!$P46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[1]BOA!$E47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[1]BOA!$F47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[1]BOA!$G47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33"/>
      <c r="AF47" s="37" t="str">
        <f t="shared" si="5"/>
        <v/>
      </c>
      <c r="AG47" s="36">
        <f>[1]BOA!$H47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27"/>
      <c r="AM47" s="37" t="str">
        <f t="shared" si="6"/>
        <v/>
      </c>
      <c r="AN47" s="36">
        <f>[1]BOA!$I47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7"/>
        <v/>
      </c>
      <c r="AU47" s="36">
        <f>[1]BOA!$J47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158"/>
      <c r="BA47" s="37" t="str">
        <f t="shared" si="8"/>
        <v/>
      </c>
      <c r="BB47" s="36">
        <f>[1]BOA!$K47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33"/>
      <c r="BH47" s="37" t="str">
        <f t="shared" si="9"/>
        <v/>
      </c>
      <c r="BI47" s="36">
        <f>[1]BOA!$L47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[1]BOA!$M47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[1]BOA!$N47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[1]BOA!$O47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[1]BOA!$P47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49999.999999999993</v>
      </c>
      <c r="C48" s="31">
        <f t="shared" si="64"/>
        <v>43855.000000000007</v>
      </c>
      <c r="D48" s="32">
        <f t="shared" si="64"/>
        <v>6144.9999999999991</v>
      </c>
      <c r="E48" s="30">
        <f t="shared" si="66"/>
        <v>16666.666666666668</v>
      </c>
      <c r="F48" s="33">
        <f t="shared" si="66"/>
        <v>14618.333333333334</v>
      </c>
      <c r="G48" s="34">
        <f t="shared" si="66"/>
        <v>2048.3333333333335</v>
      </c>
      <c r="H48" s="31">
        <f t="shared" si="65"/>
        <v>4084.0588879999996</v>
      </c>
      <c r="I48" s="33">
        <f t="shared" si="65"/>
        <v>734.32111199999997</v>
      </c>
      <c r="J48" s="33">
        <f t="shared" si="65"/>
        <v>4818.38</v>
      </c>
      <c r="K48" s="37">
        <f t="shared" si="2"/>
        <v>-0.71089720000000001</v>
      </c>
      <c r="L48" s="36">
        <f>[1]BOA!$E48</f>
        <v>4166.666666666667</v>
      </c>
      <c r="M48" s="31">
        <f t="shared" si="16"/>
        <v>3654.5833333333335</v>
      </c>
      <c r="N48" s="31">
        <f t="shared" si="17"/>
        <v>512.08333333333337</v>
      </c>
      <c r="O48" s="31">
        <f t="shared" si="18"/>
        <v>164.85820000000001</v>
      </c>
      <c r="P48" s="31">
        <f t="shared" si="19"/>
        <v>29.6418</v>
      </c>
      <c r="Q48" s="33">
        <f>194.5</f>
        <v>194.5</v>
      </c>
      <c r="R48" s="37">
        <f t="shared" si="3"/>
        <v>-0.95331999999999995</v>
      </c>
      <c r="S48" s="36">
        <f>[1]BOA!$F48</f>
        <v>4166.666666666667</v>
      </c>
      <c r="T48" s="31">
        <f t="shared" si="20"/>
        <v>3654.5833333333335</v>
      </c>
      <c r="U48" s="31">
        <f t="shared" si="21"/>
        <v>512.08333333333337</v>
      </c>
      <c r="V48" s="31">
        <f t="shared" si="22"/>
        <v>2332.5951999999997</v>
      </c>
      <c r="W48" s="31">
        <f t="shared" si="23"/>
        <v>419.40480000000002</v>
      </c>
      <c r="X48" s="33">
        <f>2752</f>
        <v>2752</v>
      </c>
      <c r="Y48" s="37">
        <f t="shared" si="4"/>
        <v>-0.33952000000000004</v>
      </c>
      <c r="Z48" s="36">
        <f>[1]BOA!$G48</f>
        <v>4166.666666666667</v>
      </c>
      <c r="AA48" s="31">
        <f t="shared" si="24"/>
        <v>3654.5833333333335</v>
      </c>
      <c r="AB48" s="31">
        <f t="shared" si="25"/>
        <v>512.08333333333337</v>
      </c>
      <c r="AC48" s="31">
        <f t="shared" si="26"/>
        <v>859.29687999999999</v>
      </c>
      <c r="AD48" s="31">
        <f t="shared" si="27"/>
        <v>154.50312</v>
      </c>
      <c r="AE48" s="33">
        <f>1228.8-215</f>
        <v>1013.8</v>
      </c>
      <c r="AF48" s="37">
        <f t="shared" si="5"/>
        <v>-0.75668800000000003</v>
      </c>
      <c r="AG48" s="36">
        <f>[1]BOA!$H48</f>
        <v>4166.666666666667</v>
      </c>
      <c r="AH48" s="31">
        <f t="shared" si="28"/>
        <v>3654.5833333333335</v>
      </c>
      <c r="AI48" s="31">
        <f t="shared" si="29"/>
        <v>512.08333333333337</v>
      </c>
      <c r="AJ48" s="31">
        <f t="shared" si="30"/>
        <v>727.30860800000005</v>
      </c>
      <c r="AK48" s="31">
        <f t="shared" si="31"/>
        <v>130.77139200000002</v>
      </c>
      <c r="AL48" s="33">
        <f>858.08</f>
        <v>858.08</v>
      </c>
      <c r="AM48" s="37">
        <f t="shared" si="6"/>
        <v>-0.79406080000000001</v>
      </c>
      <c r="AN48" s="36">
        <f>[1]BOA!$I48</f>
        <v>4166.666666666667</v>
      </c>
      <c r="AO48" s="31">
        <f t="shared" si="32"/>
        <v>3654.5833333333335</v>
      </c>
      <c r="AP48" s="31">
        <f t="shared" si="33"/>
        <v>512.08333333333337</v>
      </c>
      <c r="AQ48" s="31">
        <f t="shared" si="34"/>
        <v>0</v>
      </c>
      <c r="AR48" s="31">
        <f t="shared" si="35"/>
        <v>0</v>
      </c>
      <c r="AS48" s="33"/>
      <c r="AT48" s="37">
        <f t="shared" si="7"/>
        <v>-1</v>
      </c>
      <c r="AU48" s="36">
        <f>[1]BOA!$J48</f>
        <v>4166.666666666667</v>
      </c>
      <c r="AV48" s="31">
        <f t="shared" si="36"/>
        <v>3654.5833333333335</v>
      </c>
      <c r="AW48" s="31">
        <f t="shared" si="37"/>
        <v>512.08333333333337</v>
      </c>
      <c r="AX48" s="31">
        <f t="shared" si="38"/>
        <v>0</v>
      </c>
      <c r="AY48" s="31">
        <f t="shared" si="39"/>
        <v>0</v>
      </c>
      <c r="AZ48" s="158"/>
      <c r="BA48" s="37">
        <f t="shared" si="8"/>
        <v>-1</v>
      </c>
      <c r="BB48" s="36">
        <f>[1]BOA!$K48</f>
        <v>4166.666666666667</v>
      </c>
      <c r="BC48" s="31">
        <f t="shared" si="40"/>
        <v>3654.5833333333335</v>
      </c>
      <c r="BD48" s="31">
        <f t="shared" si="41"/>
        <v>512.08333333333337</v>
      </c>
      <c r="BE48" s="31">
        <f t="shared" si="42"/>
        <v>0</v>
      </c>
      <c r="BF48" s="31">
        <f t="shared" si="43"/>
        <v>0</v>
      </c>
      <c r="BG48" s="33"/>
      <c r="BH48" s="37">
        <f t="shared" si="9"/>
        <v>-1</v>
      </c>
      <c r="BI48" s="36">
        <f>[1]BOA!$L48</f>
        <v>4166.666666666667</v>
      </c>
      <c r="BJ48" s="31">
        <f t="shared" si="44"/>
        <v>3654.5833333333335</v>
      </c>
      <c r="BK48" s="31">
        <f t="shared" si="45"/>
        <v>512.08333333333337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[1]BOA!$M48</f>
        <v>4166.666666666667</v>
      </c>
      <c r="BQ48" s="31">
        <f t="shared" si="48"/>
        <v>3654.5833333333335</v>
      </c>
      <c r="BR48" s="31">
        <f t="shared" si="49"/>
        <v>512.08333333333337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[1]BOA!$N48</f>
        <v>4166.666666666667</v>
      </c>
      <c r="BX48" s="31">
        <f t="shared" si="52"/>
        <v>3654.5833333333335</v>
      </c>
      <c r="BY48" s="31">
        <f t="shared" si="53"/>
        <v>512.08333333333337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[1]BOA!$O48</f>
        <v>4166.666666666667</v>
      </c>
      <c r="CE48" s="31">
        <f t="shared" si="56"/>
        <v>3654.5833333333335</v>
      </c>
      <c r="CF48" s="31">
        <f t="shared" si="57"/>
        <v>512.08333333333337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[1]BOA!$P48</f>
        <v>4166.666666666667</v>
      </c>
      <c r="CL48" s="31">
        <f t="shared" si="60"/>
        <v>3654.5833333333335</v>
      </c>
      <c r="CM48" s="31">
        <f t="shared" si="61"/>
        <v>512.08333333333337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192300</v>
      </c>
      <c r="C49" s="31">
        <f t="shared" si="64"/>
        <v>168666.33</v>
      </c>
      <c r="D49" s="32">
        <f t="shared" si="64"/>
        <v>23633.67</v>
      </c>
      <c r="E49" s="30">
        <f t="shared" si="66"/>
        <v>64100</v>
      </c>
      <c r="F49" s="33">
        <f t="shared" si="66"/>
        <v>56222.11</v>
      </c>
      <c r="G49" s="34">
        <f t="shared" si="66"/>
        <v>7877.8899999999994</v>
      </c>
      <c r="H49" s="31">
        <f t="shared" si="65"/>
        <v>61139.557855999992</v>
      </c>
      <c r="I49" s="33">
        <f t="shared" si="65"/>
        <v>10993.002144</v>
      </c>
      <c r="J49" s="33">
        <f t="shared" si="65"/>
        <v>72132.56</v>
      </c>
      <c r="K49" s="37">
        <f t="shared" si="2"/>
        <v>0.12531294851794073</v>
      </c>
      <c r="L49" s="36">
        <f>[1]BOA!$E49</f>
        <v>16025</v>
      </c>
      <c r="M49" s="31">
        <f t="shared" si="16"/>
        <v>14055.5275</v>
      </c>
      <c r="N49" s="31">
        <f t="shared" si="17"/>
        <v>1969.4724999999999</v>
      </c>
      <c r="O49" s="31">
        <f t="shared" si="18"/>
        <v>17451.422871999999</v>
      </c>
      <c r="P49" s="31">
        <f t="shared" si="19"/>
        <v>3137.7971279999997</v>
      </c>
      <c r="Q49" s="33">
        <f>R83</f>
        <v>20589.219999999998</v>
      </c>
      <c r="R49" s="37">
        <f t="shared" si="3"/>
        <v>0.28481872074882975</v>
      </c>
      <c r="S49" s="36">
        <f>[1]BOA!$F49</f>
        <v>16025</v>
      </c>
      <c r="T49" s="31">
        <f t="shared" si="20"/>
        <v>14055.5275</v>
      </c>
      <c r="U49" s="31">
        <f t="shared" si="21"/>
        <v>1969.4724999999999</v>
      </c>
      <c r="V49" s="31">
        <f t="shared" si="22"/>
        <v>14166.811828000002</v>
      </c>
      <c r="W49" s="31">
        <f t="shared" si="23"/>
        <v>2547.2181720000003</v>
      </c>
      <c r="X49" s="33">
        <f>Y83</f>
        <v>16714.030000000002</v>
      </c>
      <c r="Y49" s="37">
        <f t="shared" si="4"/>
        <v>4.2997191887675701E-2</v>
      </c>
      <c r="Z49" s="36">
        <f>[1]BOA!$G49</f>
        <v>16025</v>
      </c>
      <c r="AA49" s="31">
        <f t="shared" si="24"/>
        <v>14055.5275</v>
      </c>
      <c r="AB49" s="31">
        <f t="shared" si="25"/>
        <v>1969.4724999999999</v>
      </c>
      <c r="AC49" s="31">
        <f t="shared" si="26"/>
        <v>12401.176267999999</v>
      </c>
      <c r="AD49" s="31">
        <f t="shared" si="27"/>
        <v>2229.7537320000001</v>
      </c>
      <c r="AE49" s="33">
        <f>AF83</f>
        <v>14630.93</v>
      </c>
      <c r="AF49" s="37">
        <f t="shared" si="5"/>
        <v>-8.6993447737909513E-2</v>
      </c>
      <c r="AG49" s="36">
        <f>[1]BOA!$H49</f>
        <v>16025</v>
      </c>
      <c r="AH49" s="31">
        <f t="shared" si="28"/>
        <v>14055.5275</v>
      </c>
      <c r="AI49" s="31">
        <f t="shared" si="29"/>
        <v>1969.4724999999999</v>
      </c>
      <c r="AJ49" s="31">
        <f t="shared" si="30"/>
        <v>17120.146887999996</v>
      </c>
      <c r="AK49" s="31">
        <f t="shared" si="31"/>
        <v>3078.2331119999999</v>
      </c>
      <c r="AL49" s="27">
        <f>AM83</f>
        <v>20198.379999999997</v>
      </c>
      <c r="AM49" s="37">
        <f t="shared" si="6"/>
        <v>0.26042932917316675</v>
      </c>
      <c r="AN49" s="36">
        <f>[1]BOA!$I49</f>
        <v>16025</v>
      </c>
      <c r="AO49" s="31">
        <f t="shared" si="32"/>
        <v>14055.5275</v>
      </c>
      <c r="AP49" s="31">
        <f t="shared" si="33"/>
        <v>1969.4724999999999</v>
      </c>
      <c r="AQ49" s="31">
        <f t="shared" si="34"/>
        <v>0</v>
      </c>
      <c r="AR49" s="31">
        <f t="shared" si="35"/>
        <v>0</v>
      </c>
      <c r="AS49" s="33"/>
      <c r="AT49" s="37">
        <f t="shared" si="7"/>
        <v>-1</v>
      </c>
      <c r="AU49" s="36">
        <f>[1]BOA!$J49</f>
        <v>16025</v>
      </c>
      <c r="AV49" s="31">
        <f t="shared" si="36"/>
        <v>14055.5275</v>
      </c>
      <c r="AW49" s="31">
        <f t="shared" si="37"/>
        <v>1969.4724999999999</v>
      </c>
      <c r="AX49" s="31">
        <f t="shared" si="38"/>
        <v>0</v>
      </c>
      <c r="AY49" s="31">
        <f t="shared" si="39"/>
        <v>0</v>
      </c>
      <c r="AZ49" s="158"/>
      <c r="BA49" s="37">
        <f t="shared" si="8"/>
        <v>-1</v>
      </c>
      <c r="BB49" s="36">
        <f>[1]BOA!$K49</f>
        <v>16025</v>
      </c>
      <c r="BC49" s="31">
        <f t="shared" si="40"/>
        <v>14055.5275</v>
      </c>
      <c r="BD49" s="31">
        <f t="shared" si="41"/>
        <v>1969.4724999999999</v>
      </c>
      <c r="BE49" s="31">
        <f t="shared" si="42"/>
        <v>0</v>
      </c>
      <c r="BF49" s="31">
        <f t="shared" si="43"/>
        <v>0</v>
      </c>
      <c r="BG49" s="33"/>
      <c r="BH49" s="37">
        <f t="shared" si="9"/>
        <v>-1</v>
      </c>
      <c r="BI49" s="36">
        <f>[1]BOA!$L49</f>
        <v>16025</v>
      </c>
      <c r="BJ49" s="31">
        <f t="shared" si="44"/>
        <v>14055.5275</v>
      </c>
      <c r="BK49" s="31">
        <f t="shared" si="45"/>
        <v>1969.4724999999999</v>
      </c>
      <c r="BL49" s="31">
        <f t="shared" si="46"/>
        <v>0</v>
      </c>
      <c r="BM49" s="31">
        <f t="shared" si="47"/>
        <v>0</v>
      </c>
      <c r="BN49" s="33"/>
      <c r="BO49" s="37">
        <f t="shared" si="10"/>
        <v>-1</v>
      </c>
      <c r="BP49" s="36">
        <f>[1]BOA!$M49</f>
        <v>16025</v>
      </c>
      <c r="BQ49" s="31">
        <f t="shared" si="48"/>
        <v>14055.5275</v>
      </c>
      <c r="BR49" s="31">
        <f t="shared" si="49"/>
        <v>1969.4724999999999</v>
      </c>
      <c r="BS49" s="31">
        <f t="shared" si="50"/>
        <v>0</v>
      </c>
      <c r="BT49" s="31">
        <f t="shared" si="51"/>
        <v>0</v>
      </c>
      <c r="BU49" s="33"/>
      <c r="BV49" s="37">
        <f t="shared" si="11"/>
        <v>-1</v>
      </c>
      <c r="BW49" s="36">
        <f>[1]BOA!$N49</f>
        <v>16025</v>
      </c>
      <c r="BX49" s="31">
        <f t="shared" si="52"/>
        <v>14055.5275</v>
      </c>
      <c r="BY49" s="31">
        <f t="shared" si="53"/>
        <v>1969.4724999999999</v>
      </c>
      <c r="BZ49" s="31">
        <f t="shared" si="54"/>
        <v>0</v>
      </c>
      <c r="CA49" s="31">
        <f t="shared" si="55"/>
        <v>0</v>
      </c>
      <c r="CB49" s="33"/>
      <c r="CC49" s="37">
        <f t="shared" si="12"/>
        <v>-1</v>
      </c>
      <c r="CD49" s="36">
        <f>[1]BOA!$O49</f>
        <v>16025</v>
      </c>
      <c r="CE49" s="31">
        <f t="shared" si="56"/>
        <v>14055.5275</v>
      </c>
      <c r="CF49" s="31">
        <f t="shared" si="57"/>
        <v>1969.4724999999999</v>
      </c>
      <c r="CG49" s="31">
        <f t="shared" si="58"/>
        <v>0</v>
      </c>
      <c r="CH49" s="31">
        <f t="shared" si="59"/>
        <v>0</v>
      </c>
      <c r="CI49" s="33"/>
      <c r="CJ49" s="37">
        <f t="shared" si="13"/>
        <v>-1</v>
      </c>
      <c r="CK49" s="36">
        <f>[1]BOA!$P49</f>
        <v>16025</v>
      </c>
      <c r="CL49" s="31">
        <f t="shared" si="60"/>
        <v>14055.5275</v>
      </c>
      <c r="CM49" s="31">
        <f t="shared" si="61"/>
        <v>1969.4724999999999</v>
      </c>
      <c r="CN49" s="31">
        <f t="shared" si="62"/>
        <v>0</v>
      </c>
      <c r="CO49" s="31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11935.6</v>
      </c>
      <c r="C50" s="31">
        <f t="shared" si="64"/>
        <v>10468.714759999997</v>
      </c>
      <c r="D50" s="32">
        <f t="shared" si="64"/>
        <v>1466.8852400000003</v>
      </c>
      <c r="E50" s="30">
        <f t="shared" si="66"/>
        <v>3978.5333333333333</v>
      </c>
      <c r="F50" s="33">
        <f t="shared" si="66"/>
        <v>3489.5715866666665</v>
      </c>
      <c r="G50" s="34">
        <f t="shared" si="66"/>
        <v>488.96174666666667</v>
      </c>
      <c r="H50" s="31">
        <f t="shared" si="65"/>
        <v>4056.4186519999998</v>
      </c>
      <c r="I50" s="33">
        <f t="shared" si="65"/>
        <v>729.35134800000014</v>
      </c>
      <c r="J50" s="33">
        <f t="shared" si="65"/>
        <v>4785.7700000000004</v>
      </c>
      <c r="K50" s="37">
        <f t="shared" si="2"/>
        <v>0.2028980528838098</v>
      </c>
      <c r="L50" s="36">
        <f>[1]BOA!$E50</f>
        <v>994.63333333333333</v>
      </c>
      <c r="M50" s="28">
        <f t="shared" si="16"/>
        <v>872.39289666666662</v>
      </c>
      <c r="N50" s="28">
        <f t="shared" si="17"/>
        <v>122.24043666666667</v>
      </c>
      <c r="O50" s="28">
        <f t="shared" si="18"/>
        <v>788.242572</v>
      </c>
      <c r="P50" s="28">
        <f t="shared" si="19"/>
        <v>141.727428</v>
      </c>
      <c r="Q50" s="151">
        <f>929.97</f>
        <v>929.97</v>
      </c>
      <c r="R50" s="37">
        <f t="shared" si="3"/>
        <v>-6.5012232313415241E-2</v>
      </c>
      <c r="S50" s="36">
        <f>[1]BOA!$F50</f>
        <v>994.63333333333333</v>
      </c>
      <c r="T50" s="28">
        <f t="shared" si="20"/>
        <v>872.39289666666662</v>
      </c>
      <c r="U50" s="28">
        <f t="shared" si="21"/>
        <v>122.24043666666667</v>
      </c>
      <c r="V50" s="28">
        <f t="shared" si="22"/>
        <v>912.83977200000004</v>
      </c>
      <c r="W50" s="28">
        <f t="shared" si="23"/>
        <v>164.13022800000002</v>
      </c>
      <c r="X50" s="151">
        <f>1076.97</f>
        <v>1076.97</v>
      </c>
      <c r="Y50" s="37">
        <f t="shared" si="4"/>
        <v>8.2780924293709646E-2</v>
      </c>
      <c r="Z50" s="36">
        <f>[1]BOA!$G50</f>
        <v>994.63333333333333</v>
      </c>
      <c r="AA50" s="28">
        <f t="shared" si="24"/>
        <v>872.39289666666662</v>
      </c>
      <c r="AB50" s="28">
        <f t="shared" si="25"/>
        <v>122.24043666666667</v>
      </c>
      <c r="AC50" s="28">
        <f t="shared" si="26"/>
        <v>1609.88906</v>
      </c>
      <c r="AD50" s="28">
        <f t="shared" si="27"/>
        <v>289.46093999999999</v>
      </c>
      <c r="AE50" s="151">
        <f>1899.35</f>
        <v>1899.35</v>
      </c>
      <c r="AF50" s="37">
        <f t="shared" si="5"/>
        <v>0.90959817688260314</v>
      </c>
      <c r="AG50" s="36">
        <f>[1]BOA!$H50</f>
        <v>994.63333333333333</v>
      </c>
      <c r="AH50" s="28">
        <f t="shared" si="28"/>
        <v>872.39289666666662</v>
      </c>
      <c r="AI50" s="28">
        <f t="shared" si="29"/>
        <v>122.24043666666667</v>
      </c>
      <c r="AJ50" s="28">
        <f t="shared" si="30"/>
        <v>745.44724799999995</v>
      </c>
      <c r="AK50" s="28">
        <f t="shared" si="31"/>
        <v>134.03275200000002</v>
      </c>
      <c r="AL50" s="151">
        <f>879.48</f>
        <v>879.48</v>
      </c>
      <c r="AM50" s="37">
        <f t="shared" si="6"/>
        <v>-0.11577465732765846</v>
      </c>
      <c r="AN50" s="36">
        <f>[1]BOA!$I50</f>
        <v>994.63333333333333</v>
      </c>
      <c r="AO50" s="28">
        <f t="shared" si="32"/>
        <v>872.39289666666662</v>
      </c>
      <c r="AP50" s="28">
        <f t="shared" si="33"/>
        <v>122.24043666666667</v>
      </c>
      <c r="AQ50" s="28">
        <f t="shared" si="34"/>
        <v>0</v>
      </c>
      <c r="AR50" s="28">
        <f t="shared" si="35"/>
        <v>0</v>
      </c>
      <c r="AS50" s="151"/>
      <c r="AT50" s="37">
        <f t="shared" si="7"/>
        <v>-1</v>
      </c>
      <c r="AU50" s="36">
        <f>[1]BOA!$J50</f>
        <v>994.63333333333333</v>
      </c>
      <c r="AV50" s="28">
        <f t="shared" si="36"/>
        <v>872.39289666666662</v>
      </c>
      <c r="AW50" s="28">
        <f t="shared" si="37"/>
        <v>122.24043666666667</v>
      </c>
      <c r="AX50" s="28">
        <f t="shared" si="38"/>
        <v>0</v>
      </c>
      <c r="AY50" s="28">
        <f t="shared" si="39"/>
        <v>0</v>
      </c>
      <c r="AZ50" s="163"/>
      <c r="BA50" s="37">
        <f t="shared" si="8"/>
        <v>-1</v>
      </c>
      <c r="BB50" s="36">
        <f>[1]BOA!$K50</f>
        <v>994.63333333333333</v>
      </c>
      <c r="BC50" s="28">
        <f t="shared" si="40"/>
        <v>872.39289666666662</v>
      </c>
      <c r="BD50" s="28">
        <f t="shared" si="41"/>
        <v>122.24043666666667</v>
      </c>
      <c r="BE50" s="28">
        <f t="shared" si="42"/>
        <v>0</v>
      </c>
      <c r="BF50" s="28">
        <f t="shared" si="43"/>
        <v>0</v>
      </c>
      <c r="BG50" s="151"/>
      <c r="BH50" s="37">
        <f t="shared" si="9"/>
        <v>-1</v>
      </c>
      <c r="BI50" s="36">
        <f>[1]BOA!$L50</f>
        <v>994.63333333333333</v>
      </c>
      <c r="BJ50" s="28">
        <f t="shared" si="44"/>
        <v>872.39289666666662</v>
      </c>
      <c r="BK50" s="28">
        <f t="shared" si="45"/>
        <v>122.24043666666667</v>
      </c>
      <c r="BL50" s="28">
        <f t="shared" si="46"/>
        <v>0</v>
      </c>
      <c r="BM50" s="28">
        <f t="shared" si="47"/>
        <v>0</v>
      </c>
      <c r="BN50" s="151"/>
      <c r="BO50" s="37">
        <f t="shared" si="10"/>
        <v>-1</v>
      </c>
      <c r="BP50" s="36">
        <f>[1]BOA!$M50</f>
        <v>994.63333333333333</v>
      </c>
      <c r="BQ50" s="28">
        <f t="shared" si="48"/>
        <v>872.39289666666662</v>
      </c>
      <c r="BR50" s="28">
        <f t="shared" si="49"/>
        <v>122.24043666666667</v>
      </c>
      <c r="BS50" s="28">
        <f t="shared" si="50"/>
        <v>0</v>
      </c>
      <c r="BT50" s="28">
        <f t="shared" si="51"/>
        <v>0</v>
      </c>
      <c r="BU50" s="151"/>
      <c r="BV50" s="37">
        <f t="shared" si="11"/>
        <v>-1</v>
      </c>
      <c r="BW50" s="36">
        <f>[1]BOA!$N50</f>
        <v>994.63333333333333</v>
      </c>
      <c r="BX50" s="28">
        <f t="shared" si="52"/>
        <v>872.39289666666662</v>
      </c>
      <c r="BY50" s="28">
        <f t="shared" si="53"/>
        <v>122.24043666666667</v>
      </c>
      <c r="BZ50" s="28">
        <f t="shared" si="54"/>
        <v>0</v>
      </c>
      <c r="CA50" s="28">
        <f t="shared" si="55"/>
        <v>0</v>
      </c>
      <c r="CB50" s="151"/>
      <c r="CC50" s="37">
        <f t="shared" si="12"/>
        <v>-1</v>
      </c>
      <c r="CD50" s="36">
        <f>[1]BOA!$O50</f>
        <v>994.63333333333333</v>
      </c>
      <c r="CE50" s="28">
        <f t="shared" si="56"/>
        <v>872.39289666666662</v>
      </c>
      <c r="CF50" s="28">
        <f t="shared" si="57"/>
        <v>122.24043666666667</v>
      </c>
      <c r="CG50" s="28">
        <f t="shared" si="58"/>
        <v>0</v>
      </c>
      <c r="CH50" s="28">
        <f t="shared" si="59"/>
        <v>0</v>
      </c>
      <c r="CI50" s="151"/>
      <c r="CJ50" s="37">
        <f t="shared" si="13"/>
        <v>-1</v>
      </c>
      <c r="CK50" s="36">
        <f>[1]BOA!$P50</f>
        <v>994.63333333333333</v>
      </c>
      <c r="CL50" s="28">
        <f t="shared" si="60"/>
        <v>872.39289666666662</v>
      </c>
      <c r="CM50" s="28">
        <f t="shared" si="61"/>
        <v>122.24043666666667</v>
      </c>
      <c r="CN50" s="28">
        <f t="shared" si="62"/>
        <v>0</v>
      </c>
      <c r="CO50" s="28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8970.9546000000009</v>
      </c>
      <c r="C51" s="31">
        <f t="shared" si="64"/>
        <v>7868.4242796599983</v>
      </c>
      <c r="D51" s="32">
        <f t="shared" si="64"/>
        <v>1102.5303203400001</v>
      </c>
      <c r="E51" s="30">
        <f t="shared" si="66"/>
        <v>2990.3181999999997</v>
      </c>
      <c r="F51" s="33">
        <f t="shared" si="66"/>
        <v>2622.8080932199996</v>
      </c>
      <c r="G51" s="34">
        <f t="shared" si="66"/>
        <v>367.51010677999994</v>
      </c>
      <c r="H51" s="31">
        <f t="shared" si="65"/>
        <v>2565.5326320000004</v>
      </c>
      <c r="I51" s="33">
        <f t="shared" si="65"/>
        <v>461.28736800000007</v>
      </c>
      <c r="J51" s="33">
        <f t="shared" si="65"/>
        <v>3026.8199999999997</v>
      </c>
      <c r="K51" s="37">
        <f t="shared" si="2"/>
        <v>1.2206660816230119E-2</v>
      </c>
      <c r="L51" s="36">
        <f>[1]BOA!$E51</f>
        <v>747.57954999999993</v>
      </c>
      <c r="M51" s="31">
        <f t="shared" si="16"/>
        <v>655.7020233049999</v>
      </c>
      <c r="N51" s="31">
        <f t="shared" si="17"/>
        <v>91.877526694999986</v>
      </c>
      <c r="O51" s="31">
        <f t="shared" si="18"/>
        <v>627.58846799999992</v>
      </c>
      <c r="P51" s="31">
        <f t="shared" si="19"/>
        <v>112.841532</v>
      </c>
      <c r="Q51" s="45">
        <f>740.43</f>
        <v>740.43</v>
      </c>
      <c r="R51" s="37">
        <f t="shared" si="3"/>
        <v>-9.5635976131235312E-3</v>
      </c>
      <c r="S51" s="36">
        <f>[1]BOA!$F51</f>
        <v>747.57954999999993</v>
      </c>
      <c r="T51" s="31">
        <f t="shared" si="20"/>
        <v>655.7020233049999</v>
      </c>
      <c r="U51" s="31">
        <f t="shared" si="21"/>
        <v>91.877526694999986</v>
      </c>
      <c r="V51" s="31">
        <f t="shared" si="22"/>
        <v>611.24673999999993</v>
      </c>
      <c r="W51" s="31">
        <f t="shared" si="23"/>
        <v>109.90326</v>
      </c>
      <c r="X51" s="45">
        <f>721.15</f>
        <v>721.15</v>
      </c>
      <c r="Y51" s="37">
        <f t="shared" si="4"/>
        <v>-3.5353495156468573E-2</v>
      </c>
      <c r="Z51" s="36">
        <f>[1]BOA!$G51</f>
        <v>747.57954999999993</v>
      </c>
      <c r="AA51" s="31">
        <f t="shared" si="24"/>
        <v>655.7020233049999</v>
      </c>
      <c r="AB51" s="31">
        <f t="shared" si="25"/>
        <v>91.877526694999986</v>
      </c>
      <c r="AC51" s="31">
        <f t="shared" si="26"/>
        <v>568.51074800000004</v>
      </c>
      <c r="AD51" s="31">
        <f t="shared" si="27"/>
        <v>102.21925200000001</v>
      </c>
      <c r="AE51" s="45">
        <f>670.73</f>
        <v>670.73</v>
      </c>
      <c r="AF51" s="37">
        <f t="shared" si="5"/>
        <v>-0.10279782265312087</v>
      </c>
      <c r="AG51" s="36">
        <f>[1]BOA!$H51</f>
        <v>747.57954999999993</v>
      </c>
      <c r="AH51" s="31">
        <f t="shared" si="28"/>
        <v>655.7020233049999</v>
      </c>
      <c r="AI51" s="31">
        <f t="shared" si="29"/>
        <v>91.877526694999986</v>
      </c>
      <c r="AJ51" s="31">
        <f t="shared" si="30"/>
        <v>758.18667600000003</v>
      </c>
      <c r="AK51" s="31">
        <f t="shared" si="31"/>
        <v>136.32332400000001</v>
      </c>
      <c r="AL51" s="45">
        <f>894.51</f>
        <v>894.51</v>
      </c>
      <c r="AM51" s="37">
        <f t="shared" si="6"/>
        <v>0.19654155868763401</v>
      </c>
      <c r="AN51" s="36">
        <f>[1]BOA!$I51</f>
        <v>747.57954999999993</v>
      </c>
      <c r="AO51" s="31">
        <f t="shared" si="32"/>
        <v>655.7020233049999</v>
      </c>
      <c r="AP51" s="31">
        <f t="shared" si="33"/>
        <v>91.877526694999986</v>
      </c>
      <c r="AQ51" s="31">
        <f t="shared" si="34"/>
        <v>0</v>
      </c>
      <c r="AR51" s="31">
        <f t="shared" si="35"/>
        <v>0</v>
      </c>
      <c r="AS51" s="45"/>
      <c r="AT51" s="37">
        <f t="shared" si="7"/>
        <v>-1</v>
      </c>
      <c r="AU51" s="36">
        <f>[1]BOA!$J51</f>
        <v>747.57954999999993</v>
      </c>
      <c r="AV51" s="31">
        <f t="shared" si="36"/>
        <v>655.7020233049999</v>
      </c>
      <c r="AW51" s="31">
        <f t="shared" si="37"/>
        <v>91.877526694999986</v>
      </c>
      <c r="AX51" s="31">
        <f t="shared" si="38"/>
        <v>0</v>
      </c>
      <c r="AY51" s="31">
        <f t="shared" si="39"/>
        <v>0</v>
      </c>
      <c r="AZ51" s="161"/>
      <c r="BA51" s="37">
        <f t="shared" si="8"/>
        <v>-1</v>
      </c>
      <c r="BB51" s="36">
        <f>[1]BOA!$K51</f>
        <v>747.57954999999993</v>
      </c>
      <c r="BC51" s="31">
        <f t="shared" si="40"/>
        <v>655.7020233049999</v>
      </c>
      <c r="BD51" s="31">
        <f t="shared" si="41"/>
        <v>91.877526694999986</v>
      </c>
      <c r="BE51" s="31">
        <f t="shared" si="42"/>
        <v>0</v>
      </c>
      <c r="BF51" s="31">
        <f t="shared" si="43"/>
        <v>0</v>
      </c>
      <c r="BG51" s="45"/>
      <c r="BH51" s="37">
        <f t="shared" si="9"/>
        <v>-1</v>
      </c>
      <c r="BI51" s="36">
        <f>[1]BOA!$L51</f>
        <v>747.57954999999993</v>
      </c>
      <c r="BJ51" s="31">
        <f t="shared" si="44"/>
        <v>655.7020233049999</v>
      </c>
      <c r="BK51" s="31">
        <f t="shared" si="45"/>
        <v>91.877526694999986</v>
      </c>
      <c r="BL51" s="31">
        <f t="shared" si="46"/>
        <v>0</v>
      </c>
      <c r="BM51" s="31">
        <f t="shared" si="47"/>
        <v>0</v>
      </c>
      <c r="BN51" s="45"/>
      <c r="BO51" s="37">
        <f t="shared" si="10"/>
        <v>-1</v>
      </c>
      <c r="BP51" s="36">
        <f>[1]BOA!$M51</f>
        <v>747.57954999999993</v>
      </c>
      <c r="BQ51" s="31">
        <f t="shared" si="48"/>
        <v>655.7020233049999</v>
      </c>
      <c r="BR51" s="31">
        <f t="shared" si="49"/>
        <v>91.877526694999986</v>
      </c>
      <c r="BS51" s="31">
        <f t="shared" si="50"/>
        <v>0</v>
      </c>
      <c r="BT51" s="31">
        <f t="shared" si="51"/>
        <v>0</v>
      </c>
      <c r="BU51" s="45"/>
      <c r="BV51" s="37">
        <f t="shared" si="11"/>
        <v>-1</v>
      </c>
      <c r="BW51" s="36">
        <f>[1]BOA!$N51</f>
        <v>747.57954999999993</v>
      </c>
      <c r="BX51" s="31">
        <f t="shared" si="52"/>
        <v>655.7020233049999</v>
      </c>
      <c r="BY51" s="31">
        <f t="shared" si="53"/>
        <v>91.877526694999986</v>
      </c>
      <c r="BZ51" s="31">
        <f t="shared" si="54"/>
        <v>0</v>
      </c>
      <c r="CA51" s="31">
        <f t="shared" si="55"/>
        <v>0</v>
      </c>
      <c r="CB51" s="45"/>
      <c r="CC51" s="37">
        <f t="shared" si="12"/>
        <v>-1</v>
      </c>
      <c r="CD51" s="36">
        <f>[1]BOA!$O51</f>
        <v>747.57954999999993</v>
      </c>
      <c r="CE51" s="31">
        <f t="shared" si="56"/>
        <v>655.7020233049999</v>
      </c>
      <c r="CF51" s="31">
        <f t="shared" si="57"/>
        <v>91.877526694999986</v>
      </c>
      <c r="CG51" s="31">
        <f t="shared" si="58"/>
        <v>0</v>
      </c>
      <c r="CH51" s="31">
        <f t="shared" si="59"/>
        <v>0</v>
      </c>
      <c r="CI51" s="45"/>
      <c r="CJ51" s="37">
        <f t="shared" si="13"/>
        <v>-1</v>
      </c>
      <c r="CK51" s="36">
        <f>[1]BOA!$P51</f>
        <v>747.57954999999993</v>
      </c>
      <c r="CL51" s="31">
        <f t="shared" si="60"/>
        <v>655.7020233049999</v>
      </c>
      <c r="CM51" s="31">
        <f t="shared" si="61"/>
        <v>91.877526694999986</v>
      </c>
      <c r="CN51" s="31">
        <f t="shared" si="62"/>
        <v>0</v>
      </c>
      <c r="CO51" s="31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30000</v>
      </c>
      <c r="C52" s="31">
        <f t="shared" si="64"/>
        <v>26313</v>
      </c>
      <c r="D52" s="32">
        <f t="shared" si="64"/>
        <v>3687</v>
      </c>
      <c r="E52" s="30">
        <f t="shared" si="66"/>
        <v>10000</v>
      </c>
      <c r="F52" s="33">
        <f t="shared" si="66"/>
        <v>8771</v>
      </c>
      <c r="G52" s="34">
        <f t="shared" si="66"/>
        <v>1229</v>
      </c>
      <c r="H52" s="31">
        <f t="shared" si="65"/>
        <v>12361.178024000001</v>
      </c>
      <c r="I52" s="33">
        <f t="shared" si="65"/>
        <v>2222.561976</v>
      </c>
      <c r="J52" s="33">
        <f t="shared" si="65"/>
        <v>14583.740000000002</v>
      </c>
      <c r="K52" s="37">
        <f t="shared" si="2"/>
        <v>0.45837400000000006</v>
      </c>
      <c r="L52" s="36">
        <f>[1]BOA!$E52</f>
        <v>2500</v>
      </c>
      <c r="M52" s="31">
        <f t="shared" si="16"/>
        <v>2192.75</v>
      </c>
      <c r="N52" s="31">
        <f t="shared" si="17"/>
        <v>307.25</v>
      </c>
      <c r="O52" s="31">
        <f t="shared" si="18"/>
        <v>6600.7528080000002</v>
      </c>
      <c r="P52" s="31">
        <f t="shared" si="19"/>
        <v>1186.827192</v>
      </c>
      <c r="Q52" s="33">
        <f>7787.58</f>
        <v>7787.58</v>
      </c>
      <c r="R52" s="37">
        <f t="shared" si="3"/>
        <v>2.1150319999999998</v>
      </c>
      <c r="S52" s="36">
        <f>[1]BOA!$F52</f>
        <v>2500</v>
      </c>
      <c r="T52" s="31">
        <f t="shared" si="20"/>
        <v>2192.75</v>
      </c>
      <c r="U52" s="31">
        <f t="shared" si="21"/>
        <v>307.25</v>
      </c>
      <c r="V52" s="31">
        <f t="shared" si="22"/>
        <v>1117.43346</v>
      </c>
      <c r="W52" s="31">
        <f t="shared" si="23"/>
        <v>200.91654</v>
      </c>
      <c r="X52" s="33">
        <f>1318.35</f>
        <v>1318.35</v>
      </c>
      <c r="Y52" s="37">
        <f t="shared" si="4"/>
        <v>-0.47266000000000008</v>
      </c>
      <c r="Z52" s="36">
        <f>[1]BOA!$G52</f>
        <v>2500</v>
      </c>
      <c r="AA52" s="31">
        <f t="shared" si="24"/>
        <v>2192.75</v>
      </c>
      <c r="AB52" s="31">
        <f t="shared" si="25"/>
        <v>307.25</v>
      </c>
      <c r="AC52" s="31">
        <f t="shared" si="26"/>
        <v>2846.1984199999997</v>
      </c>
      <c r="AD52" s="31">
        <f t="shared" si="27"/>
        <v>511.75157999999999</v>
      </c>
      <c r="AE52" s="33">
        <f>3357.95</f>
        <v>3357.95</v>
      </c>
      <c r="AF52" s="37">
        <f t="shared" si="5"/>
        <v>0.34317999999999982</v>
      </c>
      <c r="AG52" s="36">
        <f>[1]BOA!$H52</f>
        <v>2500</v>
      </c>
      <c r="AH52" s="31">
        <f t="shared" si="28"/>
        <v>2192.75</v>
      </c>
      <c r="AI52" s="31">
        <f t="shared" si="29"/>
        <v>307.25</v>
      </c>
      <c r="AJ52" s="31">
        <f t="shared" si="30"/>
        <v>1796.7933360000002</v>
      </c>
      <c r="AK52" s="31">
        <f t="shared" si="31"/>
        <v>323.06666400000006</v>
      </c>
      <c r="AL52" s="33">
        <f>2119.86</f>
        <v>2119.86</v>
      </c>
      <c r="AM52" s="37">
        <f t="shared" si="6"/>
        <v>-0.15205599999999997</v>
      </c>
      <c r="AN52" s="36">
        <f>[1]BOA!$I52</f>
        <v>2500</v>
      </c>
      <c r="AO52" s="31">
        <f t="shared" si="32"/>
        <v>2192.75</v>
      </c>
      <c r="AP52" s="31">
        <f t="shared" si="33"/>
        <v>307.25</v>
      </c>
      <c r="AQ52" s="31">
        <f t="shared" si="34"/>
        <v>0</v>
      </c>
      <c r="AR52" s="31">
        <f t="shared" si="35"/>
        <v>0</v>
      </c>
      <c r="AS52" s="33"/>
      <c r="AT52" s="37">
        <f t="shared" si="7"/>
        <v>-1</v>
      </c>
      <c r="AU52" s="36">
        <f>[1]BOA!$J52</f>
        <v>2500</v>
      </c>
      <c r="AV52" s="31">
        <f t="shared" si="36"/>
        <v>2192.75</v>
      </c>
      <c r="AW52" s="31">
        <f t="shared" si="37"/>
        <v>307.25</v>
      </c>
      <c r="AX52" s="31">
        <f t="shared" si="38"/>
        <v>0</v>
      </c>
      <c r="AY52" s="31">
        <f t="shared" si="39"/>
        <v>0</v>
      </c>
      <c r="AZ52" s="158"/>
      <c r="BA52" s="37">
        <f t="shared" si="8"/>
        <v>-1</v>
      </c>
      <c r="BB52" s="36">
        <f>[1]BOA!$K52</f>
        <v>2500</v>
      </c>
      <c r="BC52" s="31">
        <f t="shared" si="40"/>
        <v>2192.75</v>
      </c>
      <c r="BD52" s="31">
        <f t="shared" si="41"/>
        <v>307.25</v>
      </c>
      <c r="BE52" s="31">
        <f t="shared" si="42"/>
        <v>0</v>
      </c>
      <c r="BF52" s="31">
        <f t="shared" si="43"/>
        <v>0</v>
      </c>
      <c r="BG52" s="33"/>
      <c r="BH52" s="37">
        <f t="shared" si="9"/>
        <v>-1</v>
      </c>
      <c r="BI52" s="36">
        <f>[1]BOA!$L52</f>
        <v>2500</v>
      </c>
      <c r="BJ52" s="31">
        <f t="shared" si="44"/>
        <v>2192.75</v>
      </c>
      <c r="BK52" s="31">
        <f t="shared" si="45"/>
        <v>307.25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[1]BOA!$M52</f>
        <v>2500</v>
      </c>
      <c r="BQ52" s="31">
        <f t="shared" si="48"/>
        <v>2192.75</v>
      </c>
      <c r="BR52" s="31">
        <f t="shared" si="49"/>
        <v>307.25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[1]BOA!$N52</f>
        <v>2500</v>
      </c>
      <c r="BX52" s="31">
        <f t="shared" si="52"/>
        <v>2192.75</v>
      </c>
      <c r="BY52" s="31">
        <f t="shared" si="53"/>
        <v>307.25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[1]BOA!$O52</f>
        <v>2500</v>
      </c>
      <c r="CE52" s="31">
        <f t="shared" si="56"/>
        <v>2192.75</v>
      </c>
      <c r="CF52" s="31">
        <f t="shared" si="57"/>
        <v>307.25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[1]BOA!$P52</f>
        <v>2500</v>
      </c>
      <c r="CL52" s="31">
        <f t="shared" si="60"/>
        <v>2192.75</v>
      </c>
      <c r="CM52" s="31">
        <f t="shared" si="61"/>
        <v>307.25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12000</v>
      </c>
      <c r="C53" s="31">
        <f t="shared" si="64"/>
        <v>10525.200000000003</v>
      </c>
      <c r="D53" s="32">
        <f t="shared" si="64"/>
        <v>1474.8000000000002</v>
      </c>
      <c r="E53" s="30">
        <f t="shared" si="66"/>
        <v>4000</v>
      </c>
      <c r="F53" s="33">
        <f t="shared" si="66"/>
        <v>3508.4</v>
      </c>
      <c r="G53" s="34">
        <f t="shared" si="66"/>
        <v>491.59999999999997</v>
      </c>
      <c r="H53" s="31">
        <f t="shared" si="65"/>
        <v>1168.8319239999998</v>
      </c>
      <c r="I53" s="33">
        <f t="shared" si="65"/>
        <v>210.15807600000002</v>
      </c>
      <c r="J53" s="33">
        <f t="shared" si="65"/>
        <v>1378.99</v>
      </c>
      <c r="K53" s="37">
        <f t="shared" si="2"/>
        <v>-0.65525250000000002</v>
      </c>
      <c r="L53" s="36">
        <f>[1]BOA!$E53</f>
        <v>1000</v>
      </c>
      <c r="M53" s="31">
        <f t="shared" si="16"/>
        <v>877.1</v>
      </c>
      <c r="N53" s="31">
        <f t="shared" si="17"/>
        <v>122.89999999999999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f>[1]BOA!$F53</f>
        <v>1000</v>
      </c>
      <c r="T53" s="31">
        <f t="shared" si="20"/>
        <v>877.1</v>
      </c>
      <c r="U53" s="31">
        <f t="shared" si="21"/>
        <v>122.89999999999999</v>
      </c>
      <c r="V53" s="31">
        <f t="shared" si="22"/>
        <v>790.85317999999995</v>
      </c>
      <c r="W53" s="31">
        <f t="shared" si="23"/>
        <v>142.19682</v>
      </c>
      <c r="X53" s="33">
        <f>933.05</f>
        <v>933.05</v>
      </c>
      <c r="Y53" s="37">
        <f t="shared" si="4"/>
        <v>-6.6950000000000065E-2</v>
      </c>
      <c r="Z53" s="36">
        <f>[1]BOA!$G53</f>
        <v>1000</v>
      </c>
      <c r="AA53" s="31">
        <f t="shared" si="24"/>
        <v>877.1</v>
      </c>
      <c r="AB53" s="31">
        <f t="shared" si="25"/>
        <v>122.89999999999999</v>
      </c>
      <c r="AC53" s="31">
        <f t="shared" si="26"/>
        <v>263.55274400000002</v>
      </c>
      <c r="AD53" s="31">
        <f t="shared" si="27"/>
        <v>47.387256000000001</v>
      </c>
      <c r="AE53" s="33">
        <f>310.94</f>
        <v>310.94</v>
      </c>
      <c r="AF53" s="37">
        <f t="shared" si="5"/>
        <v>-0.68906000000000001</v>
      </c>
      <c r="AG53" s="36">
        <f>[1]BOA!$H53</f>
        <v>1000</v>
      </c>
      <c r="AH53" s="31">
        <f t="shared" si="28"/>
        <v>877.1</v>
      </c>
      <c r="AI53" s="31">
        <f t="shared" si="29"/>
        <v>122.89999999999999</v>
      </c>
      <c r="AJ53" s="31">
        <f t="shared" si="30"/>
        <v>114.426</v>
      </c>
      <c r="AK53" s="31">
        <f t="shared" si="31"/>
        <v>20.574000000000002</v>
      </c>
      <c r="AL53" s="33">
        <f>135</f>
        <v>135</v>
      </c>
      <c r="AM53" s="37">
        <f t="shared" si="6"/>
        <v>-0.86499999999999999</v>
      </c>
      <c r="AN53" s="36">
        <f>[1]BOA!$I53</f>
        <v>1000</v>
      </c>
      <c r="AO53" s="31">
        <f t="shared" si="32"/>
        <v>877.1</v>
      </c>
      <c r="AP53" s="31">
        <f t="shared" si="33"/>
        <v>122.89999999999999</v>
      </c>
      <c r="AQ53" s="31">
        <f t="shared" si="34"/>
        <v>0</v>
      </c>
      <c r="AR53" s="31">
        <f t="shared" si="35"/>
        <v>0</v>
      </c>
      <c r="AS53" s="33"/>
      <c r="AT53" s="37">
        <f t="shared" si="7"/>
        <v>-1</v>
      </c>
      <c r="AU53" s="36">
        <f>[1]BOA!$J53</f>
        <v>1000</v>
      </c>
      <c r="AV53" s="31">
        <f t="shared" si="36"/>
        <v>877.1</v>
      </c>
      <c r="AW53" s="31">
        <f t="shared" si="37"/>
        <v>122.89999999999999</v>
      </c>
      <c r="AX53" s="31">
        <f t="shared" si="38"/>
        <v>0</v>
      </c>
      <c r="AY53" s="31">
        <f t="shared" si="39"/>
        <v>0</v>
      </c>
      <c r="AZ53" s="158"/>
      <c r="BA53" s="37">
        <f t="shared" si="8"/>
        <v>-1</v>
      </c>
      <c r="BB53" s="36">
        <f>[1]BOA!$K53</f>
        <v>1000</v>
      </c>
      <c r="BC53" s="31">
        <f t="shared" si="40"/>
        <v>877.1</v>
      </c>
      <c r="BD53" s="31">
        <f t="shared" si="41"/>
        <v>122.89999999999999</v>
      </c>
      <c r="BE53" s="31">
        <f t="shared" si="42"/>
        <v>0</v>
      </c>
      <c r="BF53" s="31">
        <f t="shared" si="43"/>
        <v>0</v>
      </c>
      <c r="BG53" s="33"/>
      <c r="BH53" s="37">
        <f t="shared" si="9"/>
        <v>-1</v>
      </c>
      <c r="BI53" s="36">
        <f>[1]BOA!$L53</f>
        <v>1000</v>
      </c>
      <c r="BJ53" s="31">
        <f t="shared" si="44"/>
        <v>877.1</v>
      </c>
      <c r="BK53" s="31">
        <f t="shared" si="45"/>
        <v>122.89999999999999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[1]BOA!$M53</f>
        <v>1000</v>
      </c>
      <c r="BQ53" s="31">
        <f t="shared" si="48"/>
        <v>877.1</v>
      </c>
      <c r="BR53" s="31">
        <f t="shared" si="49"/>
        <v>122.89999999999999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[1]BOA!$N53</f>
        <v>1000</v>
      </c>
      <c r="BX53" s="31">
        <f t="shared" si="52"/>
        <v>877.1</v>
      </c>
      <c r="BY53" s="31">
        <f t="shared" si="53"/>
        <v>122.89999999999999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[1]BOA!$O53</f>
        <v>1000</v>
      </c>
      <c r="CE53" s="31">
        <f t="shared" si="56"/>
        <v>877.1</v>
      </c>
      <c r="CF53" s="31">
        <f t="shared" si="57"/>
        <v>122.89999999999999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[1]BOA!$P53</f>
        <v>1000</v>
      </c>
      <c r="CL53" s="31">
        <f t="shared" si="60"/>
        <v>877.1</v>
      </c>
      <c r="CM53" s="31">
        <f t="shared" si="61"/>
        <v>122.89999999999999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442000.00000000006</v>
      </c>
      <c r="C54" s="40">
        <f t="shared" si="64"/>
        <v>387678.19999999995</v>
      </c>
      <c r="D54" s="51">
        <f t="shared" si="64"/>
        <v>54321.799999999988</v>
      </c>
      <c r="E54" s="52">
        <f t="shared" si="66"/>
        <v>252571.42857142858</v>
      </c>
      <c r="F54" s="53">
        <f t="shared" si="66"/>
        <v>221530.40000000002</v>
      </c>
      <c r="G54" s="54">
        <f t="shared" si="66"/>
        <v>31041.028571428571</v>
      </c>
      <c r="H54" s="40">
        <f t="shared" si="65"/>
        <v>469391.21057920117</v>
      </c>
      <c r="I54" s="53">
        <f t="shared" si="65"/>
        <v>84397.38142080023</v>
      </c>
      <c r="J54" s="53">
        <f t="shared" si="65"/>
        <v>553788.59200000134</v>
      </c>
      <c r="K54" s="60">
        <f t="shared" si="2"/>
        <v>1.1926018914027203</v>
      </c>
      <c r="L54" s="87">
        <f>[1]BOA!$E54</f>
        <v>63142.857142857145</v>
      </c>
      <c r="M54" s="40">
        <f t="shared" si="16"/>
        <v>55382.600000000006</v>
      </c>
      <c r="N54" s="40">
        <f t="shared" si="17"/>
        <v>7760.2571428571428</v>
      </c>
      <c r="O54" s="40">
        <f t="shared" si="18"/>
        <v>44796.600835999998</v>
      </c>
      <c r="P54" s="40">
        <f t="shared" si="19"/>
        <v>8054.5091640000001</v>
      </c>
      <c r="Q54" s="53">
        <v>52851.11</v>
      </c>
      <c r="R54" s="60">
        <f t="shared" si="3"/>
        <v>-0.16299147058823527</v>
      </c>
      <c r="S54" s="87">
        <f>[1]BOA!$F54</f>
        <v>63142.857142857145</v>
      </c>
      <c r="T54" s="40">
        <f t="shared" si="20"/>
        <v>55382.600000000006</v>
      </c>
      <c r="U54" s="40">
        <f t="shared" si="21"/>
        <v>7760.2571428571428</v>
      </c>
      <c r="V54" s="40">
        <f t="shared" si="22"/>
        <v>85892.452932</v>
      </c>
      <c r="W54" s="40">
        <f t="shared" si="23"/>
        <v>15443.617068000001</v>
      </c>
      <c r="X54" s="53">
        <v>101336.07</v>
      </c>
      <c r="Y54" s="60">
        <f t="shared" si="4"/>
        <v>0.60486988687782817</v>
      </c>
      <c r="Z54" s="87">
        <f>[1]BOA!$G54</f>
        <v>63142.857142857145</v>
      </c>
      <c r="AA54" s="40">
        <f t="shared" si="24"/>
        <v>55382.600000000006</v>
      </c>
      <c r="AB54" s="40">
        <f t="shared" si="25"/>
        <v>7760.2571428571428</v>
      </c>
      <c r="AC54" s="40">
        <f t="shared" si="26"/>
        <v>159869.38066320081</v>
      </c>
      <c r="AD54" s="40">
        <f t="shared" si="27"/>
        <v>28744.801336800148</v>
      </c>
      <c r="AE54" s="53">
        <v>188614.18200000096</v>
      </c>
      <c r="AF54" s="60">
        <f t="shared" si="5"/>
        <v>1.9871024298642683</v>
      </c>
      <c r="AG54" s="87">
        <f>[1]BOA!$H54</f>
        <v>63142.857142857145</v>
      </c>
      <c r="AH54" s="40">
        <f t="shared" si="28"/>
        <v>55382.600000000006</v>
      </c>
      <c r="AI54" s="40">
        <f t="shared" si="29"/>
        <v>7760.2571428571428</v>
      </c>
      <c r="AJ54" s="40">
        <f t="shared" si="30"/>
        <v>178832.77614800038</v>
      </c>
      <c r="AK54" s="40">
        <f t="shared" si="31"/>
        <v>32154.453852000071</v>
      </c>
      <c r="AL54" s="61">
        <v>210987.23000000045</v>
      </c>
      <c r="AM54" s="60">
        <f t="shared" si="6"/>
        <v>2.3414267194570204</v>
      </c>
      <c r="AN54" s="56">
        <f>[1]BOA!$I54</f>
        <v>63142.857142857145</v>
      </c>
      <c r="AO54" s="40">
        <f t="shared" si="32"/>
        <v>55382.600000000006</v>
      </c>
      <c r="AP54" s="40">
        <f t="shared" si="33"/>
        <v>7760.2571428571428</v>
      </c>
      <c r="AQ54" s="40">
        <f t="shared" si="34"/>
        <v>0</v>
      </c>
      <c r="AR54" s="40">
        <f t="shared" si="35"/>
        <v>0</v>
      </c>
      <c r="AS54" s="58"/>
      <c r="AT54" s="60">
        <f t="shared" si="7"/>
        <v>-1</v>
      </c>
      <c r="AU54" s="56">
        <f>[1]BOA!$J54</f>
        <v>63142.857142857145</v>
      </c>
      <c r="AV54" s="40">
        <f t="shared" si="36"/>
        <v>55382.600000000006</v>
      </c>
      <c r="AW54" s="40">
        <f t="shared" si="37"/>
        <v>7760.2571428571428</v>
      </c>
      <c r="AX54" s="40">
        <f t="shared" si="38"/>
        <v>0</v>
      </c>
      <c r="AY54" s="40">
        <f t="shared" si="39"/>
        <v>0</v>
      </c>
      <c r="AZ54" s="164"/>
      <c r="BA54" s="60">
        <f t="shared" si="8"/>
        <v>-1</v>
      </c>
      <c r="BB54" s="56">
        <f>[1]BOA!$K54</f>
        <v>63142.857142857145</v>
      </c>
      <c r="BC54" s="40">
        <f t="shared" si="40"/>
        <v>55382.600000000006</v>
      </c>
      <c r="BD54" s="40">
        <f t="shared" si="41"/>
        <v>7760.2571428571428</v>
      </c>
      <c r="BE54" s="40">
        <f t="shared" si="42"/>
        <v>0</v>
      </c>
      <c r="BF54" s="40">
        <f t="shared" si="43"/>
        <v>0</v>
      </c>
      <c r="BG54" s="58"/>
      <c r="BH54" s="60">
        <f t="shared" si="9"/>
        <v>-1</v>
      </c>
      <c r="BI54" s="56">
        <f>[1]BOA!$L54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10"/>
        <v/>
      </c>
      <c r="BP54" s="56">
        <f>[1]BOA!$M54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1"/>
        <v/>
      </c>
      <c r="BW54" s="87">
        <f>[1]BOA!$N54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2"/>
        <v/>
      </c>
      <c r="CD54" s="87">
        <f>[1]BOA!$O54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3"/>
        <v/>
      </c>
      <c r="CK54" s="87">
        <f>[1]BOA!$P54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22004564.866659116</v>
      </c>
      <c r="C55" s="64">
        <f t="shared" si="67"/>
        <v>19300203.844546709</v>
      </c>
      <c r="D55" s="65">
        <f t="shared" si="67"/>
        <v>2704361.0221124049</v>
      </c>
      <c r="E55" s="63">
        <f t="shared" si="67"/>
        <v>10182259.479303805</v>
      </c>
      <c r="F55" s="66">
        <f t="shared" si="67"/>
        <v>8930859.7892973665</v>
      </c>
      <c r="G55" s="67">
        <f t="shared" si="67"/>
        <v>1251399.6900064375</v>
      </c>
      <c r="H55" s="64">
        <f t="shared" si="67"/>
        <v>8359298.218297868</v>
      </c>
      <c r="I55" s="66">
        <f t="shared" si="67"/>
        <v>1503016.8103688005</v>
      </c>
      <c r="J55" s="66">
        <f t="shared" si="67"/>
        <v>9862315.0286666695</v>
      </c>
      <c r="K55" s="120">
        <f>+J55/E55-1</f>
        <v>-3.1421753814803721E-2</v>
      </c>
      <c r="L55" s="121">
        <f t="shared" ref="L55:V55" si="68">SUM(L4:L54)</f>
        <v>2574786.8633948746</v>
      </c>
      <c r="M55" s="121">
        <f t="shared" si="68"/>
        <v>2258345.5578836449</v>
      </c>
      <c r="N55" s="121">
        <f t="shared" si="68"/>
        <v>316441.30551123008</v>
      </c>
      <c r="O55" s="122">
        <f t="shared" si="68"/>
        <v>2461118.5651346664</v>
      </c>
      <c r="P55" s="122">
        <f t="shared" si="68"/>
        <v>442513.53153199994</v>
      </c>
      <c r="Q55" s="123">
        <f t="shared" si="68"/>
        <v>2903632.0966666671</v>
      </c>
      <c r="R55" s="120">
        <f>+Q55/L55-1</f>
        <v>0.1277174580727074</v>
      </c>
      <c r="S55" s="121">
        <f t="shared" si="68"/>
        <v>2778765.0831328984</v>
      </c>
      <c r="T55" s="121">
        <f t="shared" si="68"/>
        <v>2437254.8544158651</v>
      </c>
      <c r="U55" s="121">
        <f t="shared" si="68"/>
        <v>341510.22871703317</v>
      </c>
      <c r="V55" s="122">
        <f t="shared" si="68"/>
        <v>1754323.5384306668</v>
      </c>
      <c r="W55" s="95">
        <f t="shared" ref="W55:X55" si="69">SUM(W52:W54)</f>
        <v>15786.730428000001</v>
      </c>
      <c r="X55" s="96">
        <f t="shared" si="69"/>
        <v>103587.47</v>
      </c>
      <c r="Y55" s="120">
        <f>+X55/S55-1</f>
        <v>-0.96272176060193937</v>
      </c>
      <c r="Z55" s="121">
        <f t="shared" ref="Z55:AE55" si="70">SUM(Z4:Z54)</f>
        <v>2668898.4171891799</v>
      </c>
      <c r="AA55" s="121">
        <f t="shared" si="70"/>
        <v>2340890.8017166317</v>
      </c>
      <c r="AB55" s="121">
        <f t="shared" si="70"/>
        <v>328007.61547255021</v>
      </c>
      <c r="AC55" s="122">
        <f t="shared" si="70"/>
        <v>2204953.1738658673</v>
      </c>
      <c r="AD55" s="122">
        <f t="shared" si="70"/>
        <v>396454.5348008002</v>
      </c>
      <c r="AE55" s="123">
        <f t="shared" si="70"/>
        <v>2601407.7086666673</v>
      </c>
      <c r="AF55" s="120">
        <f>+AE55/Z55-1</f>
        <v>-2.5287852129491029E-2</v>
      </c>
      <c r="AG55" s="121">
        <f t="shared" ref="AG55:AL55" si="71">SUM(AG4:AG54)</f>
        <v>2159809.1155868494</v>
      </c>
      <c r="AH55" s="121">
        <f t="shared" si="71"/>
        <v>1894368.5752812254</v>
      </c>
      <c r="AI55" s="121">
        <f t="shared" si="71"/>
        <v>265440.54030562378</v>
      </c>
      <c r="AJ55" s="122">
        <f t="shared" si="71"/>
        <v>1938902.9408666673</v>
      </c>
      <c r="AK55" s="122">
        <f t="shared" si="71"/>
        <v>348618.22580000007</v>
      </c>
      <c r="AL55" s="123">
        <f t="shared" si="71"/>
        <v>2287521.1666666674</v>
      </c>
      <c r="AM55" s="120">
        <f>+AL55/AG55-1</f>
        <v>5.9131175138649628E-2</v>
      </c>
      <c r="AN55" s="121">
        <f t="shared" ref="AN55:AS55" si="72">SUM(AN4:AN54)</f>
        <v>2276421.5054629208</v>
      </c>
      <c r="AO55" s="121">
        <f t="shared" si="72"/>
        <v>1996649.3024415285</v>
      </c>
      <c r="AP55" s="121">
        <f t="shared" si="72"/>
        <v>279772.20302139304</v>
      </c>
      <c r="AQ55" s="122">
        <f t="shared" si="72"/>
        <v>0</v>
      </c>
      <c r="AR55" s="122">
        <f t="shared" si="72"/>
        <v>0</v>
      </c>
      <c r="AS55" s="123">
        <f t="shared" si="72"/>
        <v>0</v>
      </c>
      <c r="AT55" s="120">
        <f>+AS55/AN55-1</f>
        <v>-1</v>
      </c>
      <c r="AU55" s="121">
        <f t="shared" ref="AU55:AZ55" si="73">SUM(AU4:AU54)</f>
        <v>2245559.5729505848</v>
      </c>
      <c r="AV55" s="121">
        <f t="shared" si="73"/>
        <v>1969580.3014349586</v>
      </c>
      <c r="AW55" s="121">
        <f t="shared" si="73"/>
        <v>275979.27151562693</v>
      </c>
      <c r="AX55" s="122">
        <f t="shared" si="73"/>
        <v>0</v>
      </c>
      <c r="AY55" s="122">
        <f t="shared" si="73"/>
        <v>0</v>
      </c>
      <c r="AZ55" s="123">
        <f t="shared" si="73"/>
        <v>0</v>
      </c>
      <c r="BA55" s="120">
        <f>+AZ55/AU55-1</f>
        <v>-1</v>
      </c>
      <c r="BB55" s="121">
        <f t="shared" ref="BB55:BG55" si="74">SUM(BB4:BB54)</f>
        <v>2393083.2024021139</v>
      </c>
      <c r="BC55" s="121">
        <f t="shared" si="74"/>
        <v>2098973.2768268944</v>
      </c>
      <c r="BD55" s="121">
        <f t="shared" si="74"/>
        <v>294109.92557521979</v>
      </c>
      <c r="BE55" s="122">
        <f t="shared" si="74"/>
        <v>0</v>
      </c>
      <c r="BF55" s="122">
        <f t="shared" si="74"/>
        <v>0</v>
      </c>
      <c r="BG55" s="123">
        <f t="shared" si="74"/>
        <v>0</v>
      </c>
      <c r="BH55" s="120">
        <f>+BG55/BB55-1</f>
        <v>-1</v>
      </c>
      <c r="BI55" s="121">
        <f t="shared" ref="BI55:BN55" si="75">SUM(BI4:BI54)</f>
        <v>1070070.2235754181</v>
      </c>
      <c r="BJ55" s="121">
        <f t="shared" si="75"/>
        <v>938558.59309799946</v>
      </c>
      <c r="BK55" s="121">
        <f t="shared" si="75"/>
        <v>131511.63047741889</v>
      </c>
      <c r="BL55" s="122">
        <f t="shared" si="75"/>
        <v>0</v>
      </c>
      <c r="BM55" s="122">
        <f t="shared" si="75"/>
        <v>0</v>
      </c>
      <c r="BN55" s="123">
        <f t="shared" si="75"/>
        <v>0</v>
      </c>
      <c r="BO55" s="120">
        <f>+BN55/BI55-1</f>
        <v>-1</v>
      </c>
      <c r="BP55" s="121">
        <f t="shared" ref="BP55:BU55" si="76">SUM(BP4:BP54)</f>
        <v>1239530.5793542655</v>
      </c>
      <c r="BQ55" s="121">
        <f t="shared" si="76"/>
        <v>1087192.2711516265</v>
      </c>
      <c r="BR55" s="121">
        <f t="shared" si="76"/>
        <v>152338.30820263922</v>
      </c>
      <c r="BS55" s="122">
        <f t="shared" si="76"/>
        <v>0</v>
      </c>
      <c r="BT55" s="122">
        <f t="shared" si="76"/>
        <v>0</v>
      </c>
      <c r="BU55" s="123">
        <f t="shared" si="76"/>
        <v>0</v>
      </c>
      <c r="BV55" s="120">
        <f>+BU55/BP55-1</f>
        <v>-1</v>
      </c>
      <c r="BW55" s="121">
        <f t="shared" ref="BW55:CB55" si="77">SUM(BW4:BW54)</f>
        <v>956351.85160599253</v>
      </c>
      <c r="BX55" s="121">
        <f t="shared" si="77"/>
        <v>838816.2090436162</v>
      </c>
      <c r="BY55" s="121">
        <f t="shared" si="77"/>
        <v>117535.64256237647</v>
      </c>
      <c r="BZ55" s="122">
        <f t="shared" si="77"/>
        <v>0</v>
      </c>
      <c r="CA55" s="122">
        <f t="shared" si="77"/>
        <v>0</v>
      </c>
      <c r="CB55" s="123">
        <f t="shared" si="77"/>
        <v>0</v>
      </c>
      <c r="CC55" s="120">
        <f>+CB55/BW55-1</f>
        <v>-1</v>
      </c>
      <c r="CD55" s="121">
        <f t="shared" ref="CD55:CI55" si="78">SUM(CD4:CD54)</f>
        <v>816896.1403638646</v>
      </c>
      <c r="CE55" s="121">
        <f t="shared" si="78"/>
        <v>716499.60471314564</v>
      </c>
      <c r="CF55" s="121">
        <f t="shared" si="78"/>
        <v>100396.53565071891</v>
      </c>
      <c r="CG55" s="122">
        <f t="shared" si="78"/>
        <v>0</v>
      </c>
      <c r="CH55" s="122">
        <f t="shared" si="78"/>
        <v>0</v>
      </c>
      <c r="CI55" s="123">
        <f t="shared" si="78"/>
        <v>0</v>
      </c>
      <c r="CJ55" s="120">
        <f>+CI55/CD55-1</f>
        <v>-1</v>
      </c>
      <c r="CK55" s="121">
        <f t="shared" ref="CK55:CP55" si="79">SUM(CK4:CK54)</f>
        <v>824392.31164015247</v>
      </c>
      <c r="CL55" s="121">
        <f t="shared" si="79"/>
        <v>723074.49653957796</v>
      </c>
      <c r="CM55" s="121">
        <f t="shared" si="79"/>
        <v>101317.81510057471</v>
      </c>
      <c r="CN55" s="122">
        <f t="shared" si="79"/>
        <v>0</v>
      </c>
      <c r="CO55" s="122">
        <f t="shared" si="79"/>
        <v>0</v>
      </c>
      <c r="CP55" s="123">
        <f t="shared" si="79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-415224.91349480971</v>
      </c>
      <c r="C56" s="76">
        <f t="shared" ref="C56:D57" si="80">+M56+T56+AA56+AH56+AO56+AV56+BC56+BJ56+BQ56+BX56+CE56+CL56</f>
        <v>-364193.77162629744</v>
      </c>
      <c r="D56" s="77">
        <f t="shared" si="80"/>
        <v>-51031.14186851211</v>
      </c>
      <c r="E56" s="75">
        <f>+L56+S56+Z56+AG56</f>
        <v>-138408.30449826989</v>
      </c>
      <c r="F56" s="78">
        <f t="shared" ref="F56:G57" si="81">+M56+T56+AA56+AH56</f>
        <v>-121397.92387543252</v>
      </c>
      <c r="G56" s="79">
        <f t="shared" si="81"/>
        <v>-17010.380622837369</v>
      </c>
      <c r="H56" s="76">
        <f t="shared" ref="H56:J57" si="82">+O56+V56+AC56+AJ56+AQ56+AX56+BE56+BL56+BS56+BZ56+CG56+CN56</f>
        <v>-113126.90890800001</v>
      </c>
      <c r="I56" s="78">
        <f t="shared" si="82"/>
        <v>-20340.421092</v>
      </c>
      <c r="J56" s="78">
        <f t="shared" si="82"/>
        <v>-133467.33000000002</v>
      </c>
      <c r="K56" s="25">
        <f t="shared" ref="K56:K57" si="83">IF(E56=0,"",(+J56/E56-1))</f>
        <v>-3.5698540749999896E-2</v>
      </c>
      <c r="L56" s="23">
        <f>[1]BOA!$E56</f>
        <v>-34602.076124567473</v>
      </c>
      <c r="M56" s="18">
        <f t="shared" ref="M56:M57" si="84">L56-N56</f>
        <v>-30349.48096885813</v>
      </c>
      <c r="N56" s="18">
        <f t="shared" ref="N56:N57" si="85">+L56*12.29%</f>
        <v>-4252.5951557093422</v>
      </c>
      <c r="O56" s="18">
        <f t="shared" ref="O56:O57" si="86">+Q56-P56</f>
        <v>0</v>
      </c>
      <c r="P56" s="18">
        <f t="shared" ref="P56:P57" si="87">+Q56*15.24%</f>
        <v>0</v>
      </c>
      <c r="Q56" s="20"/>
      <c r="R56" s="25">
        <f t="shared" ref="R56:R57" si="88">IF(L56=0,"",(+Q56/L56-1))</f>
        <v>-1</v>
      </c>
      <c r="S56" s="23">
        <f>[1]BOA!$F56</f>
        <v>-34602.076124567473</v>
      </c>
      <c r="T56" s="18">
        <f t="shared" ref="T56:T57" si="89">S56-U56</f>
        <v>-30349.48096885813</v>
      </c>
      <c r="U56" s="18">
        <f t="shared" ref="U56:U57" si="90">+S56*12.29%</f>
        <v>-4252.5951557093422</v>
      </c>
      <c r="V56" s="18">
        <f t="shared" ref="V56:V57" si="91">+X56-W56</f>
        <v>-63588.596344000005</v>
      </c>
      <c r="W56" s="18">
        <f t="shared" ref="W56:W57" si="92">+X56*15.24%</f>
        <v>-11433.343656000001</v>
      </c>
      <c r="X56" s="20">
        <v>-75021.94</v>
      </c>
      <c r="Y56" s="25">
        <f>IF(S56=0,"",(+X56/S56-1))</f>
        <v>1.1681340659999999</v>
      </c>
      <c r="Z56" s="23">
        <f>[1]BOA!$G56</f>
        <v>-34602.076124567473</v>
      </c>
      <c r="AA56" s="18">
        <f t="shared" ref="AA56:AA57" si="93">Z56-AB56</f>
        <v>-30349.48096885813</v>
      </c>
      <c r="AB56" s="18">
        <f t="shared" ref="AB56:AB57" si="94">+Z56*12.29%</f>
        <v>-4252.5951557093422</v>
      </c>
      <c r="AC56" s="18">
        <f t="shared" ref="AC56:AC57" si="95">+AE56-AD56</f>
        <v>1285.198928</v>
      </c>
      <c r="AD56" s="18">
        <f t="shared" ref="AD56:AD57" si="96">+AE56*15.24%</f>
        <v>231.08107200000001</v>
      </c>
      <c r="AE56" s="20">
        <f>1516.28</f>
        <v>1516.28</v>
      </c>
      <c r="AF56" s="25">
        <f t="shared" ref="AF56:AF57" si="97">IF(Z56=0,"",(+AE56/Z56-1))</f>
        <v>-1.043820492</v>
      </c>
      <c r="AG56" s="23">
        <f>[1]BOA!$H56</f>
        <v>-34602.076124567473</v>
      </c>
      <c r="AH56" s="18">
        <f t="shared" ref="AH56:AH57" si="98">AG56-AI56</f>
        <v>-30349.48096885813</v>
      </c>
      <c r="AI56" s="18">
        <f t="shared" ref="AI56:AI57" si="99">+AG56*12.29%</f>
        <v>-4252.5951557093422</v>
      </c>
      <c r="AJ56" s="18">
        <f t="shared" ref="AJ56:AJ57" si="100">+AL56-AK56</f>
        <v>-50823.511491999998</v>
      </c>
      <c r="AK56" s="18">
        <f t="shared" ref="AK56:AK57" si="101">+AL56*15.24%</f>
        <v>-9138.1585080000004</v>
      </c>
      <c r="AL56" s="20">
        <f>-61746.2+1784.53</f>
        <v>-59961.67</v>
      </c>
      <c r="AM56" s="25">
        <f t="shared" ref="AM56:AM57" si="102">IF(AG56=0,"",(+AL56/AG56-1))</f>
        <v>0.7328922630000001</v>
      </c>
      <c r="AN56" s="23">
        <f>[1]BOA!$I56</f>
        <v>-34602.076124567473</v>
      </c>
      <c r="AO56" s="18">
        <f t="shared" ref="AO56:AO57" si="103">AN56-AP56</f>
        <v>-30349.48096885813</v>
      </c>
      <c r="AP56" s="18">
        <f t="shared" ref="AP56:AP57" si="104">+AN56*12.29%</f>
        <v>-4252.5951557093422</v>
      </c>
      <c r="AQ56" s="18">
        <f t="shared" ref="AQ56:AQ57" si="105">+AS56-AR56</f>
        <v>0</v>
      </c>
      <c r="AR56" s="18">
        <f t="shared" ref="AR56:AR57" si="106">+AS56*15.24%</f>
        <v>0</v>
      </c>
      <c r="AS56" s="20"/>
      <c r="AT56" s="25">
        <f t="shared" ref="AT56:AT57" si="107">IF(AN56=0,"",(+AS56/AN56-1))</f>
        <v>-1</v>
      </c>
      <c r="AU56" s="23">
        <f>[1]BOA!$J56</f>
        <v>-34602.076124567473</v>
      </c>
      <c r="AV56" s="18">
        <f t="shared" ref="AV56:AV57" si="108">AU56-AW56</f>
        <v>-30349.48096885813</v>
      </c>
      <c r="AW56" s="18">
        <f t="shared" ref="AW56:AW57" si="109">+AU56*12.29%</f>
        <v>-4252.5951557093422</v>
      </c>
      <c r="AX56" s="18">
        <f t="shared" ref="AX56:AX57" si="110">+AZ56-AY56</f>
        <v>0</v>
      </c>
      <c r="AY56" s="18">
        <f t="shared" ref="AY56:AY57" si="111">+AZ56*15.24%</f>
        <v>0</v>
      </c>
      <c r="AZ56" s="157"/>
      <c r="BA56" s="25">
        <f t="shared" ref="BA56:BA57" si="112">IF(AU56=0,"",(+AZ56/AU56-1))</f>
        <v>-1</v>
      </c>
      <c r="BB56" s="23">
        <f>[1]BOA!$K56</f>
        <v>-34602.076124567473</v>
      </c>
      <c r="BC56" s="18">
        <f t="shared" ref="BC56:BC57" si="113">BB56-BD56</f>
        <v>-30349.48096885813</v>
      </c>
      <c r="BD56" s="18">
        <f t="shared" ref="BD56:BD57" si="114">+BB56*12.29%</f>
        <v>-4252.5951557093422</v>
      </c>
      <c r="BE56" s="18">
        <f t="shared" ref="BE56:BE57" si="115">+BG56-BF56</f>
        <v>0</v>
      </c>
      <c r="BF56" s="18">
        <f t="shared" ref="BF56:BF57" si="116">+BG56*15.24%</f>
        <v>0</v>
      </c>
      <c r="BG56" s="20"/>
      <c r="BH56" s="25">
        <f t="shared" ref="BH56:BH57" si="117">IF(BB56=0,"",(+BG56/BB56-1))</f>
        <v>-1</v>
      </c>
      <c r="BI56" s="23">
        <f>[1]BOA!$L56</f>
        <v>-34602.076124567473</v>
      </c>
      <c r="BJ56" s="18">
        <f t="shared" ref="BJ56:BJ57" si="118">BI56-BK56</f>
        <v>-30349.48096885813</v>
      </c>
      <c r="BK56" s="18">
        <f t="shared" ref="BK56:BK57" si="119">+BI56*12.29%</f>
        <v>-4252.5951557093422</v>
      </c>
      <c r="BL56" s="18">
        <f t="shared" ref="BL56:BL57" si="120">+BN56-BM56</f>
        <v>0</v>
      </c>
      <c r="BM56" s="18">
        <f t="shared" ref="BM56:BM57" si="121">+BN56*15.24%</f>
        <v>0</v>
      </c>
      <c r="BN56" s="20"/>
      <c r="BO56" s="25">
        <f t="shared" ref="BO56:BO57" si="122">IF(BI56=0,"",(+BN56/BI56-1))</f>
        <v>-1</v>
      </c>
      <c r="BP56" s="23">
        <f>[1]BOA!$M56</f>
        <v>-34602.076124567473</v>
      </c>
      <c r="BQ56" s="18">
        <f t="shared" ref="BQ56:BQ57" si="123">BP56-BR56</f>
        <v>-30349.48096885813</v>
      </c>
      <c r="BR56" s="18">
        <f t="shared" ref="BR56:BR57" si="124">+BP56*12.29%</f>
        <v>-4252.5951557093422</v>
      </c>
      <c r="BS56" s="18">
        <f t="shared" ref="BS56:BS57" si="125">+BU56-BT56</f>
        <v>0</v>
      </c>
      <c r="BT56" s="18">
        <f t="shared" ref="BT56:BT57" si="126">+BU56*15.24%</f>
        <v>0</v>
      </c>
      <c r="BU56" s="20"/>
      <c r="BV56" s="25">
        <f t="shared" ref="BV56:BV57" si="127">IF(BP56=0,"",(+BU56/BP56-1))</f>
        <v>-1</v>
      </c>
      <c r="BW56" s="23">
        <f>[1]BOA!$N56</f>
        <v>-34602.076124567473</v>
      </c>
      <c r="BX56" s="18">
        <f t="shared" ref="BX56:BX57" si="128">BW56-BY56</f>
        <v>-30349.48096885813</v>
      </c>
      <c r="BY56" s="18">
        <f t="shared" ref="BY56:BY57" si="129">+BW56*12.29%</f>
        <v>-4252.5951557093422</v>
      </c>
      <c r="BZ56" s="18">
        <f t="shared" ref="BZ56:BZ57" si="130">+CB56-CA56</f>
        <v>0</v>
      </c>
      <c r="CA56" s="18">
        <f t="shared" ref="CA56:CA57" si="131">+CB56*15.24%</f>
        <v>0</v>
      </c>
      <c r="CB56" s="20"/>
      <c r="CC56" s="25">
        <f t="shared" ref="CC56:CC57" si="132">IF(BW56=0,"",(+CB56/BW56-1))</f>
        <v>-1</v>
      </c>
      <c r="CD56" s="23">
        <f>[1]BOA!$O56</f>
        <v>-34602.076124567473</v>
      </c>
      <c r="CE56" s="18">
        <f t="shared" ref="CE56:CE57" si="133">CD56-CF56</f>
        <v>-30349.48096885813</v>
      </c>
      <c r="CF56" s="18">
        <f t="shared" ref="CF56:CF57" si="134">+CD56*12.29%</f>
        <v>-4252.5951557093422</v>
      </c>
      <c r="CG56" s="18">
        <f t="shared" ref="CG56:CG57" si="135">+CI56-CH56</f>
        <v>0</v>
      </c>
      <c r="CH56" s="18">
        <f t="shared" ref="CH56:CH57" si="136">+CI56*15.24%</f>
        <v>0</v>
      </c>
      <c r="CI56" s="20"/>
      <c r="CJ56" s="25">
        <f t="shared" ref="CJ56:CJ57" si="137">IF(CD56=0,"",(+CI56/CD56-1))</f>
        <v>-1</v>
      </c>
      <c r="CK56" s="23">
        <f>[1]BOA!$P56</f>
        <v>-34602.076124567473</v>
      </c>
      <c r="CL56" s="18">
        <f t="shared" ref="CL56:CL57" si="138">CK56-CM56</f>
        <v>-30349.48096885813</v>
      </c>
      <c r="CM56" s="18">
        <f t="shared" ref="CM56:CM57" si="139">+CK56*12.29%</f>
        <v>-4252.5951557093422</v>
      </c>
      <c r="CN56" s="18">
        <f t="shared" ref="CN56:CN57" si="140">+CP56-CO56</f>
        <v>0</v>
      </c>
      <c r="CO56" s="18">
        <f t="shared" ref="CO56:CO57" si="141">+CP56*15.24%</f>
        <v>0</v>
      </c>
      <c r="CP56" s="20"/>
      <c r="CQ56" s="25">
        <f t="shared" ref="CQ56:CQ57" si="142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-138408.30449826986</v>
      </c>
      <c r="C57" s="40">
        <f t="shared" si="80"/>
        <v>-121397.92387543251</v>
      </c>
      <c r="D57" s="51">
        <f t="shared" si="80"/>
        <v>-17010.380622837369</v>
      </c>
      <c r="E57" s="50">
        <f>+L57+S57+Z57+AG57</f>
        <v>-46136.101499423297</v>
      </c>
      <c r="F57" s="58">
        <f t="shared" si="81"/>
        <v>-40465.974625144176</v>
      </c>
      <c r="G57" s="85">
        <f t="shared" si="81"/>
        <v>-5670.1268742791226</v>
      </c>
      <c r="H57" s="57">
        <f t="shared" si="82"/>
        <v>-69282.578196000002</v>
      </c>
      <c r="I57" s="58">
        <f t="shared" si="82"/>
        <v>-12457.131804000001</v>
      </c>
      <c r="J57" s="58">
        <f t="shared" si="82"/>
        <v>-81739.709999999992</v>
      </c>
      <c r="K57" s="127">
        <f t="shared" si="83"/>
        <v>0.7717082142499998</v>
      </c>
      <c r="L57" s="56">
        <f>[1]BOA!$E57</f>
        <v>-11534.025374855824</v>
      </c>
      <c r="M57" s="57">
        <f t="shared" si="84"/>
        <v>-10116.493656286044</v>
      </c>
      <c r="N57" s="57">
        <f t="shared" si="85"/>
        <v>-1417.5317185697807</v>
      </c>
      <c r="O57" s="57">
        <f t="shared" si="86"/>
        <v>-38546.754428</v>
      </c>
      <c r="P57" s="57">
        <f t="shared" si="87"/>
        <v>-6930.7755720000005</v>
      </c>
      <c r="Q57" s="58">
        <v>-45477.53</v>
      </c>
      <c r="R57" s="127">
        <f t="shared" si="88"/>
        <v>2.9429018510000002</v>
      </c>
      <c r="S57" s="56">
        <f>[1]BOA!$F57</f>
        <v>-11534.025374855824</v>
      </c>
      <c r="T57" s="57">
        <f t="shared" si="89"/>
        <v>-10116.493656286044</v>
      </c>
      <c r="U57" s="57">
        <f t="shared" si="90"/>
        <v>-1417.5317185697807</v>
      </c>
      <c r="V57" s="57">
        <f t="shared" si="91"/>
        <v>-5695.3210600000002</v>
      </c>
      <c r="W57" s="57">
        <f t="shared" si="92"/>
        <v>-1024.0289400000001</v>
      </c>
      <c r="X57" s="58">
        <v>-6719.35</v>
      </c>
      <c r="Y57" s="127">
        <f>IF(S57=0,"",(+X57/S57-1))</f>
        <v>-0.41743235499999998</v>
      </c>
      <c r="Z57" s="56">
        <f>[1]BOA!$G57</f>
        <v>-11534.025374855824</v>
      </c>
      <c r="AA57" s="57">
        <f t="shared" si="93"/>
        <v>-10116.493656286044</v>
      </c>
      <c r="AB57" s="57">
        <f t="shared" si="94"/>
        <v>-1417.5317185697807</v>
      </c>
      <c r="AC57" s="57">
        <f t="shared" si="95"/>
        <v>-25040.502708</v>
      </c>
      <c r="AD57" s="57">
        <f t="shared" si="96"/>
        <v>-4502.3272920000009</v>
      </c>
      <c r="AE57" s="58">
        <v>-29542.83</v>
      </c>
      <c r="AF57" s="127">
        <f t="shared" si="97"/>
        <v>1.5613633610000002</v>
      </c>
      <c r="AG57" s="56">
        <f>[1]BOA!$H57</f>
        <v>-11534.025374855824</v>
      </c>
      <c r="AH57" s="57">
        <f t="shared" si="98"/>
        <v>-10116.493656286044</v>
      </c>
      <c r="AI57" s="57">
        <f t="shared" si="99"/>
        <v>-1417.5317185697807</v>
      </c>
      <c r="AJ57" s="57">
        <f t="shared" si="100"/>
        <v>0</v>
      </c>
      <c r="AK57" s="57">
        <f t="shared" si="101"/>
        <v>0</v>
      </c>
      <c r="AL57" s="58"/>
      <c r="AM57" s="127">
        <f t="shared" si="102"/>
        <v>-1</v>
      </c>
      <c r="AN57" s="56">
        <f>[1]BOA!$I57</f>
        <v>-11534.025374855824</v>
      </c>
      <c r="AO57" s="57">
        <f t="shared" si="103"/>
        <v>-10116.493656286044</v>
      </c>
      <c r="AP57" s="57">
        <f t="shared" si="104"/>
        <v>-1417.5317185697807</v>
      </c>
      <c r="AQ57" s="57">
        <f t="shared" si="105"/>
        <v>0</v>
      </c>
      <c r="AR57" s="57">
        <f t="shared" si="106"/>
        <v>0</v>
      </c>
      <c r="AS57" s="58"/>
      <c r="AT57" s="127">
        <f t="shared" si="107"/>
        <v>-1</v>
      </c>
      <c r="AU57" s="56">
        <f>[1]BOA!$J57</f>
        <v>-11534.025374855824</v>
      </c>
      <c r="AV57" s="57">
        <f t="shared" si="108"/>
        <v>-10116.493656286044</v>
      </c>
      <c r="AW57" s="57">
        <f t="shared" si="109"/>
        <v>-1417.5317185697807</v>
      </c>
      <c r="AX57" s="57">
        <f t="shared" si="110"/>
        <v>0</v>
      </c>
      <c r="AY57" s="57">
        <f t="shared" si="111"/>
        <v>0</v>
      </c>
      <c r="AZ57" s="164"/>
      <c r="BA57" s="127">
        <f t="shared" si="112"/>
        <v>-1</v>
      </c>
      <c r="BB57" s="56">
        <f>[1]BOA!$K57</f>
        <v>-11534.025374855824</v>
      </c>
      <c r="BC57" s="57">
        <f t="shared" si="113"/>
        <v>-10116.493656286044</v>
      </c>
      <c r="BD57" s="57">
        <f t="shared" si="114"/>
        <v>-1417.5317185697807</v>
      </c>
      <c r="BE57" s="57">
        <f t="shared" si="115"/>
        <v>0</v>
      </c>
      <c r="BF57" s="57">
        <f t="shared" si="116"/>
        <v>0</v>
      </c>
      <c r="BG57" s="58"/>
      <c r="BH57" s="127">
        <f t="shared" si="117"/>
        <v>-1</v>
      </c>
      <c r="BI57" s="56">
        <f>[1]BOA!$L57</f>
        <v>-11534.025374855824</v>
      </c>
      <c r="BJ57" s="57">
        <f t="shared" si="118"/>
        <v>-10116.493656286044</v>
      </c>
      <c r="BK57" s="57">
        <f t="shared" si="119"/>
        <v>-1417.5317185697807</v>
      </c>
      <c r="BL57" s="57">
        <f t="shared" si="120"/>
        <v>0</v>
      </c>
      <c r="BM57" s="57">
        <f t="shared" si="121"/>
        <v>0</v>
      </c>
      <c r="BN57" s="58"/>
      <c r="BO57" s="127">
        <f t="shared" si="122"/>
        <v>-1</v>
      </c>
      <c r="BP57" s="56">
        <f>[1]BOA!$M57</f>
        <v>-11534.025374855824</v>
      </c>
      <c r="BQ57" s="57">
        <f t="shared" si="123"/>
        <v>-10116.493656286044</v>
      </c>
      <c r="BR57" s="57">
        <f t="shared" si="124"/>
        <v>-1417.5317185697807</v>
      </c>
      <c r="BS57" s="57">
        <f t="shared" si="125"/>
        <v>0</v>
      </c>
      <c r="BT57" s="57">
        <f t="shared" si="126"/>
        <v>0</v>
      </c>
      <c r="BU57" s="58"/>
      <c r="BV57" s="127">
        <f t="shared" si="127"/>
        <v>-1</v>
      </c>
      <c r="BW57" s="56">
        <f>[1]BOA!$N57</f>
        <v>-11534.025374855824</v>
      </c>
      <c r="BX57" s="57">
        <f t="shared" si="128"/>
        <v>-10116.493656286044</v>
      </c>
      <c r="BY57" s="57">
        <f t="shared" si="129"/>
        <v>-1417.5317185697807</v>
      </c>
      <c r="BZ57" s="57">
        <f t="shared" si="130"/>
        <v>0</v>
      </c>
      <c r="CA57" s="57">
        <f t="shared" si="131"/>
        <v>0</v>
      </c>
      <c r="CB57" s="58"/>
      <c r="CC57" s="127">
        <f t="shared" si="132"/>
        <v>-1</v>
      </c>
      <c r="CD57" s="56">
        <f>[1]BOA!$O57</f>
        <v>-11534.025374855824</v>
      </c>
      <c r="CE57" s="57">
        <f t="shared" si="133"/>
        <v>-10116.493656286044</v>
      </c>
      <c r="CF57" s="57">
        <f t="shared" si="134"/>
        <v>-1417.5317185697807</v>
      </c>
      <c r="CG57" s="57">
        <f t="shared" si="135"/>
        <v>0</v>
      </c>
      <c r="CH57" s="57">
        <f t="shared" si="136"/>
        <v>0</v>
      </c>
      <c r="CI57" s="58"/>
      <c r="CJ57" s="127">
        <f t="shared" si="137"/>
        <v>-1</v>
      </c>
      <c r="CK57" s="56">
        <f>[1]BOA!$P57</f>
        <v>-11534.025374855824</v>
      </c>
      <c r="CL57" s="57">
        <f t="shared" si="138"/>
        <v>-10116.493656286044</v>
      </c>
      <c r="CM57" s="57">
        <f t="shared" si="139"/>
        <v>-1417.5317185697807</v>
      </c>
      <c r="CN57" s="57">
        <f t="shared" si="140"/>
        <v>0</v>
      </c>
      <c r="CO57" s="57">
        <f t="shared" si="141"/>
        <v>0</v>
      </c>
      <c r="CP57" s="58"/>
      <c r="CQ57" s="127">
        <f t="shared" si="142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21450931.648666035</v>
      </c>
      <c r="C58" s="90">
        <f t="shared" ref="C58:D58" si="143">+C55+C56+C57</f>
        <v>18814612.149044979</v>
      </c>
      <c r="D58" s="91">
        <f t="shared" si="143"/>
        <v>2636319.4996210556</v>
      </c>
      <c r="E58" s="92">
        <f t="shared" ref="E58:J58" si="144">SUM(E55:E57)</f>
        <v>9997715.0733061116</v>
      </c>
      <c r="F58" s="93">
        <f t="shared" si="144"/>
        <v>8768995.8907967899</v>
      </c>
      <c r="G58" s="94">
        <f t="shared" si="144"/>
        <v>1228719.1825093208</v>
      </c>
      <c r="H58" s="95">
        <f t="shared" si="144"/>
        <v>8176888.7311938675</v>
      </c>
      <c r="I58" s="96">
        <f t="shared" si="144"/>
        <v>1470219.2574728006</v>
      </c>
      <c r="J58" s="96">
        <f t="shared" si="144"/>
        <v>9647107.9886666685</v>
      </c>
      <c r="K58" s="132">
        <f>+J58/E55-1</f>
        <v>-5.255724348067059E-2</v>
      </c>
      <c r="L58" s="133">
        <f t="shared" ref="L58:BW58" si="145">SUM(L55:L57)</f>
        <v>2528650.7618954512</v>
      </c>
      <c r="M58" s="133">
        <f t="shared" si="145"/>
        <v>2217879.5832585008</v>
      </c>
      <c r="N58" s="133">
        <f t="shared" si="145"/>
        <v>310771.17863695091</v>
      </c>
      <c r="O58" s="95">
        <f t="shared" si="145"/>
        <v>2422571.8107066662</v>
      </c>
      <c r="P58" s="95">
        <f t="shared" si="145"/>
        <v>435582.75595999992</v>
      </c>
      <c r="Q58" s="96">
        <f t="shared" si="145"/>
        <v>2858154.5666666673</v>
      </c>
      <c r="R58" s="132">
        <f>+Q58/L55-1</f>
        <v>0.11005481941063278</v>
      </c>
      <c r="S58" s="133">
        <f t="shared" si="145"/>
        <v>2732628.9816334751</v>
      </c>
      <c r="T58" s="133">
        <f t="shared" si="145"/>
        <v>2396788.879790721</v>
      </c>
      <c r="U58" s="133">
        <f t="shared" si="145"/>
        <v>335840.101842754</v>
      </c>
      <c r="V58" s="95">
        <f t="shared" si="145"/>
        <v>1685039.6210266668</v>
      </c>
      <c r="W58" s="95">
        <f t="shared" si="145"/>
        <v>3329.3578319999997</v>
      </c>
      <c r="X58" s="96">
        <f t="shared" si="145"/>
        <v>21846.18</v>
      </c>
      <c r="Y58" s="132">
        <f>+X58/S55-1</f>
        <v>-0.99213816952983669</v>
      </c>
      <c r="Z58" s="133">
        <f t="shared" si="145"/>
        <v>2622762.3156897565</v>
      </c>
      <c r="AA58" s="133">
        <f t="shared" si="145"/>
        <v>2300424.8270914876</v>
      </c>
      <c r="AB58" s="133">
        <f t="shared" si="145"/>
        <v>322337.48859827104</v>
      </c>
      <c r="AC58" s="95">
        <f t="shared" si="145"/>
        <v>2181197.8700858671</v>
      </c>
      <c r="AD58" s="95">
        <f t="shared" si="145"/>
        <v>392183.28858080017</v>
      </c>
      <c r="AE58" s="96">
        <f t="shared" si="145"/>
        <v>2573381.1586666671</v>
      </c>
      <c r="AF58" s="132">
        <f>+AE58/Z55-1</f>
        <v>-3.5789019884507001E-2</v>
      </c>
      <c r="AG58" s="133">
        <f t="shared" si="145"/>
        <v>2113673.014087426</v>
      </c>
      <c r="AH58" s="133">
        <f t="shared" si="145"/>
        <v>1853902.6006560812</v>
      </c>
      <c r="AI58" s="133">
        <f t="shared" si="145"/>
        <v>259770.41343134467</v>
      </c>
      <c r="AJ58" s="95">
        <f t="shared" si="145"/>
        <v>1888079.4293746674</v>
      </c>
      <c r="AK58" s="95">
        <f t="shared" si="145"/>
        <v>339480.06729200005</v>
      </c>
      <c r="AL58" s="96">
        <f t="shared" si="145"/>
        <v>2227559.4966666675</v>
      </c>
      <c r="AM58" s="132">
        <f>+AL58/AG55-1</f>
        <v>3.1368689293363561E-2</v>
      </c>
      <c r="AN58" s="133">
        <f t="shared" si="145"/>
        <v>2230285.4039634974</v>
      </c>
      <c r="AO58" s="133">
        <f t="shared" si="145"/>
        <v>1956183.3278163844</v>
      </c>
      <c r="AP58" s="133">
        <f t="shared" si="145"/>
        <v>274102.07614711387</v>
      </c>
      <c r="AQ58" s="95">
        <f t="shared" si="145"/>
        <v>0</v>
      </c>
      <c r="AR58" s="95">
        <f t="shared" si="145"/>
        <v>0</v>
      </c>
      <c r="AS58" s="96">
        <f t="shared" si="145"/>
        <v>0</v>
      </c>
      <c r="AT58" s="132">
        <f>+AS58/AN55-1</f>
        <v>-1</v>
      </c>
      <c r="AU58" s="133">
        <f t="shared" si="145"/>
        <v>2199423.4714511614</v>
      </c>
      <c r="AV58" s="133">
        <f t="shared" si="145"/>
        <v>1929114.3268098144</v>
      </c>
      <c r="AW58" s="133">
        <f t="shared" si="145"/>
        <v>270309.14464134775</v>
      </c>
      <c r="AX58" s="95">
        <f t="shared" si="145"/>
        <v>0</v>
      </c>
      <c r="AY58" s="95">
        <f t="shared" si="145"/>
        <v>0</v>
      </c>
      <c r="AZ58" s="96">
        <f t="shared" si="145"/>
        <v>0</v>
      </c>
      <c r="BA58" s="132">
        <f>+AZ58/AU55-1</f>
        <v>-1</v>
      </c>
      <c r="BB58" s="133">
        <f t="shared" si="145"/>
        <v>2346947.1009026906</v>
      </c>
      <c r="BC58" s="133">
        <f t="shared" si="145"/>
        <v>2058507.3022017502</v>
      </c>
      <c r="BD58" s="133">
        <f t="shared" si="145"/>
        <v>288439.79870094062</v>
      </c>
      <c r="BE58" s="95">
        <f t="shared" si="145"/>
        <v>0</v>
      </c>
      <c r="BF58" s="95">
        <f t="shared" si="145"/>
        <v>0</v>
      </c>
      <c r="BG58" s="96">
        <f t="shared" si="145"/>
        <v>0</v>
      </c>
      <c r="BH58" s="132">
        <f>+BG58/BB55-1</f>
        <v>-1</v>
      </c>
      <c r="BI58" s="133">
        <f t="shared" si="145"/>
        <v>1023934.1220759948</v>
      </c>
      <c r="BJ58" s="133">
        <f t="shared" si="145"/>
        <v>898092.61847285531</v>
      </c>
      <c r="BK58" s="133">
        <f t="shared" si="145"/>
        <v>125841.50360313978</v>
      </c>
      <c r="BL58" s="95">
        <f t="shared" si="145"/>
        <v>0</v>
      </c>
      <c r="BM58" s="95">
        <f t="shared" si="145"/>
        <v>0</v>
      </c>
      <c r="BN58" s="96">
        <f t="shared" si="145"/>
        <v>0</v>
      </c>
      <c r="BO58" s="132">
        <f>+BN58/BI55-1</f>
        <v>-1</v>
      </c>
      <c r="BP58" s="133">
        <f t="shared" si="145"/>
        <v>1193394.4778548421</v>
      </c>
      <c r="BQ58" s="133">
        <f t="shared" si="145"/>
        <v>1046726.2965264823</v>
      </c>
      <c r="BR58" s="133">
        <f t="shared" si="145"/>
        <v>146668.18132836011</v>
      </c>
      <c r="BS58" s="95">
        <f t="shared" si="145"/>
        <v>0</v>
      </c>
      <c r="BT58" s="95">
        <f t="shared" si="145"/>
        <v>0</v>
      </c>
      <c r="BU58" s="96">
        <f t="shared" si="145"/>
        <v>0</v>
      </c>
      <c r="BV58" s="132">
        <f>+BU58/BP55-1</f>
        <v>-1</v>
      </c>
      <c r="BW58" s="133">
        <f t="shared" si="145"/>
        <v>910215.75010656926</v>
      </c>
      <c r="BX58" s="133">
        <f t="shared" ref="BX58:CB58" si="146">SUM(BX55:BX57)</f>
        <v>798350.23441847204</v>
      </c>
      <c r="BY58" s="133">
        <f t="shared" si="146"/>
        <v>111865.51568809735</v>
      </c>
      <c r="BZ58" s="95">
        <f t="shared" si="146"/>
        <v>0</v>
      </c>
      <c r="CA58" s="95">
        <f t="shared" si="146"/>
        <v>0</v>
      </c>
      <c r="CB58" s="96">
        <f t="shared" si="146"/>
        <v>0</v>
      </c>
      <c r="CC58" s="132">
        <f>+CB58/BW55-1</f>
        <v>-1</v>
      </c>
      <c r="CD58" s="133">
        <f t="shared" ref="CD58:CI58" si="147">SUM(CD55:CD57)</f>
        <v>770760.03886444133</v>
      </c>
      <c r="CE58" s="133">
        <f t="shared" si="147"/>
        <v>676033.63008800149</v>
      </c>
      <c r="CF58" s="133">
        <f t="shared" si="147"/>
        <v>94726.408776439799</v>
      </c>
      <c r="CG58" s="95">
        <f t="shared" si="147"/>
        <v>0</v>
      </c>
      <c r="CH58" s="95">
        <f t="shared" si="147"/>
        <v>0</v>
      </c>
      <c r="CI58" s="96">
        <f t="shared" si="147"/>
        <v>0</v>
      </c>
      <c r="CJ58" s="132">
        <f>+CI58/CD55-1</f>
        <v>-1</v>
      </c>
      <c r="CK58" s="133">
        <f t="shared" ref="CK58:CP58" si="148">SUM(CK55:CK57)</f>
        <v>778256.21014072921</v>
      </c>
      <c r="CL58" s="133">
        <f t="shared" si="148"/>
        <v>682608.5219144338</v>
      </c>
      <c r="CM58" s="133">
        <f t="shared" si="148"/>
        <v>95647.688226295591</v>
      </c>
      <c r="CN58" s="95">
        <f t="shared" si="148"/>
        <v>0</v>
      </c>
      <c r="CO58" s="95">
        <f t="shared" si="148"/>
        <v>0</v>
      </c>
      <c r="CP58" s="96">
        <f t="shared" si="148"/>
        <v>0</v>
      </c>
      <c r="CQ58" s="132">
        <f>+CP58/CK55-1</f>
        <v>-1</v>
      </c>
    </row>
    <row r="59" spans="1:99" ht="14.25" customHeight="1" x14ac:dyDescent="0.2">
      <c r="B59" s="156"/>
      <c r="C59" s="156"/>
      <c r="D59" s="156"/>
      <c r="J59" s="139">
        <f>J58-'[2]BOA ESP.'!$N$51</f>
        <v>0</v>
      </c>
      <c r="Q59" s="139">
        <f>Q58-'[2]BOA ESP.'!$N$109</f>
        <v>0</v>
      </c>
      <c r="X59" s="139">
        <f>X58-'[2]BOA ESP.'!$N$164</f>
        <v>-1966166.5866666669</v>
      </c>
      <c r="AE59" s="139">
        <f>AE58-'[2]BOA ESP.'!$N$219</f>
        <v>0</v>
      </c>
      <c r="AL59" s="139">
        <f>AL58-'[2]BOA ESP.'!$N$277</f>
        <v>0</v>
      </c>
      <c r="AS59" s="139">
        <f>AS58-'[3]BOA ESP.'!$N$327</f>
        <v>0</v>
      </c>
      <c r="AZ59" s="139">
        <f>AZ58-'[3]BOA ESP.'!$N$382</f>
        <v>0</v>
      </c>
      <c r="BG59" s="139">
        <f>BG58-'[3]BOA ESP.'!$N$437</f>
        <v>0</v>
      </c>
      <c r="BI59" s="139"/>
      <c r="BJ59" s="139"/>
      <c r="BK59" s="139"/>
      <c r="BL59" s="139"/>
      <c r="BM59" s="139"/>
      <c r="BN59" s="139">
        <f>BN58-'[3]BOA ESP.'!$N$492</f>
        <v>0</v>
      </c>
      <c r="BU59" s="139">
        <f>BU58-'[3]BOA ESP.'!$N$547</f>
        <v>0</v>
      </c>
      <c r="CB59" s="139">
        <f>CB58-'[3]BOA ESP.'!$N$602</f>
        <v>0</v>
      </c>
      <c r="CI59" s="165">
        <f>CI58-'[3]BOA ESP.'!$N$657</f>
        <v>0</v>
      </c>
      <c r="CP59" s="139">
        <f>CP58-'[3]BOA ESP.'!$N$712</f>
        <v>0</v>
      </c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9"/>
      <c r="R61" s="166">
        <f>24.06+1495.9+86.69+7.5+139.86+5.68+1350.4+397.46+211.98+709.76+84.22+14.2+12.11+77.19+880.15+106.93+2.01+1495.9+12.44+1350.88+7.15</f>
        <v>8472.4699999999993</v>
      </c>
      <c r="S61" s="107" t="s">
        <v>84</v>
      </c>
      <c r="T61" s="108"/>
      <c r="U61" s="108"/>
      <c r="V61" s="108"/>
      <c r="W61" s="108"/>
      <c r="X61" s="109"/>
      <c r="Y61" s="167">
        <f>34.07+26.15+41.64+139.87+31.7+28.39+1453.79+91.18+714.18+137.46+9.48+51.1+1495.9+170.34+7.5+49.73+28.9+5.68+15.14+709.76+14.2</f>
        <v>5256.16</v>
      </c>
      <c r="Z61" s="107" t="s">
        <v>84</v>
      </c>
      <c r="AA61" s="108"/>
      <c r="AB61" s="108"/>
      <c r="AC61" s="108"/>
      <c r="AD61" s="108"/>
      <c r="AE61" s="109"/>
      <c r="AF61" s="110">
        <f>35.01+7.5+37.78+5.68+227.12+709.76+14.2+74.03+1495.9+20.82+77.4+612.83+107.03</f>
        <v>3425.0600000000004</v>
      </c>
      <c r="AG61" s="107" t="s">
        <v>84</v>
      </c>
      <c r="AH61" s="108"/>
      <c r="AI61" s="108"/>
      <c r="AJ61" s="108"/>
      <c r="AK61" s="108"/>
      <c r="AL61" s="109"/>
      <c r="AM61" s="110">
        <f>70.13+94.9+22.9+7.5+397.46+54.81+9.85+5.68+1380.25+709.76+14.2+317.97+62.45+803.56+1495.9+35.02</f>
        <v>5482.34</v>
      </c>
      <c r="AN61" s="107"/>
      <c r="AO61" s="108"/>
      <c r="AP61" s="108"/>
      <c r="AQ61" s="108"/>
      <c r="AR61" s="108"/>
      <c r="AS61" s="109"/>
      <c r="AT61" s="110"/>
      <c r="AU61" s="107"/>
      <c r="AV61" s="108"/>
      <c r="AW61" s="108"/>
      <c r="AX61" s="108"/>
      <c r="AY61" s="108"/>
      <c r="AZ61" s="109"/>
      <c r="BA61" s="167"/>
      <c r="BB61" s="107"/>
      <c r="BC61" s="108"/>
      <c r="BD61" s="108"/>
      <c r="BE61" s="108"/>
      <c r="BF61" s="108"/>
      <c r="BG61" s="109"/>
      <c r="BH61" s="110"/>
      <c r="BI61" s="107"/>
      <c r="BJ61" s="108"/>
      <c r="BK61" s="108"/>
      <c r="BL61" s="108"/>
      <c r="BM61" s="108"/>
      <c r="BN61" s="109"/>
      <c r="BO61" s="110"/>
      <c r="BP61" s="107"/>
      <c r="BQ61" s="108"/>
      <c r="BR61" s="108"/>
      <c r="BS61" s="108"/>
      <c r="BT61" s="108"/>
      <c r="BU61" s="109"/>
      <c r="BV61" s="110"/>
      <c r="BW61" s="107"/>
      <c r="BX61" s="108"/>
      <c r="BY61" s="108"/>
      <c r="BZ61" s="108"/>
      <c r="CA61" s="108"/>
      <c r="CB61" s="109"/>
      <c r="CC61" s="114"/>
      <c r="CD61" s="107"/>
      <c r="CE61" s="108"/>
      <c r="CF61" s="108"/>
      <c r="CG61" s="108"/>
      <c r="CH61" s="108"/>
      <c r="CI61" s="109"/>
      <c r="CJ61" s="114"/>
      <c r="CK61" s="107"/>
      <c r="CL61" s="108"/>
      <c r="CM61" s="108"/>
      <c r="CN61" s="108"/>
      <c r="CO61" s="108"/>
      <c r="CP61" s="109"/>
      <c r="CQ61" s="110"/>
    </row>
    <row r="62" spans="1:99" ht="14.25" customHeight="1" x14ac:dyDescent="0.2">
      <c r="L62" s="107" t="s">
        <v>86</v>
      </c>
      <c r="M62" s="108"/>
      <c r="N62" s="108"/>
      <c r="O62" s="108"/>
      <c r="P62" s="108"/>
      <c r="Q62" s="109"/>
      <c r="R62" s="166">
        <f>785.31</f>
        <v>785.31</v>
      </c>
      <c r="S62" s="107" t="s">
        <v>86</v>
      </c>
      <c r="T62" s="108"/>
      <c r="U62" s="108"/>
      <c r="V62" s="108"/>
      <c r="W62" s="108"/>
      <c r="X62" s="109"/>
      <c r="Y62" s="167">
        <f>670.1</f>
        <v>670.1</v>
      </c>
      <c r="Z62" s="107" t="s">
        <v>86</v>
      </c>
      <c r="AA62" s="108"/>
      <c r="AB62" s="108"/>
      <c r="AC62" s="108"/>
      <c r="AD62" s="108"/>
      <c r="AE62" s="109"/>
      <c r="AF62" s="110">
        <v>868.08</v>
      </c>
      <c r="AG62" s="107" t="s">
        <v>86</v>
      </c>
      <c r="AH62" s="108"/>
      <c r="AI62" s="108"/>
      <c r="AJ62" s="108"/>
      <c r="AK62" s="108"/>
      <c r="AL62" s="109"/>
      <c r="AM62" s="114">
        <f>810.19</f>
        <v>810.19</v>
      </c>
      <c r="AN62" s="107"/>
      <c r="AO62" s="108"/>
      <c r="AP62" s="108"/>
      <c r="AQ62" s="108"/>
      <c r="AR62" s="108"/>
      <c r="AS62" s="109"/>
      <c r="AT62" s="110"/>
      <c r="AU62" s="107"/>
      <c r="AV62" s="108"/>
      <c r="AW62" s="108"/>
      <c r="AX62" s="108"/>
      <c r="AY62" s="108"/>
      <c r="AZ62" s="109"/>
      <c r="BA62" s="167"/>
      <c r="BB62" s="107"/>
      <c r="BC62" s="108"/>
      <c r="BD62" s="108"/>
      <c r="BE62" s="108"/>
      <c r="BF62" s="108"/>
      <c r="BG62" s="109"/>
      <c r="BH62" s="110"/>
      <c r="BI62" s="107"/>
      <c r="BJ62" s="108"/>
      <c r="BK62" s="108"/>
      <c r="BL62" s="108"/>
      <c r="BM62" s="108"/>
      <c r="BN62" s="109"/>
      <c r="BO62" s="110"/>
      <c r="BP62" s="107"/>
      <c r="BQ62" s="108"/>
      <c r="BR62" s="108"/>
      <c r="BS62" s="108"/>
      <c r="BT62" s="108"/>
      <c r="BU62" s="109"/>
      <c r="BV62" s="110"/>
      <c r="BW62" s="107"/>
      <c r="BX62" s="108"/>
      <c r="BY62" s="108"/>
      <c r="BZ62" s="108"/>
      <c r="CA62" s="108"/>
      <c r="CB62" s="109"/>
      <c r="CC62" s="114"/>
      <c r="CD62" s="107"/>
      <c r="CE62" s="108"/>
      <c r="CF62" s="108"/>
      <c r="CG62" s="108"/>
      <c r="CH62" s="108"/>
      <c r="CI62" s="109"/>
      <c r="CJ62" s="114"/>
      <c r="CK62" s="107"/>
      <c r="CL62" s="108"/>
      <c r="CM62" s="108"/>
      <c r="CN62" s="108"/>
      <c r="CO62" s="108"/>
      <c r="CP62" s="109"/>
      <c r="CQ62" s="110"/>
    </row>
    <row r="63" spans="1:99" ht="14.25" customHeight="1" x14ac:dyDescent="0.2">
      <c r="L63" s="107" t="s">
        <v>87</v>
      </c>
      <c r="M63" s="108"/>
      <c r="N63" s="108"/>
      <c r="O63" s="108"/>
      <c r="P63" s="108"/>
      <c r="Q63" s="109"/>
      <c r="R63" s="168">
        <v>528.74</v>
      </c>
      <c r="S63" s="107" t="s">
        <v>87</v>
      </c>
      <c r="T63" s="108"/>
      <c r="U63" s="108"/>
      <c r="V63" s="108"/>
      <c r="W63" s="108"/>
      <c r="X63" s="109"/>
      <c r="Y63" s="167">
        <f>290</f>
        <v>290</v>
      </c>
      <c r="Z63" s="107" t="s">
        <v>87</v>
      </c>
      <c r="AA63" s="108"/>
      <c r="AB63" s="108"/>
      <c r="AC63" s="108"/>
      <c r="AD63" s="108"/>
      <c r="AE63" s="109"/>
      <c r="AF63" s="110">
        <f>528.74</f>
        <v>528.74</v>
      </c>
      <c r="AG63" s="107" t="s">
        <v>87</v>
      </c>
      <c r="AH63" s="108"/>
      <c r="AI63" s="108"/>
      <c r="AJ63" s="108"/>
      <c r="AK63" s="108"/>
      <c r="AL63" s="109"/>
      <c r="AM63" s="110">
        <f>90+200</f>
        <v>290</v>
      </c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67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67"/>
      <c r="CD63" s="107"/>
      <c r="CE63" s="108"/>
      <c r="CF63" s="108"/>
      <c r="CG63" s="108"/>
      <c r="CH63" s="108"/>
      <c r="CI63" s="109"/>
      <c r="CJ63" s="167"/>
      <c r="CK63" s="107"/>
      <c r="CL63" s="108"/>
      <c r="CM63" s="108"/>
      <c r="CN63" s="108"/>
      <c r="CO63" s="108"/>
      <c r="CP63" s="109"/>
      <c r="CQ63" s="110"/>
    </row>
    <row r="64" spans="1:99" ht="14.25" customHeight="1" x14ac:dyDescent="0.2">
      <c r="L64" s="107" t="s">
        <v>127</v>
      </c>
      <c r="M64" s="108"/>
      <c r="N64" s="108"/>
      <c r="O64" s="108"/>
      <c r="P64" s="108"/>
      <c r="Q64" s="109"/>
      <c r="R64" s="168">
        <f>21.5</f>
        <v>21.5</v>
      </c>
      <c r="S64" s="107" t="s">
        <v>127</v>
      </c>
      <c r="T64" s="108"/>
      <c r="U64" s="108"/>
      <c r="V64" s="108"/>
      <c r="W64" s="108"/>
      <c r="X64" s="109"/>
      <c r="Y64" s="167">
        <f>62.5+200</f>
        <v>262.5</v>
      </c>
      <c r="Z64" s="107" t="s">
        <v>127</v>
      </c>
      <c r="AA64" s="108"/>
      <c r="AB64" s="108"/>
      <c r="AC64" s="108"/>
      <c r="AD64" s="108"/>
      <c r="AE64" s="109"/>
      <c r="AF64" s="110"/>
      <c r="AG64" s="107" t="s">
        <v>127</v>
      </c>
      <c r="AH64" s="108"/>
      <c r="AI64" s="108"/>
      <c r="AJ64" s="108"/>
      <c r="AK64" s="108"/>
      <c r="AL64" s="109"/>
      <c r="AM64" s="110"/>
      <c r="AN64" s="107"/>
      <c r="AO64" s="108"/>
      <c r="AP64" s="108"/>
      <c r="AQ64" s="108"/>
      <c r="AR64" s="108"/>
      <c r="AS64" s="109"/>
      <c r="AT64" s="110"/>
      <c r="AU64" s="107"/>
      <c r="AV64" s="108"/>
      <c r="AW64" s="108"/>
      <c r="AX64" s="108"/>
      <c r="AY64" s="108"/>
      <c r="AZ64" s="109"/>
      <c r="BA64" s="167"/>
      <c r="BB64" s="107"/>
      <c r="BC64" s="108"/>
      <c r="BD64" s="108"/>
      <c r="BE64" s="108"/>
      <c r="BF64" s="108"/>
      <c r="BG64" s="109"/>
      <c r="BH64" s="110"/>
      <c r="BI64" s="107"/>
      <c r="BJ64" s="108"/>
      <c r="BK64" s="108"/>
      <c r="BL64" s="108"/>
      <c r="BM64" s="108"/>
      <c r="BN64" s="109"/>
      <c r="BO64" s="110"/>
      <c r="BP64" s="107"/>
      <c r="BQ64" s="108"/>
      <c r="BR64" s="108"/>
      <c r="BS64" s="108"/>
      <c r="BT64" s="108"/>
      <c r="BU64" s="109"/>
      <c r="BV64" s="110"/>
      <c r="BW64" s="107"/>
      <c r="BX64" s="108"/>
      <c r="BY64" s="108"/>
      <c r="BZ64" s="108"/>
      <c r="CA64" s="108"/>
      <c r="CB64" s="109"/>
      <c r="CC64" s="167"/>
      <c r="CD64" s="107"/>
      <c r="CE64" s="108"/>
      <c r="CF64" s="108"/>
      <c r="CG64" s="108"/>
      <c r="CH64" s="108"/>
      <c r="CI64" s="109"/>
      <c r="CJ64" s="167"/>
      <c r="CK64" s="107"/>
      <c r="CL64" s="108"/>
      <c r="CM64" s="108"/>
      <c r="CN64" s="108"/>
      <c r="CO64" s="108"/>
      <c r="CP64" s="109"/>
      <c r="CQ64" s="110"/>
    </row>
    <row r="65" spans="12:99" ht="14.25" customHeight="1" x14ac:dyDescent="0.2">
      <c r="L65" s="107" t="s">
        <v>128</v>
      </c>
      <c r="M65" s="108"/>
      <c r="N65" s="108"/>
      <c r="O65" s="108"/>
      <c r="P65" s="108"/>
      <c r="Q65" s="109"/>
      <c r="R65" s="168">
        <f>447</f>
        <v>447</v>
      </c>
      <c r="S65" s="107" t="s">
        <v>129</v>
      </c>
      <c r="T65" s="108"/>
      <c r="U65" s="108"/>
      <c r="V65" s="108"/>
      <c r="W65" s="108"/>
      <c r="X65" s="109"/>
      <c r="Y65" s="167">
        <f>238.74</f>
        <v>238.74</v>
      </c>
      <c r="Z65" s="107" t="s">
        <v>129</v>
      </c>
      <c r="AA65" s="108"/>
      <c r="AB65" s="108"/>
      <c r="AC65" s="108"/>
      <c r="AD65" s="108"/>
      <c r="AE65" s="109"/>
      <c r="AF65" s="110"/>
      <c r="AG65" s="107" t="s">
        <v>129</v>
      </c>
      <c r="AH65" s="108"/>
      <c r="AI65" s="108"/>
      <c r="AJ65" s="108"/>
      <c r="AK65" s="108"/>
      <c r="AL65" s="109"/>
      <c r="AM65" s="167">
        <f>238.74</f>
        <v>238.74</v>
      </c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67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67"/>
      <c r="CD65" s="107"/>
      <c r="CE65" s="108"/>
      <c r="CF65" s="108"/>
      <c r="CG65" s="108"/>
      <c r="CH65" s="108"/>
      <c r="CI65" s="109"/>
      <c r="CJ65" s="167"/>
      <c r="CK65" s="107"/>
      <c r="CL65" s="108"/>
      <c r="CM65" s="108"/>
      <c r="CN65" s="108"/>
      <c r="CO65" s="108"/>
      <c r="CP65" s="109"/>
      <c r="CQ65" s="110"/>
    </row>
    <row r="66" spans="12:99" ht="14.25" customHeight="1" x14ac:dyDescent="0.2">
      <c r="L66" s="107" t="s">
        <v>130</v>
      </c>
      <c r="M66" s="108"/>
      <c r="N66" s="108"/>
      <c r="O66" s="108"/>
      <c r="P66" s="108"/>
      <c r="Q66" s="109"/>
      <c r="R66" s="168">
        <f>220.5</f>
        <v>220.5</v>
      </c>
      <c r="S66" s="107" t="s">
        <v>130</v>
      </c>
      <c r="T66" s="108"/>
      <c r="U66" s="108"/>
      <c r="V66" s="108"/>
      <c r="W66" s="108"/>
      <c r="X66" s="109"/>
      <c r="Y66" s="167"/>
      <c r="Z66" s="107" t="s">
        <v>130</v>
      </c>
      <c r="AA66" s="108"/>
      <c r="AB66" s="108"/>
      <c r="AC66" s="108"/>
      <c r="AD66" s="108"/>
      <c r="AE66" s="109"/>
      <c r="AF66" s="110"/>
      <c r="AG66" s="107" t="s">
        <v>130</v>
      </c>
      <c r="AH66" s="108"/>
      <c r="AI66" s="108"/>
      <c r="AJ66" s="108"/>
      <c r="AK66" s="108"/>
      <c r="AL66" s="109"/>
      <c r="AM66" s="167"/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67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67"/>
      <c r="CD66" s="107"/>
      <c r="CE66" s="108"/>
      <c r="CF66" s="108"/>
      <c r="CG66" s="108"/>
      <c r="CH66" s="108"/>
      <c r="CI66" s="109"/>
      <c r="CJ66" s="167"/>
      <c r="CK66" s="107"/>
      <c r="CL66" s="108"/>
      <c r="CM66" s="108"/>
      <c r="CN66" s="108"/>
      <c r="CO66" s="108"/>
      <c r="CP66" s="109"/>
      <c r="CQ66" s="110"/>
    </row>
    <row r="67" spans="12:99" ht="14.25" customHeight="1" x14ac:dyDescent="0.2">
      <c r="L67" s="107" t="s">
        <v>131</v>
      </c>
      <c r="M67" s="108"/>
      <c r="N67" s="108"/>
      <c r="O67" s="108"/>
      <c r="P67" s="108"/>
      <c r="Q67" s="109"/>
      <c r="R67" s="168">
        <f>644.99</f>
        <v>644.99</v>
      </c>
      <c r="S67" s="107" t="s">
        <v>131</v>
      </c>
      <c r="T67" s="108"/>
      <c r="U67" s="108"/>
      <c r="V67" s="108"/>
      <c r="W67" s="108"/>
      <c r="X67" s="109"/>
      <c r="Y67" s="167">
        <f>507.15+145.02+210.84</f>
        <v>863.01</v>
      </c>
      <c r="Z67" s="107" t="s">
        <v>131</v>
      </c>
      <c r="AA67" s="108"/>
      <c r="AB67" s="108"/>
      <c r="AC67" s="108"/>
      <c r="AD67" s="108"/>
      <c r="AE67" s="109"/>
      <c r="AF67" s="110">
        <f>507.79</f>
        <v>507.79</v>
      </c>
      <c r="AG67" s="107" t="s">
        <v>131</v>
      </c>
      <c r="AH67" s="108"/>
      <c r="AI67" s="108"/>
      <c r="AJ67" s="108"/>
      <c r="AK67" s="108"/>
      <c r="AL67" s="109"/>
      <c r="AM67" s="167"/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67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67"/>
      <c r="CD67" s="107"/>
      <c r="CE67" s="108"/>
      <c r="CF67" s="108"/>
      <c r="CG67" s="108"/>
      <c r="CH67" s="108"/>
      <c r="CI67" s="109"/>
      <c r="CJ67" s="167"/>
      <c r="CK67" s="107"/>
      <c r="CL67" s="108"/>
      <c r="CM67" s="108"/>
      <c r="CN67" s="108"/>
      <c r="CO67" s="108"/>
      <c r="CP67" s="109"/>
      <c r="CQ67" s="110"/>
    </row>
    <row r="68" spans="12:99" ht="14.25" customHeight="1" x14ac:dyDescent="0.2">
      <c r="L68" s="107" t="s">
        <v>90</v>
      </c>
      <c r="M68" s="108"/>
      <c r="N68" s="108"/>
      <c r="O68" s="108"/>
      <c r="P68" s="108"/>
      <c r="Q68" s="109"/>
      <c r="R68" s="168">
        <f>1555+1000</f>
        <v>2555</v>
      </c>
      <c r="S68" s="107" t="s">
        <v>90</v>
      </c>
      <c r="T68" s="108"/>
      <c r="U68" s="108"/>
      <c r="V68" s="108"/>
      <c r="W68" s="108"/>
      <c r="X68" s="109"/>
      <c r="Y68" s="167">
        <f>229+280</f>
        <v>509</v>
      </c>
      <c r="Z68" s="107" t="s">
        <v>90</v>
      </c>
      <c r="AA68" s="108"/>
      <c r="AB68" s="108"/>
      <c r="AC68" s="108"/>
      <c r="AD68" s="108"/>
      <c r="AE68" s="109"/>
      <c r="AF68" s="110">
        <v>215</v>
      </c>
      <c r="AG68" s="107" t="s">
        <v>90</v>
      </c>
      <c r="AH68" s="108"/>
      <c r="AI68" s="108"/>
      <c r="AJ68" s="108"/>
      <c r="AK68" s="108"/>
      <c r="AL68" s="109"/>
      <c r="AM68" s="167">
        <f>75+655+59</f>
        <v>789</v>
      </c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67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67"/>
      <c r="CD68" s="107"/>
      <c r="CE68" s="108"/>
      <c r="CF68" s="108"/>
      <c r="CG68" s="108"/>
      <c r="CH68" s="108"/>
      <c r="CI68" s="109"/>
      <c r="CJ68" s="167"/>
      <c r="CK68" s="107"/>
      <c r="CL68" s="108"/>
      <c r="CM68" s="108"/>
      <c r="CN68" s="108"/>
      <c r="CO68" s="108"/>
      <c r="CP68" s="109"/>
      <c r="CQ68" s="110"/>
    </row>
    <row r="69" spans="12:99" ht="14.25" customHeight="1" x14ac:dyDescent="0.2">
      <c r="L69" s="107" t="s">
        <v>132</v>
      </c>
      <c r="M69" s="108"/>
      <c r="N69" s="108"/>
      <c r="O69" s="108"/>
      <c r="P69" s="108"/>
      <c r="Q69" s="109"/>
      <c r="R69" s="168">
        <v>1150</v>
      </c>
      <c r="S69" s="107" t="s">
        <v>99</v>
      </c>
      <c r="T69" s="108"/>
      <c r="U69" s="108"/>
      <c r="V69" s="108"/>
      <c r="W69" s="108"/>
      <c r="X69" s="109"/>
      <c r="Y69" s="167">
        <f>594.2</f>
        <v>594.20000000000005</v>
      </c>
      <c r="Z69" s="107" t="s">
        <v>99</v>
      </c>
      <c r="AA69" s="108"/>
      <c r="AB69" s="108"/>
      <c r="AC69" s="108"/>
      <c r="AD69" s="108"/>
      <c r="AE69" s="109"/>
      <c r="AF69" s="110"/>
      <c r="AG69" s="107" t="s">
        <v>99</v>
      </c>
      <c r="AH69" s="108"/>
      <c r="AI69" s="108"/>
      <c r="AJ69" s="108"/>
      <c r="AK69" s="108"/>
      <c r="AL69" s="109"/>
      <c r="AM69" s="167"/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67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67"/>
      <c r="CD69" s="107"/>
      <c r="CE69" s="108"/>
      <c r="CF69" s="108"/>
      <c r="CG69" s="108"/>
      <c r="CH69" s="108"/>
      <c r="CI69" s="109"/>
      <c r="CJ69" s="167"/>
      <c r="CK69" s="107"/>
      <c r="CL69" s="108"/>
      <c r="CM69" s="108"/>
      <c r="CN69" s="108"/>
      <c r="CO69" s="108"/>
      <c r="CP69" s="109"/>
      <c r="CQ69" s="110"/>
    </row>
    <row r="70" spans="12:99" ht="14.25" customHeight="1" x14ac:dyDescent="0.2">
      <c r="L70" s="107" t="s">
        <v>133</v>
      </c>
      <c r="M70" s="108"/>
      <c r="N70" s="108"/>
      <c r="O70" s="108"/>
      <c r="P70" s="108"/>
      <c r="Q70" s="109"/>
      <c r="R70" s="168">
        <v>28.9</v>
      </c>
      <c r="S70" s="107" t="s">
        <v>133</v>
      </c>
      <c r="T70" s="108"/>
      <c r="U70" s="108"/>
      <c r="V70" s="108"/>
      <c r="W70" s="108"/>
      <c r="X70" s="109"/>
      <c r="Y70" s="167"/>
      <c r="Z70" s="107" t="s">
        <v>133</v>
      </c>
      <c r="AA70" s="108"/>
      <c r="AB70" s="108"/>
      <c r="AC70" s="108"/>
      <c r="AD70" s="108"/>
      <c r="AE70" s="109"/>
      <c r="AF70" s="110">
        <f>28.9</f>
        <v>28.9</v>
      </c>
      <c r="AG70" s="107" t="s">
        <v>133</v>
      </c>
      <c r="AH70" s="108"/>
      <c r="AI70" s="108"/>
      <c r="AJ70" s="108"/>
      <c r="AK70" s="108"/>
      <c r="AL70" s="109"/>
      <c r="AM70" s="167"/>
      <c r="AN70" s="107"/>
      <c r="AO70" s="108"/>
      <c r="AP70" s="108"/>
      <c r="AQ70" s="108"/>
      <c r="AR70" s="108"/>
      <c r="AS70" s="109"/>
      <c r="AT70" s="110"/>
      <c r="AU70" s="107"/>
      <c r="AV70" s="108"/>
      <c r="AW70" s="108"/>
      <c r="AX70" s="108"/>
      <c r="AY70" s="108"/>
      <c r="AZ70" s="109"/>
      <c r="BA70" s="167"/>
      <c r="BB70" s="107"/>
      <c r="BC70" s="108"/>
      <c r="BD70" s="108"/>
      <c r="BE70" s="108"/>
      <c r="BF70" s="108"/>
      <c r="BG70" s="109"/>
      <c r="BH70" s="110"/>
      <c r="BI70" s="107"/>
      <c r="BJ70" s="108"/>
      <c r="BK70" s="108"/>
      <c r="BL70" s="108"/>
      <c r="BM70" s="108"/>
      <c r="BN70" s="109"/>
      <c r="BO70" s="110"/>
      <c r="BP70" s="107"/>
      <c r="BQ70" s="108"/>
      <c r="BR70" s="108"/>
      <c r="BS70" s="108"/>
      <c r="BT70" s="108"/>
      <c r="BU70" s="109"/>
      <c r="BV70" s="110"/>
      <c r="BW70" s="107"/>
      <c r="BX70" s="108"/>
      <c r="BY70" s="108"/>
      <c r="BZ70" s="108"/>
      <c r="CA70" s="108"/>
      <c r="CB70" s="109"/>
      <c r="CC70" s="167"/>
      <c r="CD70" s="107"/>
      <c r="CE70" s="108"/>
      <c r="CF70" s="108"/>
      <c r="CG70" s="108"/>
      <c r="CH70" s="108"/>
      <c r="CI70" s="109"/>
      <c r="CJ70" s="167"/>
      <c r="CK70" s="107"/>
      <c r="CL70" s="108"/>
      <c r="CM70" s="108"/>
      <c r="CN70" s="108"/>
      <c r="CO70" s="108"/>
      <c r="CP70" s="109"/>
      <c r="CQ70" s="110"/>
    </row>
    <row r="71" spans="12:99" ht="14.25" customHeight="1" x14ac:dyDescent="0.2">
      <c r="L71" s="107" t="s">
        <v>134</v>
      </c>
      <c r="M71" s="108"/>
      <c r="N71" s="108"/>
      <c r="O71" s="108"/>
      <c r="P71" s="108"/>
      <c r="Q71" s="109"/>
      <c r="R71" s="168">
        <f>823.36</f>
        <v>823.36</v>
      </c>
      <c r="S71" s="107" t="s">
        <v>135</v>
      </c>
      <c r="T71" s="108"/>
      <c r="U71" s="108"/>
      <c r="V71" s="108"/>
      <c r="W71" s="108"/>
      <c r="X71" s="109"/>
      <c r="Y71" s="167">
        <f>515+966.53+220+220</f>
        <v>1921.53</v>
      </c>
      <c r="Z71" s="107" t="s">
        <v>135</v>
      </c>
      <c r="AA71" s="108"/>
      <c r="AB71" s="108"/>
      <c r="AC71" s="108"/>
      <c r="AD71" s="108"/>
      <c r="AE71" s="109"/>
      <c r="AF71" s="169"/>
      <c r="AG71" s="107" t="s">
        <v>135</v>
      </c>
      <c r="AH71" s="108"/>
      <c r="AI71" s="108"/>
      <c r="AJ71" s="108"/>
      <c r="AK71" s="108"/>
      <c r="AL71" s="109"/>
      <c r="AM71" s="170"/>
      <c r="AN71" s="107"/>
      <c r="AO71" s="108"/>
      <c r="AP71" s="108"/>
      <c r="AQ71" s="108"/>
      <c r="AR71" s="108"/>
      <c r="AS71" s="109"/>
      <c r="AT71" s="169"/>
      <c r="AU71" s="107"/>
      <c r="AV71" s="108"/>
      <c r="AW71" s="108"/>
      <c r="AX71" s="108"/>
      <c r="AY71" s="108"/>
      <c r="AZ71" s="109"/>
      <c r="BA71" s="170"/>
      <c r="BB71" s="107"/>
      <c r="BC71" s="108"/>
      <c r="BD71" s="108"/>
      <c r="BE71" s="108"/>
      <c r="BF71" s="108"/>
      <c r="BG71" s="109"/>
      <c r="BH71" s="169"/>
      <c r="BI71" s="107"/>
      <c r="BJ71" s="108"/>
      <c r="BK71" s="108"/>
      <c r="BL71" s="108"/>
      <c r="BM71" s="108"/>
      <c r="BN71" s="109"/>
      <c r="BO71" s="169"/>
      <c r="BP71" s="107"/>
      <c r="BQ71" s="108"/>
      <c r="BR71" s="108"/>
      <c r="BS71" s="108"/>
      <c r="BT71" s="108"/>
      <c r="BU71" s="109"/>
      <c r="BV71" s="169"/>
      <c r="BW71" s="107"/>
      <c r="BX71" s="108"/>
      <c r="BY71" s="108"/>
      <c r="BZ71" s="108"/>
      <c r="CA71" s="108"/>
      <c r="CB71" s="109"/>
      <c r="CC71" s="170"/>
      <c r="CD71" s="107"/>
      <c r="CE71" s="108"/>
      <c r="CF71" s="108"/>
      <c r="CG71" s="108"/>
      <c r="CH71" s="108"/>
      <c r="CI71" s="109"/>
      <c r="CJ71" s="170"/>
      <c r="CK71" s="107"/>
      <c r="CL71" s="108"/>
      <c r="CM71" s="108"/>
      <c r="CN71" s="108"/>
      <c r="CO71" s="108"/>
      <c r="CP71" s="109"/>
      <c r="CQ71" s="169"/>
    </row>
    <row r="72" spans="12:99" ht="14.25" customHeight="1" x14ac:dyDescent="0.2">
      <c r="L72" s="107" t="s">
        <v>94</v>
      </c>
      <c r="M72" s="108"/>
      <c r="N72" s="108"/>
      <c r="O72" s="108"/>
      <c r="P72" s="108"/>
      <c r="Q72" s="109"/>
      <c r="R72" s="168">
        <f>211.82</f>
        <v>211.82</v>
      </c>
      <c r="S72" s="107" t="s">
        <v>94</v>
      </c>
      <c r="T72" s="108"/>
      <c r="U72" s="108"/>
      <c r="V72" s="108"/>
      <c r="W72" s="108"/>
      <c r="X72" s="109"/>
      <c r="Y72" s="167"/>
      <c r="Z72" s="107" t="s">
        <v>94</v>
      </c>
      <c r="AA72" s="108"/>
      <c r="AB72" s="108"/>
      <c r="AC72" s="108"/>
      <c r="AD72" s="108"/>
      <c r="AE72" s="109"/>
      <c r="AF72" s="110"/>
      <c r="AG72" s="107" t="s">
        <v>94</v>
      </c>
      <c r="AH72" s="108"/>
      <c r="AI72" s="108"/>
      <c r="AJ72" s="108"/>
      <c r="AK72" s="108"/>
      <c r="AL72" s="109"/>
      <c r="AM72" s="167"/>
      <c r="AN72" s="107"/>
      <c r="AO72" s="108"/>
      <c r="AP72" s="108"/>
      <c r="AQ72" s="108"/>
      <c r="AR72" s="108"/>
      <c r="AS72" s="109"/>
      <c r="AT72" s="110"/>
      <c r="AU72" s="107"/>
      <c r="AV72" s="108"/>
      <c r="AW72" s="108"/>
      <c r="AX72" s="108"/>
      <c r="AY72" s="108"/>
      <c r="AZ72" s="109"/>
      <c r="BA72" s="167"/>
      <c r="BB72" s="107"/>
      <c r="BC72" s="108"/>
      <c r="BD72" s="108"/>
      <c r="BE72" s="108"/>
      <c r="BF72" s="108"/>
      <c r="BG72" s="109"/>
      <c r="BH72" s="110"/>
      <c r="BI72" s="107"/>
      <c r="BJ72" s="108"/>
      <c r="BK72" s="108"/>
      <c r="BL72" s="108"/>
      <c r="BM72" s="108"/>
      <c r="BN72" s="109"/>
      <c r="BO72" s="110"/>
      <c r="BP72" s="107"/>
      <c r="BQ72" s="108"/>
      <c r="BR72" s="108"/>
      <c r="BS72" s="108"/>
      <c r="BT72" s="108"/>
      <c r="BU72" s="109"/>
      <c r="BV72" s="110"/>
      <c r="BW72" s="107"/>
      <c r="BX72" s="108"/>
      <c r="BY72" s="108"/>
      <c r="BZ72" s="108"/>
      <c r="CA72" s="108"/>
      <c r="CB72" s="109"/>
      <c r="CC72" s="167"/>
      <c r="CD72" s="107"/>
      <c r="CE72" s="108"/>
      <c r="CF72" s="108"/>
      <c r="CG72" s="108"/>
      <c r="CH72" s="108"/>
      <c r="CI72" s="109"/>
      <c r="CJ72" s="167"/>
      <c r="CK72" s="107"/>
      <c r="CL72" s="108"/>
      <c r="CM72" s="108"/>
      <c r="CN72" s="108"/>
      <c r="CO72" s="108"/>
      <c r="CP72" s="109"/>
      <c r="CQ72" s="110"/>
      <c r="CU72" s="155"/>
    </row>
    <row r="73" spans="12:99" ht="14.25" customHeight="1" x14ac:dyDescent="0.2">
      <c r="L73" s="107" t="s">
        <v>136</v>
      </c>
      <c r="M73" s="108"/>
      <c r="N73" s="108"/>
      <c r="O73" s="108"/>
      <c r="P73" s="108"/>
      <c r="Q73" s="109"/>
      <c r="R73" s="168">
        <f>495</f>
        <v>495</v>
      </c>
      <c r="S73" s="107" t="s">
        <v>136</v>
      </c>
      <c r="T73" s="108"/>
      <c r="U73" s="108"/>
      <c r="V73" s="108"/>
      <c r="W73" s="108"/>
      <c r="X73" s="109"/>
      <c r="Y73" s="167"/>
      <c r="Z73" s="107" t="s">
        <v>136</v>
      </c>
      <c r="AA73" s="108"/>
      <c r="AB73" s="108"/>
      <c r="AC73" s="108"/>
      <c r="AD73" s="108"/>
      <c r="AE73" s="109"/>
      <c r="AF73" s="110">
        <f>450</f>
        <v>450</v>
      </c>
      <c r="AG73" s="107" t="s">
        <v>136</v>
      </c>
      <c r="AH73" s="108"/>
      <c r="AI73" s="108"/>
      <c r="AJ73" s="108"/>
      <c r="AK73" s="108"/>
      <c r="AL73" s="109"/>
      <c r="AM73" s="167">
        <v>517.5</v>
      </c>
      <c r="AN73" s="107"/>
      <c r="AO73" s="108"/>
      <c r="AP73" s="108"/>
      <c r="AQ73" s="108"/>
      <c r="AR73" s="108"/>
      <c r="AS73" s="109"/>
      <c r="AT73" s="110"/>
      <c r="AU73" s="107"/>
      <c r="AV73" s="108"/>
      <c r="AW73" s="108"/>
      <c r="AX73" s="108"/>
      <c r="AY73" s="108"/>
      <c r="AZ73" s="109"/>
      <c r="BA73" s="167"/>
      <c r="BB73" s="107"/>
      <c r="BC73" s="108"/>
      <c r="BD73" s="108"/>
      <c r="BE73" s="108"/>
      <c r="BF73" s="108"/>
      <c r="BG73" s="109"/>
      <c r="BH73" s="110"/>
      <c r="BI73" s="107"/>
      <c r="BJ73" s="108"/>
      <c r="BK73" s="108"/>
      <c r="BL73" s="108"/>
      <c r="BM73" s="108"/>
      <c r="BN73" s="109"/>
      <c r="BO73" s="110"/>
      <c r="BP73" s="107"/>
      <c r="BQ73" s="108"/>
      <c r="BR73" s="108"/>
      <c r="BS73" s="108"/>
      <c r="BT73" s="108"/>
      <c r="BU73" s="109"/>
      <c r="BV73" s="110"/>
      <c r="BW73" s="107"/>
      <c r="BX73" s="108"/>
      <c r="BY73" s="108"/>
      <c r="BZ73" s="108"/>
      <c r="CA73" s="108"/>
      <c r="CB73" s="109"/>
      <c r="CC73" s="167"/>
      <c r="CD73" s="107"/>
      <c r="CE73" s="108"/>
      <c r="CF73" s="108"/>
      <c r="CG73" s="108"/>
      <c r="CH73" s="108"/>
      <c r="CI73" s="109"/>
      <c r="CJ73" s="167"/>
      <c r="CK73" s="107"/>
      <c r="CL73" s="108"/>
      <c r="CM73" s="108"/>
      <c r="CN73" s="108"/>
      <c r="CO73" s="108"/>
      <c r="CP73" s="109"/>
      <c r="CQ73" s="110"/>
      <c r="CU73" s="155"/>
    </row>
    <row r="74" spans="12:99" ht="14.25" customHeight="1" x14ac:dyDescent="0.2">
      <c r="L74" s="107" t="s">
        <v>116</v>
      </c>
      <c r="M74" s="108"/>
      <c r="N74" s="108"/>
      <c r="O74" s="108"/>
      <c r="P74" s="108"/>
      <c r="Q74" s="109"/>
      <c r="R74" s="168">
        <f>153.55+145.73</f>
        <v>299.27999999999997</v>
      </c>
      <c r="S74" s="107" t="s">
        <v>116</v>
      </c>
      <c r="T74" s="108"/>
      <c r="U74" s="108"/>
      <c r="V74" s="108"/>
      <c r="W74" s="108"/>
      <c r="X74" s="109"/>
      <c r="Y74" s="167"/>
      <c r="Z74" s="107" t="s">
        <v>116</v>
      </c>
      <c r="AA74" s="108"/>
      <c r="AB74" s="108"/>
      <c r="AC74" s="108"/>
      <c r="AD74" s="108"/>
      <c r="AE74" s="109"/>
      <c r="AF74" s="110">
        <f>342.85</f>
        <v>342.85</v>
      </c>
      <c r="AG74" s="107" t="s">
        <v>116</v>
      </c>
      <c r="AH74" s="108"/>
      <c r="AI74" s="108"/>
      <c r="AJ74" s="108"/>
      <c r="AK74" s="108"/>
      <c r="AL74" s="109"/>
      <c r="AM74" s="167">
        <f>148.92</f>
        <v>148.91999999999999</v>
      </c>
      <c r="AN74" s="107"/>
      <c r="AO74" s="108"/>
      <c r="AP74" s="108"/>
      <c r="AQ74" s="108"/>
      <c r="AR74" s="108"/>
      <c r="AS74" s="109"/>
      <c r="AT74" s="110"/>
      <c r="AU74" s="107"/>
      <c r="AV74" s="108"/>
      <c r="AW74" s="108"/>
      <c r="AX74" s="108"/>
      <c r="AY74" s="108"/>
      <c r="AZ74" s="109"/>
      <c r="BA74" s="167"/>
      <c r="BB74" s="107"/>
      <c r="BC74" s="108"/>
      <c r="BD74" s="108"/>
      <c r="BE74" s="108"/>
      <c r="BF74" s="108"/>
      <c r="BG74" s="109"/>
      <c r="BH74" s="110"/>
      <c r="BI74" s="107"/>
      <c r="BJ74" s="108"/>
      <c r="BK74" s="108"/>
      <c r="BL74" s="108"/>
      <c r="BM74" s="108"/>
      <c r="BN74" s="109"/>
      <c r="BO74" s="110"/>
      <c r="BP74" s="107"/>
      <c r="BQ74" s="108"/>
      <c r="BR74" s="108"/>
      <c r="BS74" s="108"/>
      <c r="BT74" s="108"/>
      <c r="BU74" s="109"/>
      <c r="BV74" s="110"/>
      <c r="BW74" s="107"/>
      <c r="BX74" s="108"/>
      <c r="BY74" s="108"/>
      <c r="BZ74" s="108"/>
      <c r="CA74" s="108"/>
      <c r="CB74" s="109"/>
      <c r="CC74" s="167"/>
      <c r="CD74" s="107"/>
      <c r="CE74" s="108"/>
      <c r="CF74" s="108"/>
      <c r="CG74" s="108"/>
      <c r="CH74" s="108"/>
      <c r="CI74" s="109"/>
      <c r="CJ74" s="167"/>
      <c r="CK74" s="107"/>
      <c r="CL74" s="108"/>
      <c r="CM74" s="108"/>
      <c r="CN74" s="108"/>
      <c r="CO74" s="108"/>
      <c r="CP74" s="109"/>
      <c r="CQ74" s="110"/>
      <c r="CU74" s="155"/>
    </row>
    <row r="75" spans="12:99" ht="14.25" customHeight="1" x14ac:dyDescent="0.2">
      <c r="L75" s="107" t="s">
        <v>97</v>
      </c>
      <c r="M75" s="108"/>
      <c r="N75" s="108"/>
      <c r="O75" s="108"/>
      <c r="P75" s="108"/>
      <c r="Q75" s="109"/>
      <c r="R75" s="168">
        <f>819</f>
        <v>819</v>
      </c>
      <c r="S75" s="107" t="s">
        <v>97</v>
      </c>
      <c r="T75" s="108"/>
      <c r="U75" s="108"/>
      <c r="V75" s="108"/>
      <c r="W75" s="108"/>
      <c r="X75" s="109"/>
      <c r="Y75" s="167">
        <f>780</f>
        <v>780</v>
      </c>
      <c r="Z75" s="107" t="s">
        <v>97</v>
      </c>
      <c r="AA75" s="108"/>
      <c r="AB75" s="108"/>
      <c r="AC75" s="108"/>
      <c r="AD75" s="108"/>
      <c r="AE75" s="109"/>
      <c r="AF75" s="110"/>
      <c r="AG75" s="107" t="s">
        <v>97</v>
      </c>
      <c r="AH75" s="108"/>
      <c r="AI75" s="108"/>
      <c r="AJ75" s="108"/>
      <c r="AK75" s="108"/>
      <c r="AL75" s="109"/>
      <c r="AM75" s="167">
        <f>858</f>
        <v>858</v>
      </c>
      <c r="AN75" s="107"/>
      <c r="AO75" s="108"/>
      <c r="AP75" s="108"/>
      <c r="AQ75" s="108"/>
      <c r="AR75" s="108"/>
      <c r="AS75" s="109"/>
      <c r="AT75" s="110"/>
      <c r="AU75" s="107"/>
      <c r="AV75" s="108"/>
      <c r="AW75" s="108"/>
      <c r="AX75" s="108"/>
      <c r="AY75" s="108"/>
      <c r="AZ75" s="109"/>
      <c r="BA75" s="167"/>
      <c r="BB75" s="107"/>
      <c r="BC75" s="108"/>
      <c r="BD75" s="108"/>
      <c r="BE75" s="108"/>
      <c r="BF75" s="108"/>
      <c r="BG75" s="109"/>
      <c r="BH75" s="110"/>
      <c r="BI75" s="107"/>
      <c r="BJ75" s="108"/>
      <c r="BK75" s="108"/>
      <c r="BL75" s="108"/>
      <c r="BM75" s="108"/>
      <c r="BN75" s="109"/>
      <c r="BO75" s="110"/>
      <c r="BP75" s="107"/>
      <c r="BQ75" s="108"/>
      <c r="BR75" s="108"/>
      <c r="BS75" s="108"/>
      <c r="BT75" s="108"/>
      <c r="BU75" s="109"/>
      <c r="BV75" s="110"/>
      <c r="BW75" s="107"/>
      <c r="BX75" s="108"/>
      <c r="BY75" s="108"/>
      <c r="BZ75" s="108"/>
      <c r="CA75" s="108"/>
      <c r="CB75" s="109"/>
      <c r="CC75" s="167"/>
      <c r="CD75" s="107"/>
      <c r="CE75" s="108"/>
      <c r="CF75" s="108"/>
      <c r="CG75" s="108"/>
      <c r="CH75" s="108"/>
      <c r="CI75" s="109"/>
      <c r="CJ75" s="167"/>
      <c r="CK75" s="107"/>
      <c r="CL75" s="108"/>
      <c r="CM75" s="108"/>
      <c r="CN75" s="108"/>
      <c r="CO75" s="108"/>
      <c r="CP75" s="109"/>
      <c r="CQ75" s="110"/>
      <c r="CU75" s="155"/>
    </row>
    <row r="76" spans="12:99" ht="14.25" customHeight="1" x14ac:dyDescent="0.2">
      <c r="L76" s="107" t="s">
        <v>98</v>
      </c>
      <c r="M76" s="108"/>
      <c r="N76" s="108"/>
      <c r="O76" s="108"/>
      <c r="P76" s="108"/>
      <c r="Q76" s="109"/>
      <c r="R76" s="168">
        <v>94.31</v>
      </c>
      <c r="S76" s="107" t="s">
        <v>98</v>
      </c>
      <c r="T76" s="108"/>
      <c r="U76" s="108"/>
      <c r="V76" s="108"/>
      <c r="W76" s="108"/>
      <c r="X76" s="109"/>
      <c r="Y76" s="167">
        <v>93.6</v>
      </c>
      <c r="Z76" s="107" t="s">
        <v>98</v>
      </c>
      <c r="AA76" s="108"/>
      <c r="AB76" s="108"/>
      <c r="AC76" s="108"/>
      <c r="AD76" s="108"/>
      <c r="AE76" s="109"/>
      <c r="AF76" s="110">
        <v>186.55</v>
      </c>
      <c r="AG76" s="107" t="s">
        <v>98</v>
      </c>
      <c r="AH76" s="108"/>
      <c r="AI76" s="108"/>
      <c r="AJ76" s="108"/>
      <c r="AK76" s="108"/>
      <c r="AL76" s="109"/>
      <c r="AM76" s="114">
        <f>92.21</f>
        <v>92.21</v>
      </c>
      <c r="AN76" s="107"/>
      <c r="AO76" s="108"/>
      <c r="AP76" s="108"/>
      <c r="AQ76" s="108"/>
      <c r="AR76" s="108"/>
      <c r="AS76" s="109"/>
      <c r="AT76" s="110"/>
      <c r="AU76" s="107"/>
      <c r="AV76" s="108"/>
      <c r="AW76" s="108"/>
      <c r="AX76" s="108"/>
      <c r="AY76" s="108"/>
      <c r="AZ76" s="109"/>
      <c r="BA76" s="167"/>
      <c r="BB76" s="107"/>
      <c r="BC76" s="108"/>
      <c r="BD76" s="108"/>
      <c r="BE76" s="108"/>
      <c r="BF76" s="108"/>
      <c r="BG76" s="109"/>
      <c r="BH76" s="110"/>
      <c r="BI76" s="107"/>
      <c r="BJ76" s="108"/>
      <c r="BK76" s="108"/>
      <c r="BL76" s="108"/>
      <c r="BM76" s="108"/>
      <c r="BN76" s="109"/>
      <c r="BO76" s="110"/>
      <c r="BP76" s="107"/>
      <c r="BQ76" s="108"/>
      <c r="BR76" s="108"/>
      <c r="BS76" s="108"/>
      <c r="BT76" s="108"/>
      <c r="BU76" s="109"/>
      <c r="BV76" s="110"/>
      <c r="BW76" s="107"/>
      <c r="BX76" s="108"/>
      <c r="BY76" s="108"/>
      <c r="BZ76" s="108"/>
      <c r="CA76" s="108"/>
      <c r="CB76" s="109"/>
      <c r="CC76" s="167"/>
      <c r="CD76" s="107"/>
      <c r="CE76" s="108"/>
      <c r="CF76" s="108"/>
      <c r="CG76" s="108"/>
      <c r="CH76" s="108"/>
      <c r="CI76" s="109"/>
      <c r="CJ76" s="167"/>
      <c r="CK76" s="107"/>
      <c r="CL76" s="108"/>
      <c r="CM76" s="108"/>
      <c r="CN76" s="108"/>
      <c r="CO76" s="108"/>
      <c r="CP76" s="109"/>
      <c r="CQ76" s="110"/>
      <c r="CU76" s="155"/>
    </row>
    <row r="77" spans="12:99" ht="14.25" customHeight="1" x14ac:dyDescent="0.2">
      <c r="L77" s="107" t="s">
        <v>137</v>
      </c>
      <c r="M77" s="108"/>
      <c r="N77" s="108"/>
      <c r="O77" s="108"/>
      <c r="P77" s="108"/>
      <c r="Q77" s="109"/>
      <c r="R77" s="168">
        <f>2992.04</f>
        <v>2992.04</v>
      </c>
      <c r="S77" s="107" t="s">
        <v>137</v>
      </c>
      <c r="T77" s="108"/>
      <c r="U77" s="108"/>
      <c r="V77" s="108"/>
      <c r="W77" s="108"/>
      <c r="X77" s="109"/>
      <c r="Y77" s="167">
        <f>5055.9</f>
        <v>5055.8999999999996</v>
      </c>
      <c r="Z77" s="107" t="s">
        <v>137</v>
      </c>
      <c r="AA77" s="108"/>
      <c r="AB77" s="108"/>
      <c r="AC77" s="108"/>
      <c r="AD77" s="108"/>
      <c r="AE77" s="109"/>
      <c r="AF77" s="110">
        <v>7178.96</v>
      </c>
      <c r="AG77" s="107" t="s">
        <v>137</v>
      </c>
      <c r="AH77" s="108"/>
      <c r="AI77" s="108"/>
      <c r="AJ77" s="108"/>
      <c r="AK77" s="108"/>
      <c r="AL77" s="109"/>
      <c r="AM77" s="167">
        <f>10971.48</f>
        <v>10971.48</v>
      </c>
      <c r="AN77" s="107"/>
      <c r="AO77" s="108"/>
      <c r="AP77" s="108"/>
      <c r="AQ77" s="108"/>
      <c r="AR77" s="108"/>
      <c r="AS77" s="109"/>
      <c r="AT77" s="110"/>
      <c r="AU77" s="107"/>
      <c r="AV77" s="108"/>
      <c r="AW77" s="108"/>
      <c r="AX77" s="108"/>
      <c r="AY77" s="108"/>
      <c r="AZ77" s="109"/>
      <c r="BA77" s="167"/>
      <c r="BB77" s="107"/>
      <c r="BC77" s="108"/>
      <c r="BD77" s="108"/>
      <c r="BE77" s="108"/>
      <c r="BF77" s="108"/>
      <c r="BG77" s="109"/>
      <c r="BH77" s="110"/>
      <c r="BI77" s="107"/>
      <c r="BJ77" s="108"/>
      <c r="BK77" s="108"/>
      <c r="BL77" s="108"/>
      <c r="BM77" s="108"/>
      <c r="BN77" s="109"/>
      <c r="BO77" s="110"/>
      <c r="BP77" s="107"/>
      <c r="BQ77" s="108"/>
      <c r="BR77" s="108"/>
      <c r="BS77" s="108"/>
      <c r="BT77" s="108"/>
      <c r="BU77" s="109"/>
      <c r="BV77" s="110"/>
      <c r="BW77" s="107"/>
      <c r="BX77" s="108"/>
      <c r="BY77" s="108"/>
      <c r="BZ77" s="108"/>
      <c r="CA77" s="108"/>
      <c r="CB77" s="109"/>
      <c r="CC77" s="167"/>
      <c r="CD77" s="107"/>
      <c r="CE77" s="108"/>
      <c r="CF77" s="108"/>
      <c r="CG77" s="108"/>
      <c r="CH77" s="108"/>
      <c r="CI77" s="109"/>
      <c r="CJ77" s="167"/>
      <c r="CK77" s="107"/>
      <c r="CL77" s="108"/>
      <c r="CM77" s="108"/>
      <c r="CN77" s="108"/>
      <c r="CO77" s="108"/>
      <c r="CP77" s="109"/>
      <c r="CQ77" s="110"/>
      <c r="CU77" s="155"/>
    </row>
    <row r="78" spans="12:99" ht="14.25" customHeight="1" x14ac:dyDescent="0.2">
      <c r="L78" s="107"/>
      <c r="M78" s="108"/>
      <c r="N78" s="108"/>
      <c r="O78" s="108"/>
      <c r="P78" s="108"/>
      <c r="Q78" s="109"/>
      <c r="R78" s="168"/>
      <c r="S78" s="107" t="s">
        <v>138</v>
      </c>
      <c r="T78" s="108"/>
      <c r="U78" s="108"/>
      <c r="V78" s="108"/>
      <c r="W78" s="108"/>
      <c r="X78" s="109"/>
      <c r="Y78" s="167">
        <f>100</f>
        <v>100</v>
      </c>
      <c r="Z78" s="107" t="s">
        <v>138</v>
      </c>
      <c r="AA78" s="108"/>
      <c r="AB78" s="108"/>
      <c r="AC78" s="108"/>
      <c r="AD78" s="108"/>
      <c r="AE78" s="109"/>
      <c r="AF78" s="110"/>
      <c r="AG78" s="107" t="s">
        <v>138</v>
      </c>
      <c r="AH78" s="108"/>
      <c r="AI78" s="108"/>
      <c r="AJ78" s="108"/>
      <c r="AK78" s="108"/>
      <c r="AL78" s="109"/>
      <c r="AM78" s="167"/>
      <c r="AN78" s="107"/>
      <c r="AO78" s="108"/>
      <c r="AP78" s="108"/>
      <c r="AQ78" s="108"/>
      <c r="AR78" s="108"/>
      <c r="AS78" s="109"/>
      <c r="AT78" s="110"/>
      <c r="AU78" s="107"/>
      <c r="AV78" s="108"/>
      <c r="AW78" s="108"/>
      <c r="AX78" s="108"/>
      <c r="AY78" s="108"/>
      <c r="AZ78" s="109"/>
      <c r="BA78" s="167"/>
      <c r="BB78" s="107"/>
      <c r="BC78" s="108"/>
      <c r="BD78" s="108"/>
      <c r="BE78" s="108"/>
      <c r="BF78" s="108"/>
      <c r="BG78" s="109"/>
      <c r="BH78" s="110"/>
      <c r="BI78" s="107"/>
      <c r="BJ78" s="108"/>
      <c r="BK78" s="108"/>
      <c r="BL78" s="108"/>
      <c r="BM78" s="108"/>
      <c r="BN78" s="109"/>
      <c r="BO78" s="110"/>
      <c r="BP78" s="107"/>
      <c r="BQ78" s="108"/>
      <c r="BR78" s="108"/>
      <c r="BS78" s="108"/>
      <c r="BT78" s="108"/>
      <c r="BU78" s="109"/>
      <c r="BV78" s="110"/>
      <c r="BW78" s="107"/>
      <c r="BX78" s="108"/>
      <c r="BY78" s="108"/>
      <c r="BZ78" s="108"/>
      <c r="CA78" s="108"/>
      <c r="CB78" s="109"/>
      <c r="CC78" s="167"/>
      <c r="CD78" s="107"/>
      <c r="CE78" s="108"/>
      <c r="CF78" s="108"/>
      <c r="CG78" s="108"/>
      <c r="CH78" s="108"/>
      <c r="CI78" s="109"/>
      <c r="CJ78" s="167"/>
      <c r="CK78" s="107"/>
      <c r="CL78" s="108"/>
      <c r="CM78" s="108"/>
      <c r="CN78" s="108"/>
      <c r="CO78" s="108"/>
      <c r="CP78" s="109"/>
      <c r="CQ78" s="110"/>
    </row>
    <row r="79" spans="12:99" ht="14.25" customHeight="1" x14ac:dyDescent="0.2">
      <c r="L79" s="107"/>
      <c r="M79" s="108"/>
      <c r="N79" s="108"/>
      <c r="O79" s="108"/>
      <c r="P79" s="108"/>
      <c r="Q79" s="109"/>
      <c r="R79" s="168"/>
      <c r="S79" s="107" t="s">
        <v>110</v>
      </c>
      <c r="T79" s="108"/>
      <c r="U79" s="108"/>
      <c r="V79" s="108"/>
      <c r="W79" s="108"/>
      <c r="X79" s="109"/>
      <c r="Y79" s="167">
        <f>79.29</f>
        <v>79.290000000000006</v>
      </c>
      <c r="Z79" s="107" t="s">
        <v>110</v>
      </c>
      <c r="AA79" s="108"/>
      <c r="AB79" s="108"/>
      <c r="AC79" s="108"/>
      <c r="AD79" s="108"/>
      <c r="AE79" s="109"/>
      <c r="AF79" s="110"/>
      <c r="AG79" s="107" t="s">
        <v>110</v>
      </c>
      <c r="AH79" s="108"/>
      <c r="AI79" s="108"/>
      <c r="AJ79" s="108"/>
      <c r="AK79" s="108"/>
      <c r="AL79" s="109"/>
      <c r="AM79" s="167"/>
      <c r="AN79" s="107"/>
      <c r="AO79" s="108"/>
      <c r="AP79" s="108"/>
      <c r="AQ79" s="108"/>
      <c r="AR79" s="108"/>
      <c r="AS79" s="109"/>
      <c r="AT79" s="110"/>
      <c r="AU79" s="107"/>
      <c r="AV79" s="108"/>
      <c r="AW79" s="108"/>
      <c r="AX79" s="108"/>
      <c r="AY79" s="108"/>
      <c r="AZ79" s="109"/>
      <c r="BA79" s="167"/>
      <c r="BB79" s="107"/>
      <c r="BC79" s="108"/>
      <c r="BD79" s="108"/>
      <c r="BE79" s="108"/>
      <c r="BF79" s="108"/>
      <c r="BG79" s="109"/>
      <c r="BH79" s="110"/>
      <c r="BI79" s="107"/>
      <c r="BJ79" s="108"/>
      <c r="BK79" s="108"/>
      <c r="BL79" s="108"/>
      <c r="BM79" s="108"/>
      <c r="BN79" s="109"/>
      <c r="BO79" s="110"/>
      <c r="BP79" s="107"/>
      <c r="BQ79" s="108"/>
      <c r="BR79" s="108"/>
      <c r="BS79" s="108"/>
      <c r="BT79" s="108"/>
      <c r="BU79" s="109"/>
      <c r="BV79" s="110"/>
      <c r="BW79" s="107"/>
      <c r="BX79" s="108"/>
      <c r="BY79" s="108"/>
      <c r="BZ79" s="108"/>
      <c r="CA79" s="108"/>
      <c r="CB79" s="109"/>
      <c r="CC79" s="167"/>
      <c r="CD79" s="107"/>
      <c r="CE79" s="108"/>
      <c r="CF79" s="108"/>
      <c r="CG79" s="108"/>
      <c r="CH79" s="108"/>
      <c r="CI79" s="109"/>
      <c r="CJ79" s="167"/>
      <c r="CK79" s="107"/>
      <c r="CL79" s="108"/>
      <c r="CM79" s="108"/>
      <c r="CN79" s="108"/>
      <c r="CO79" s="108"/>
      <c r="CP79" s="109"/>
      <c r="CQ79" s="110"/>
    </row>
    <row r="80" spans="12:99" ht="14.25" customHeight="1" x14ac:dyDescent="0.2">
      <c r="L80" s="107"/>
      <c r="M80" s="108"/>
      <c r="N80" s="108"/>
      <c r="O80" s="108"/>
      <c r="P80" s="108"/>
      <c r="Q80" s="109"/>
      <c r="R80" s="168"/>
      <c r="S80" s="107"/>
      <c r="T80" s="108"/>
      <c r="U80" s="108"/>
      <c r="V80" s="108"/>
      <c r="W80" s="108"/>
      <c r="X80" s="109"/>
      <c r="Y80" s="167"/>
      <c r="Z80" s="107" t="s">
        <v>122</v>
      </c>
      <c r="AA80" s="108"/>
      <c r="AB80" s="108"/>
      <c r="AC80" s="108"/>
      <c r="AD80" s="108"/>
      <c r="AE80" s="109"/>
      <c r="AF80" s="110">
        <f>899</f>
        <v>899</v>
      </c>
      <c r="AG80" s="107" t="s">
        <v>122</v>
      </c>
      <c r="AH80" s="108"/>
      <c r="AI80" s="108"/>
      <c r="AJ80" s="108"/>
      <c r="AK80" s="108"/>
      <c r="AL80" s="109"/>
      <c r="AM80" s="167"/>
      <c r="AN80" s="107"/>
      <c r="AO80" s="108"/>
      <c r="AP80" s="108"/>
      <c r="AQ80" s="108"/>
      <c r="AR80" s="108"/>
      <c r="AS80" s="109"/>
      <c r="AT80" s="110"/>
      <c r="AU80" s="107"/>
      <c r="AV80" s="108"/>
      <c r="AW80" s="108"/>
      <c r="AX80" s="108"/>
      <c r="AY80" s="108"/>
      <c r="AZ80" s="109"/>
      <c r="BA80" s="167"/>
      <c r="BB80" s="107"/>
      <c r="BC80" s="108"/>
      <c r="BD80" s="108"/>
      <c r="BE80" s="108"/>
      <c r="BF80" s="108"/>
      <c r="BG80" s="109"/>
      <c r="BH80" s="110"/>
      <c r="BI80" s="107"/>
      <c r="BJ80" s="108"/>
      <c r="BK80" s="108"/>
      <c r="BL80" s="108"/>
      <c r="BM80" s="108"/>
      <c r="BN80" s="109"/>
      <c r="BO80" s="110"/>
      <c r="BP80" s="107"/>
      <c r="BQ80" s="108"/>
      <c r="BR80" s="108"/>
      <c r="BS80" s="108"/>
      <c r="BT80" s="108"/>
      <c r="BU80" s="109"/>
      <c r="BV80" s="110"/>
      <c r="BW80" s="107"/>
      <c r="BX80" s="108"/>
      <c r="BY80" s="108"/>
      <c r="BZ80" s="108"/>
      <c r="CA80" s="108"/>
      <c r="CB80" s="109"/>
      <c r="CC80" s="167"/>
      <c r="CD80" s="107"/>
      <c r="CE80" s="108"/>
      <c r="CF80" s="108"/>
      <c r="CG80" s="108"/>
      <c r="CH80" s="108"/>
      <c r="CI80" s="109"/>
      <c r="CJ80" s="167"/>
      <c r="CK80" s="107"/>
      <c r="CL80" s="108"/>
      <c r="CM80" s="108"/>
      <c r="CN80" s="108"/>
      <c r="CO80" s="108"/>
      <c r="CP80" s="109"/>
      <c r="CQ80" s="110"/>
    </row>
    <row r="81" spans="12:99" ht="14.25" customHeight="1" x14ac:dyDescent="0.2">
      <c r="L81" s="107"/>
      <c r="M81" s="108"/>
      <c r="N81" s="108"/>
      <c r="O81" s="108"/>
      <c r="P81" s="108"/>
      <c r="Q81" s="109"/>
      <c r="R81" s="168"/>
      <c r="S81" s="107"/>
      <c r="T81" s="108"/>
      <c r="U81" s="108"/>
      <c r="V81" s="108"/>
      <c r="W81" s="108"/>
      <c r="X81" s="109"/>
      <c r="Y81" s="167"/>
      <c r="Z81" s="107"/>
      <c r="AA81" s="108"/>
      <c r="AB81" s="108"/>
      <c r="AC81" s="108"/>
      <c r="AD81" s="108"/>
      <c r="AE81" s="109"/>
      <c r="AF81" s="110"/>
      <c r="AG81" s="107"/>
      <c r="AH81" s="108"/>
      <c r="AI81" s="108"/>
      <c r="AJ81" s="108"/>
      <c r="AK81" s="108"/>
      <c r="AL81" s="109"/>
      <c r="AM81" s="110"/>
      <c r="AN81" s="107"/>
      <c r="AO81" s="108"/>
      <c r="AP81" s="108"/>
      <c r="AQ81" s="108"/>
      <c r="AR81" s="108"/>
      <c r="AS81" s="109"/>
      <c r="AT81" s="110"/>
      <c r="AU81" s="107"/>
      <c r="AV81" s="108"/>
      <c r="AW81" s="108"/>
      <c r="AX81" s="108"/>
      <c r="AY81" s="108"/>
      <c r="AZ81" s="109"/>
      <c r="BA81" s="167"/>
      <c r="BB81" s="107"/>
      <c r="BC81" s="108"/>
      <c r="BD81" s="108"/>
      <c r="BE81" s="108"/>
      <c r="BF81" s="108"/>
      <c r="BG81" s="109"/>
      <c r="BH81" s="110"/>
      <c r="BI81" s="107"/>
      <c r="BJ81" s="108"/>
      <c r="BK81" s="108"/>
      <c r="BL81" s="108"/>
      <c r="BM81" s="108"/>
      <c r="BN81" s="109"/>
      <c r="BO81" s="110"/>
      <c r="BP81" s="107"/>
      <c r="BQ81" s="108"/>
      <c r="BR81" s="108"/>
      <c r="BS81" s="108"/>
      <c r="BT81" s="108"/>
      <c r="BU81" s="109"/>
      <c r="BV81" s="110"/>
      <c r="BW81" s="107"/>
      <c r="BX81" s="108"/>
      <c r="BY81" s="108"/>
      <c r="BZ81" s="108"/>
      <c r="CA81" s="108"/>
      <c r="CB81" s="109"/>
      <c r="CC81" s="167"/>
      <c r="CD81" s="107"/>
      <c r="CE81" s="108"/>
      <c r="CF81" s="108"/>
      <c r="CG81" s="108"/>
      <c r="CH81" s="108"/>
      <c r="CI81" s="109"/>
      <c r="CJ81" s="167"/>
      <c r="CK81" s="107"/>
      <c r="CL81" s="108"/>
      <c r="CM81" s="108"/>
      <c r="CN81" s="108"/>
      <c r="CO81" s="108"/>
      <c r="CP81" s="109"/>
      <c r="CQ81" s="110"/>
    </row>
    <row r="82" spans="12:99" ht="14.25" customHeight="1" x14ac:dyDescent="0.2">
      <c r="L82" s="107"/>
      <c r="M82" s="108"/>
      <c r="N82" s="108"/>
      <c r="O82" s="108"/>
      <c r="P82" s="108"/>
      <c r="Q82" s="109"/>
      <c r="R82" s="168"/>
      <c r="S82" s="107"/>
      <c r="T82" s="108"/>
      <c r="U82" s="108"/>
      <c r="V82" s="108"/>
      <c r="W82" s="108"/>
      <c r="X82" s="109"/>
      <c r="Y82" s="167"/>
      <c r="Z82" s="107"/>
      <c r="AA82" s="108"/>
      <c r="AB82" s="108"/>
      <c r="AC82" s="108"/>
      <c r="AD82" s="108"/>
      <c r="AE82" s="109"/>
      <c r="AF82" s="110"/>
      <c r="AG82" s="107"/>
      <c r="AH82" s="108"/>
      <c r="AI82" s="108"/>
      <c r="AJ82" s="108"/>
      <c r="AK82" s="108"/>
      <c r="AL82" s="109"/>
      <c r="AM82" s="110"/>
      <c r="AN82" s="107"/>
      <c r="AO82" s="108"/>
      <c r="AP82" s="108"/>
      <c r="AQ82" s="108"/>
      <c r="AR82" s="108"/>
      <c r="AS82" s="109"/>
      <c r="AT82" s="110"/>
      <c r="AU82" s="107"/>
      <c r="AV82" s="108"/>
      <c r="AW82" s="108"/>
      <c r="AX82" s="108"/>
      <c r="AY82" s="108"/>
      <c r="AZ82" s="109"/>
      <c r="BA82" s="167"/>
      <c r="BB82" s="107"/>
      <c r="BC82" s="108"/>
      <c r="BD82" s="108"/>
      <c r="BE82" s="108"/>
      <c r="BF82" s="108"/>
      <c r="BG82" s="109"/>
      <c r="BH82" s="110"/>
      <c r="BI82" s="107"/>
      <c r="BJ82" s="108"/>
      <c r="BK82" s="108"/>
      <c r="BL82" s="108"/>
      <c r="BM82" s="108"/>
      <c r="BN82" s="109"/>
      <c r="BO82" s="110"/>
      <c r="BP82" s="107"/>
      <c r="BQ82" s="108"/>
      <c r="BR82" s="108"/>
      <c r="BS82" s="108"/>
      <c r="BT82" s="108"/>
      <c r="BU82" s="109"/>
      <c r="BV82" s="110"/>
      <c r="BW82" s="107"/>
      <c r="BX82" s="108"/>
      <c r="BY82" s="108"/>
      <c r="BZ82" s="108"/>
      <c r="CA82" s="108"/>
      <c r="CB82" s="109"/>
      <c r="CC82" s="114"/>
      <c r="CD82" s="107"/>
      <c r="CE82" s="108"/>
      <c r="CF82" s="108"/>
      <c r="CG82" s="108"/>
      <c r="CH82" s="108"/>
      <c r="CI82" s="109"/>
      <c r="CJ82" s="114"/>
      <c r="CK82" s="107"/>
      <c r="CL82" s="108"/>
      <c r="CM82" s="108"/>
      <c r="CN82" s="108"/>
      <c r="CO82" s="108"/>
      <c r="CP82" s="109"/>
      <c r="CQ82" s="110"/>
    </row>
    <row r="83" spans="12:99" ht="14.25" customHeight="1" x14ac:dyDescent="0.2">
      <c r="L83" s="107" t="s">
        <v>82</v>
      </c>
      <c r="M83" s="108"/>
      <c r="N83" s="108"/>
      <c r="O83" s="108"/>
      <c r="P83" s="108"/>
      <c r="Q83" s="109"/>
      <c r="R83" s="167">
        <f>SUM(R61:R82)</f>
        <v>20589.219999999998</v>
      </c>
      <c r="S83" s="107" t="s">
        <v>82</v>
      </c>
      <c r="T83" s="108"/>
      <c r="U83" s="108"/>
      <c r="V83" s="108"/>
      <c r="W83" s="108"/>
      <c r="X83" s="109"/>
      <c r="Y83" s="167">
        <f>SUM(Y61:Y82)</f>
        <v>16714.030000000002</v>
      </c>
      <c r="Z83" s="107" t="s">
        <v>82</v>
      </c>
      <c r="AA83" s="108"/>
      <c r="AB83" s="108"/>
      <c r="AC83" s="108"/>
      <c r="AD83" s="108"/>
      <c r="AE83" s="109"/>
      <c r="AF83" s="110">
        <f>SUM(AF61:AF82)</f>
        <v>14630.93</v>
      </c>
      <c r="AG83" s="107" t="s">
        <v>82</v>
      </c>
      <c r="AH83" s="108"/>
      <c r="AI83" s="108"/>
      <c r="AJ83" s="108"/>
      <c r="AK83" s="108"/>
      <c r="AL83" s="109"/>
      <c r="AM83" s="110">
        <f>SUM(AM61:AM82)</f>
        <v>20198.379999999997</v>
      </c>
      <c r="AN83" s="107" t="s">
        <v>82</v>
      </c>
      <c r="AO83" s="108"/>
      <c r="AP83" s="108"/>
      <c r="AQ83" s="108"/>
      <c r="AR83" s="108"/>
      <c r="AS83" s="109"/>
      <c r="AT83" s="110">
        <f>SUM(AT61:AT82)</f>
        <v>0</v>
      </c>
      <c r="AU83" s="107" t="s">
        <v>82</v>
      </c>
      <c r="AV83" s="108"/>
      <c r="AW83" s="108"/>
      <c r="AX83" s="108"/>
      <c r="AY83" s="108"/>
      <c r="AZ83" s="109"/>
      <c r="BA83" s="167">
        <f>SUM(BA61:BA82)</f>
        <v>0</v>
      </c>
      <c r="BB83" s="107" t="s">
        <v>82</v>
      </c>
      <c r="BC83" s="108"/>
      <c r="BD83" s="108"/>
      <c r="BE83" s="108"/>
      <c r="BF83" s="108"/>
      <c r="BG83" s="109"/>
      <c r="BH83" s="110">
        <f>SUM(BH61:BH82)</f>
        <v>0</v>
      </c>
      <c r="BI83" s="107" t="s">
        <v>82</v>
      </c>
      <c r="BJ83" s="108"/>
      <c r="BK83" s="108"/>
      <c r="BL83" s="108"/>
      <c r="BM83" s="108"/>
      <c r="BN83" s="109"/>
      <c r="BO83" s="110">
        <f>SUM(BO61:BO82)</f>
        <v>0</v>
      </c>
      <c r="BP83" s="107" t="s">
        <v>82</v>
      </c>
      <c r="BQ83" s="108"/>
      <c r="BR83" s="108"/>
      <c r="BS83" s="108"/>
      <c r="BT83" s="108"/>
      <c r="BU83" s="109"/>
      <c r="BV83" s="110">
        <f>SUM(BV61:BV82)</f>
        <v>0</v>
      </c>
      <c r="BW83" s="107" t="s">
        <v>82</v>
      </c>
      <c r="BX83" s="108"/>
      <c r="BY83" s="108"/>
      <c r="BZ83" s="108"/>
      <c r="CA83" s="108"/>
      <c r="CB83" s="109"/>
      <c r="CC83" s="114">
        <f>SUM(CC61:CC82)</f>
        <v>0</v>
      </c>
      <c r="CD83" s="107" t="s">
        <v>82</v>
      </c>
      <c r="CE83" s="108"/>
      <c r="CF83" s="108"/>
      <c r="CG83" s="108"/>
      <c r="CH83" s="108"/>
      <c r="CI83" s="109"/>
      <c r="CJ83" s="114">
        <f>SUM(CJ61:CJ82)</f>
        <v>0</v>
      </c>
      <c r="CK83" s="107" t="s">
        <v>82</v>
      </c>
      <c r="CL83" s="108"/>
      <c r="CM83" s="108"/>
      <c r="CN83" s="108"/>
      <c r="CO83" s="108"/>
      <c r="CP83" s="109"/>
      <c r="CQ83" s="110">
        <f>SUM(CQ61:CQ82)</f>
        <v>0</v>
      </c>
      <c r="CU83" s="155"/>
    </row>
    <row r="84" spans="12:99" ht="14.25" customHeight="1" x14ac:dyDescent="0.2">
      <c r="BA84" s="139"/>
      <c r="BV84" s="140"/>
    </row>
    <row r="85" spans="12:99" ht="14.25" customHeight="1" x14ac:dyDescent="0.2">
      <c r="BA85" s="139"/>
    </row>
    <row r="86" spans="12:99" ht="14.25" customHeight="1" x14ac:dyDescent="0.2">
      <c r="BA86" s="139"/>
    </row>
    <row r="87" spans="12:99" ht="14.25" customHeight="1" x14ac:dyDescent="0.2">
      <c r="BA87" s="139"/>
    </row>
    <row r="88" spans="12:99" ht="14.25" customHeight="1" x14ac:dyDescent="0.2">
      <c r="BA88" s="139"/>
    </row>
    <row r="89" spans="12:99" ht="14.25" customHeight="1" x14ac:dyDescent="0.2"/>
    <row r="90" spans="12:99" ht="14.25" customHeight="1" x14ac:dyDescent="0.2"/>
    <row r="91" spans="12:99" ht="14.25" customHeight="1" x14ac:dyDescent="0.2"/>
    <row r="92" spans="12:99" ht="14.25" customHeight="1" x14ac:dyDescent="0.2"/>
    <row r="93" spans="12:99" ht="14.25" customHeight="1" x14ac:dyDescent="0.2"/>
    <row r="94" spans="12:99" ht="14.25" customHeight="1" x14ac:dyDescent="0.2"/>
    <row r="95" spans="12:99" ht="14.25" customHeight="1" x14ac:dyDescent="0.2"/>
    <row r="96" spans="12:99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spans="99:99" ht="14.25" customHeight="1" x14ac:dyDescent="0.2"/>
    <row r="178" spans="99:99" ht="14.25" customHeight="1" x14ac:dyDescent="0.2"/>
    <row r="179" spans="99:99" ht="14.25" customHeight="1" x14ac:dyDescent="0.2"/>
    <row r="180" spans="99:99" ht="14.25" customHeight="1" x14ac:dyDescent="0.2"/>
    <row r="181" spans="99:99" ht="14.25" customHeight="1" x14ac:dyDescent="0.2"/>
    <row r="182" spans="99:99" ht="14.25" customHeight="1" x14ac:dyDescent="0.2"/>
    <row r="183" spans="99:99" ht="14.25" customHeight="1" x14ac:dyDescent="0.2"/>
    <row r="184" spans="99:99" ht="14.25" customHeight="1" x14ac:dyDescent="0.2"/>
    <row r="185" spans="99:99" ht="14.25" customHeight="1" x14ac:dyDescent="0.2"/>
    <row r="186" spans="99:99" ht="14.25" customHeight="1" x14ac:dyDescent="0.2"/>
    <row r="187" spans="99:99" ht="14.25" customHeight="1" x14ac:dyDescent="0.2"/>
    <row r="188" spans="99:99" ht="14.25" customHeight="1" x14ac:dyDescent="0.2"/>
    <row r="189" spans="99:99" ht="14.25" customHeight="1" x14ac:dyDescent="0.2"/>
    <row r="190" spans="99:99" ht="14.25" customHeight="1" x14ac:dyDescent="0.2">
      <c r="CU190" s="155"/>
    </row>
    <row r="191" spans="99:99" ht="14.25" customHeight="1" x14ac:dyDescent="0.2">
      <c r="CU191" s="155"/>
    </row>
    <row r="192" spans="99:99" ht="14.25" customHeight="1" x14ac:dyDescent="0.2">
      <c r="CU192" s="155"/>
    </row>
    <row r="193" spans="99:99" ht="14.25" customHeight="1" x14ac:dyDescent="0.2">
      <c r="CU193" s="155"/>
    </row>
    <row r="194" spans="99:99" ht="14.25" customHeight="1" x14ac:dyDescent="0.2">
      <c r="CU194" s="155"/>
    </row>
    <row r="195" spans="99:99" ht="14.25" customHeight="1" x14ac:dyDescent="0.2">
      <c r="CU195" s="155"/>
    </row>
    <row r="196" spans="99:99" ht="14.25" customHeight="1" x14ac:dyDescent="0.2">
      <c r="CU196" s="155"/>
    </row>
    <row r="197" spans="99:99" ht="14.25" customHeight="1" x14ac:dyDescent="0.2">
      <c r="CU197" s="155"/>
    </row>
    <row r="198" spans="99:99" ht="14.25" customHeight="1" x14ac:dyDescent="0.2">
      <c r="CU198" s="155"/>
    </row>
    <row r="199" spans="99:99" ht="14.25" customHeight="1" x14ac:dyDescent="0.2">
      <c r="CU199" s="155"/>
    </row>
    <row r="200" spans="99:99" ht="14.25" customHeight="1" x14ac:dyDescent="0.2">
      <c r="CU200" s="155"/>
    </row>
    <row r="201" spans="99:99" ht="14.25" customHeight="1" x14ac:dyDescent="0.2">
      <c r="CU201" s="155"/>
    </row>
    <row r="202" spans="99:99" ht="14.25" customHeight="1" x14ac:dyDescent="0.2">
      <c r="CU202" s="155"/>
    </row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2F7E4-DBA3-4847-9E97-F3E8AC5A98BB}">
  <sheetPr>
    <pageSetUpPr fitToPage="1"/>
  </sheetPr>
  <dimension ref="A1:CU1000"/>
  <sheetViews>
    <sheetView zoomScale="70" zoomScaleNormal="70" workbookViewId="0">
      <pane xSplit="11" ySplit="3" topLeftCell="CE20" activePane="bottomRight" state="frozen"/>
      <selection activeCell="J2" sqref="J2:P58"/>
      <selection pane="topRight" activeCell="J2" sqref="J2:P58"/>
      <selection pane="bottomLeft" activeCell="J2" sqref="J2:P58"/>
      <selection pane="bottomRight" activeCell="CU58" sqref="CU58"/>
    </sheetView>
  </sheetViews>
  <sheetFormatPr baseColWidth="10" defaultColWidth="14.5" defaultRowHeight="15" customHeight="1" x14ac:dyDescent="0.2"/>
  <cols>
    <col min="1" max="1" width="32.33203125" customWidth="1"/>
    <col min="2" max="79" width="11.5" customWidth="1"/>
    <col min="80" max="80" width="11.33203125" customWidth="1"/>
    <col min="81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1199758.0178112001</v>
      </c>
      <c r="C4" s="18">
        <f t="shared" si="0"/>
        <v>1052307.7574222034</v>
      </c>
      <c r="D4" s="19">
        <f t="shared" si="0"/>
        <v>147450.26038899648</v>
      </c>
      <c r="E4" s="17">
        <f>+L4+S4+Z4+AG4</f>
        <v>422268.23155199992</v>
      </c>
      <c r="F4" s="20">
        <f>+M4+T4+AA4+AH4</f>
        <v>370371.46589425916</v>
      </c>
      <c r="G4" s="21">
        <f>+N4+U4+AB4+AI4</f>
        <v>51896.765657740798</v>
      </c>
      <c r="H4" s="18">
        <f t="shared" ref="H4:J35" si="1">+O4+V4+AC4+AJ4+AQ4+AX4+BE4+BL4+BS4+BZ4+CG4+CN4</f>
        <v>374106.20477999997</v>
      </c>
      <c r="I4" s="20">
        <f t="shared" si="1"/>
        <v>9277.8952200000003</v>
      </c>
      <c r="J4" s="20">
        <f t="shared" si="1"/>
        <v>383384.10000000003</v>
      </c>
      <c r="K4" s="25">
        <f t="shared" ref="K4:K54" si="2">IF(E4=0,"",(+J4/E4-1))</f>
        <v>-9.2083961441014828E-2</v>
      </c>
      <c r="L4" s="23">
        <f>'[1]STA MARIA'!$E4</f>
        <v>92558.307887999996</v>
      </c>
      <c r="M4" s="18">
        <f>L4-N4</f>
        <v>81182.891848564803</v>
      </c>
      <c r="N4" s="18">
        <f>+L4*12.29%</f>
        <v>11375.416039435198</v>
      </c>
      <c r="O4" s="18">
        <f>+Q4-P4</f>
        <v>99783.024627999985</v>
      </c>
      <c r="P4" s="18">
        <f>+Q4*2.42%</f>
        <v>2474.6353719999997</v>
      </c>
      <c r="Q4" s="20">
        <f>131760.94-Q5-Q6-Q7-Q8-Q9</f>
        <v>102257.65999999999</v>
      </c>
      <c r="R4" s="25">
        <f t="shared" ref="R4:R54" si="3">IF(L4=0,"",(+Q4/L4-1))</f>
        <v>0.10479180457508663</v>
      </c>
      <c r="S4" s="23">
        <f>'[1]STA MARIA'!$F4</f>
        <v>144593.30788799998</v>
      </c>
      <c r="T4" s="18">
        <f>S4-U4</f>
        <v>126822.79034856478</v>
      </c>
      <c r="U4" s="18">
        <f>+S4*12.29%</f>
        <v>17770.517539435197</v>
      </c>
      <c r="V4" s="18">
        <f>+X4-W4</f>
        <v>79414.712117999996</v>
      </c>
      <c r="W4" s="18">
        <f>+X4*2.42%</f>
        <v>1969.4978819999997</v>
      </c>
      <c r="X4" s="20">
        <f>113350.61-X5-X6-X7-X8-X9</f>
        <v>81384.209999999992</v>
      </c>
      <c r="Y4" s="25">
        <f t="shared" ref="Y4:Y54" si="4">IF(S4=0,"",(+X4/S4-1))</f>
        <v>-0.43715092220561758</v>
      </c>
      <c r="Z4" s="23">
        <f>'[1]STA MARIA'!$G4</f>
        <v>92558.307887999996</v>
      </c>
      <c r="AA4" s="18">
        <f>Z4-AB4</f>
        <v>81182.891848564803</v>
      </c>
      <c r="AB4" s="18">
        <f>+Z4*12.29%</f>
        <v>11375.416039435198</v>
      </c>
      <c r="AC4" s="18">
        <f>+AE4-AD4</f>
        <v>112508.17872000001</v>
      </c>
      <c r="AD4" s="18">
        <f>+AE4*2.42%</f>
        <v>2790.2212800000002</v>
      </c>
      <c r="AE4" s="20">
        <f>143565.51-AE5-AE6-AE7-AE8-AE9</f>
        <v>115298.40000000001</v>
      </c>
      <c r="AF4" s="25">
        <f t="shared" ref="AF4:AF54" si="5">IF(Z4=0,"",(+AE4/Z4-1))</f>
        <v>0.24568396539310777</v>
      </c>
      <c r="AG4" s="23">
        <f>'[1]STA MARIA'!$H4</f>
        <v>92558.307887999996</v>
      </c>
      <c r="AH4" s="18">
        <f>AG4-AI4</f>
        <v>81182.891848564803</v>
      </c>
      <c r="AI4" s="18">
        <f>+AG4*12.29%</f>
        <v>11375.416039435198</v>
      </c>
      <c r="AJ4" s="18">
        <f>+AL4-AK4</f>
        <v>82400.289314000009</v>
      </c>
      <c r="AK4" s="18">
        <f>+AL4*2.42%</f>
        <v>2043.5406860000001</v>
      </c>
      <c r="AL4" s="20">
        <f>111929.99-AL5-AL6-AL7-AL8-AL9</f>
        <v>84443.83</v>
      </c>
      <c r="AM4" s="25">
        <f t="shared" ref="AM4:AM54" si="6">IF(AG4=0,"",(+AL4/AG4-1))</f>
        <v>-8.7668822747050457E-2</v>
      </c>
      <c r="AN4" s="23">
        <f>'[1]STA MARIA'!$I4</f>
        <v>92558.307887999996</v>
      </c>
      <c r="AO4" s="18">
        <f>AN4-AP4</f>
        <v>81182.891848564803</v>
      </c>
      <c r="AP4" s="18">
        <f>+AN4*12.29%</f>
        <v>11375.416039435198</v>
      </c>
      <c r="AQ4" s="18">
        <f>+AS4-AR4</f>
        <v>0</v>
      </c>
      <c r="AR4" s="18">
        <f>+AS4*2.42%</f>
        <v>0</v>
      </c>
      <c r="AS4" s="20"/>
      <c r="AT4" s="25">
        <f t="shared" ref="AT4:AT54" si="7">IF(AN4=0,"",(+AS4/AN4-1))</f>
        <v>-1</v>
      </c>
      <c r="AU4" s="23">
        <f>'[1]STA MARIA'!$J4</f>
        <v>92558.307887999996</v>
      </c>
      <c r="AV4" s="18">
        <f>AU4-AW4</f>
        <v>81182.891848564803</v>
      </c>
      <c r="AW4" s="18">
        <f>+AU4*12.29%</f>
        <v>11375.416039435198</v>
      </c>
      <c r="AX4" s="18">
        <f>+AZ4-AY4</f>
        <v>0</v>
      </c>
      <c r="AY4" s="18">
        <f>+AZ4*2.42%</f>
        <v>0</v>
      </c>
      <c r="AZ4" s="24"/>
      <c r="BA4" s="25">
        <f t="shared" ref="BA4:BA54" si="8">IF(AU4=0,"",(+AZ4/AU4-1))</f>
        <v>-1</v>
      </c>
      <c r="BB4" s="23">
        <f>'[1]STA MARIA'!$K4</f>
        <v>92558.307887999996</v>
      </c>
      <c r="BC4" s="18">
        <f>BB4-BD4</f>
        <v>81182.891848564803</v>
      </c>
      <c r="BD4" s="18">
        <f>+BB4*12.29%</f>
        <v>11375.416039435198</v>
      </c>
      <c r="BE4" s="18">
        <f>+BG4-BF4</f>
        <v>0</v>
      </c>
      <c r="BF4" s="18">
        <f>+BG4*2.42%</f>
        <v>0</v>
      </c>
      <c r="BG4" s="20"/>
      <c r="BH4" s="25">
        <f t="shared" ref="BH4:BH54" si="9">IF(BB4=0,"",(+BG4/BB4-1))</f>
        <v>-1</v>
      </c>
      <c r="BI4" s="23">
        <f>'[1]STA MARIA'!$L4</f>
        <v>99962.972519040006</v>
      </c>
      <c r="BJ4" s="18">
        <f>BI4-BK4</f>
        <v>87677.523196449984</v>
      </c>
      <c r="BK4" s="18">
        <f>+BI4*12.29%</f>
        <v>12285.449322590017</v>
      </c>
      <c r="BL4" s="18">
        <f>+BN4-BM4</f>
        <v>0</v>
      </c>
      <c r="BM4" s="18">
        <f>+BN4*2.42%</f>
        <v>0</v>
      </c>
      <c r="BN4" s="20"/>
      <c r="BO4" s="25">
        <f t="shared" ref="BO4:BO54" si="10">IF(BI4=0,"",(+BN4/BI4-1))</f>
        <v>-1</v>
      </c>
      <c r="BP4" s="23">
        <f>'[1]STA MARIA'!$M4</f>
        <v>99962.972519040006</v>
      </c>
      <c r="BQ4" s="18">
        <f>BP4-BR4</f>
        <v>87677.523196449984</v>
      </c>
      <c r="BR4" s="18">
        <f>+BP4*12.29%</f>
        <v>12285.449322590017</v>
      </c>
      <c r="BS4" s="18">
        <f>+BU4-BT4</f>
        <v>0</v>
      </c>
      <c r="BT4" s="18">
        <f>+BU4*2.42%</f>
        <v>0</v>
      </c>
      <c r="BU4" s="20"/>
      <c r="BV4" s="25">
        <f t="shared" ref="BV4:BV54" si="11">IF(BP4=0,"",(+BU4/BP4-1))</f>
        <v>-1</v>
      </c>
      <c r="BW4" s="23">
        <f>'[1]STA MARIA'!$N4</f>
        <v>99962.972519040006</v>
      </c>
      <c r="BX4" s="18">
        <f>BW4-BY4</f>
        <v>87677.523196449984</v>
      </c>
      <c r="BY4" s="18">
        <f>+BW4*12.29%</f>
        <v>12285.449322590017</v>
      </c>
      <c r="BZ4" s="18">
        <f>+CB4-CA4</f>
        <v>0</v>
      </c>
      <c r="CA4" s="18">
        <f>+CB4*2.42%</f>
        <v>0</v>
      </c>
      <c r="CB4" s="20"/>
      <c r="CC4" s="25">
        <f t="shared" ref="CC4:CC54" si="12">IF(BW4=0,"",(+CB4/BW4-1))</f>
        <v>-1</v>
      </c>
      <c r="CD4" s="23">
        <f>'[1]STA MARIA'!$O4</f>
        <v>99962.972519040006</v>
      </c>
      <c r="CE4" s="18">
        <f>CD4-CF4</f>
        <v>87677.523196449984</v>
      </c>
      <c r="CF4" s="18">
        <f>+CD4*12.29%</f>
        <v>12285.449322590017</v>
      </c>
      <c r="CG4" s="18">
        <f>+CI4-CH4</f>
        <v>0</v>
      </c>
      <c r="CH4" s="18">
        <f>+CI4*2.42%</f>
        <v>0</v>
      </c>
      <c r="CI4" s="20"/>
      <c r="CJ4" s="25">
        <f t="shared" ref="CJ4:CJ54" si="13">IF(CD4=0,"",(+CI4/CD4-1))</f>
        <v>-1</v>
      </c>
      <c r="CK4" s="23">
        <f>'[1]STA MARIA'!$P4</f>
        <v>99962.972519040006</v>
      </c>
      <c r="CL4" s="18">
        <f>CK4-CM4</f>
        <v>87677.523196449984</v>
      </c>
      <c r="CM4" s="18">
        <f>+CK4*12.29%</f>
        <v>12285.449322590017</v>
      </c>
      <c r="CN4" s="18">
        <f>+CP4-CO4</f>
        <v>0</v>
      </c>
      <c r="CO4" s="18">
        <f>+CP4*2.42%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80000</v>
      </c>
      <c r="C5" s="31">
        <f t="shared" si="0"/>
        <v>70168.000000000015</v>
      </c>
      <c r="D5" s="32">
        <f t="shared" si="0"/>
        <v>9832</v>
      </c>
      <c r="E5" s="30">
        <f t="shared" ref="E5:G36" si="15">+L5+S5+Z5+AG5</f>
        <v>26666.666666666668</v>
      </c>
      <c r="F5" s="33">
        <f t="shared" si="15"/>
        <v>23389.333333333336</v>
      </c>
      <c r="G5" s="34">
        <f t="shared" si="15"/>
        <v>3277.3333333333335</v>
      </c>
      <c r="H5" s="31">
        <f t="shared" si="1"/>
        <v>22453.948398</v>
      </c>
      <c r="I5" s="33">
        <f t="shared" si="1"/>
        <v>556.86160199999995</v>
      </c>
      <c r="J5" s="33">
        <f t="shared" si="1"/>
        <v>23010.809999999998</v>
      </c>
      <c r="K5" s="37">
        <f t="shared" si="2"/>
        <v>-0.13709462500000014</v>
      </c>
      <c r="L5" s="36">
        <f>'[1]STA MARIA'!$E5</f>
        <v>6666.666666666667</v>
      </c>
      <c r="M5" s="31">
        <f t="shared" ref="M5:M54" si="16">L5-N5</f>
        <v>5847.3333333333339</v>
      </c>
      <c r="N5" s="31">
        <f t="shared" ref="N5:N54" si="17">+L5*12.29%</f>
        <v>819.33333333333337</v>
      </c>
      <c r="O5" s="31">
        <f t="shared" ref="O5:O54" si="18">+Q5-P5</f>
        <v>5006.3028679999998</v>
      </c>
      <c r="P5" s="31">
        <f t="shared" ref="P5:P54" si="19">+Q5*2.42%</f>
        <v>124.157132</v>
      </c>
      <c r="Q5" s="33">
        <f>4297.7+832.76</f>
        <v>5130.46</v>
      </c>
      <c r="R5" s="37">
        <f t="shared" si="3"/>
        <v>-0.23043100000000005</v>
      </c>
      <c r="S5" s="36">
        <f>'[1]STA MARIA'!$F5</f>
        <v>6666.666666666667</v>
      </c>
      <c r="T5" s="31">
        <f t="shared" ref="T5:T54" si="20">S5-U5</f>
        <v>5847.3333333333339</v>
      </c>
      <c r="U5" s="31">
        <f t="shared" ref="U5:U54" si="21">+S5*12.29%</f>
        <v>819.33333333333337</v>
      </c>
      <c r="V5" s="31">
        <f t="shared" ref="V5:V54" si="22">+X5-W5</f>
        <v>3694.954522</v>
      </c>
      <c r="W5" s="31">
        <f t="shared" ref="W5:W54" si="23">+X5*2.42%</f>
        <v>91.635478000000006</v>
      </c>
      <c r="X5" s="33">
        <f>3786.59+0</f>
        <v>3786.59</v>
      </c>
      <c r="Y5" s="37">
        <f t="shared" si="4"/>
        <v>-0.43201149999999999</v>
      </c>
      <c r="Z5" s="36">
        <f>'[1]STA MARIA'!$G5</f>
        <v>6666.666666666667</v>
      </c>
      <c r="AA5" s="31">
        <f t="shared" ref="AA5:AA54" si="24">Z5-AB5</f>
        <v>5847.3333333333339</v>
      </c>
      <c r="AB5" s="31">
        <f t="shared" ref="AB5:AB54" si="25">+Z5*12.29%</f>
        <v>819.33333333333337</v>
      </c>
      <c r="AC5" s="31">
        <f t="shared" ref="AC5:AC54" si="26">+AE5-AD5</f>
        <v>7818.6267739999994</v>
      </c>
      <c r="AD5" s="31">
        <f t="shared" ref="AD5:AD54" si="27">+AE5*2.42%</f>
        <v>193.90322599999999</v>
      </c>
      <c r="AE5" s="33">
        <f>6666.94+1345.59</f>
        <v>8012.53</v>
      </c>
      <c r="AF5" s="37">
        <f t="shared" si="5"/>
        <v>0.20187949999999999</v>
      </c>
      <c r="AG5" s="36">
        <f>'[1]STA MARIA'!$H5</f>
        <v>6666.666666666667</v>
      </c>
      <c r="AH5" s="31">
        <f t="shared" ref="AH5:AH54" si="28">AG5-AI5</f>
        <v>5847.3333333333339</v>
      </c>
      <c r="AI5" s="31">
        <f t="shared" ref="AI5:AI54" si="29">+AG5*12.29%</f>
        <v>819.33333333333337</v>
      </c>
      <c r="AJ5" s="31">
        <f t="shared" ref="AJ5:AJ54" si="30">+AL5-AK5</f>
        <v>5934.0642339999995</v>
      </c>
      <c r="AK5" s="31">
        <f t="shared" ref="AK5:AK54" si="31">+AL5*2.42%</f>
        <v>147.16576599999999</v>
      </c>
      <c r="AL5" s="33">
        <f>6081.23</f>
        <v>6081.23</v>
      </c>
      <c r="AM5" s="37">
        <f t="shared" si="6"/>
        <v>-8.7815500000000157E-2</v>
      </c>
      <c r="AN5" s="36">
        <f>'[1]STA MARIA'!$I5</f>
        <v>6666.666666666667</v>
      </c>
      <c r="AO5" s="31">
        <f t="shared" ref="AO5:AO54" si="32">AN5-AP5</f>
        <v>5847.3333333333339</v>
      </c>
      <c r="AP5" s="31">
        <f t="shared" ref="AP5:AP54" si="33">+AN5*12.29%</f>
        <v>819.33333333333337</v>
      </c>
      <c r="AQ5" s="31">
        <f t="shared" ref="AQ5:AQ54" si="34">+AS5-AR5</f>
        <v>0</v>
      </c>
      <c r="AR5" s="31">
        <f t="shared" ref="AR5:AR54" si="35">+AS5*2.42%</f>
        <v>0</v>
      </c>
      <c r="AS5" s="33"/>
      <c r="AT5" s="37">
        <f t="shared" si="7"/>
        <v>-1</v>
      </c>
      <c r="AU5" s="36">
        <f>'[1]STA MARIA'!$J5</f>
        <v>6666.666666666667</v>
      </c>
      <c r="AV5" s="31">
        <f t="shared" ref="AV5:AV54" si="36">AU5-AW5</f>
        <v>5847.3333333333339</v>
      </c>
      <c r="AW5" s="31">
        <f t="shared" ref="AW5:AW54" si="37">+AU5*12.29%</f>
        <v>819.33333333333337</v>
      </c>
      <c r="AX5" s="31">
        <f t="shared" ref="AX5:AX54" si="38">+AZ5-AY5</f>
        <v>0</v>
      </c>
      <c r="AY5" s="31">
        <f t="shared" ref="AY5:AY54" si="39">+AZ5*2.42%</f>
        <v>0</v>
      </c>
      <c r="AZ5" s="27"/>
      <c r="BA5" s="37">
        <f t="shared" si="8"/>
        <v>-1</v>
      </c>
      <c r="BB5" s="36">
        <f>'[1]STA MARIA'!$K5</f>
        <v>6666.666666666667</v>
      </c>
      <c r="BC5" s="31">
        <f t="shared" ref="BC5:BC54" si="40">BB5-BD5</f>
        <v>5847.3333333333339</v>
      </c>
      <c r="BD5" s="31">
        <f t="shared" ref="BD5:BD54" si="41">+BB5*12.29%</f>
        <v>819.33333333333337</v>
      </c>
      <c r="BE5" s="31">
        <f t="shared" ref="BE5:BE54" si="42">+BG5-BF5</f>
        <v>0</v>
      </c>
      <c r="BF5" s="31">
        <f t="shared" ref="BF5:BF54" si="43">+BG5*2.42%</f>
        <v>0</v>
      </c>
      <c r="BG5" s="33"/>
      <c r="BH5" s="37">
        <f t="shared" si="9"/>
        <v>-1</v>
      </c>
      <c r="BI5" s="36">
        <f>'[1]STA MARIA'!$L5</f>
        <v>6666.666666666667</v>
      </c>
      <c r="BJ5" s="31">
        <f t="shared" ref="BJ5:BJ54" si="44">BI5-BK5</f>
        <v>5847.3333333333339</v>
      </c>
      <c r="BK5" s="31">
        <f t="shared" ref="BK5:BK54" si="45">+BI5*12.29%</f>
        <v>819.33333333333337</v>
      </c>
      <c r="BL5" s="31">
        <f t="shared" ref="BL5:BL54" si="46">+BN5-BM5</f>
        <v>0</v>
      </c>
      <c r="BM5" s="31">
        <f t="shared" ref="BM5:BM54" si="47">+BN5*2.42%</f>
        <v>0</v>
      </c>
      <c r="BN5" s="33"/>
      <c r="BO5" s="37">
        <f t="shared" si="10"/>
        <v>-1</v>
      </c>
      <c r="BP5" s="36">
        <f>'[1]STA MARIA'!$M5</f>
        <v>6666.666666666667</v>
      </c>
      <c r="BQ5" s="31">
        <f t="shared" ref="BQ5:BQ54" si="48">BP5-BR5</f>
        <v>5847.3333333333339</v>
      </c>
      <c r="BR5" s="31">
        <f t="shared" ref="BR5:BR54" si="49">+BP5*12.29%</f>
        <v>819.33333333333337</v>
      </c>
      <c r="BS5" s="31">
        <f t="shared" ref="BS5:BS54" si="50">+BU5-BT5</f>
        <v>0</v>
      </c>
      <c r="BT5" s="31">
        <f t="shared" ref="BT5:BT54" si="51">+BU5*2.42%</f>
        <v>0</v>
      </c>
      <c r="BU5" s="33"/>
      <c r="BV5" s="37">
        <f t="shared" si="11"/>
        <v>-1</v>
      </c>
      <c r="BW5" s="36">
        <f>'[1]STA MARIA'!$N5</f>
        <v>6666.666666666667</v>
      </c>
      <c r="BX5" s="31">
        <f t="shared" ref="BX5:BX54" si="52">BW5-BY5</f>
        <v>5847.3333333333339</v>
      </c>
      <c r="BY5" s="31">
        <f t="shared" ref="BY5:BY54" si="53">+BW5*12.29%</f>
        <v>819.33333333333337</v>
      </c>
      <c r="BZ5" s="31">
        <f t="shared" ref="BZ5:BZ54" si="54">+CB5-CA5</f>
        <v>0</v>
      </c>
      <c r="CA5" s="31">
        <f t="shared" ref="CA5:CA54" si="55">+CB5*2.42%</f>
        <v>0</v>
      </c>
      <c r="CB5" s="33"/>
      <c r="CC5" s="37">
        <f t="shared" si="12"/>
        <v>-1</v>
      </c>
      <c r="CD5" s="36">
        <f>'[1]STA MARIA'!$O5</f>
        <v>6666.666666666667</v>
      </c>
      <c r="CE5" s="31">
        <f t="shared" ref="CE5:CE54" si="56">CD5-CF5</f>
        <v>5847.3333333333339</v>
      </c>
      <c r="CF5" s="31">
        <f t="shared" ref="CF5:CF54" si="57">+CD5*12.29%</f>
        <v>819.33333333333337</v>
      </c>
      <c r="CG5" s="31">
        <f t="shared" ref="CG5:CG54" si="58">+CI5-CH5</f>
        <v>0</v>
      </c>
      <c r="CH5" s="31">
        <f t="shared" ref="CH5:CH54" si="59">+CI5*2.42%</f>
        <v>0</v>
      </c>
      <c r="CI5" s="33"/>
      <c r="CJ5" s="37">
        <f t="shared" si="13"/>
        <v>-1</v>
      </c>
      <c r="CK5" s="36">
        <f>'[1]STA MARIA'!$P5</f>
        <v>6666.666666666667</v>
      </c>
      <c r="CL5" s="31">
        <f t="shared" ref="CL5:CL54" si="60">CK5-CM5</f>
        <v>5847.3333333333339</v>
      </c>
      <c r="CM5" s="31">
        <f t="shared" ref="CM5:CM54" si="61">+CK5*12.29%</f>
        <v>819.33333333333337</v>
      </c>
      <c r="CN5" s="31">
        <f t="shared" ref="CN5:CN54" si="62">+CP5-CO5</f>
        <v>0</v>
      </c>
      <c r="CO5" s="31">
        <f t="shared" ref="CO5:CO54" si="63">+CP5*2.42%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146293.25713347201</v>
      </c>
      <c r="C6" s="31">
        <f t="shared" si="0"/>
        <v>128313.81583176833</v>
      </c>
      <c r="D6" s="32">
        <f t="shared" si="0"/>
        <v>17979.441301703708</v>
      </c>
      <c r="E6" s="30">
        <f t="shared" si="15"/>
        <v>47286.168967786667</v>
      </c>
      <c r="F6" s="33">
        <f t="shared" si="15"/>
        <v>41474.698801645689</v>
      </c>
      <c r="G6" s="34">
        <f t="shared" si="15"/>
        <v>5811.4701661409808</v>
      </c>
      <c r="H6" s="31">
        <f t="shared" si="1"/>
        <v>44586.214567999996</v>
      </c>
      <c r="I6" s="33">
        <f t="shared" si="1"/>
        <v>1105.7454319999999</v>
      </c>
      <c r="J6" s="33">
        <f t="shared" si="1"/>
        <v>45691.960000000006</v>
      </c>
      <c r="K6" s="37">
        <f t="shared" si="2"/>
        <v>-3.3714064864774795E-2</v>
      </c>
      <c r="L6" s="36">
        <f>'[1]STA MARIA'!$E6</f>
        <v>11821.542241946667</v>
      </c>
      <c r="M6" s="31">
        <f t="shared" si="16"/>
        <v>10368.674700411422</v>
      </c>
      <c r="N6" s="31">
        <f t="shared" si="17"/>
        <v>1452.8675415352452</v>
      </c>
      <c r="O6" s="31">
        <f t="shared" si="18"/>
        <v>10863.610674000001</v>
      </c>
      <c r="P6" s="31">
        <f t="shared" si="19"/>
        <v>269.41932600000001</v>
      </c>
      <c r="Q6" s="33">
        <v>11133.03</v>
      </c>
      <c r="R6" s="37">
        <f t="shared" si="3"/>
        <v>-5.8242167380124221E-2</v>
      </c>
      <c r="S6" s="36">
        <f>'[1]STA MARIA'!$F6</f>
        <v>11821.542241946667</v>
      </c>
      <c r="T6" s="31">
        <f t="shared" si="20"/>
        <v>10368.674700411422</v>
      </c>
      <c r="U6" s="31">
        <f t="shared" si="21"/>
        <v>1452.8675415352452</v>
      </c>
      <c r="V6" s="31">
        <f t="shared" si="22"/>
        <v>10782.794918</v>
      </c>
      <c r="W6" s="31">
        <f t="shared" si="23"/>
        <v>267.41508199999998</v>
      </c>
      <c r="X6" s="33">
        <v>11050.21</v>
      </c>
      <c r="Y6" s="37">
        <f t="shared" si="4"/>
        <v>-6.5248021464553996E-2</v>
      </c>
      <c r="Z6" s="36">
        <f>'[1]STA MARIA'!$G6</f>
        <v>11821.542241946667</v>
      </c>
      <c r="AA6" s="31">
        <f t="shared" si="24"/>
        <v>10368.674700411422</v>
      </c>
      <c r="AB6" s="31">
        <f t="shared" si="25"/>
        <v>1452.8675415352452</v>
      </c>
      <c r="AC6" s="31">
        <f t="shared" si="26"/>
        <v>12641.684160000001</v>
      </c>
      <c r="AD6" s="31">
        <f t="shared" si="27"/>
        <v>313.51584000000003</v>
      </c>
      <c r="AE6" s="33">
        <v>12955.2</v>
      </c>
      <c r="AF6" s="37">
        <f t="shared" si="5"/>
        <v>9.5897619350438834E-2</v>
      </c>
      <c r="AG6" s="36">
        <f>'[1]STA MARIA'!$H6</f>
        <v>11821.542241946667</v>
      </c>
      <c r="AH6" s="31">
        <f t="shared" si="28"/>
        <v>10368.674700411422</v>
      </c>
      <c r="AI6" s="31">
        <f t="shared" si="29"/>
        <v>1452.8675415352452</v>
      </c>
      <c r="AJ6" s="31">
        <f t="shared" si="30"/>
        <v>10298.124816</v>
      </c>
      <c r="AK6" s="31">
        <f t="shared" si="31"/>
        <v>255.395184</v>
      </c>
      <c r="AL6" s="33">
        <f>10553.52</f>
        <v>10553.52</v>
      </c>
      <c r="AM6" s="37">
        <f t="shared" si="6"/>
        <v>-0.10726368996486024</v>
      </c>
      <c r="AN6" s="36">
        <f>'[1]STA MARIA'!$I6</f>
        <v>11821.542241946667</v>
      </c>
      <c r="AO6" s="31">
        <f t="shared" si="32"/>
        <v>10368.674700411422</v>
      </c>
      <c r="AP6" s="31">
        <f t="shared" si="33"/>
        <v>1452.8675415352452</v>
      </c>
      <c r="AQ6" s="31">
        <f t="shared" si="34"/>
        <v>0</v>
      </c>
      <c r="AR6" s="31">
        <f t="shared" si="35"/>
        <v>0</v>
      </c>
      <c r="AS6" s="33"/>
      <c r="AT6" s="37">
        <f t="shared" si="7"/>
        <v>-1</v>
      </c>
      <c r="AU6" s="36">
        <f>'[1]STA MARIA'!$J6</f>
        <v>11821.542241946667</v>
      </c>
      <c r="AV6" s="31">
        <f t="shared" si="36"/>
        <v>10368.674700411422</v>
      </c>
      <c r="AW6" s="31">
        <f t="shared" si="37"/>
        <v>1452.8675415352452</v>
      </c>
      <c r="AX6" s="31">
        <f t="shared" si="38"/>
        <v>0</v>
      </c>
      <c r="AY6" s="31">
        <f t="shared" si="39"/>
        <v>0</v>
      </c>
      <c r="AZ6" s="27"/>
      <c r="BA6" s="37">
        <f t="shared" si="8"/>
        <v>-1</v>
      </c>
      <c r="BB6" s="36">
        <f>'[1]STA MARIA'!$K6</f>
        <v>11821.542241946667</v>
      </c>
      <c r="BC6" s="31">
        <f t="shared" si="40"/>
        <v>10368.674700411422</v>
      </c>
      <c r="BD6" s="31">
        <f t="shared" si="41"/>
        <v>1452.8675415352452</v>
      </c>
      <c r="BE6" s="31">
        <f t="shared" si="42"/>
        <v>0</v>
      </c>
      <c r="BF6" s="31">
        <f t="shared" si="43"/>
        <v>0</v>
      </c>
      <c r="BG6" s="33"/>
      <c r="BH6" s="37">
        <f t="shared" si="9"/>
        <v>-1</v>
      </c>
      <c r="BI6" s="36">
        <f>'[1]STA MARIA'!$L6</f>
        <v>12708.492287969068</v>
      </c>
      <c r="BJ6" s="31">
        <f t="shared" si="44"/>
        <v>11146.618585777669</v>
      </c>
      <c r="BK6" s="31">
        <f t="shared" si="45"/>
        <v>1561.8737021913983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'[1]STA MARIA'!$M6</f>
        <v>12708.492287969068</v>
      </c>
      <c r="BQ6" s="31">
        <f t="shared" si="48"/>
        <v>11146.618585777669</v>
      </c>
      <c r="BR6" s="31">
        <f t="shared" si="49"/>
        <v>1561.8737021913983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'[1]STA MARIA'!$N6</f>
        <v>12708.492287969068</v>
      </c>
      <c r="BX6" s="31">
        <f t="shared" si="52"/>
        <v>11146.618585777669</v>
      </c>
      <c r="BY6" s="31">
        <f t="shared" si="53"/>
        <v>1561.8737021913983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'[1]STA MARIA'!$O6</f>
        <v>12708.492287969068</v>
      </c>
      <c r="CE6" s="31">
        <f t="shared" si="56"/>
        <v>11146.618585777669</v>
      </c>
      <c r="CF6" s="31">
        <f t="shared" si="57"/>
        <v>1561.8737021913983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'[1]STA MARIA'!$P6</f>
        <v>12708.492287969068</v>
      </c>
      <c r="CL6" s="31">
        <f t="shared" si="60"/>
        <v>11146.618585777669</v>
      </c>
      <c r="CM6" s="31">
        <f t="shared" si="61"/>
        <v>1561.8737021913983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113503.38915527999</v>
      </c>
      <c r="C7" s="31">
        <f t="shared" si="0"/>
        <v>99553.822628096081</v>
      </c>
      <c r="D7" s="32">
        <f t="shared" si="0"/>
        <v>13949.566527183913</v>
      </c>
      <c r="E7" s="30">
        <f t="shared" si="15"/>
        <v>36687.544888799996</v>
      </c>
      <c r="F7" s="33">
        <f t="shared" si="15"/>
        <v>32178.645621966476</v>
      </c>
      <c r="G7" s="34">
        <f t="shared" si="15"/>
        <v>4508.8992668335195</v>
      </c>
      <c r="H7" s="31">
        <f t="shared" si="1"/>
        <v>28188.968948000002</v>
      </c>
      <c r="I7" s="33">
        <f t="shared" si="1"/>
        <v>699.09105199999999</v>
      </c>
      <c r="J7" s="33">
        <f t="shared" si="1"/>
        <v>28888.06</v>
      </c>
      <c r="K7" s="37">
        <f t="shared" si="2"/>
        <v>-0.21259217296878941</v>
      </c>
      <c r="L7" s="36">
        <f>'[1]STA MARIA'!$E7</f>
        <v>9171.8862221999989</v>
      </c>
      <c r="M7" s="31">
        <f t="shared" si="16"/>
        <v>8044.661405491619</v>
      </c>
      <c r="N7" s="31">
        <f t="shared" si="17"/>
        <v>1127.2248167083799</v>
      </c>
      <c r="O7" s="31">
        <f t="shared" si="18"/>
        <v>7279.7900140000002</v>
      </c>
      <c r="P7" s="31">
        <f t="shared" si="19"/>
        <v>180.539986</v>
      </c>
      <c r="Q7" s="33">
        <v>7460.33</v>
      </c>
      <c r="R7" s="37">
        <f t="shared" si="3"/>
        <v>-0.18660896796313065</v>
      </c>
      <c r="S7" s="36">
        <f>'[1]STA MARIA'!$F7</f>
        <v>9171.8862221999989</v>
      </c>
      <c r="T7" s="31">
        <f t="shared" si="20"/>
        <v>8044.661405491619</v>
      </c>
      <c r="U7" s="31">
        <f t="shared" si="21"/>
        <v>1127.2248167083799</v>
      </c>
      <c r="V7" s="31">
        <f t="shared" si="22"/>
        <v>6948.8864760000006</v>
      </c>
      <c r="W7" s="31">
        <f t="shared" si="23"/>
        <v>172.33352400000001</v>
      </c>
      <c r="X7" s="33">
        <f>7121.22</f>
        <v>7121.22</v>
      </c>
      <c r="Y7" s="37">
        <f t="shared" si="4"/>
        <v>-0.22358173362819134</v>
      </c>
      <c r="Z7" s="36">
        <f>'[1]STA MARIA'!$G7</f>
        <v>9171.8862221999989</v>
      </c>
      <c r="AA7" s="31">
        <f t="shared" si="24"/>
        <v>8044.661405491619</v>
      </c>
      <c r="AB7" s="31">
        <f t="shared" si="25"/>
        <v>1127.2248167083799</v>
      </c>
      <c r="AC7" s="31">
        <f t="shared" si="26"/>
        <v>7122.7350040000001</v>
      </c>
      <c r="AD7" s="31">
        <f t="shared" si="27"/>
        <v>176.64499599999999</v>
      </c>
      <c r="AE7" s="33">
        <v>7299.38</v>
      </c>
      <c r="AF7" s="37">
        <f t="shared" si="5"/>
        <v>-0.20415715773574583</v>
      </c>
      <c r="AG7" s="36">
        <f>'[1]STA MARIA'!$H7</f>
        <v>9171.8862221999989</v>
      </c>
      <c r="AH7" s="31">
        <f t="shared" si="28"/>
        <v>8044.661405491619</v>
      </c>
      <c r="AI7" s="31">
        <f t="shared" si="29"/>
        <v>1127.2248167083799</v>
      </c>
      <c r="AJ7" s="31">
        <f t="shared" si="30"/>
        <v>6837.5574539999998</v>
      </c>
      <c r="AK7" s="31">
        <f t="shared" si="31"/>
        <v>169.57254599999999</v>
      </c>
      <c r="AL7" s="33">
        <f>7007.13</f>
        <v>7007.13</v>
      </c>
      <c r="AM7" s="37">
        <f t="shared" si="6"/>
        <v>-0.23602083254808992</v>
      </c>
      <c r="AN7" s="36">
        <f>'[1]STA MARIA'!$I7</f>
        <v>9171.8862221999989</v>
      </c>
      <c r="AO7" s="31">
        <f t="shared" si="32"/>
        <v>8044.661405491619</v>
      </c>
      <c r="AP7" s="31">
        <f t="shared" si="33"/>
        <v>1127.2248167083799</v>
      </c>
      <c r="AQ7" s="31">
        <f t="shared" si="34"/>
        <v>0</v>
      </c>
      <c r="AR7" s="31">
        <f t="shared" si="35"/>
        <v>0</v>
      </c>
      <c r="AS7" s="33"/>
      <c r="AT7" s="37">
        <f t="shared" si="7"/>
        <v>-1</v>
      </c>
      <c r="AU7" s="36">
        <f>'[1]STA MARIA'!$J7</f>
        <v>9171.8862221999989</v>
      </c>
      <c r="AV7" s="31">
        <f t="shared" si="36"/>
        <v>8044.661405491619</v>
      </c>
      <c r="AW7" s="31">
        <f t="shared" si="37"/>
        <v>1127.2248167083799</v>
      </c>
      <c r="AX7" s="31">
        <f t="shared" si="38"/>
        <v>0</v>
      </c>
      <c r="AY7" s="31">
        <f t="shared" si="39"/>
        <v>0</v>
      </c>
      <c r="AZ7" s="27"/>
      <c r="BA7" s="37">
        <f t="shared" si="8"/>
        <v>-1</v>
      </c>
      <c r="BB7" s="36">
        <f>'[1]STA MARIA'!$K7</f>
        <v>9171.8862221999989</v>
      </c>
      <c r="BC7" s="31">
        <f t="shared" si="40"/>
        <v>8044.661405491619</v>
      </c>
      <c r="BD7" s="31">
        <f t="shared" si="41"/>
        <v>1127.2248167083799</v>
      </c>
      <c r="BE7" s="31">
        <f t="shared" si="42"/>
        <v>0</v>
      </c>
      <c r="BF7" s="31">
        <f t="shared" si="43"/>
        <v>0</v>
      </c>
      <c r="BG7" s="33"/>
      <c r="BH7" s="37">
        <f t="shared" si="9"/>
        <v>-1</v>
      </c>
      <c r="BI7" s="36">
        <f>'[1]STA MARIA'!$L7</f>
        <v>9860.0371199759993</v>
      </c>
      <c r="BJ7" s="31">
        <f t="shared" si="44"/>
        <v>8648.2385579309484</v>
      </c>
      <c r="BK7" s="31">
        <f t="shared" si="45"/>
        <v>1211.7985620450502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'[1]STA MARIA'!$M7</f>
        <v>9860.0371199759993</v>
      </c>
      <c r="BQ7" s="31">
        <f t="shared" si="48"/>
        <v>8648.2385579309484</v>
      </c>
      <c r="BR7" s="31">
        <f t="shared" si="49"/>
        <v>1211.7985620450502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'[1]STA MARIA'!$N7</f>
        <v>9860.0371199759993</v>
      </c>
      <c r="BX7" s="31">
        <f t="shared" si="52"/>
        <v>8648.2385579309484</v>
      </c>
      <c r="BY7" s="31">
        <f t="shared" si="53"/>
        <v>1211.7985620450502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'[1]STA MARIA'!$O7</f>
        <v>9860.0371199759993</v>
      </c>
      <c r="CE7" s="31">
        <f t="shared" si="56"/>
        <v>8648.2385579309484</v>
      </c>
      <c r="CF7" s="31">
        <f t="shared" si="57"/>
        <v>1211.7985620450502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'[1]STA MARIA'!$P7</f>
        <v>9860.0371199759993</v>
      </c>
      <c r="CL7" s="31">
        <f t="shared" si="60"/>
        <v>8648.2385579309484</v>
      </c>
      <c r="CM7" s="31">
        <f t="shared" si="61"/>
        <v>1211.7985620450502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102185.64256599134</v>
      </c>
      <c r="C8" s="31">
        <f t="shared" si="0"/>
        <v>89627.027094631005</v>
      </c>
      <c r="D8" s="32">
        <f t="shared" si="0"/>
        <v>12558.615471360336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'[1]STA MARIA'!$E8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'[1]STA MARIA'!$F8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'[1]STA MARIA'!$G8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'[1]STA MARIA'!$H8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33"/>
      <c r="AM8" s="37" t="str">
        <f t="shared" si="6"/>
        <v/>
      </c>
      <c r="AN8" s="36">
        <f>'[1]STA MARIA'!$I8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7"/>
        <v/>
      </c>
      <c r="AU8" s="36">
        <f>'[1]STA MARIA'!$J8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27"/>
      <c r="BA8" s="37" t="str">
        <f t="shared" si="8"/>
        <v/>
      </c>
      <c r="BB8" s="36">
        <f>'[1]STA MARIA'!$K8</f>
        <v>102185.64256599134</v>
      </c>
      <c r="BC8" s="31">
        <f t="shared" si="40"/>
        <v>89627.027094631005</v>
      </c>
      <c r="BD8" s="31">
        <f t="shared" si="41"/>
        <v>12558.615471360336</v>
      </c>
      <c r="BE8" s="31">
        <f t="shared" si="42"/>
        <v>0</v>
      </c>
      <c r="BF8" s="31">
        <f t="shared" si="43"/>
        <v>0</v>
      </c>
      <c r="BG8" s="33"/>
      <c r="BH8" s="37">
        <f t="shared" si="9"/>
        <v>-1</v>
      </c>
      <c r="BI8" s="36">
        <f>'[1]STA MARIA'!$L8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'[1]STA MARIA'!$M8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'[1]STA MARIA'!$N8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'[1]STA MARIA'!$O8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'[1]STA MARIA'!$P8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71155.341037696009</v>
      </c>
      <c r="C9" s="31">
        <f t="shared" si="0"/>
        <v>62410.349624163173</v>
      </c>
      <c r="D9" s="32">
        <f t="shared" si="0"/>
        <v>8744.9914135328381</v>
      </c>
      <c r="E9" s="30">
        <f t="shared" si="15"/>
        <v>22999.443345493335</v>
      </c>
      <c r="F9" s="33">
        <f t="shared" si="15"/>
        <v>20172.811758332205</v>
      </c>
      <c r="G9" s="34">
        <f t="shared" si="15"/>
        <v>2826.6315871611309</v>
      </c>
      <c r="H9" s="31">
        <f t="shared" si="1"/>
        <v>19157.022696</v>
      </c>
      <c r="I9" s="33">
        <f t="shared" si="1"/>
        <v>475.09730400000001</v>
      </c>
      <c r="J9" s="33">
        <f t="shared" si="1"/>
        <v>19632.12</v>
      </c>
      <c r="K9" s="37">
        <f t="shared" si="2"/>
        <v>-0.14640890629003644</v>
      </c>
      <c r="L9" s="36">
        <f>'[1]STA MARIA'!$E9</f>
        <v>5749.8608363733338</v>
      </c>
      <c r="M9" s="31">
        <f t="shared" si="16"/>
        <v>5043.2029395830514</v>
      </c>
      <c r="N9" s="31">
        <f t="shared" si="17"/>
        <v>706.65789679028273</v>
      </c>
      <c r="O9" s="31">
        <f t="shared" si="18"/>
        <v>5639.597068</v>
      </c>
      <c r="P9" s="31">
        <f t="shared" si="19"/>
        <v>139.862932</v>
      </c>
      <c r="Q9" s="33">
        <f>5779.46</f>
        <v>5779.46</v>
      </c>
      <c r="R9" s="37">
        <f t="shared" si="3"/>
        <v>5.1478052198103974E-3</v>
      </c>
      <c r="S9" s="36">
        <f>'[1]STA MARIA'!$F9</f>
        <v>5749.8608363733338</v>
      </c>
      <c r="T9" s="31">
        <f t="shared" si="20"/>
        <v>5043.2029395830514</v>
      </c>
      <c r="U9" s="31">
        <f t="shared" si="21"/>
        <v>706.65789679028273</v>
      </c>
      <c r="V9" s="31">
        <f t="shared" si="22"/>
        <v>9766.1772039999996</v>
      </c>
      <c r="W9" s="31">
        <f t="shared" si="23"/>
        <v>242.20279599999998</v>
      </c>
      <c r="X9" s="33">
        <f>10008.38</f>
        <v>10008.379999999999</v>
      </c>
      <c r="Y9" s="37">
        <f t="shared" si="4"/>
        <v>0.74062995345687055</v>
      </c>
      <c r="Z9" s="36">
        <f>'[1]STA MARIA'!$G9</f>
        <v>5749.8608363733338</v>
      </c>
      <c r="AA9" s="31">
        <f t="shared" si="24"/>
        <v>5043.2029395830514</v>
      </c>
      <c r="AB9" s="31">
        <f t="shared" si="25"/>
        <v>706.65789679028273</v>
      </c>
      <c r="AC9" s="31">
        <f t="shared" si="26"/>
        <v>0</v>
      </c>
      <c r="AD9" s="31">
        <f t="shared" si="27"/>
        <v>0</v>
      </c>
      <c r="AE9" s="33"/>
      <c r="AF9" s="37">
        <f t="shared" si="5"/>
        <v>-1</v>
      </c>
      <c r="AG9" s="36">
        <f>'[1]STA MARIA'!$H9</f>
        <v>5749.8608363733338</v>
      </c>
      <c r="AH9" s="31">
        <f t="shared" si="28"/>
        <v>5043.2029395830514</v>
      </c>
      <c r="AI9" s="31">
        <f t="shared" si="29"/>
        <v>706.65789679028273</v>
      </c>
      <c r="AJ9" s="31">
        <f t="shared" si="30"/>
        <v>3751.2484240000003</v>
      </c>
      <c r="AK9" s="31">
        <f t="shared" si="31"/>
        <v>93.031576000000001</v>
      </c>
      <c r="AL9" s="33">
        <f>3844.28</f>
        <v>3844.28</v>
      </c>
      <c r="AM9" s="37">
        <f t="shared" si="6"/>
        <v>-0.33141338383682684</v>
      </c>
      <c r="AN9" s="36">
        <f>'[1]STA MARIA'!$I9</f>
        <v>5749.8608363733338</v>
      </c>
      <c r="AO9" s="31">
        <f t="shared" si="32"/>
        <v>5043.2029395830514</v>
      </c>
      <c r="AP9" s="31">
        <f t="shared" si="33"/>
        <v>706.65789679028273</v>
      </c>
      <c r="AQ9" s="31">
        <f t="shared" si="34"/>
        <v>0</v>
      </c>
      <c r="AR9" s="31">
        <f t="shared" si="35"/>
        <v>0</v>
      </c>
      <c r="AS9" s="33"/>
      <c r="AT9" s="37">
        <f t="shared" si="7"/>
        <v>-1</v>
      </c>
      <c r="AU9" s="36">
        <f>'[1]STA MARIA'!$J9</f>
        <v>5749.8608363733338</v>
      </c>
      <c r="AV9" s="31">
        <f t="shared" si="36"/>
        <v>5043.2029395830514</v>
      </c>
      <c r="AW9" s="31">
        <f t="shared" si="37"/>
        <v>706.65789679028273</v>
      </c>
      <c r="AX9" s="31">
        <f t="shared" si="38"/>
        <v>0</v>
      </c>
      <c r="AY9" s="31">
        <f t="shared" si="39"/>
        <v>0</v>
      </c>
      <c r="AZ9" s="27"/>
      <c r="BA9" s="37">
        <f t="shared" si="8"/>
        <v>-1</v>
      </c>
      <c r="BB9" s="36">
        <f>'[1]STA MARIA'!$K9</f>
        <v>5749.8608363733338</v>
      </c>
      <c r="BC9" s="31">
        <f t="shared" si="40"/>
        <v>5043.2029395830514</v>
      </c>
      <c r="BD9" s="31">
        <f t="shared" si="41"/>
        <v>706.65789679028273</v>
      </c>
      <c r="BE9" s="31">
        <f t="shared" si="42"/>
        <v>0</v>
      </c>
      <c r="BF9" s="31">
        <f t="shared" si="43"/>
        <v>0</v>
      </c>
      <c r="BG9" s="33"/>
      <c r="BH9" s="37">
        <f t="shared" si="9"/>
        <v>-1</v>
      </c>
      <c r="BI9" s="36">
        <f>'[1]STA MARIA'!$L9</f>
        <v>6181.263036616534</v>
      </c>
      <c r="BJ9" s="31">
        <f t="shared" si="44"/>
        <v>5421.5858094163623</v>
      </c>
      <c r="BK9" s="31">
        <f t="shared" si="45"/>
        <v>759.67722720017196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'[1]STA MARIA'!$M9</f>
        <v>6181.263036616534</v>
      </c>
      <c r="BQ9" s="31">
        <f t="shared" si="48"/>
        <v>5421.5858094163623</v>
      </c>
      <c r="BR9" s="31">
        <f t="shared" si="49"/>
        <v>759.67722720017196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'[1]STA MARIA'!$N9</f>
        <v>6181.263036616534</v>
      </c>
      <c r="BX9" s="31">
        <f t="shared" si="52"/>
        <v>5421.5858094163623</v>
      </c>
      <c r="BY9" s="31">
        <f t="shared" si="53"/>
        <v>759.67722720017196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'[1]STA MARIA'!$O9</f>
        <v>6181.263036616534</v>
      </c>
      <c r="CE9" s="31">
        <f t="shared" si="56"/>
        <v>5421.5858094163623</v>
      </c>
      <c r="CF9" s="31">
        <f t="shared" si="57"/>
        <v>759.67722720017196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'[1]STA MARIA'!$P9</f>
        <v>6181.263036616534</v>
      </c>
      <c r="CL9" s="31">
        <f t="shared" si="60"/>
        <v>5421.5858094163623</v>
      </c>
      <c r="CM9" s="31">
        <f t="shared" si="61"/>
        <v>759.67722720017196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120000</v>
      </c>
      <c r="C10" s="31">
        <f t="shared" si="0"/>
        <v>105252</v>
      </c>
      <c r="D10" s="32">
        <f t="shared" si="0"/>
        <v>14748</v>
      </c>
      <c r="E10" s="30">
        <f t="shared" si="15"/>
        <v>40000</v>
      </c>
      <c r="F10" s="33">
        <f t="shared" si="15"/>
        <v>35084</v>
      </c>
      <c r="G10" s="34">
        <f t="shared" si="15"/>
        <v>4916</v>
      </c>
      <c r="H10" s="31">
        <f t="shared" si="1"/>
        <v>43985.209589999999</v>
      </c>
      <c r="I10" s="33">
        <f t="shared" si="1"/>
        <v>1090.84041</v>
      </c>
      <c r="J10" s="33">
        <f t="shared" si="1"/>
        <v>45076.05</v>
      </c>
      <c r="K10" s="37">
        <f t="shared" si="2"/>
        <v>0.12690124999999997</v>
      </c>
      <c r="L10" s="36">
        <f>'[1]STA MARIA'!$E10</f>
        <v>10000</v>
      </c>
      <c r="M10" s="31">
        <f t="shared" si="16"/>
        <v>8771</v>
      </c>
      <c r="N10" s="31">
        <f t="shared" si="17"/>
        <v>1229</v>
      </c>
      <c r="O10" s="31">
        <f t="shared" si="18"/>
        <v>10009.317289999999</v>
      </c>
      <c r="P10" s="31">
        <f t="shared" si="19"/>
        <v>248.23270999999997</v>
      </c>
      <c r="Q10" s="33">
        <f>1800+8457.55</f>
        <v>10257.549999999999</v>
      </c>
      <c r="R10" s="37">
        <f t="shared" si="3"/>
        <v>2.5754999999999972E-2</v>
      </c>
      <c r="S10" s="36">
        <f>'[1]STA MARIA'!$F10</f>
        <v>10000</v>
      </c>
      <c r="T10" s="31">
        <f t="shared" si="20"/>
        <v>8771</v>
      </c>
      <c r="U10" s="31">
        <f t="shared" si="21"/>
        <v>1229</v>
      </c>
      <c r="V10" s="31">
        <f t="shared" si="22"/>
        <v>8386.6204379999999</v>
      </c>
      <c r="W10" s="31">
        <f t="shared" si="23"/>
        <v>207.98956200000001</v>
      </c>
      <c r="X10" s="33">
        <f>8594.61</f>
        <v>8594.61</v>
      </c>
      <c r="Y10" s="37">
        <f t="shared" si="4"/>
        <v>-0.14053899999999997</v>
      </c>
      <c r="Z10" s="36">
        <f>'[1]STA MARIA'!$G10</f>
        <v>10000</v>
      </c>
      <c r="AA10" s="31">
        <f t="shared" si="24"/>
        <v>8771</v>
      </c>
      <c r="AB10" s="31">
        <f t="shared" si="25"/>
        <v>1229</v>
      </c>
      <c r="AC10" s="31">
        <f t="shared" si="26"/>
        <v>8044.0268160000005</v>
      </c>
      <c r="AD10" s="31">
        <f t="shared" si="27"/>
        <v>199.49318400000001</v>
      </c>
      <c r="AE10" s="33">
        <f>450+7793.52</f>
        <v>8243.52</v>
      </c>
      <c r="AF10" s="37">
        <f t="shared" si="5"/>
        <v>-0.17564799999999992</v>
      </c>
      <c r="AG10" s="36">
        <f>'[1]STA MARIA'!$H10</f>
        <v>10000</v>
      </c>
      <c r="AH10" s="31">
        <f t="shared" si="28"/>
        <v>8771</v>
      </c>
      <c r="AI10" s="31">
        <f t="shared" si="29"/>
        <v>1229</v>
      </c>
      <c r="AJ10" s="31">
        <f t="shared" si="30"/>
        <v>17545.245046000004</v>
      </c>
      <c r="AK10" s="31">
        <f t="shared" si="31"/>
        <v>435.12495400000006</v>
      </c>
      <c r="AL10" s="33">
        <f>4200+1200+400+12180.37</f>
        <v>17980.370000000003</v>
      </c>
      <c r="AM10" s="37">
        <f t="shared" si="6"/>
        <v>0.79803700000000033</v>
      </c>
      <c r="AN10" s="36">
        <f>'[1]STA MARIA'!$I10</f>
        <v>10000</v>
      </c>
      <c r="AO10" s="31">
        <f t="shared" si="32"/>
        <v>8771</v>
      </c>
      <c r="AP10" s="31">
        <f t="shared" si="33"/>
        <v>1229</v>
      </c>
      <c r="AQ10" s="31">
        <f t="shared" si="34"/>
        <v>0</v>
      </c>
      <c r="AR10" s="31">
        <f t="shared" si="35"/>
        <v>0</v>
      </c>
      <c r="AS10" s="33"/>
      <c r="AT10" s="37">
        <f t="shared" si="7"/>
        <v>-1</v>
      </c>
      <c r="AU10" s="36">
        <f>'[1]STA MARIA'!$J10</f>
        <v>10000</v>
      </c>
      <c r="AV10" s="31">
        <f t="shared" si="36"/>
        <v>8771</v>
      </c>
      <c r="AW10" s="31">
        <f t="shared" si="37"/>
        <v>1229</v>
      </c>
      <c r="AX10" s="31">
        <f t="shared" si="38"/>
        <v>0</v>
      </c>
      <c r="AY10" s="31">
        <f t="shared" si="39"/>
        <v>0</v>
      </c>
      <c r="AZ10" s="27"/>
      <c r="BA10" s="37">
        <f t="shared" si="8"/>
        <v>-1</v>
      </c>
      <c r="BB10" s="36">
        <f>'[1]STA MARIA'!$K10</f>
        <v>10000</v>
      </c>
      <c r="BC10" s="31">
        <f t="shared" si="40"/>
        <v>8771</v>
      </c>
      <c r="BD10" s="31">
        <f t="shared" si="41"/>
        <v>1229</v>
      </c>
      <c r="BE10" s="31">
        <f t="shared" si="42"/>
        <v>0</v>
      </c>
      <c r="BF10" s="31">
        <f t="shared" si="43"/>
        <v>0</v>
      </c>
      <c r="BG10" s="33"/>
      <c r="BH10" s="37">
        <f t="shared" si="9"/>
        <v>-1</v>
      </c>
      <c r="BI10" s="36">
        <f>'[1]STA MARIA'!$L10</f>
        <v>10000</v>
      </c>
      <c r="BJ10" s="31">
        <f t="shared" si="44"/>
        <v>8771</v>
      </c>
      <c r="BK10" s="31">
        <f t="shared" si="45"/>
        <v>1229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'[1]STA MARIA'!$M10</f>
        <v>10000</v>
      </c>
      <c r="BQ10" s="31">
        <f t="shared" si="48"/>
        <v>8771</v>
      </c>
      <c r="BR10" s="31">
        <f t="shared" si="49"/>
        <v>1229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'[1]STA MARIA'!$N10</f>
        <v>10000</v>
      </c>
      <c r="BX10" s="31">
        <f t="shared" si="52"/>
        <v>8771</v>
      </c>
      <c r="BY10" s="31">
        <f t="shared" si="53"/>
        <v>1229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'[1]STA MARIA'!$O10</f>
        <v>10000</v>
      </c>
      <c r="CE10" s="31">
        <f t="shared" si="56"/>
        <v>8771</v>
      </c>
      <c r="CF10" s="31">
        <f t="shared" si="57"/>
        <v>1229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'[1]STA MARIA'!$P10</f>
        <v>10000</v>
      </c>
      <c r="CL10" s="31">
        <f t="shared" si="60"/>
        <v>8771</v>
      </c>
      <c r="CM10" s="31">
        <f t="shared" si="61"/>
        <v>1229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62050.878049999999</v>
      </c>
      <c r="I11" s="33">
        <f t="shared" si="1"/>
        <v>1538.8719499999997</v>
      </c>
      <c r="J11" s="33">
        <f t="shared" si="1"/>
        <v>63589.75</v>
      </c>
      <c r="K11" s="37" t="str">
        <f t="shared" si="2"/>
        <v/>
      </c>
      <c r="L11" s="36">
        <f>'[1]STA MARIA'!$E11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'[1]STA MARIA'!$F11</f>
        <v>0</v>
      </c>
      <c r="T11" s="31">
        <f t="shared" si="20"/>
        <v>0</v>
      </c>
      <c r="U11" s="31">
        <f t="shared" si="21"/>
        <v>0</v>
      </c>
      <c r="V11" s="31">
        <f t="shared" si="22"/>
        <v>20120.137296000001</v>
      </c>
      <c r="W11" s="31">
        <f t="shared" si="23"/>
        <v>498.98270399999996</v>
      </c>
      <c r="X11" s="33">
        <f>20619.12</f>
        <v>20619.12</v>
      </c>
      <c r="Y11" s="37" t="str">
        <f t="shared" si="4"/>
        <v/>
      </c>
      <c r="Z11" s="36">
        <f>'[1]STA MARIA'!$G11</f>
        <v>0</v>
      </c>
      <c r="AA11" s="31">
        <f t="shared" si="24"/>
        <v>0</v>
      </c>
      <c r="AB11" s="31">
        <f t="shared" si="25"/>
        <v>0</v>
      </c>
      <c r="AC11" s="31">
        <f t="shared" si="26"/>
        <v>39006.463314000001</v>
      </c>
      <c r="AD11" s="31">
        <f t="shared" si="27"/>
        <v>967.36668599999996</v>
      </c>
      <c r="AE11" s="33">
        <f>39973.83</f>
        <v>39973.83</v>
      </c>
      <c r="AF11" s="37" t="str">
        <f t="shared" si="5"/>
        <v/>
      </c>
      <c r="AG11" s="36">
        <f>'[1]STA MARIA'!$H11</f>
        <v>0</v>
      </c>
      <c r="AH11" s="31">
        <f t="shared" si="28"/>
        <v>0</v>
      </c>
      <c r="AI11" s="31">
        <f t="shared" si="29"/>
        <v>0</v>
      </c>
      <c r="AJ11" s="31">
        <f t="shared" si="30"/>
        <v>2924.2774400000003</v>
      </c>
      <c r="AK11" s="31">
        <f t="shared" si="31"/>
        <v>72.522559999999999</v>
      </c>
      <c r="AL11" s="33">
        <f>176.77+2820.03</f>
        <v>2996.8</v>
      </c>
      <c r="AM11" s="37" t="str">
        <f t="shared" si="6"/>
        <v/>
      </c>
      <c r="AN11" s="36">
        <f>'[1]STA MARIA'!$I11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7"/>
        <v/>
      </c>
      <c r="AU11" s="36">
        <f>'[1]STA MARIA'!$J11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33"/>
      <c r="BA11" s="37" t="str">
        <f t="shared" si="8"/>
        <v/>
      </c>
      <c r="BB11" s="36">
        <f>'[1]STA MARIA'!$K11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33"/>
      <c r="BH11" s="37" t="str">
        <f t="shared" si="9"/>
        <v/>
      </c>
      <c r="BI11" s="36">
        <f>'[1]STA MARIA'!$L11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'[1]STA MARIA'!$M11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'[1]STA MARIA'!$N11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'[1]STA MARIA'!$O11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'[1]STA MARIA'!$P11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9245.9294339999997</v>
      </c>
      <c r="I12" s="33">
        <f t="shared" si="1"/>
        <v>229.30056599999998</v>
      </c>
      <c r="J12" s="33">
        <f t="shared" si="1"/>
        <v>9475.23</v>
      </c>
      <c r="K12" s="37">
        <f t="shared" si="2"/>
        <v>-0.23709903381642516</v>
      </c>
      <c r="L12" s="36">
        <f>'[1]STA MARIA'!$E12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2824.8434200000002</v>
      </c>
      <c r="P12" s="31">
        <f t="shared" si="19"/>
        <v>70.056579999999997</v>
      </c>
      <c r="Q12" s="33">
        <f>2894.9</f>
        <v>2894.9</v>
      </c>
      <c r="R12" s="37">
        <f t="shared" si="3"/>
        <v>-6.766505636070852E-2</v>
      </c>
      <c r="S12" s="36">
        <f>'[1]STA MARIA'!$F12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0</v>
      </c>
      <c r="W12" s="31">
        <f t="shared" si="23"/>
        <v>0</v>
      </c>
      <c r="X12" s="33"/>
      <c r="Y12" s="37">
        <f t="shared" si="4"/>
        <v>-1</v>
      </c>
      <c r="Z12" s="36">
        <f>'[1]STA MARIA'!$G12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3027.66345</v>
      </c>
      <c r="AD12" s="31">
        <f t="shared" si="27"/>
        <v>75.086550000000003</v>
      </c>
      <c r="AE12" s="33">
        <f>3102.75</f>
        <v>3102.75</v>
      </c>
      <c r="AF12" s="37">
        <f t="shared" si="5"/>
        <v>-7.246376811593791E-4</v>
      </c>
      <c r="AG12" s="36">
        <f>'[1]STA MARIA'!$H12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3393.422564</v>
      </c>
      <c r="AK12" s="31">
        <f t="shared" si="31"/>
        <v>84.15743599999999</v>
      </c>
      <c r="AL12" s="33">
        <f>374.83+3102.75</f>
        <v>3477.58</v>
      </c>
      <c r="AM12" s="37">
        <f t="shared" si="6"/>
        <v>0.11999355877616735</v>
      </c>
      <c r="AN12" s="36">
        <f>'[1]STA MARIA'!$I12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'[1]STA MARIA'!$J12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33"/>
      <c r="BA12" s="37">
        <f t="shared" si="8"/>
        <v>-1</v>
      </c>
      <c r="BB12" s="36">
        <f>'[1]STA MARIA'!$K12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33"/>
      <c r="BH12" s="37">
        <f t="shared" si="9"/>
        <v>-1</v>
      </c>
      <c r="BI12" s="36">
        <f>'[1]STA MARIA'!$L12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'[1]STA MARIA'!$M12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'[1]STA MARIA'!$N12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'[1]STA MARIA'!$O12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'[1]STA MARIA'!$P12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24000</v>
      </c>
      <c r="C13" s="31">
        <f t="shared" si="0"/>
        <v>21050.400000000005</v>
      </c>
      <c r="D13" s="32">
        <f t="shared" si="0"/>
        <v>2949.6000000000004</v>
      </c>
      <c r="E13" s="30">
        <f t="shared" si="15"/>
        <v>8000</v>
      </c>
      <c r="F13" s="33">
        <f t="shared" si="15"/>
        <v>7016.8</v>
      </c>
      <c r="G13" s="34">
        <f t="shared" si="15"/>
        <v>983.19999999999993</v>
      </c>
      <c r="H13" s="31">
        <f t="shared" si="1"/>
        <v>11709.599999999999</v>
      </c>
      <c r="I13" s="33">
        <f t="shared" si="1"/>
        <v>290.39999999999998</v>
      </c>
      <c r="J13" s="33">
        <f t="shared" si="1"/>
        <v>12000</v>
      </c>
      <c r="K13" s="37">
        <f t="shared" si="2"/>
        <v>0.5</v>
      </c>
      <c r="L13" s="36">
        <f>'[1]STA MARIA'!$E13</f>
        <v>2000</v>
      </c>
      <c r="M13" s="31">
        <f t="shared" si="16"/>
        <v>1754.2</v>
      </c>
      <c r="N13" s="31">
        <f t="shared" si="17"/>
        <v>245.79999999999998</v>
      </c>
      <c r="O13" s="31">
        <f t="shared" si="18"/>
        <v>0</v>
      </c>
      <c r="P13" s="31">
        <f t="shared" si="19"/>
        <v>0</v>
      </c>
      <c r="Q13" s="33"/>
      <c r="R13" s="37">
        <f t="shared" si="3"/>
        <v>-1</v>
      </c>
      <c r="S13" s="36">
        <f>'[1]STA MARIA'!$F13</f>
        <v>2000</v>
      </c>
      <c r="T13" s="31">
        <f t="shared" si="20"/>
        <v>1754.2</v>
      </c>
      <c r="U13" s="31">
        <f t="shared" si="21"/>
        <v>245.79999999999998</v>
      </c>
      <c r="V13" s="31">
        <f t="shared" si="22"/>
        <v>3756.83</v>
      </c>
      <c r="W13" s="31">
        <f t="shared" si="23"/>
        <v>93.17</v>
      </c>
      <c r="X13" s="33">
        <f>3850</f>
        <v>3850</v>
      </c>
      <c r="Y13" s="37">
        <f t="shared" si="4"/>
        <v>0.92500000000000004</v>
      </c>
      <c r="Z13" s="36">
        <f>'[1]STA MARIA'!$G13</f>
        <v>2000</v>
      </c>
      <c r="AA13" s="31">
        <f t="shared" si="24"/>
        <v>1754.2</v>
      </c>
      <c r="AB13" s="31">
        <f t="shared" si="25"/>
        <v>245.79999999999998</v>
      </c>
      <c r="AC13" s="31">
        <f t="shared" si="26"/>
        <v>3756.83</v>
      </c>
      <c r="AD13" s="31">
        <f t="shared" si="27"/>
        <v>93.17</v>
      </c>
      <c r="AE13" s="33">
        <f>3850</f>
        <v>3850</v>
      </c>
      <c r="AF13" s="37">
        <f t="shared" si="5"/>
        <v>0.92500000000000004</v>
      </c>
      <c r="AG13" s="36">
        <f>'[1]STA MARIA'!$H13</f>
        <v>2000</v>
      </c>
      <c r="AH13" s="31">
        <f t="shared" si="28"/>
        <v>1754.2</v>
      </c>
      <c r="AI13" s="31">
        <f t="shared" si="29"/>
        <v>245.79999999999998</v>
      </c>
      <c r="AJ13" s="31">
        <f t="shared" si="30"/>
        <v>4195.9399999999996</v>
      </c>
      <c r="AK13" s="31">
        <f t="shared" si="31"/>
        <v>104.06</v>
      </c>
      <c r="AL13" s="33">
        <f>4300</f>
        <v>4300</v>
      </c>
      <c r="AM13" s="37">
        <f t="shared" si="6"/>
        <v>1.1499999999999999</v>
      </c>
      <c r="AN13" s="36">
        <f>'[1]STA MARIA'!$I13</f>
        <v>2000</v>
      </c>
      <c r="AO13" s="31">
        <f t="shared" si="32"/>
        <v>1754.2</v>
      </c>
      <c r="AP13" s="31">
        <f t="shared" si="33"/>
        <v>245.79999999999998</v>
      </c>
      <c r="AQ13" s="31">
        <f t="shared" si="34"/>
        <v>0</v>
      </c>
      <c r="AR13" s="31">
        <f t="shared" si="35"/>
        <v>0</v>
      </c>
      <c r="AS13" s="33"/>
      <c r="AT13" s="37">
        <f t="shared" si="7"/>
        <v>-1</v>
      </c>
      <c r="AU13" s="36">
        <f>'[1]STA MARIA'!$J13</f>
        <v>2000</v>
      </c>
      <c r="AV13" s="31">
        <f t="shared" si="36"/>
        <v>1754.2</v>
      </c>
      <c r="AW13" s="31">
        <f t="shared" si="37"/>
        <v>245.79999999999998</v>
      </c>
      <c r="AX13" s="31">
        <f t="shared" si="38"/>
        <v>0</v>
      </c>
      <c r="AY13" s="31">
        <f t="shared" si="39"/>
        <v>0</v>
      </c>
      <c r="AZ13" s="33"/>
      <c r="BA13" s="37">
        <f t="shared" si="8"/>
        <v>-1</v>
      </c>
      <c r="BB13" s="36">
        <f>'[1]STA MARIA'!$K13</f>
        <v>2000</v>
      </c>
      <c r="BC13" s="31">
        <f t="shared" si="40"/>
        <v>1754.2</v>
      </c>
      <c r="BD13" s="31">
        <f t="shared" si="41"/>
        <v>245.79999999999998</v>
      </c>
      <c r="BE13" s="31">
        <f t="shared" si="42"/>
        <v>0</v>
      </c>
      <c r="BF13" s="31">
        <f t="shared" si="43"/>
        <v>0</v>
      </c>
      <c r="BG13" s="33"/>
      <c r="BH13" s="37">
        <f t="shared" si="9"/>
        <v>-1</v>
      </c>
      <c r="BI13" s="36">
        <f>'[1]STA MARIA'!$L13</f>
        <v>2000</v>
      </c>
      <c r="BJ13" s="31">
        <f t="shared" si="44"/>
        <v>1754.2</v>
      </c>
      <c r="BK13" s="31">
        <f t="shared" si="45"/>
        <v>245.79999999999998</v>
      </c>
      <c r="BL13" s="31">
        <f t="shared" si="46"/>
        <v>0</v>
      </c>
      <c r="BM13" s="31">
        <f t="shared" si="47"/>
        <v>0</v>
      </c>
      <c r="BN13" s="33"/>
      <c r="BO13" s="37">
        <f t="shared" si="10"/>
        <v>-1</v>
      </c>
      <c r="BP13" s="36">
        <f>'[1]STA MARIA'!$M13</f>
        <v>2000</v>
      </c>
      <c r="BQ13" s="31">
        <f t="shared" si="48"/>
        <v>1754.2</v>
      </c>
      <c r="BR13" s="31">
        <f t="shared" si="49"/>
        <v>245.79999999999998</v>
      </c>
      <c r="BS13" s="31">
        <f t="shared" si="50"/>
        <v>0</v>
      </c>
      <c r="BT13" s="31">
        <f t="shared" si="51"/>
        <v>0</v>
      </c>
      <c r="BU13" s="33"/>
      <c r="BV13" s="37">
        <f t="shared" si="11"/>
        <v>-1</v>
      </c>
      <c r="BW13" s="36">
        <f>'[1]STA MARIA'!$N13</f>
        <v>2000</v>
      </c>
      <c r="BX13" s="31">
        <f t="shared" si="52"/>
        <v>1754.2</v>
      </c>
      <c r="BY13" s="31">
        <f t="shared" si="53"/>
        <v>245.79999999999998</v>
      </c>
      <c r="BZ13" s="31">
        <f t="shared" si="54"/>
        <v>0</v>
      </c>
      <c r="CA13" s="31">
        <f t="shared" si="55"/>
        <v>0</v>
      </c>
      <c r="CB13" s="33"/>
      <c r="CC13" s="37">
        <f t="shared" si="12"/>
        <v>-1</v>
      </c>
      <c r="CD13" s="36">
        <f>'[1]STA MARIA'!$O13</f>
        <v>2000</v>
      </c>
      <c r="CE13" s="31">
        <f t="shared" si="56"/>
        <v>1754.2</v>
      </c>
      <c r="CF13" s="31">
        <f t="shared" si="57"/>
        <v>245.79999999999998</v>
      </c>
      <c r="CG13" s="31">
        <f t="shared" si="58"/>
        <v>0</v>
      </c>
      <c r="CH13" s="31">
        <f t="shared" si="59"/>
        <v>0</v>
      </c>
      <c r="CI13" s="33"/>
      <c r="CJ13" s="37">
        <f t="shared" si="13"/>
        <v>-1</v>
      </c>
      <c r="CK13" s="36">
        <f>'[1]STA MARIA'!$P13</f>
        <v>2000</v>
      </c>
      <c r="CL13" s="31">
        <f t="shared" si="60"/>
        <v>1754.2</v>
      </c>
      <c r="CM13" s="31">
        <f t="shared" si="61"/>
        <v>245.79999999999998</v>
      </c>
      <c r="CN13" s="31">
        <f t="shared" si="62"/>
        <v>0</v>
      </c>
      <c r="CO13" s="31">
        <f t="shared" si="63"/>
        <v>0</v>
      </c>
      <c r="CP13" s="33"/>
      <c r="CQ13" s="37">
        <f t="shared" si="14"/>
        <v>-1</v>
      </c>
    </row>
    <row r="14" spans="1:99" s="26" customFormat="1" ht="16" customHeight="1" x14ac:dyDescent="0.2">
      <c r="A14" s="39" t="s">
        <v>38</v>
      </c>
      <c r="B14" s="30">
        <f t="shared" si="0"/>
        <v>58412.75999999998</v>
      </c>
      <c r="C14" s="31">
        <f t="shared" si="0"/>
        <v>51233.831795999991</v>
      </c>
      <c r="D14" s="32">
        <f t="shared" si="0"/>
        <v>7178.9282039999989</v>
      </c>
      <c r="E14" s="30">
        <f t="shared" si="15"/>
        <v>19470.919999999998</v>
      </c>
      <c r="F14" s="33">
        <f t="shared" si="15"/>
        <v>17077.943931999998</v>
      </c>
      <c r="G14" s="34">
        <f t="shared" si="15"/>
        <v>2392.9760679999995</v>
      </c>
      <c r="H14" s="31">
        <f t="shared" si="1"/>
        <v>23911.725291999999</v>
      </c>
      <c r="I14" s="33">
        <f t="shared" si="1"/>
        <v>593.01470800000004</v>
      </c>
      <c r="J14" s="33">
        <f t="shared" si="1"/>
        <v>24504.74</v>
      </c>
      <c r="K14" s="37">
        <f t="shared" si="2"/>
        <v>0.25853015676711744</v>
      </c>
      <c r="L14" s="36">
        <f>'[1]STA MARIA'!$E14</f>
        <v>4867.7299999999996</v>
      </c>
      <c r="M14" s="31">
        <f t="shared" si="16"/>
        <v>4269.4859829999996</v>
      </c>
      <c r="N14" s="31">
        <f t="shared" si="17"/>
        <v>598.24401699999987</v>
      </c>
      <c r="O14" s="31">
        <f t="shared" si="18"/>
        <v>3734.0548279999998</v>
      </c>
      <c r="P14" s="31">
        <f t="shared" si="19"/>
        <v>92.605171999999996</v>
      </c>
      <c r="Q14" s="33">
        <f>3826.66</f>
        <v>3826.66</v>
      </c>
      <c r="R14" s="37">
        <f t="shared" si="3"/>
        <v>-0.21387176363520566</v>
      </c>
      <c r="S14" s="87">
        <f>'[1]STA MARIA'!$F14</f>
        <v>4867.7299999999996</v>
      </c>
      <c r="T14" s="40">
        <f t="shared" si="20"/>
        <v>4269.4859829999996</v>
      </c>
      <c r="U14" s="40">
        <f t="shared" si="21"/>
        <v>598.24401699999987</v>
      </c>
      <c r="V14" s="31">
        <f t="shared" si="22"/>
        <v>4412.3334080000004</v>
      </c>
      <c r="W14" s="31">
        <f t="shared" si="23"/>
        <v>109.426592</v>
      </c>
      <c r="X14" s="33">
        <f>4521.76</f>
        <v>4521.76</v>
      </c>
      <c r="Y14" s="37">
        <f t="shared" si="4"/>
        <v>-7.1074196802205392E-2</v>
      </c>
      <c r="Z14" s="36">
        <f>'[1]STA MARIA'!$G14</f>
        <v>4867.7299999999996</v>
      </c>
      <c r="AA14" s="31">
        <f t="shared" si="24"/>
        <v>4269.4859829999996</v>
      </c>
      <c r="AB14" s="31">
        <f t="shared" si="25"/>
        <v>598.24401699999987</v>
      </c>
      <c r="AC14" s="31">
        <f t="shared" si="26"/>
        <v>11694.738566</v>
      </c>
      <c r="AD14" s="31">
        <f t="shared" si="27"/>
        <v>290.03143399999999</v>
      </c>
      <c r="AE14" s="33">
        <f>11984.77</f>
        <v>11984.77</v>
      </c>
      <c r="AF14" s="37">
        <f t="shared" si="5"/>
        <v>1.4620860236701709</v>
      </c>
      <c r="AG14" s="36">
        <f>'[1]STA MARIA'!$H14</f>
        <v>4867.7299999999996</v>
      </c>
      <c r="AH14" s="31">
        <f t="shared" si="28"/>
        <v>4269.4859829999996</v>
      </c>
      <c r="AI14" s="31">
        <f t="shared" si="29"/>
        <v>598.24401699999987</v>
      </c>
      <c r="AJ14" s="31">
        <f t="shared" si="30"/>
        <v>4070.5984900000003</v>
      </c>
      <c r="AK14" s="31">
        <f t="shared" si="31"/>
        <v>100.95151</v>
      </c>
      <c r="AL14" s="33">
        <v>4171.55</v>
      </c>
      <c r="AM14" s="37">
        <f t="shared" si="6"/>
        <v>-0.14301943616429003</v>
      </c>
      <c r="AN14" s="36">
        <f>'[1]STA MARIA'!$I14</f>
        <v>4867.7299999999996</v>
      </c>
      <c r="AO14" s="31">
        <f t="shared" si="32"/>
        <v>4269.4859829999996</v>
      </c>
      <c r="AP14" s="31">
        <f t="shared" si="33"/>
        <v>598.24401699999987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'[1]STA MARIA'!$J14</f>
        <v>4867.7299999999996</v>
      </c>
      <c r="AV14" s="31">
        <f t="shared" si="36"/>
        <v>4269.4859829999996</v>
      </c>
      <c r="AW14" s="31">
        <f t="shared" si="37"/>
        <v>598.24401699999987</v>
      </c>
      <c r="AX14" s="31">
        <f t="shared" si="38"/>
        <v>0</v>
      </c>
      <c r="AY14" s="31">
        <f t="shared" si="39"/>
        <v>0</v>
      </c>
      <c r="AZ14" s="33"/>
      <c r="BA14" s="37">
        <f t="shared" si="8"/>
        <v>-1</v>
      </c>
      <c r="BB14" s="36">
        <f>'[1]STA MARIA'!$K14</f>
        <v>4867.7299999999996</v>
      </c>
      <c r="BC14" s="31">
        <f t="shared" si="40"/>
        <v>4269.4859829999996</v>
      </c>
      <c r="BD14" s="31">
        <f t="shared" si="41"/>
        <v>598.24401699999987</v>
      </c>
      <c r="BE14" s="31">
        <f t="shared" si="42"/>
        <v>0</v>
      </c>
      <c r="BF14" s="31">
        <f t="shared" si="43"/>
        <v>0</v>
      </c>
      <c r="BG14" s="33"/>
      <c r="BH14" s="37">
        <f t="shared" si="9"/>
        <v>-1</v>
      </c>
      <c r="BI14" s="36">
        <f>'[1]STA MARIA'!$L14</f>
        <v>4867.7299999999996</v>
      </c>
      <c r="BJ14" s="31">
        <f t="shared" si="44"/>
        <v>4269.4859829999996</v>
      </c>
      <c r="BK14" s="31">
        <f t="shared" si="45"/>
        <v>598.24401699999987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'[1]STA MARIA'!$M14</f>
        <v>4867.7299999999996</v>
      </c>
      <c r="BQ14" s="31">
        <f t="shared" si="48"/>
        <v>4269.4859829999996</v>
      </c>
      <c r="BR14" s="31">
        <f t="shared" si="49"/>
        <v>598.24401699999987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'[1]STA MARIA'!$N14</f>
        <v>4867.7299999999996</v>
      </c>
      <c r="BX14" s="31">
        <f t="shared" si="52"/>
        <v>4269.4859829999996</v>
      </c>
      <c r="BY14" s="31">
        <f t="shared" si="53"/>
        <v>598.24401699999987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'[1]STA MARIA'!$O14</f>
        <v>4867.7299999999996</v>
      </c>
      <c r="CE14" s="31">
        <f t="shared" si="56"/>
        <v>4269.4859829999996</v>
      </c>
      <c r="CF14" s="31">
        <f t="shared" si="57"/>
        <v>598.24401699999987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'[1]STA MARIA'!$P14</f>
        <v>4867.7299999999996</v>
      </c>
      <c r="CL14" s="31">
        <f t="shared" si="60"/>
        <v>4269.4859829999996</v>
      </c>
      <c r="CM14" s="31">
        <f t="shared" si="61"/>
        <v>598.24401699999987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149693.69999999995</v>
      </c>
      <c r="C15" s="31">
        <f t="shared" si="0"/>
        <v>131296.34426999997</v>
      </c>
      <c r="D15" s="32">
        <f t="shared" si="0"/>
        <v>18397.355729999999</v>
      </c>
      <c r="E15" s="30">
        <f t="shared" si="15"/>
        <v>49575.599999999991</v>
      </c>
      <c r="F15" s="33">
        <f t="shared" si="15"/>
        <v>43482.75875999999</v>
      </c>
      <c r="G15" s="34">
        <f t="shared" si="15"/>
        <v>6092.8412399999988</v>
      </c>
      <c r="H15" s="31">
        <f t="shared" si="1"/>
        <v>56905.152878000015</v>
      </c>
      <c r="I15" s="33">
        <f t="shared" si="1"/>
        <v>1411.2571220000004</v>
      </c>
      <c r="J15" s="33">
        <f t="shared" si="1"/>
        <v>58316.410000000011</v>
      </c>
      <c r="K15" s="37">
        <f t="shared" si="2"/>
        <v>0.17631274255883977</v>
      </c>
      <c r="L15" s="36">
        <f>'[1]STA MARIA'!$E15</f>
        <v>12393.899999999998</v>
      </c>
      <c r="M15" s="40">
        <f t="shared" si="16"/>
        <v>10870.689689999997</v>
      </c>
      <c r="N15" s="40">
        <f t="shared" si="17"/>
        <v>1523.2103099999997</v>
      </c>
      <c r="O15" s="40">
        <f t="shared" si="18"/>
        <v>10838.444792000002</v>
      </c>
      <c r="P15" s="40">
        <f t="shared" si="19"/>
        <v>268.79520800000006</v>
      </c>
      <c r="Q15" s="115">
        <f>851.15+18331.87-(13.07+8062.71)</f>
        <v>11107.240000000002</v>
      </c>
      <c r="R15" s="37">
        <f t="shared" si="3"/>
        <v>-0.10381397300284789</v>
      </c>
      <c r="S15" s="36">
        <f>'[1]STA MARIA'!$F15</f>
        <v>12393.899999999998</v>
      </c>
      <c r="T15" s="40">
        <f t="shared" si="20"/>
        <v>10870.689689999997</v>
      </c>
      <c r="U15" s="40">
        <f t="shared" si="21"/>
        <v>1523.2103099999997</v>
      </c>
      <c r="V15" s="40">
        <f t="shared" si="22"/>
        <v>10797.910060000011</v>
      </c>
      <c r="W15" s="40">
        <f t="shared" si="23"/>
        <v>267.78994000000029</v>
      </c>
      <c r="X15" s="115">
        <f>861.03+108133.91-(29321.87+68607.37)</f>
        <v>11065.700000000012</v>
      </c>
      <c r="Y15" s="37">
        <f t="shared" si="4"/>
        <v>-0.10716562179781874</v>
      </c>
      <c r="Z15" s="36">
        <f>'[1]STA MARIA'!$G15</f>
        <v>12393.899999999998</v>
      </c>
      <c r="AA15" s="40">
        <f t="shared" si="24"/>
        <v>10870.689689999997</v>
      </c>
      <c r="AB15" s="40">
        <f t="shared" si="25"/>
        <v>1523.2103099999997</v>
      </c>
      <c r="AC15" s="40">
        <f t="shared" si="26"/>
        <v>16176.090308000003</v>
      </c>
      <c r="AD15" s="40">
        <f t="shared" si="27"/>
        <v>401.16969200000005</v>
      </c>
      <c r="AE15" s="115">
        <f>851.15+15726.11</f>
        <v>16577.260000000002</v>
      </c>
      <c r="AF15" s="37">
        <f t="shared" si="5"/>
        <v>0.33753378678220769</v>
      </c>
      <c r="AG15" s="36">
        <f>'[1]STA MARIA'!$H15</f>
        <v>12393.899999999998</v>
      </c>
      <c r="AH15" s="40">
        <f t="shared" si="28"/>
        <v>10870.689689999997</v>
      </c>
      <c r="AI15" s="40">
        <f t="shared" si="29"/>
        <v>1523.2103099999997</v>
      </c>
      <c r="AJ15" s="40">
        <f t="shared" si="30"/>
        <v>19092.707717999998</v>
      </c>
      <c r="AK15" s="40">
        <f t="shared" si="31"/>
        <v>473.50228199999998</v>
      </c>
      <c r="AL15" s="115">
        <f>857.45+18708.76</f>
        <v>19566.21</v>
      </c>
      <c r="AM15" s="37">
        <f t="shared" si="6"/>
        <v>0.5786967782538186</v>
      </c>
      <c r="AN15" s="36">
        <f>'[1]STA MARIA'!$I15</f>
        <v>12393.899999999998</v>
      </c>
      <c r="AO15" s="40">
        <f t="shared" si="32"/>
        <v>10870.689689999997</v>
      </c>
      <c r="AP15" s="40">
        <f t="shared" si="33"/>
        <v>1523.2103099999997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'[1]STA MARIA'!$J15</f>
        <v>12393.899999999998</v>
      </c>
      <c r="AV15" s="40">
        <f t="shared" si="36"/>
        <v>10870.689689999997</v>
      </c>
      <c r="AW15" s="40">
        <f t="shared" si="37"/>
        <v>1523.2103099999997</v>
      </c>
      <c r="AX15" s="40">
        <f t="shared" si="38"/>
        <v>0</v>
      </c>
      <c r="AY15" s="40">
        <f t="shared" si="39"/>
        <v>0</v>
      </c>
      <c r="AZ15" s="115"/>
      <c r="BA15" s="37">
        <f t="shared" si="8"/>
        <v>-1</v>
      </c>
      <c r="BB15" s="36">
        <f>'[1]STA MARIA'!$K15</f>
        <v>13360.799999999997</v>
      </c>
      <c r="BC15" s="40">
        <f t="shared" si="40"/>
        <v>11718.757679999999</v>
      </c>
      <c r="BD15" s="40">
        <f t="shared" si="41"/>
        <v>1642.0423199999996</v>
      </c>
      <c r="BE15" s="40">
        <f t="shared" si="42"/>
        <v>0</v>
      </c>
      <c r="BF15" s="40">
        <f t="shared" si="43"/>
        <v>0</v>
      </c>
      <c r="BG15" s="115"/>
      <c r="BH15" s="37">
        <f t="shared" si="9"/>
        <v>-1</v>
      </c>
      <c r="BI15" s="36">
        <f>'[1]STA MARIA'!$L15</f>
        <v>12393.899999999998</v>
      </c>
      <c r="BJ15" s="40">
        <f t="shared" si="44"/>
        <v>10870.689689999997</v>
      </c>
      <c r="BK15" s="40">
        <f t="shared" si="45"/>
        <v>1523.2103099999997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'[1]STA MARIA'!$M15</f>
        <v>12393.899999999998</v>
      </c>
      <c r="BQ15" s="40">
        <f t="shared" si="48"/>
        <v>10870.689689999997</v>
      </c>
      <c r="BR15" s="40">
        <f t="shared" si="49"/>
        <v>1523.2103099999997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'[1]STA MARIA'!$N15</f>
        <v>12393.899999999998</v>
      </c>
      <c r="BX15" s="40">
        <f t="shared" si="52"/>
        <v>10870.689689999997</v>
      </c>
      <c r="BY15" s="40">
        <f t="shared" si="53"/>
        <v>1523.2103099999997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'[1]STA MARIA'!$O15</f>
        <v>12393.899999999998</v>
      </c>
      <c r="CE15" s="40">
        <f t="shared" si="56"/>
        <v>10870.689689999997</v>
      </c>
      <c r="CF15" s="40">
        <f t="shared" si="57"/>
        <v>1523.2103099999997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'[1]STA MARIA'!$P15</f>
        <v>12393.899999999998</v>
      </c>
      <c r="CL15" s="40">
        <f t="shared" si="60"/>
        <v>10870.689689999997</v>
      </c>
      <c r="CM15" s="40">
        <f t="shared" si="61"/>
        <v>1523.2103099999997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199999.99999999997</v>
      </c>
      <c r="C16" s="31">
        <f t="shared" si="0"/>
        <v>175420.00000000003</v>
      </c>
      <c r="D16" s="32">
        <f t="shared" si="0"/>
        <v>24579.999999999996</v>
      </c>
      <c r="E16" s="30">
        <f t="shared" si="15"/>
        <v>66666.666666666672</v>
      </c>
      <c r="F16" s="33">
        <f t="shared" si="15"/>
        <v>58473.333333333336</v>
      </c>
      <c r="G16" s="34">
        <f t="shared" si="15"/>
        <v>8193.3333333333339</v>
      </c>
      <c r="H16" s="31">
        <f t="shared" si="1"/>
        <v>72956.496914000003</v>
      </c>
      <c r="I16" s="33">
        <f t="shared" si="1"/>
        <v>1809.3330859999996</v>
      </c>
      <c r="J16" s="33">
        <f t="shared" si="1"/>
        <v>74765.829999999987</v>
      </c>
      <c r="K16" s="37">
        <f t="shared" si="2"/>
        <v>0.12148744999999983</v>
      </c>
      <c r="L16" s="36">
        <f>'[1]STA MARIA'!$E16</f>
        <v>16666.666666666668</v>
      </c>
      <c r="M16" s="31">
        <f t="shared" si="16"/>
        <v>14618.333333333334</v>
      </c>
      <c r="N16" s="31">
        <f t="shared" si="17"/>
        <v>2048.3333333333335</v>
      </c>
      <c r="O16" s="31">
        <f t="shared" si="18"/>
        <v>22083.085849999999</v>
      </c>
      <c r="P16" s="31">
        <f t="shared" si="19"/>
        <v>547.66414999999995</v>
      </c>
      <c r="Q16" s="33">
        <f>22630.75</f>
        <v>22630.75</v>
      </c>
      <c r="R16" s="37">
        <f t="shared" si="3"/>
        <v>0.35784499999999997</v>
      </c>
      <c r="S16" s="36">
        <f>'[1]STA MARIA'!$F16</f>
        <v>16666.666666666668</v>
      </c>
      <c r="T16" s="31">
        <f t="shared" si="20"/>
        <v>14618.333333333334</v>
      </c>
      <c r="U16" s="31">
        <f t="shared" si="21"/>
        <v>2048.3333333333335</v>
      </c>
      <c r="V16" s="31">
        <f t="shared" si="22"/>
        <v>2707.074118</v>
      </c>
      <c r="W16" s="31">
        <f t="shared" si="23"/>
        <v>67.135881999999995</v>
      </c>
      <c r="X16" s="33">
        <f>2774.21</f>
        <v>2774.21</v>
      </c>
      <c r="Y16" s="37">
        <f t="shared" si="4"/>
        <v>-0.83354740000000005</v>
      </c>
      <c r="Z16" s="36">
        <f>'[1]STA MARIA'!$G16</f>
        <v>16666.666666666668</v>
      </c>
      <c r="AA16" s="31">
        <f t="shared" si="24"/>
        <v>14618.333333333334</v>
      </c>
      <c r="AB16" s="31">
        <f t="shared" si="25"/>
        <v>2048.3333333333335</v>
      </c>
      <c r="AC16" s="31">
        <f t="shared" si="26"/>
        <v>28390.461889999999</v>
      </c>
      <c r="AD16" s="31">
        <f t="shared" si="27"/>
        <v>704.08810999999992</v>
      </c>
      <c r="AE16" s="33">
        <f>29094.55</f>
        <v>29094.55</v>
      </c>
      <c r="AF16" s="37">
        <f t="shared" si="5"/>
        <v>0.74567299999999981</v>
      </c>
      <c r="AG16" s="36">
        <f>'[1]STA MARIA'!$H16</f>
        <v>16666.666666666668</v>
      </c>
      <c r="AH16" s="31">
        <f t="shared" si="28"/>
        <v>14618.333333333334</v>
      </c>
      <c r="AI16" s="31">
        <f t="shared" si="29"/>
        <v>2048.3333333333335</v>
      </c>
      <c r="AJ16" s="31">
        <f t="shared" si="30"/>
        <v>19775.875056000001</v>
      </c>
      <c r="AK16" s="31">
        <f t="shared" si="31"/>
        <v>490.44494399999996</v>
      </c>
      <c r="AL16" s="33">
        <f>20266.32</f>
        <v>20266.32</v>
      </c>
      <c r="AM16" s="37">
        <f t="shared" si="6"/>
        <v>0.21597919999999982</v>
      </c>
      <c r="AN16" s="36">
        <f>'[1]STA MARIA'!$I16</f>
        <v>16666.666666666668</v>
      </c>
      <c r="AO16" s="31">
        <f t="shared" si="32"/>
        <v>14618.333333333334</v>
      </c>
      <c r="AP16" s="31">
        <f t="shared" si="33"/>
        <v>2048.3333333333335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'[1]STA MARIA'!$J16</f>
        <v>16666.666666666668</v>
      </c>
      <c r="AV16" s="31">
        <f t="shared" si="36"/>
        <v>14618.333333333334</v>
      </c>
      <c r="AW16" s="31">
        <f t="shared" si="37"/>
        <v>2048.3333333333335</v>
      </c>
      <c r="AX16" s="31">
        <f t="shared" si="38"/>
        <v>0</v>
      </c>
      <c r="AY16" s="31">
        <f t="shared" si="39"/>
        <v>0</v>
      </c>
      <c r="AZ16" s="33"/>
      <c r="BA16" s="37">
        <f t="shared" si="8"/>
        <v>-1</v>
      </c>
      <c r="BB16" s="36">
        <f>'[1]STA MARIA'!$K16</f>
        <v>16666.666666666668</v>
      </c>
      <c r="BC16" s="31">
        <f t="shared" si="40"/>
        <v>14618.333333333334</v>
      </c>
      <c r="BD16" s="31">
        <f t="shared" si="41"/>
        <v>2048.3333333333335</v>
      </c>
      <c r="BE16" s="31">
        <f t="shared" si="42"/>
        <v>0</v>
      </c>
      <c r="BF16" s="31">
        <f t="shared" si="43"/>
        <v>0</v>
      </c>
      <c r="BG16" s="33"/>
      <c r="BH16" s="37">
        <f t="shared" si="9"/>
        <v>-1</v>
      </c>
      <c r="BI16" s="36">
        <f>'[1]STA MARIA'!$L16</f>
        <v>16666.666666666668</v>
      </c>
      <c r="BJ16" s="31">
        <f t="shared" si="44"/>
        <v>14618.333333333334</v>
      </c>
      <c r="BK16" s="31">
        <f t="shared" si="45"/>
        <v>2048.3333333333335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'[1]STA MARIA'!$M16</f>
        <v>16666.666666666668</v>
      </c>
      <c r="BQ16" s="31">
        <f t="shared" si="48"/>
        <v>14618.333333333334</v>
      </c>
      <c r="BR16" s="31">
        <f t="shared" si="49"/>
        <v>2048.3333333333335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'[1]STA MARIA'!$N16</f>
        <v>16666.666666666668</v>
      </c>
      <c r="BX16" s="31">
        <f t="shared" si="52"/>
        <v>14618.333333333334</v>
      </c>
      <c r="BY16" s="31">
        <f t="shared" si="53"/>
        <v>2048.3333333333335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'[1]STA MARIA'!$O16</f>
        <v>16666.666666666668</v>
      </c>
      <c r="CE16" s="31">
        <f t="shared" si="56"/>
        <v>14618.333333333334</v>
      </c>
      <c r="CF16" s="31">
        <f t="shared" si="57"/>
        <v>2048.3333333333335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'[1]STA MARIA'!$P16</f>
        <v>16666.666666666668</v>
      </c>
      <c r="CL16" s="31">
        <f t="shared" si="60"/>
        <v>14618.333333333334</v>
      </c>
      <c r="CM16" s="31">
        <f t="shared" si="61"/>
        <v>2048.3333333333335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642232.80000000016</v>
      </c>
      <c r="C17" s="31">
        <f t="shared" si="0"/>
        <v>563302.38887999987</v>
      </c>
      <c r="D17" s="32">
        <f t="shared" si="0"/>
        <v>78930.411120000004</v>
      </c>
      <c r="E17" s="30">
        <f t="shared" si="15"/>
        <v>214077.6</v>
      </c>
      <c r="F17" s="33">
        <f t="shared" si="15"/>
        <v>187767.46296</v>
      </c>
      <c r="G17" s="34">
        <f t="shared" si="15"/>
        <v>26310.137040000001</v>
      </c>
      <c r="H17" s="31">
        <f t="shared" si="1"/>
        <v>238487.37401999999</v>
      </c>
      <c r="I17" s="33">
        <f t="shared" si="1"/>
        <v>5914.5259799999994</v>
      </c>
      <c r="J17" s="33">
        <f t="shared" si="1"/>
        <v>244401.89999999997</v>
      </c>
      <c r="K17" s="37">
        <f t="shared" si="2"/>
        <v>0.14165097142344618</v>
      </c>
      <c r="L17" s="36">
        <f>'[1]STA MARIA'!$E17</f>
        <v>53519.4</v>
      </c>
      <c r="M17" s="31">
        <f t="shared" si="16"/>
        <v>46941.865740000001</v>
      </c>
      <c r="N17" s="31">
        <f t="shared" si="17"/>
        <v>6577.5342600000004</v>
      </c>
      <c r="O17" s="31">
        <f t="shared" si="18"/>
        <v>45137.795276000004</v>
      </c>
      <c r="P17" s="31">
        <f t="shared" si="19"/>
        <v>1119.424724</v>
      </c>
      <c r="Q17" s="33">
        <v>46257.22</v>
      </c>
      <c r="R17" s="37">
        <f t="shared" si="3"/>
        <v>-0.13569247786783856</v>
      </c>
      <c r="S17" s="36">
        <f>'[1]STA MARIA'!$F17</f>
        <v>53519.4</v>
      </c>
      <c r="T17" s="31">
        <f t="shared" si="20"/>
        <v>46941.865740000001</v>
      </c>
      <c r="U17" s="31">
        <f t="shared" si="21"/>
        <v>6577.5342600000004</v>
      </c>
      <c r="V17" s="31">
        <f t="shared" si="22"/>
        <v>37583.581028000001</v>
      </c>
      <c r="W17" s="31">
        <f t="shared" si="23"/>
        <v>932.07897200000002</v>
      </c>
      <c r="X17" s="33">
        <f>38515.66</f>
        <v>38515.660000000003</v>
      </c>
      <c r="Y17" s="37">
        <f t="shared" si="4"/>
        <v>-0.28034208156294727</v>
      </c>
      <c r="Z17" s="36">
        <f>'[1]STA MARIA'!$G17</f>
        <v>53519.4</v>
      </c>
      <c r="AA17" s="31">
        <f t="shared" si="24"/>
        <v>46941.865740000001</v>
      </c>
      <c r="AB17" s="31">
        <f t="shared" si="25"/>
        <v>6577.5342600000004</v>
      </c>
      <c r="AC17" s="31">
        <f t="shared" si="26"/>
        <v>70808.722081999993</v>
      </c>
      <c r="AD17" s="31">
        <f t="shared" si="27"/>
        <v>1756.0679179999997</v>
      </c>
      <c r="AE17" s="33">
        <v>72564.789999999994</v>
      </c>
      <c r="AF17" s="37">
        <f t="shared" si="5"/>
        <v>0.35585955746888032</v>
      </c>
      <c r="AG17" s="36">
        <f>'[1]STA MARIA'!$H17</f>
        <v>53519.4</v>
      </c>
      <c r="AH17" s="31">
        <f t="shared" si="28"/>
        <v>46941.865740000001</v>
      </c>
      <c r="AI17" s="31">
        <f t="shared" si="29"/>
        <v>6577.5342600000004</v>
      </c>
      <c r="AJ17" s="31">
        <f t="shared" si="30"/>
        <v>84957.275633999991</v>
      </c>
      <c r="AK17" s="31">
        <f t="shared" si="31"/>
        <v>2106.9543659999999</v>
      </c>
      <c r="AL17" s="33">
        <f>87064.23</f>
        <v>87064.23</v>
      </c>
      <c r="AM17" s="37">
        <f t="shared" si="6"/>
        <v>0.62677888765569101</v>
      </c>
      <c r="AN17" s="36">
        <f>'[1]STA MARIA'!$I17</f>
        <v>53519.4</v>
      </c>
      <c r="AO17" s="31">
        <f t="shared" si="32"/>
        <v>46941.865740000001</v>
      </c>
      <c r="AP17" s="31">
        <f t="shared" si="33"/>
        <v>6577.5342600000004</v>
      </c>
      <c r="AQ17" s="31">
        <f t="shared" si="34"/>
        <v>0</v>
      </c>
      <c r="AR17" s="31">
        <f t="shared" si="35"/>
        <v>0</v>
      </c>
      <c r="AS17" s="33"/>
      <c r="AT17" s="37">
        <f t="shared" si="7"/>
        <v>-1</v>
      </c>
      <c r="AU17" s="36">
        <f>'[1]STA MARIA'!$J17</f>
        <v>53519.4</v>
      </c>
      <c r="AV17" s="31">
        <f t="shared" si="36"/>
        <v>46941.865740000001</v>
      </c>
      <c r="AW17" s="31">
        <f t="shared" si="37"/>
        <v>6577.5342600000004</v>
      </c>
      <c r="AX17" s="31">
        <f t="shared" si="38"/>
        <v>0</v>
      </c>
      <c r="AY17" s="31">
        <f t="shared" si="39"/>
        <v>0</v>
      </c>
      <c r="AZ17" s="27"/>
      <c r="BA17" s="37">
        <f t="shared" si="8"/>
        <v>-1</v>
      </c>
      <c r="BB17" s="36">
        <f>'[1]STA MARIA'!$K17</f>
        <v>53519.4</v>
      </c>
      <c r="BC17" s="31">
        <f t="shared" si="40"/>
        <v>46941.865740000001</v>
      </c>
      <c r="BD17" s="31">
        <f t="shared" si="41"/>
        <v>6577.5342600000004</v>
      </c>
      <c r="BE17" s="31">
        <f t="shared" si="42"/>
        <v>0</v>
      </c>
      <c r="BF17" s="31">
        <f t="shared" si="43"/>
        <v>0</v>
      </c>
      <c r="BG17" s="33"/>
      <c r="BH17" s="37">
        <f t="shared" si="9"/>
        <v>-1</v>
      </c>
      <c r="BI17" s="36">
        <f>'[1]STA MARIA'!$L17</f>
        <v>53519.4</v>
      </c>
      <c r="BJ17" s="31">
        <f t="shared" si="44"/>
        <v>46941.865740000001</v>
      </c>
      <c r="BK17" s="31">
        <f t="shared" si="45"/>
        <v>6577.5342600000004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'[1]STA MARIA'!$M17</f>
        <v>53519.4</v>
      </c>
      <c r="BQ17" s="31">
        <f t="shared" si="48"/>
        <v>46941.865740000001</v>
      </c>
      <c r="BR17" s="31">
        <f t="shared" si="49"/>
        <v>6577.5342600000004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'[1]STA MARIA'!$N17</f>
        <v>53519.4</v>
      </c>
      <c r="BX17" s="31">
        <f t="shared" si="52"/>
        <v>46941.865740000001</v>
      </c>
      <c r="BY17" s="31">
        <f t="shared" si="53"/>
        <v>6577.5342600000004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'[1]STA MARIA'!$O17</f>
        <v>53519.4</v>
      </c>
      <c r="CE17" s="31">
        <f t="shared" si="56"/>
        <v>46941.865740000001</v>
      </c>
      <c r="CF17" s="31">
        <f t="shared" si="57"/>
        <v>6577.5342600000004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'[1]STA MARIA'!$P17</f>
        <v>53519.4</v>
      </c>
      <c r="CL17" s="31">
        <f t="shared" si="60"/>
        <v>46941.865740000001</v>
      </c>
      <c r="CM17" s="31">
        <f t="shared" si="61"/>
        <v>6577.5342600000004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128734.32</v>
      </c>
      <c r="C18" s="31">
        <f t="shared" si="0"/>
        <v>112912.87207200004</v>
      </c>
      <c r="D18" s="32">
        <f t="shared" si="0"/>
        <v>15821.447927999996</v>
      </c>
      <c r="E18" s="30">
        <f t="shared" si="15"/>
        <v>42911.44</v>
      </c>
      <c r="F18" s="33">
        <f t="shared" si="15"/>
        <v>37637.624024000004</v>
      </c>
      <c r="G18" s="34">
        <f t="shared" si="15"/>
        <v>5273.8159759999999</v>
      </c>
      <c r="H18" s="31">
        <f t="shared" si="1"/>
        <v>43605.652664000001</v>
      </c>
      <c r="I18" s="33">
        <f t="shared" si="1"/>
        <v>1081.427336</v>
      </c>
      <c r="J18" s="33">
        <f t="shared" si="1"/>
        <v>44687.08</v>
      </c>
      <c r="K18" s="37">
        <f t="shared" si="2"/>
        <v>4.1379175343451591E-2</v>
      </c>
      <c r="L18" s="36">
        <f>'[1]STA MARIA'!$E18</f>
        <v>10727.86</v>
      </c>
      <c r="M18" s="31">
        <f t="shared" si="16"/>
        <v>9409.4060060000011</v>
      </c>
      <c r="N18" s="31">
        <f t="shared" si="17"/>
        <v>1318.453994</v>
      </c>
      <c r="O18" s="31">
        <f t="shared" si="18"/>
        <v>9868.1190299999998</v>
      </c>
      <c r="P18" s="31">
        <f t="shared" si="19"/>
        <v>244.73097000000001</v>
      </c>
      <c r="Q18" s="33">
        <v>10112.85</v>
      </c>
      <c r="R18" s="37">
        <f t="shared" si="3"/>
        <v>-5.7328302196337444E-2</v>
      </c>
      <c r="S18" s="36">
        <f>'[1]STA MARIA'!$F18</f>
        <v>10727.86</v>
      </c>
      <c r="T18" s="31">
        <f t="shared" si="20"/>
        <v>9409.4060060000011</v>
      </c>
      <c r="U18" s="31">
        <f t="shared" si="21"/>
        <v>1318.453994</v>
      </c>
      <c r="V18" s="31">
        <f t="shared" si="22"/>
        <v>2856.8984500000001</v>
      </c>
      <c r="W18" s="31">
        <f t="shared" si="23"/>
        <v>70.851550000000003</v>
      </c>
      <c r="X18" s="33">
        <v>2927.75</v>
      </c>
      <c r="Y18" s="37">
        <f t="shared" si="4"/>
        <v>-0.72708909325811488</v>
      </c>
      <c r="Z18" s="36">
        <f>'[1]STA MARIA'!$G18</f>
        <v>10727.86</v>
      </c>
      <c r="AA18" s="31">
        <f t="shared" si="24"/>
        <v>9409.4060060000011</v>
      </c>
      <c r="AB18" s="31">
        <f t="shared" si="25"/>
        <v>1318.453994</v>
      </c>
      <c r="AC18" s="31">
        <f t="shared" si="26"/>
        <v>30880.635183999999</v>
      </c>
      <c r="AD18" s="31">
        <f t="shared" si="27"/>
        <v>765.84481599999992</v>
      </c>
      <c r="AE18" s="33">
        <v>31646.48</v>
      </c>
      <c r="AF18" s="37">
        <f t="shared" si="5"/>
        <v>1.9499340968282581</v>
      </c>
      <c r="AG18" s="36">
        <f>'[1]STA MARIA'!$H18</f>
        <v>10727.86</v>
      </c>
      <c r="AH18" s="31">
        <f t="shared" si="28"/>
        <v>9409.4060060000011</v>
      </c>
      <c r="AI18" s="31">
        <f t="shared" si="29"/>
        <v>1318.453994</v>
      </c>
      <c r="AJ18" s="31">
        <f t="shared" si="30"/>
        <v>0</v>
      </c>
      <c r="AK18" s="31">
        <f t="shared" si="31"/>
        <v>0</v>
      </c>
      <c r="AL18" s="33"/>
      <c r="AM18" s="37">
        <f t="shared" si="6"/>
        <v>-1</v>
      </c>
      <c r="AN18" s="36">
        <f>'[1]STA MARIA'!$I18</f>
        <v>10727.86</v>
      </c>
      <c r="AO18" s="31">
        <f t="shared" si="32"/>
        <v>9409.4060060000011</v>
      </c>
      <c r="AP18" s="31">
        <f t="shared" si="33"/>
        <v>1318.453994</v>
      </c>
      <c r="AQ18" s="31">
        <f t="shared" si="34"/>
        <v>0</v>
      </c>
      <c r="AR18" s="31">
        <f t="shared" si="35"/>
        <v>0</v>
      </c>
      <c r="AS18" s="33"/>
      <c r="AT18" s="37">
        <f t="shared" si="7"/>
        <v>-1</v>
      </c>
      <c r="AU18" s="36">
        <f>'[1]STA MARIA'!$J18</f>
        <v>10727.86</v>
      </c>
      <c r="AV18" s="31">
        <f t="shared" si="36"/>
        <v>9409.4060060000011</v>
      </c>
      <c r="AW18" s="31">
        <f t="shared" si="37"/>
        <v>1318.453994</v>
      </c>
      <c r="AX18" s="31">
        <f t="shared" si="38"/>
        <v>0</v>
      </c>
      <c r="AY18" s="31">
        <f t="shared" si="39"/>
        <v>0</v>
      </c>
      <c r="AZ18" s="27"/>
      <c r="BA18" s="37">
        <f t="shared" si="8"/>
        <v>-1</v>
      </c>
      <c r="BB18" s="36">
        <f>'[1]STA MARIA'!$K18</f>
        <v>10727.86</v>
      </c>
      <c r="BC18" s="31">
        <f t="shared" si="40"/>
        <v>9409.4060060000011</v>
      </c>
      <c r="BD18" s="31">
        <f t="shared" si="41"/>
        <v>1318.453994</v>
      </c>
      <c r="BE18" s="31">
        <f t="shared" si="42"/>
        <v>0</v>
      </c>
      <c r="BF18" s="31">
        <f t="shared" si="43"/>
        <v>0</v>
      </c>
      <c r="BG18" s="33"/>
      <c r="BH18" s="37">
        <f t="shared" si="9"/>
        <v>-1</v>
      </c>
      <c r="BI18" s="36">
        <f>'[1]STA MARIA'!$L18</f>
        <v>10727.86</v>
      </c>
      <c r="BJ18" s="31">
        <f t="shared" si="44"/>
        <v>9409.4060060000011</v>
      </c>
      <c r="BK18" s="31">
        <f t="shared" si="45"/>
        <v>1318.453994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'[1]STA MARIA'!$M18</f>
        <v>10727.86</v>
      </c>
      <c r="BQ18" s="31">
        <f t="shared" si="48"/>
        <v>9409.4060060000011</v>
      </c>
      <c r="BR18" s="31">
        <f t="shared" si="49"/>
        <v>1318.453994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'[1]STA MARIA'!$N18</f>
        <v>10727.86</v>
      </c>
      <c r="BX18" s="31">
        <f t="shared" si="52"/>
        <v>9409.4060060000011</v>
      </c>
      <c r="BY18" s="31">
        <f t="shared" si="53"/>
        <v>1318.453994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'[1]STA MARIA'!$O18</f>
        <v>10727.86</v>
      </c>
      <c r="CE18" s="31">
        <f t="shared" si="56"/>
        <v>9409.4060060000011</v>
      </c>
      <c r="CF18" s="31">
        <f t="shared" si="57"/>
        <v>1318.453994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'[1]STA MARIA'!$P18</f>
        <v>10727.86</v>
      </c>
      <c r="CL18" s="31">
        <f t="shared" si="60"/>
        <v>9409.4060060000011</v>
      </c>
      <c r="CM18" s="31">
        <f t="shared" si="61"/>
        <v>1318.453994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35000.000000000007</v>
      </c>
      <c r="C19" s="31">
        <f t="shared" si="0"/>
        <v>30698.499999999989</v>
      </c>
      <c r="D19" s="32">
        <f t="shared" si="0"/>
        <v>4301.5000000000009</v>
      </c>
      <c r="E19" s="30">
        <f t="shared" si="15"/>
        <v>11666.666666666666</v>
      </c>
      <c r="F19" s="33">
        <f t="shared" si="15"/>
        <v>10232.833333333332</v>
      </c>
      <c r="G19" s="34">
        <f t="shared" si="15"/>
        <v>1433.8333333333333</v>
      </c>
      <c r="H19" s="31">
        <f t="shared" si="1"/>
        <v>16359.706593999997</v>
      </c>
      <c r="I19" s="33">
        <f t="shared" si="1"/>
        <v>405.72340599999995</v>
      </c>
      <c r="J19" s="33">
        <f t="shared" si="1"/>
        <v>16765.43</v>
      </c>
      <c r="K19" s="37">
        <f t="shared" si="2"/>
        <v>0.43703685714285734</v>
      </c>
      <c r="L19" s="36">
        <f>'[1]STA MARIA'!$E19</f>
        <v>2916.6666666666665</v>
      </c>
      <c r="M19" s="31">
        <f t="shared" si="16"/>
        <v>2558.208333333333</v>
      </c>
      <c r="N19" s="31">
        <f t="shared" si="17"/>
        <v>358.45833333333331</v>
      </c>
      <c r="O19" s="31">
        <f t="shared" si="18"/>
        <v>3770.9107939999999</v>
      </c>
      <c r="P19" s="31">
        <f t="shared" si="19"/>
        <v>93.519205999999997</v>
      </c>
      <c r="Q19" s="33">
        <v>3864.43</v>
      </c>
      <c r="R19" s="37">
        <f t="shared" si="3"/>
        <v>0.32494742857142866</v>
      </c>
      <c r="S19" s="36">
        <f>'[1]STA MARIA'!$F19</f>
        <v>2916.6666666666665</v>
      </c>
      <c r="T19" s="31">
        <f t="shared" si="20"/>
        <v>2558.208333333333</v>
      </c>
      <c r="U19" s="31">
        <f t="shared" si="21"/>
        <v>358.45833333333331</v>
      </c>
      <c r="V19" s="31">
        <f t="shared" si="22"/>
        <v>2013.3388660000001</v>
      </c>
      <c r="W19" s="31">
        <f t="shared" si="23"/>
        <v>49.931134</v>
      </c>
      <c r="X19" s="33">
        <v>2063.27</v>
      </c>
      <c r="Y19" s="37">
        <f t="shared" si="4"/>
        <v>-0.29259314285714277</v>
      </c>
      <c r="Z19" s="36">
        <f>'[1]STA MARIA'!$G19</f>
        <v>2916.6666666666665</v>
      </c>
      <c r="AA19" s="31">
        <f t="shared" si="24"/>
        <v>2558.208333333333</v>
      </c>
      <c r="AB19" s="31">
        <f t="shared" si="25"/>
        <v>358.45833333333331</v>
      </c>
      <c r="AC19" s="31">
        <f t="shared" si="26"/>
        <v>6992.1241739999996</v>
      </c>
      <c r="AD19" s="31">
        <f t="shared" si="27"/>
        <v>173.40582599999999</v>
      </c>
      <c r="AE19" s="33">
        <v>7165.53</v>
      </c>
      <c r="AF19" s="37">
        <f t="shared" si="5"/>
        <v>1.456753142857143</v>
      </c>
      <c r="AG19" s="36">
        <f>'[1]STA MARIA'!$H19</f>
        <v>2916.6666666666665</v>
      </c>
      <c r="AH19" s="31">
        <f t="shared" si="28"/>
        <v>2558.208333333333</v>
      </c>
      <c r="AI19" s="31">
        <f t="shared" si="29"/>
        <v>358.45833333333331</v>
      </c>
      <c r="AJ19" s="31">
        <f t="shared" si="30"/>
        <v>3583.3327599999998</v>
      </c>
      <c r="AK19" s="31">
        <f t="shared" si="31"/>
        <v>88.867239999999995</v>
      </c>
      <c r="AL19" s="33">
        <v>3672.2</v>
      </c>
      <c r="AM19" s="37">
        <f t="shared" si="6"/>
        <v>0.25903999999999994</v>
      </c>
      <c r="AN19" s="36">
        <f>'[1]STA MARIA'!$I19</f>
        <v>2916.6666666666665</v>
      </c>
      <c r="AO19" s="31">
        <f t="shared" si="32"/>
        <v>2558.208333333333</v>
      </c>
      <c r="AP19" s="31">
        <f t="shared" si="33"/>
        <v>358.45833333333331</v>
      </c>
      <c r="AQ19" s="31">
        <f t="shared" si="34"/>
        <v>0</v>
      </c>
      <c r="AR19" s="31">
        <f t="shared" si="35"/>
        <v>0</v>
      </c>
      <c r="AS19" s="33"/>
      <c r="AT19" s="37">
        <f t="shared" si="7"/>
        <v>-1</v>
      </c>
      <c r="AU19" s="36">
        <f>'[1]STA MARIA'!$J19</f>
        <v>2916.6666666666665</v>
      </c>
      <c r="AV19" s="31">
        <f t="shared" si="36"/>
        <v>2558.208333333333</v>
      </c>
      <c r="AW19" s="31">
        <f t="shared" si="37"/>
        <v>358.45833333333331</v>
      </c>
      <c r="AX19" s="31">
        <f t="shared" si="38"/>
        <v>0</v>
      </c>
      <c r="AY19" s="31">
        <f t="shared" si="39"/>
        <v>0</v>
      </c>
      <c r="AZ19" s="27"/>
      <c r="BA19" s="37">
        <f t="shared" si="8"/>
        <v>-1</v>
      </c>
      <c r="BB19" s="36">
        <f>'[1]STA MARIA'!$K19</f>
        <v>2916.6666666666665</v>
      </c>
      <c r="BC19" s="31">
        <f t="shared" si="40"/>
        <v>2558.208333333333</v>
      </c>
      <c r="BD19" s="31">
        <f t="shared" si="41"/>
        <v>358.45833333333331</v>
      </c>
      <c r="BE19" s="31">
        <f t="shared" si="42"/>
        <v>0</v>
      </c>
      <c r="BF19" s="31">
        <f t="shared" si="43"/>
        <v>0</v>
      </c>
      <c r="BG19" s="33"/>
      <c r="BH19" s="37">
        <f t="shared" si="9"/>
        <v>-1</v>
      </c>
      <c r="BI19" s="36">
        <f>'[1]STA MARIA'!$L19</f>
        <v>2916.6666666666665</v>
      </c>
      <c r="BJ19" s="31">
        <f t="shared" si="44"/>
        <v>2558.208333333333</v>
      </c>
      <c r="BK19" s="31">
        <f t="shared" si="45"/>
        <v>358.45833333333331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'[1]STA MARIA'!$M19</f>
        <v>2916.6666666666665</v>
      </c>
      <c r="BQ19" s="31">
        <f t="shared" si="48"/>
        <v>2558.208333333333</v>
      </c>
      <c r="BR19" s="31">
        <f t="shared" si="49"/>
        <v>358.45833333333331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'[1]STA MARIA'!$N19</f>
        <v>2916.6666666666665</v>
      </c>
      <c r="BX19" s="31">
        <f t="shared" si="52"/>
        <v>2558.208333333333</v>
      </c>
      <c r="BY19" s="31">
        <f t="shared" si="53"/>
        <v>358.45833333333331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'[1]STA MARIA'!$O19</f>
        <v>2916.6666666666665</v>
      </c>
      <c r="CE19" s="31">
        <f t="shared" si="56"/>
        <v>2558.208333333333</v>
      </c>
      <c r="CF19" s="31">
        <f t="shared" si="57"/>
        <v>358.45833333333331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'[1]STA MARIA'!$P19</f>
        <v>2916.6666666666665</v>
      </c>
      <c r="CL19" s="31">
        <f t="shared" si="60"/>
        <v>2558.208333333333</v>
      </c>
      <c r="CM19" s="31">
        <f t="shared" si="61"/>
        <v>358.45833333333331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1141125.9660114285</v>
      </c>
      <c r="C20" s="31">
        <f t="shared" si="0"/>
        <v>1000881.5847886237</v>
      </c>
      <c r="D20" s="32">
        <f t="shared" si="0"/>
        <v>140244.38122280451</v>
      </c>
      <c r="E20" s="30">
        <f t="shared" si="15"/>
        <v>542194.61516571406</v>
      </c>
      <c r="F20" s="33">
        <f t="shared" si="15"/>
        <v>475558.89696184779</v>
      </c>
      <c r="G20" s="34">
        <f t="shared" si="15"/>
        <v>66635.718203866258</v>
      </c>
      <c r="H20" s="31">
        <f t="shared" si="1"/>
        <v>237187.87188600001</v>
      </c>
      <c r="I20" s="33">
        <f t="shared" si="1"/>
        <v>5882.2981139999993</v>
      </c>
      <c r="J20" s="33">
        <f t="shared" si="1"/>
        <v>243070.16999999998</v>
      </c>
      <c r="K20" s="37">
        <f t="shared" si="2"/>
        <v>-0.5516920249646724</v>
      </c>
      <c r="L20" s="36">
        <f>'[1]STA MARIA'!$E20</f>
        <v>0</v>
      </c>
      <c r="M20" s="31">
        <f t="shared" si="16"/>
        <v>0</v>
      </c>
      <c r="N20" s="31">
        <f t="shared" si="17"/>
        <v>0</v>
      </c>
      <c r="O20" s="31">
        <f t="shared" si="18"/>
        <v>275.91720800000002</v>
      </c>
      <c r="P20" s="31">
        <f t="shared" si="19"/>
        <v>6.8427919999999993</v>
      </c>
      <c r="Q20" s="33">
        <v>282.76</v>
      </c>
      <c r="R20" s="37" t="str">
        <f t="shared" si="3"/>
        <v/>
      </c>
      <c r="S20" s="36">
        <f>'[1]STA MARIA'!$F20</f>
        <v>0</v>
      </c>
      <c r="T20" s="31">
        <f t="shared" si="20"/>
        <v>0</v>
      </c>
      <c r="U20" s="31">
        <f t="shared" si="21"/>
        <v>0</v>
      </c>
      <c r="V20" s="31">
        <f t="shared" si="22"/>
        <v>0</v>
      </c>
      <c r="W20" s="31">
        <f t="shared" si="23"/>
        <v>0</v>
      </c>
      <c r="X20" s="33"/>
      <c r="Y20" s="37" t="str">
        <f t="shared" si="4"/>
        <v/>
      </c>
      <c r="Z20" s="36">
        <f>'[1]STA MARIA'!$G20</f>
        <v>542194.61516571406</v>
      </c>
      <c r="AA20" s="31">
        <f t="shared" si="24"/>
        <v>475558.89696184779</v>
      </c>
      <c r="AB20" s="31">
        <f t="shared" si="25"/>
        <v>66635.718203866258</v>
      </c>
      <c r="AC20" s="31">
        <f t="shared" si="26"/>
        <v>116446.27332800001</v>
      </c>
      <c r="AD20" s="31">
        <f t="shared" si="27"/>
        <v>2887.8866720000001</v>
      </c>
      <c r="AE20" s="33">
        <v>119334.16</v>
      </c>
      <c r="AF20" s="37">
        <f t="shared" si="5"/>
        <v>-0.77990530215146603</v>
      </c>
      <c r="AG20" s="36">
        <f>'[1]STA MARIA'!$H20</f>
        <v>0</v>
      </c>
      <c r="AH20" s="31">
        <f t="shared" si="28"/>
        <v>0</v>
      </c>
      <c r="AI20" s="31">
        <f t="shared" si="29"/>
        <v>0</v>
      </c>
      <c r="AJ20" s="31">
        <f t="shared" si="30"/>
        <v>120465.68135</v>
      </c>
      <c r="AK20" s="31">
        <f t="shared" si="31"/>
        <v>2987.5686499999997</v>
      </c>
      <c r="AL20" s="33">
        <f>123453.25</f>
        <v>123453.25</v>
      </c>
      <c r="AM20" s="37" t="str">
        <f t="shared" si="6"/>
        <v/>
      </c>
      <c r="AN20" s="36">
        <f>'[1]STA MARIA'!$I20</f>
        <v>12202.96696</v>
      </c>
      <c r="AO20" s="31">
        <f t="shared" si="32"/>
        <v>10703.222320616</v>
      </c>
      <c r="AP20" s="31">
        <f t="shared" si="33"/>
        <v>1499.7446393839998</v>
      </c>
      <c r="AQ20" s="31">
        <f t="shared" si="34"/>
        <v>0</v>
      </c>
      <c r="AR20" s="31">
        <f t="shared" si="35"/>
        <v>0</v>
      </c>
      <c r="AS20" s="33"/>
      <c r="AT20" s="37">
        <f t="shared" si="7"/>
        <v>-1</v>
      </c>
      <c r="AU20" s="36">
        <f>'[1]STA MARIA'!$J20</f>
        <v>12202.96696</v>
      </c>
      <c r="AV20" s="31">
        <f t="shared" si="36"/>
        <v>10703.222320616</v>
      </c>
      <c r="AW20" s="31">
        <f t="shared" si="37"/>
        <v>1499.7446393839998</v>
      </c>
      <c r="AX20" s="31">
        <f t="shared" si="38"/>
        <v>0</v>
      </c>
      <c r="AY20" s="31">
        <f t="shared" si="39"/>
        <v>0</v>
      </c>
      <c r="AZ20" s="27"/>
      <c r="BA20" s="37">
        <f t="shared" si="8"/>
        <v>-1</v>
      </c>
      <c r="BB20" s="36">
        <f>'[1]STA MARIA'!$K20</f>
        <v>252046.96695999999</v>
      </c>
      <c r="BC20" s="31">
        <f t="shared" si="40"/>
        <v>221070.39472061599</v>
      </c>
      <c r="BD20" s="31">
        <f t="shared" si="41"/>
        <v>30976.572239383997</v>
      </c>
      <c r="BE20" s="31">
        <f t="shared" si="42"/>
        <v>0</v>
      </c>
      <c r="BF20" s="31">
        <f t="shared" si="43"/>
        <v>0</v>
      </c>
      <c r="BG20" s="33"/>
      <c r="BH20" s="37">
        <f t="shared" si="9"/>
        <v>-1</v>
      </c>
      <c r="BI20" s="36">
        <f>'[1]STA MARIA'!$L20</f>
        <v>33822.582125714202</v>
      </c>
      <c r="BJ20" s="31">
        <f t="shared" si="44"/>
        <v>29665.786782463925</v>
      </c>
      <c r="BK20" s="31">
        <f t="shared" si="45"/>
        <v>4156.7953432502754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'[1]STA MARIA'!$M20</f>
        <v>252046.96695999999</v>
      </c>
      <c r="BQ20" s="31">
        <f t="shared" si="48"/>
        <v>221070.39472061599</v>
      </c>
      <c r="BR20" s="31">
        <f t="shared" si="49"/>
        <v>30976.572239383997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'[1]STA MARIA'!$N20</f>
        <v>12202.96696</v>
      </c>
      <c r="BX20" s="31">
        <f t="shared" si="52"/>
        <v>10703.222320616</v>
      </c>
      <c r="BY20" s="31">
        <f t="shared" si="53"/>
        <v>1499.7446393839998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'[1]STA MARIA'!$O20</f>
        <v>12202.96696</v>
      </c>
      <c r="CE20" s="31">
        <f t="shared" si="56"/>
        <v>10703.222320616</v>
      </c>
      <c r="CF20" s="31">
        <f t="shared" si="57"/>
        <v>1499.7446393839998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'[1]STA MARIA'!$P20</f>
        <v>12202.96696</v>
      </c>
      <c r="CL20" s="31">
        <f t="shared" si="60"/>
        <v>10703.222320616</v>
      </c>
      <c r="CM20" s="31">
        <f t="shared" si="61"/>
        <v>1499.7446393839998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53003.49</v>
      </c>
      <c r="C21" s="31">
        <f t="shared" si="0"/>
        <v>46489.361078999995</v>
      </c>
      <c r="D21" s="32">
        <f t="shared" si="0"/>
        <v>6514.1289209999995</v>
      </c>
      <c r="E21" s="30">
        <f t="shared" si="15"/>
        <v>53003.49</v>
      </c>
      <c r="F21" s="33">
        <f t="shared" si="15"/>
        <v>46489.361078999995</v>
      </c>
      <c r="G21" s="34">
        <f t="shared" si="15"/>
        <v>6514.1289209999995</v>
      </c>
      <c r="H21" s="31">
        <f t="shared" si="1"/>
        <v>22615.882407999998</v>
      </c>
      <c r="I21" s="33">
        <f t="shared" si="1"/>
        <v>560.87759200000005</v>
      </c>
      <c r="J21" s="33">
        <f t="shared" si="1"/>
        <v>23176.760000000002</v>
      </c>
      <c r="K21" s="37">
        <f t="shared" si="2"/>
        <v>-0.56273143523190639</v>
      </c>
      <c r="L21" s="36">
        <f>'[1]STA MARIA'!$E21</f>
        <v>53003.49</v>
      </c>
      <c r="M21" s="31">
        <f t="shared" si="16"/>
        <v>46489.361078999995</v>
      </c>
      <c r="N21" s="31">
        <f t="shared" si="17"/>
        <v>6514.1289209999995</v>
      </c>
      <c r="O21" s="31">
        <f t="shared" si="18"/>
        <v>0</v>
      </c>
      <c r="P21" s="31">
        <f t="shared" si="19"/>
        <v>0</v>
      </c>
      <c r="Q21" s="33"/>
      <c r="R21" s="37">
        <f t="shared" si="3"/>
        <v>-1</v>
      </c>
      <c r="S21" s="36">
        <f>'[1]STA MARIA'!$F21</f>
        <v>0</v>
      </c>
      <c r="T21" s="31">
        <f t="shared" si="20"/>
        <v>0</v>
      </c>
      <c r="U21" s="31">
        <f t="shared" si="21"/>
        <v>0</v>
      </c>
      <c r="V21" s="31">
        <f t="shared" si="22"/>
        <v>11419.299499999999</v>
      </c>
      <c r="W21" s="31">
        <f t="shared" si="23"/>
        <v>283.20049999999998</v>
      </c>
      <c r="X21" s="33">
        <f>11702.5</f>
        <v>11702.5</v>
      </c>
      <c r="Y21" s="37" t="str">
        <f t="shared" si="4"/>
        <v/>
      </c>
      <c r="Z21" s="36">
        <f>'[1]STA MARIA'!$G21</f>
        <v>0</v>
      </c>
      <c r="AA21" s="31">
        <f t="shared" si="24"/>
        <v>0</v>
      </c>
      <c r="AB21" s="31">
        <f t="shared" si="25"/>
        <v>0</v>
      </c>
      <c r="AC21" s="31">
        <f t="shared" si="26"/>
        <v>11196.582908</v>
      </c>
      <c r="AD21" s="31">
        <f t="shared" si="27"/>
        <v>277.67709200000002</v>
      </c>
      <c r="AE21" s="33">
        <v>11474.26</v>
      </c>
      <c r="AF21" s="37" t="str">
        <f t="shared" si="5"/>
        <v/>
      </c>
      <c r="AG21" s="36">
        <f>'[1]STA MARIA'!$H21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33"/>
      <c r="AM21" s="37" t="str">
        <f t="shared" si="6"/>
        <v/>
      </c>
      <c r="AN21" s="36">
        <f>'[1]STA MARIA'!$I21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7"/>
        <v/>
      </c>
      <c r="AU21" s="36">
        <f>'[1]STA MARIA'!$J21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27"/>
      <c r="BA21" s="37" t="str">
        <f t="shared" si="8"/>
        <v/>
      </c>
      <c r="BB21" s="36">
        <f>'[1]STA MARIA'!$K21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33"/>
      <c r="BH21" s="37" t="str">
        <f t="shared" si="9"/>
        <v/>
      </c>
      <c r="BI21" s="36">
        <f>'[1]STA MARIA'!$L21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'[1]STA MARIA'!$M21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'[1]STA MARIA'!$N21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'[1]STA MARIA'!$O21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'[1]STA MARIA'!$P21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277731.73600000009</v>
      </c>
      <c r="C22" s="31">
        <f t="shared" si="0"/>
        <v>243598.50564560012</v>
      </c>
      <c r="D22" s="32">
        <f t="shared" si="0"/>
        <v>34133.23035440001</v>
      </c>
      <c r="E22" s="30">
        <f t="shared" si="15"/>
        <v>92577.245333333354</v>
      </c>
      <c r="F22" s="33">
        <f t="shared" si="15"/>
        <v>81199.501881866687</v>
      </c>
      <c r="G22" s="34">
        <f t="shared" si="15"/>
        <v>11377.743451466669</v>
      </c>
      <c r="H22" s="31">
        <f t="shared" si="1"/>
        <v>112359.29115600001</v>
      </c>
      <c r="I22" s="33">
        <f t="shared" si="1"/>
        <v>2786.5288439999995</v>
      </c>
      <c r="J22" s="33">
        <f t="shared" si="1"/>
        <v>115145.82</v>
      </c>
      <c r="K22" s="37">
        <f t="shared" si="2"/>
        <v>0.24378101320045009</v>
      </c>
      <c r="L22" s="36">
        <f>'[1]STA MARIA'!$E22</f>
        <v>23144.311333333339</v>
      </c>
      <c r="M22" s="31">
        <f t="shared" si="16"/>
        <v>20299.875470466672</v>
      </c>
      <c r="N22" s="31">
        <f t="shared" si="17"/>
        <v>2844.4358628666673</v>
      </c>
      <c r="O22" s="31">
        <f t="shared" si="18"/>
        <v>55963.349750000001</v>
      </c>
      <c r="P22" s="31">
        <f t="shared" si="19"/>
        <v>1387.9002499999999</v>
      </c>
      <c r="Q22" s="33">
        <f>23421.25+33930</f>
        <v>57351.25</v>
      </c>
      <c r="R22" s="37">
        <f t="shared" si="3"/>
        <v>1.4779847269596869</v>
      </c>
      <c r="S22" s="36">
        <f>'[1]STA MARIA'!$F22</f>
        <v>23144.311333333339</v>
      </c>
      <c r="T22" s="31">
        <f t="shared" si="20"/>
        <v>20299.875470466672</v>
      </c>
      <c r="U22" s="31">
        <f t="shared" si="21"/>
        <v>2844.4358628666673</v>
      </c>
      <c r="V22" s="31">
        <f t="shared" si="22"/>
        <v>37552.550587999998</v>
      </c>
      <c r="W22" s="31">
        <f t="shared" si="23"/>
        <v>931.30941199999995</v>
      </c>
      <c r="X22" s="33">
        <f>29383.86+9100</f>
        <v>38483.86</v>
      </c>
      <c r="Y22" s="37">
        <f t="shared" si="4"/>
        <v>0.66277835817797892</v>
      </c>
      <c r="Z22" s="36">
        <f>'[1]STA MARIA'!$G22</f>
        <v>23144.311333333339</v>
      </c>
      <c r="AA22" s="31">
        <f t="shared" si="24"/>
        <v>20299.875470466672</v>
      </c>
      <c r="AB22" s="31">
        <f t="shared" si="25"/>
        <v>2844.4358628666673</v>
      </c>
      <c r="AC22" s="31">
        <f t="shared" si="26"/>
        <v>11180.404144</v>
      </c>
      <c r="AD22" s="31">
        <f t="shared" si="27"/>
        <v>277.27585599999998</v>
      </c>
      <c r="AE22" s="33">
        <f>11457.68</f>
        <v>11457.68</v>
      </c>
      <c r="AF22" s="37">
        <f t="shared" si="5"/>
        <v>-0.50494616862942887</v>
      </c>
      <c r="AG22" s="36">
        <f>'[1]STA MARIA'!$H22</f>
        <v>23144.311333333339</v>
      </c>
      <c r="AH22" s="31">
        <f t="shared" si="28"/>
        <v>20299.875470466672</v>
      </c>
      <c r="AI22" s="31">
        <f t="shared" si="29"/>
        <v>2844.4358628666673</v>
      </c>
      <c r="AJ22" s="31">
        <f t="shared" si="30"/>
        <v>7662.9866739999998</v>
      </c>
      <c r="AK22" s="31">
        <f t="shared" si="31"/>
        <v>190.04332599999998</v>
      </c>
      <c r="AL22" s="33">
        <f>7853.03</f>
        <v>7853.03</v>
      </c>
      <c r="AM22" s="37">
        <f t="shared" si="6"/>
        <v>-0.66069286370643665</v>
      </c>
      <c r="AN22" s="36">
        <f>'[1]STA MARIA'!$I22</f>
        <v>23144.311333333339</v>
      </c>
      <c r="AO22" s="31">
        <f t="shared" si="32"/>
        <v>20299.875470466672</v>
      </c>
      <c r="AP22" s="31">
        <f t="shared" si="33"/>
        <v>2844.4358628666673</v>
      </c>
      <c r="AQ22" s="31">
        <f t="shared" si="34"/>
        <v>0</v>
      </c>
      <c r="AR22" s="31">
        <f t="shared" si="35"/>
        <v>0</v>
      </c>
      <c r="AS22" s="33"/>
      <c r="AT22" s="37">
        <f t="shared" si="7"/>
        <v>-1</v>
      </c>
      <c r="AU22" s="36">
        <f>'[1]STA MARIA'!$J22</f>
        <v>23144.311333333339</v>
      </c>
      <c r="AV22" s="31">
        <f t="shared" si="36"/>
        <v>20299.875470466672</v>
      </c>
      <c r="AW22" s="31">
        <f t="shared" si="37"/>
        <v>2844.4358628666673</v>
      </c>
      <c r="AX22" s="31">
        <f t="shared" si="38"/>
        <v>0</v>
      </c>
      <c r="AY22" s="31">
        <f t="shared" si="39"/>
        <v>0</v>
      </c>
      <c r="AZ22" s="27"/>
      <c r="BA22" s="37">
        <f t="shared" si="8"/>
        <v>-1</v>
      </c>
      <c r="BB22" s="36">
        <f>'[1]STA MARIA'!$K22</f>
        <v>23144.311333333339</v>
      </c>
      <c r="BC22" s="31">
        <f t="shared" si="40"/>
        <v>20299.875470466672</v>
      </c>
      <c r="BD22" s="31">
        <f t="shared" si="41"/>
        <v>2844.4358628666673</v>
      </c>
      <c r="BE22" s="31">
        <f t="shared" si="42"/>
        <v>0</v>
      </c>
      <c r="BF22" s="31">
        <f t="shared" si="43"/>
        <v>0</v>
      </c>
      <c r="BG22" s="33"/>
      <c r="BH22" s="37">
        <f t="shared" si="9"/>
        <v>-1</v>
      </c>
      <c r="BI22" s="36">
        <f>'[1]STA MARIA'!$L22</f>
        <v>23144.311333333339</v>
      </c>
      <c r="BJ22" s="31">
        <f t="shared" si="44"/>
        <v>20299.875470466672</v>
      </c>
      <c r="BK22" s="31">
        <f t="shared" si="45"/>
        <v>2844.4358628666673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'[1]STA MARIA'!$M22</f>
        <v>23144.311333333339</v>
      </c>
      <c r="BQ22" s="31">
        <f t="shared" si="48"/>
        <v>20299.875470466672</v>
      </c>
      <c r="BR22" s="31">
        <f t="shared" si="49"/>
        <v>2844.4358628666673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'[1]STA MARIA'!$N22</f>
        <v>23144.311333333339</v>
      </c>
      <c r="BX22" s="31">
        <f t="shared" si="52"/>
        <v>20299.875470466672</v>
      </c>
      <c r="BY22" s="31">
        <f t="shared" si="53"/>
        <v>2844.4358628666673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'[1]STA MARIA'!$O22</f>
        <v>23144.311333333339</v>
      </c>
      <c r="CE22" s="31">
        <f t="shared" si="56"/>
        <v>20299.875470466672</v>
      </c>
      <c r="CF22" s="31">
        <f t="shared" si="57"/>
        <v>2844.4358628666673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'[1]STA MARIA'!$P22</f>
        <v>23144.311333333339</v>
      </c>
      <c r="CL22" s="31">
        <f t="shared" si="60"/>
        <v>20299.875470466672</v>
      </c>
      <c r="CM22" s="31">
        <f t="shared" si="61"/>
        <v>2844.4358628666673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'[1]STA MARIA'!$E23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'[1]STA MARIA'!$F23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'[1]STA MARIA'!$G23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'[1]STA MARIA'!$H23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33"/>
      <c r="AM23" s="37" t="str">
        <f t="shared" si="6"/>
        <v/>
      </c>
      <c r="AN23" s="36">
        <f>'[1]STA MARIA'!$I23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7"/>
        <v/>
      </c>
      <c r="AU23" s="36">
        <f>'[1]STA MARIA'!$J23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27"/>
      <c r="BA23" s="37" t="str">
        <f t="shared" si="8"/>
        <v/>
      </c>
      <c r="BB23" s="36">
        <f>'[1]STA MARIA'!$K23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33"/>
      <c r="BH23" s="37" t="str">
        <f t="shared" si="9"/>
        <v/>
      </c>
      <c r="BI23" s="36">
        <f>'[1]STA MARIA'!$L23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'[1]STA MARIA'!$M23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'[1]STA MARIA'!$N23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'[1]STA MARIA'!$O23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'[1]STA MARIA'!$P23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274581.99974916398</v>
      </c>
      <c r="C24" s="31">
        <f t="shared" si="0"/>
        <v>240835.87197999182</v>
      </c>
      <c r="D24" s="32">
        <f t="shared" si="0"/>
        <v>33746.12776917225</v>
      </c>
      <c r="E24" s="30">
        <f t="shared" si="15"/>
        <v>92945.042314681341</v>
      </c>
      <c r="F24" s="33">
        <f t="shared" si="15"/>
        <v>81522.09661420701</v>
      </c>
      <c r="G24" s="34">
        <f t="shared" si="15"/>
        <v>11422.945700474336</v>
      </c>
      <c r="H24" s="31">
        <f t="shared" si="1"/>
        <v>23342.033735999998</v>
      </c>
      <c r="I24" s="33">
        <f t="shared" si="1"/>
        <v>578.88626399999998</v>
      </c>
      <c r="J24" s="33">
        <f t="shared" si="1"/>
        <v>23920.92</v>
      </c>
      <c r="K24" s="37">
        <f t="shared" si="2"/>
        <v>-0.74263371768650521</v>
      </c>
      <c r="L24" s="36">
        <f>'[1]STA MARIA'!$E24</f>
        <v>23236.260578670335</v>
      </c>
      <c r="M24" s="31">
        <f t="shared" si="16"/>
        <v>20380.524153551753</v>
      </c>
      <c r="N24" s="31">
        <f t="shared" si="17"/>
        <v>2855.7364251185841</v>
      </c>
      <c r="O24" s="31">
        <f t="shared" si="18"/>
        <v>5010.3329220000005</v>
      </c>
      <c r="P24" s="31">
        <f t="shared" si="19"/>
        <v>124.25707799999999</v>
      </c>
      <c r="Q24" s="33">
        <f>5134.59</f>
        <v>5134.59</v>
      </c>
      <c r="R24" s="37">
        <f t="shared" si="3"/>
        <v>-0.77902683684339102</v>
      </c>
      <c r="S24" s="36">
        <f>'[1]STA MARIA'!$F24</f>
        <v>23236.260578670335</v>
      </c>
      <c r="T24" s="31">
        <f t="shared" si="20"/>
        <v>20380.524153551753</v>
      </c>
      <c r="U24" s="31">
        <f t="shared" si="21"/>
        <v>2855.7364251185841</v>
      </c>
      <c r="V24" s="31">
        <f t="shared" si="22"/>
        <v>2642.0955960000001</v>
      </c>
      <c r="W24" s="31">
        <f t="shared" si="23"/>
        <v>65.52440399999999</v>
      </c>
      <c r="X24" s="33">
        <f>2707.62</f>
        <v>2707.62</v>
      </c>
      <c r="Y24" s="37">
        <f t="shared" si="4"/>
        <v>-0.88347436581575212</v>
      </c>
      <c r="Z24" s="36">
        <f>'[1]STA MARIA'!$G24</f>
        <v>23236.260578670335</v>
      </c>
      <c r="AA24" s="31">
        <f t="shared" si="24"/>
        <v>20380.524153551753</v>
      </c>
      <c r="AB24" s="31">
        <f t="shared" si="25"/>
        <v>2855.7364251185841</v>
      </c>
      <c r="AC24" s="31">
        <f t="shared" si="26"/>
        <v>6289.577448</v>
      </c>
      <c r="AD24" s="31">
        <f t="shared" si="27"/>
        <v>155.982552</v>
      </c>
      <c r="AE24" s="33">
        <v>6445.56</v>
      </c>
      <c r="AF24" s="37">
        <f t="shared" si="5"/>
        <v>-0.72260768990012592</v>
      </c>
      <c r="AG24" s="36">
        <f>'[1]STA MARIA'!$H24</f>
        <v>23236.260578670335</v>
      </c>
      <c r="AH24" s="31">
        <f t="shared" si="28"/>
        <v>20380.524153551753</v>
      </c>
      <c r="AI24" s="31">
        <f t="shared" si="29"/>
        <v>2855.7364251185841</v>
      </c>
      <c r="AJ24" s="31">
        <f t="shared" si="30"/>
        <v>9400.0277699999988</v>
      </c>
      <c r="AK24" s="31">
        <f t="shared" si="31"/>
        <v>233.12222999999997</v>
      </c>
      <c r="AL24" s="33">
        <f>9633.15</f>
        <v>9633.15</v>
      </c>
      <c r="AM24" s="37">
        <f t="shared" si="6"/>
        <v>-0.58542597818675157</v>
      </c>
      <c r="AN24" s="36">
        <f>'[1]STA MARIA'!$I24</f>
        <v>23236.260578670335</v>
      </c>
      <c r="AO24" s="31">
        <f t="shared" si="32"/>
        <v>20380.524153551753</v>
      </c>
      <c r="AP24" s="31">
        <f t="shared" si="33"/>
        <v>2855.7364251185841</v>
      </c>
      <c r="AQ24" s="31">
        <f t="shared" si="34"/>
        <v>0</v>
      </c>
      <c r="AR24" s="31">
        <f t="shared" si="35"/>
        <v>0</v>
      </c>
      <c r="AS24" s="33"/>
      <c r="AT24" s="37">
        <f t="shared" si="7"/>
        <v>-1</v>
      </c>
      <c r="AU24" s="36">
        <f>'[1]STA MARIA'!$J24</f>
        <v>23236.260578670335</v>
      </c>
      <c r="AV24" s="31">
        <f t="shared" si="36"/>
        <v>20380.524153551753</v>
      </c>
      <c r="AW24" s="31">
        <f t="shared" si="37"/>
        <v>2855.7364251185841</v>
      </c>
      <c r="AX24" s="31">
        <f t="shared" si="38"/>
        <v>0</v>
      </c>
      <c r="AY24" s="31">
        <f t="shared" si="39"/>
        <v>0</v>
      </c>
      <c r="AZ24" s="27"/>
      <c r="BA24" s="37">
        <f t="shared" si="8"/>
        <v>-1</v>
      </c>
      <c r="BB24" s="36">
        <f>'[1]STA MARIA'!$K24</f>
        <v>18983.133383790337</v>
      </c>
      <c r="BC24" s="31">
        <f t="shared" si="40"/>
        <v>16650.106290922504</v>
      </c>
      <c r="BD24" s="31">
        <f t="shared" si="41"/>
        <v>2333.0270928678324</v>
      </c>
      <c r="BE24" s="31">
        <f t="shared" si="42"/>
        <v>0</v>
      </c>
      <c r="BF24" s="31">
        <f t="shared" si="43"/>
        <v>0</v>
      </c>
      <c r="BG24" s="33"/>
      <c r="BH24" s="37">
        <f t="shared" si="9"/>
        <v>-1</v>
      </c>
      <c r="BI24" s="36">
        <f>'[1]STA MARIA'!$L24</f>
        <v>23236.260578670335</v>
      </c>
      <c r="BJ24" s="31">
        <f t="shared" si="44"/>
        <v>20380.524153551753</v>
      </c>
      <c r="BK24" s="31">
        <f t="shared" si="45"/>
        <v>2855.7364251185841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'[1]STA MARIA'!$M24</f>
        <v>23236.260578670335</v>
      </c>
      <c r="BQ24" s="31">
        <f t="shared" si="48"/>
        <v>20380.524153551753</v>
      </c>
      <c r="BR24" s="31">
        <f t="shared" si="49"/>
        <v>2855.7364251185841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'[1]STA MARIA'!$N24</f>
        <v>23236.260578670335</v>
      </c>
      <c r="BX24" s="31">
        <f t="shared" si="52"/>
        <v>20380.524153551753</v>
      </c>
      <c r="BY24" s="31">
        <f t="shared" si="53"/>
        <v>2855.7364251185841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'[1]STA MARIA'!$O24</f>
        <v>23236.260578670335</v>
      </c>
      <c r="CE24" s="31">
        <f t="shared" si="56"/>
        <v>20380.524153551753</v>
      </c>
      <c r="CF24" s="31">
        <f t="shared" si="57"/>
        <v>2855.7364251185841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'[1]STA MARIA'!$P24</f>
        <v>23236.260578670335</v>
      </c>
      <c r="CL24" s="31">
        <f t="shared" si="60"/>
        <v>20380.524153551753</v>
      </c>
      <c r="CM24" s="31">
        <f t="shared" si="61"/>
        <v>2855.7364251185841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559399.17784200003</v>
      </c>
      <c r="C25" s="31">
        <f t="shared" si="0"/>
        <v>490649.01888521825</v>
      </c>
      <c r="D25" s="32">
        <f t="shared" si="0"/>
        <v>68750.158956781801</v>
      </c>
      <c r="E25" s="30">
        <f t="shared" si="15"/>
        <v>184922.71779600001</v>
      </c>
      <c r="F25" s="33">
        <f t="shared" si="15"/>
        <v>162195.71577887161</v>
      </c>
      <c r="G25" s="34">
        <f t="shared" si="15"/>
        <v>22727.002017128398</v>
      </c>
      <c r="H25" s="31">
        <f t="shared" si="1"/>
        <v>268170.40986400004</v>
      </c>
      <c r="I25" s="33">
        <f t="shared" si="1"/>
        <v>6650.6701359999997</v>
      </c>
      <c r="J25" s="33">
        <f t="shared" si="1"/>
        <v>274821.08</v>
      </c>
      <c r="K25" s="37">
        <f t="shared" si="2"/>
        <v>0.48614017398972353</v>
      </c>
      <c r="L25" s="36">
        <f>'[1]STA MARIA'!$E25</f>
        <v>0</v>
      </c>
      <c r="M25" s="31">
        <f t="shared" si="16"/>
        <v>0</v>
      </c>
      <c r="N25" s="31">
        <f t="shared" si="17"/>
        <v>0</v>
      </c>
      <c r="O25" s="31">
        <f t="shared" si="18"/>
        <v>11399.295599999999</v>
      </c>
      <c r="P25" s="31">
        <f t="shared" si="19"/>
        <v>282.70439999999996</v>
      </c>
      <c r="Q25" s="33">
        <f>11682</f>
        <v>11682</v>
      </c>
      <c r="R25" s="37" t="str">
        <f t="shared" si="3"/>
        <v/>
      </c>
      <c r="S25" s="36">
        <f>'[1]STA MARIA'!$F25</f>
        <v>0</v>
      </c>
      <c r="T25" s="31">
        <f t="shared" si="20"/>
        <v>0</v>
      </c>
      <c r="U25" s="31">
        <f t="shared" si="21"/>
        <v>0</v>
      </c>
      <c r="V25" s="31">
        <f t="shared" si="22"/>
        <v>15644.962367999999</v>
      </c>
      <c r="W25" s="31">
        <f t="shared" si="23"/>
        <v>387.99763199999995</v>
      </c>
      <c r="X25" s="33">
        <f>16032.96</f>
        <v>16032.96</v>
      </c>
      <c r="Y25" s="37" t="str">
        <f t="shared" si="4"/>
        <v/>
      </c>
      <c r="Z25" s="36">
        <f>'[1]STA MARIA'!$G25</f>
        <v>79862.475630000001</v>
      </c>
      <c r="AA25" s="31">
        <f t="shared" si="24"/>
        <v>70047.377375073003</v>
      </c>
      <c r="AB25" s="31">
        <f t="shared" si="25"/>
        <v>9815.0982549269993</v>
      </c>
      <c r="AC25" s="31">
        <f t="shared" si="26"/>
        <v>45650.753819999998</v>
      </c>
      <c r="AD25" s="31">
        <f t="shared" si="27"/>
        <v>1132.14618</v>
      </c>
      <c r="AE25" s="33">
        <v>46782.9</v>
      </c>
      <c r="AF25" s="37">
        <f t="shared" si="5"/>
        <v>-0.4142067393860478</v>
      </c>
      <c r="AG25" s="36">
        <f>'[1]STA MARIA'!$H25</f>
        <v>105060.242166</v>
      </c>
      <c r="AH25" s="31">
        <f t="shared" si="28"/>
        <v>92148.338403798596</v>
      </c>
      <c r="AI25" s="31">
        <f t="shared" si="29"/>
        <v>12911.903762201398</v>
      </c>
      <c r="AJ25" s="31">
        <f t="shared" si="30"/>
        <v>195475.39807600001</v>
      </c>
      <c r="AK25" s="31">
        <f t="shared" si="31"/>
        <v>4847.8219239999999</v>
      </c>
      <c r="AL25" s="33">
        <f>200323.22</f>
        <v>200323.22</v>
      </c>
      <c r="AM25" s="37">
        <f t="shared" si="6"/>
        <v>0.90674622359503165</v>
      </c>
      <c r="AN25" s="36">
        <f>'[1]STA MARIA'!$I25</f>
        <v>105060.242166</v>
      </c>
      <c r="AO25" s="31">
        <f t="shared" si="32"/>
        <v>92148.338403798596</v>
      </c>
      <c r="AP25" s="31">
        <f t="shared" si="33"/>
        <v>12911.903762201398</v>
      </c>
      <c r="AQ25" s="31">
        <f t="shared" si="34"/>
        <v>0</v>
      </c>
      <c r="AR25" s="31">
        <f t="shared" si="35"/>
        <v>0</v>
      </c>
      <c r="AS25" s="33"/>
      <c r="AT25" s="37">
        <f t="shared" si="7"/>
        <v>-1</v>
      </c>
      <c r="AU25" s="36">
        <f>'[1]STA MARIA'!$J25</f>
        <v>109551.353418</v>
      </c>
      <c r="AV25" s="31">
        <f t="shared" si="36"/>
        <v>96087.492082927798</v>
      </c>
      <c r="AW25" s="31">
        <f t="shared" si="37"/>
        <v>13463.861335072199</v>
      </c>
      <c r="AX25" s="31">
        <f t="shared" si="38"/>
        <v>0</v>
      </c>
      <c r="AY25" s="31">
        <f t="shared" si="39"/>
        <v>0</v>
      </c>
      <c r="AZ25" s="27"/>
      <c r="BA25" s="37">
        <f t="shared" si="8"/>
        <v>-1</v>
      </c>
      <c r="BB25" s="36">
        <f>'[1]STA MARIA'!$K25</f>
        <v>35453.496017999998</v>
      </c>
      <c r="BC25" s="31">
        <f t="shared" si="40"/>
        <v>31096.261357387797</v>
      </c>
      <c r="BD25" s="31">
        <f t="shared" si="41"/>
        <v>4357.2346606121991</v>
      </c>
      <c r="BE25" s="31">
        <f t="shared" si="42"/>
        <v>0</v>
      </c>
      <c r="BF25" s="31">
        <f t="shared" si="43"/>
        <v>0</v>
      </c>
      <c r="BG25" s="33"/>
      <c r="BH25" s="37">
        <f t="shared" si="9"/>
        <v>-1</v>
      </c>
      <c r="BI25" s="36">
        <f>'[1]STA MARIA'!$L25</f>
        <v>35453.496017999998</v>
      </c>
      <c r="BJ25" s="31">
        <f t="shared" si="44"/>
        <v>31096.261357387797</v>
      </c>
      <c r="BK25" s="31">
        <f t="shared" si="45"/>
        <v>4357.2346606121991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'[1]STA MARIA'!$M25</f>
        <v>35453.496017999998</v>
      </c>
      <c r="BQ25" s="31">
        <f t="shared" si="48"/>
        <v>31096.261357387797</v>
      </c>
      <c r="BR25" s="31">
        <f t="shared" si="49"/>
        <v>4357.2346606121991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'[1]STA MARIA'!$N25</f>
        <v>25637.122823999998</v>
      </c>
      <c r="BX25" s="31">
        <f t="shared" si="52"/>
        <v>22486.320428930398</v>
      </c>
      <c r="BY25" s="31">
        <f t="shared" si="53"/>
        <v>3150.8023950695997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'[1]STA MARIA'!$O25</f>
        <v>13933.626791999999</v>
      </c>
      <c r="CE25" s="31">
        <f t="shared" si="56"/>
        <v>12221.1840592632</v>
      </c>
      <c r="CF25" s="31">
        <f t="shared" si="57"/>
        <v>1712.4427327367998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'[1]STA MARIA'!$P25</f>
        <v>13933.626791999999</v>
      </c>
      <c r="CL25" s="31">
        <f t="shared" si="60"/>
        <v>12221.1840592632</v>
      </c>
      <c r="CM25" s="31">
        <f t="shared" si="61"/>
        <v>1712.4427327367998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3208236.6718706815</v>
      </c>
      <c r="C26" s="31">
        <f t="shared" si="0"/>
        <v>2813944.3848977755</v>
      </c>
      <c r="D26" s="32">
        <f t="shared" si="0"/>
        <v>394292.28697290679</v>
      </c>
      <c r="E26" s="30">
        <f t="shared" si="15"/>
        <v>876390.87149669544</v>
      </c>
      <c r="F26" s="33">
        <f t="shared" si="15"/>
        <v>768682.43338975159</v>
      </c>
      <c r="G26" s="34">
        <f t="shared" si="15"/>
        <v>107708.43810694387</v>
      </c>
      <c r="H26" s="31">
        <f t="shared" si="1"/>
        <v>1110488.9128759999</v>
      </c>
      <c r="I26" s="33">
        <f t="shared" si="1"/>
        <v>27540.307123999999</v>
      </c>
      <c r="J26" s="33">
        <f t="shared" si="1"/>
        <v>1138029.22</v>
      </c>
      <c r="K26" s="37">
        <f t="shared" si="2"/>
        <v>0.29854070485293849</v>
      </c>
      <c r="L26" s="36">
        <f>'[1]STA MARIA'!$E26</f>
        <v>92394.492887725864</v>
      </c>
      <c r="M26" s="31">
        <f t="shared" si="16"/>
        <v>81039.209711824355</v>
      </c>
      <c r="N26" s="31">
        <f t="shared" si="17"/>
        <v>11355.283175901508</v>
      </c>
      <c r="O26" s="31">
        <f t="shared" si="18"/>
        <v>169017.71300400002</v>
      </c>
      <c r="P26" s="31">
        <f t="shared" si="19"/>
        <v>4191.6669959999999</v>
      </c>
      <c r="Q26" s="33">
        <f>173209.38</f>
        <v>173209.38</v>
      </c>
      <c r="R26" s="37">
        <f t="shared" si="3"/>
        <v>0.87467212153517848</v>
      </c>
      <c r="S26" s="36">
        <f>'[1]STA MARIA'!$F26</f>
        <v>191221.79595972586</v>
      </c>
      <c r="T26" s="31">
        <f t="shared" si="20"/>
        <v>167720.63723627556</v>
      </c>
      <c r="U26" s="31">
        <f t="shared" si="21"/>
        <v>23501.158723450306</v>
      </c>
      <c r="V26" s="31">
        <f t="shared" si="22"/>
        <v>255054.74061200002</v>
      </c>
      <c r="W26" s="31">
        <f t="shared" si="23"/>
        <v>6325.3993879999998</v>
      </c>
      <c r="X26" s="33">
        <f>392+260988.14</f>
        <v>261380.14</v>
      </c>
      <c r="Y26" s="37">
        <f t="shared" si="4"/>
        <v>0.36689512138590374</v>
      </c>
      <c r="Z26" s="36">
        <f>'[1]STA MARIA'!$G26</f>
        <v>296387.29132462188</v>
      </c>
      <c r="AA26" s="31">
        <f t="shared" si="24"/>
        <v>259961.29322082584</v>
      </c>
      <c r="AB26" s="31">
        <f t="shared" si="25"/>
        <v>36425.998103796024</v>
      </c>
      <c r="AC26" s="31">
        <f t="shared" si="26"/>
        <v>291640.24412599998</v>
      </c>
      <c r="AD26" s="31">
        <f t="shared" si="27"/>
        <v>7232.7258739999988</v>
      </c>
      <c r="AE26" s="33">
        <f>392+298480.97</f>
        <v>298872.96999999997</v>
      </c>
      <c r="AF26" s="37">
        <f t="shared" si="5"/>
        <v>8.3865899386881271E-3</v>
      </c>
      <c r="AG26" s="36">
        <f>'[1]STA MARIA'!$H26</f>
        <v>296387.29132462188</v>
      </c>
      <c r="AH26" s="31">
        <f t="shared" si="28"/>
        <v>259961.29322082584</v>
      </c>
      <c r="AI26" s="31">
        <f t="shared" si="29"/>
        <v>36425.998103796024</v>
      </c>
      <c r="AJ26" s="31">
        <f t="shared" si="30"/>
        <v>394776.215134</v>
      </c>
      <c r="AK26" s="31">
        <f t="shared" si="31"/>
        <v>9790.5148659999995</v>
      </c>
      <c r="AL26" s="33">
        <f>404566.73</f>
        <v>404566.73</v>
      </c>
      <c r="AM26" s="37">
        <f t="shared" si="6"/>
        <v>0.36499351302108707</v>
      </c>
      <c r="AN26" s="36">
        <f>'[1]STA MARIA'!$I26</f>
        <v>332585.59287972585</v>
      </c>
      <c r="AO26" s="31">
        <f t="shared" si="32"/>
        <v>291710.82351480756</v>
      </c>
      <c r="AP26" s="31">
        <f t="shared" si="33"/>
        <v>40874.769364918306</v>
      </c>
      <c r="AQ26" s="31">
        <f t="shared" si="34"/>
        <v>0</v>
      </c>
      <c r="AR26" s="31">
        <f t="shared" si="35"/>
        <v>0</v>
      </c>
      <c r="AS26" s="33"/>
      <c r="AT26" s="37">
        <f t="shared" si="7"/>
        <v>-1</v>
      </c>
      <c r="AU26" s="36">
        <f>'[1]STA MARIA'!$J26</f>
        <v>256525.24768862186</v>
      </c>
      <c r="AV26" s="31">
        <f t="shared" si="36"/>
        <v>224998.29474769023</v>
      </c>
      <c r="AW26" s="31">
        <f t="shared" si="37"/>
        <v>31526.952940931627</v>
      </c>
      <c r="AX26" s="31">
        <f t="shared" si="38"/>
        <v>0</v>
      </c>
      <c r="AY26" s="31">
        <f t="shared" si="39"/>
        <v>0</v>
      </c>
      <c r="AZ26" s="27"/>
      <c r="BA26" s="37">
        <f t="shared" si="8"/>
        <v>-1</v>
      </c>
      <c r="BB26" s="36">
        <f>'[1]STA MARIA'!$K26</f>
        <v>220326.94613351789</v>
      </c>
      <c r="BC26" s="31">
        <f t="shared" si="40"/>
        <v>193248.76445370854</v>
      </c>
      <c r="BD26" s="31">
        <f t="shared" si="41"/>
        <v>27078.18167980935</v>
      </c>
      <c r="BE26" s="31">
        <f t="shared" si="42"/>
        <v>0</v>
      </c>
      <c r="BF26" s="31">
        <f t="shared" si="43"/>
        <v>0</v>
      </c>
      <c r="BG26" s="33"/>
      <c r="BH26" s="37">
        <f t="shared" si="9"/>
        <v>-1</v>
      </c>
      <c r="BI26" s="36">
        <f>'[1]STA MARIA'!$L26</f>
        <v>296387.29132462188</v>
      </c>
      <c r="BJ26" s="31">
        <f t="shared" si="44"/>
        <v>259961.29322082584</v>
      </c>
      <c r="BK26" s="31">
        <f t="shared" si="45"/>
        <v>36425.998103796024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'[1]STA MARIA'!$M26</f>
        <v>372550.08069432259</v>
      </c>
      <c r="BQ26" s="31">
        <f t="shared" si="48"/>
        <v>326763.67577699036</v>
      </c>
      <c r="BR26" s="31">
        <f t="shared" si="49"/>
        <v>45786.404917332242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'[1]STA MARIA'!$N26</f>
        <v>257089.37914942662</v>
      </c>
      <c r="BX26" s="31">
        <f t="shared" si="52"/>
        <v>225493.0944519621</v>
      </c>
      <c r="BY26" s="31">
        <f t="shared" si="53"/>
        <v>31596.284697464529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'[1]STA MARIA'!$O26</f>
        <v>350773.37893432262</v>
      </c>
      <c r="CE26" s="31">
        <f t="shared" si="56"/>
        <v>307663.33066329436</v>
      </c>
      <c r="CF26" s="31">
        <f t="shared" si="57"/>
        <v>43110.048271028252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'[1]STA MARIA'!$P26</f>
        <v>245607.88356942663</v>
      </c>
      <c r="CL26" s="31">
        <f t="shared" si="60"/>
        <v>215422.67467874411</v>
      </c>
      <c r="CM26" s="31">
        <f t="shared" si="61"/>
        <v>30185.20889068253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185864.23252800002</v>
      </c>
      <c r="C27" s="31">
        <f t="shared" si="0"/>
        <v>163021.51835030882</v>
      </c>
      <c r="D27" s="32">
        <f t="shared" si="0"/>
        <v>22842.714177691196</v>
      </c>
      <c r="E27" s="30">
        <f t="shared" si="15"/>
        <v>60707.522197999991</v>
      </c>
      <c r="F27" s="33">
        <f t="shared" si="15"/>
        <v>53246.567719865801</v>
      </c>
      <c r="G27" s="34">
        <f t="shared" si="15"/>
        <v>7460.9544781341992</v>
      </c>
      <c r="H27" s="31">
        <f t="shared" si="1"/>
        <v>78045.235366000008</v>
      </c>
      <c r="I27" s="33">
        <f t="shared" si="1"/>
        <v>1935.5346340000001</v>
      </c>
      <c r="J27" s="33">
        <f t="shared" si="1"/>
        <v>79980.77</v>
      </c>
      <c r="K27" s="37">
        <f t="shared" si="2"/>
        <v>0.31747709516358702</v>
      </c>
      <c r="L27" s="36">
        <f>'[1]STA MARIA'!$E27</f>
        <v>5380.1206039999997</v>
      </c>
      <c r="M27" s="31">
        <f t="shared" si="16"/>
        <v>4718.9037817684002</v>
      </c>
      <c r="N27" s="31">
        <f t="shared" si="17"/>
        <v>661.21682223159996</v>
      </c>
      <c r="O27" s="31">
        <f t="shared" si="18"/>
        <v>20396.005714000003</v>
      </c>
      <c r="P27" s="31">
        <f t="shared" si="19"/>
        <v>505.82428600000003</v>
      </c>
      <c r="Q27" s="33">
        <f>20901.83</f>
        <v>20901.830000000002</v>
      </c>
      <c r="R27" s="37">
        <f t="shared" si="3"/>
        <v>2.8850114223201535</v>
      </c>
      <c r="S27" s="36">
        <f>'[1]STA MARIA'!$F27</f>
        <v>19422.604132</v>
      </c>
      <c r="T27" s="31">
        <f t="shared" si="20"/>
        <v>17035.566084177201</v>
      </c>
      <c r="U27" s="31">
        <f t="shared" si="21"/>
        <v>2387.0380478227999</v>
      </c>
      <c r="V27" s="31">
        <f t="shared" si="22"/>
        <v>18799.021192</v>
      </c>
      <c r="W27" s="31">
        <f t="shared" si="23"/>
        <v>466.21880800000002</v>
      </c>
      <c r="X27" s="33">
        <v>19265.240000000002</v>
      </c>
      <c r="Y27" s="37">
        <f t="shared" si="4"/>
        <v>-8.1021129262852654E-3</v>
      </c>
      <c r="Z27" s="36">
        <f>'[1]STA MARIA'!$G27</f>
        <v>19422.604132</v>
      </c>
      <c r="AA27" s="31">
        <f t="shared" si="24"/>
        <v>17035.566084177201</v>
      </c>
      <c r="AB27" s="31">
        <f t="shared" si="25"/>
        <v>2387.0380478227999</v>
      </c>
      <c r="AC27" s="31">
        <f t="shared" si="26"/>
        <v>23278.899476000002</v>
      </c>
      <c r="AD27" s="31">
        <f t="shared" si="27"/>
        <v>577.32052399999998</v>
      </c>
      <c r="AE27" s="33">
        <v>23856.22</v>
      </c>
      <c r="AF27" s="37">
        <f t="shared" si="5"/>
        <v>0.22827092792852288</v>
      </c>
      <c r="AG27" s="36">
        <f>'[1]STA MARIA'!$H27</f>
        <v>16482.193329999998</v>
      </c>
      <c r="AH27" s="31">
        <f t="shared" si="28"/>
        <v>14456.531769742998</v>
      </c>
      <c r="AI27" s="31">
        <f t="shared" si="29"/>
        <v>2025.6615602569998</v>
      </c>
      <c r="AJ27" s="31">
        <f t="shared" si="30"/>
        <v>15571.308983999999</v>
      </c>
      <c r="AK27" s="31">
        <f t="shared" si="31"/>
        <v>386.17101599999995</v>
      </c>
      <c r="AL27" s="33">
        <f>15957.48</f>
        <v>15957.48</v>
      </c>
      <c r="AM27" s="37">
        <f t="shared" si="6"/>
        <v>-3.1835164137102079E-2</v>
      </c>
      <c r="AN27" s="36">
        <f>'[1]STA MARIA'!$I27</f>
        <v>6456.3921300000002</v>
      </c>
      <c r="AO27" s="31">
        <f t="shared" si="32"/>
        <v>5662.9015372230006</v>
      </c>
      <c r="AP27" s="31">
        <f t="shared" si="33"/>
        <v>793.49059277699996</v>
      </c>
      <c r="AQ27" s="31">
        <f t="shared" si="34"/>
        <v>0</v>
      </c>
      <c r="AR27" s="31">
        <f t="shared" si="35"/>
        <v>0</v>
      </c>
      <c r="AS27" s="33"/>
      <c r="AT27" s="37">
        <f t="shared" si="7"/>
        <v>-1</v>
      </c>
      <c r="AU27" s="36">
        <f>'[1]STA MARIA'!$J27</f>
        <v>21862.313934000002</v>
      </c>
      <c r="AV27" s="31">
        <f t="shared" si="36"/>
        <v>19175.4355515114</v>
      </c>
      <c r="AW27" s="31">
        <f t="shared" si="37"/>
        <v>2686.8783824886</v>
      </c>
      <c r="AX27" s="31">
        <f t="shared" si="38"/>
        <v>0</v>
      </c>
      <c r="AY27" s="31">
        <f t="shared" si="39"/>
        <v>0</v>
      </c>
      <c r="AZ27" s="27"/>
      <c r="BA27" s="37">
        <f t="shared" si="8"/>
        <v>-1</v>
      </c>
      <c r="BB27" s="36">
        <f>'[1]STA MARIA'!$K27</f>
        <v>11836.512734</v>
      </c>
      <c r="BC27" s="31">
        <f t="shared" si="40"/>
        <v>10381.805318991399</v>
      </c>
      <c r="BD27" s="31">
        <f t="shared" si="41"/>
        <v>1454.7074150086</v>
      </c>
      <c r="BE27" s="31">
        <f t="shared" si="42"/>
        <v>0</v>
      </c>
      <c r="BF27" s="31">
        <f t="shared" si="43"/>
        <v>0</v>
      </c>
      <c r="BG27" s="33"/>
      <c r="BH27" s="37">
        <f t="shared" si="9"/>
        <v>-1</v>
      </c>
      <c r="BI27" s="36">
        <f>'[1]STA MARIA'!$L27</f>
        <v>21862.313934000002</v>
      </c>
      <c r="BJ27" s="31">
        <f t="shared" si="44"/>
        <v>19175.4355515114</v>
      </c>
      <c r="BK27" s="31">
        <f t="shared" si="45"/>
        <v>2686.8783824886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'[1]STA MARIA'!$M27</f>
        <v>21862.313934000002</v>
      </c>
      <c r="BQ27" s="31">
        <f t="shared" si="48"/>
        <v>19175.4355515114</v>
      </c>
      <c r="BR27" s="31">
        <f t="shared" si="49"/>
        <v>2686.8783824886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'[1]STA MARIA'!$N27</f>
        <v>17345.701624000001</v>
      </c>
      <c r="BX27" s="31">
        <f t="shared" si="52"/>
        <v>15213.914894410402</v>
      </c>
      <c r="BY27" s="31">
        <f t="shared" si="53"/>
        <v>2131.7867295895999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'[1]STA MARIA'!$O27</f>
        <v>11965.58102</v>
      </c>
      <c r="CE27" s="31">
        <f t="shared" si="56"/>
        <v>10495.011112642</v>
      </c>
      <c r="CF27" s="31">
        <f t="shared" si="57"/>
        <v>1470.5699073579999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'[1]STA MARIA'!$P27</f>
        <v>11965.58102</v>
      </c>
      <c r="CL27" s="31">
        <f t="shared" si="60"/>
        <v>10495.011112642</v>
      </c>
      <c r="CM27" s="31">
        <f t="shared" si="61"/>
        <v>1470.5699073579999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184719.30914</v>
      </c>
      <c r="C28" s="31">
        <f t="shared" si="0"/>
        <v>162017.30604669402</v>
      </c>
      <c r="D28" s="32">
        <f t="shared" si="0"/>
        <v>22702.003093305997</v>
      </c>
      <c r="E28" s="30">
        <f t="shared" si="15"/>
        <v>63889.15307</v>
      </c>
      <c r="F28" s="33">
        <f t="shared" si="15"/>
        <v>56037.176157697002</v>
      </c>
      <c r="G28" s="34">
        <f t="shared" si="15"/>
        <v>7851.9769123029992</v>
      </c>
      <c r="H28" s="31">
        <f t="shared" si="1"/>
        <v>58434.992601999998</v>
      </c>
      <c r="I28" s="33">
        <f t="shared" si="1"/>
        <v>1449.197398</v>
      </c>
      <c r="J28" s="33">
        <f t="shared" si="1"/>
        <v>59884.19</v>
      </c>
      <c r="K28" s="37">
        <f t="shared" si="2"/>
        <v>-6.2686119279308228E-2</v>
      </c>
      <c r="L28" s="36">
        <f>'[1]STA MARIA'!$E28</f>
        <v>13601.98446</v>
      </c>
      <c r="M28" s="31">
        <f t="shared" si="16"/>
        <v>11930.300569866</v>
      </c>
      <c r="N28" s="31">
        <f t="shared" si="17"/>
        <v>1671.683890134</v>
      </c>
      <c r="O28" s="31">
        <f t="shared" si="18"/>
        <v>11290.591480000001</v>
      </c>
      <c r="P28" s="31">
        <f t="shared" si="19"/>
        <v>280.00851999999998</v>
      </c>
      <c r="Q28" s="33">
        <f>11570.6</f>
        <v>11570.6</v>
      </c>
      <c r="R28" s="37">
        <f t="shared" si="3"/>
        <v>-0.14934471260232562</v>
      </c>
      <c r="S28" s="36">
        <f>'[1]STA MARIA'!$F28</f>
        <v>13601.98446</v>
      </c>
      <c r="T28" s="31">
        <f t="shared" si="20"/>
        <v>11930.300569866</v>
      </c>
      <c r="U28" s="31">
        <f t="shared" si="21"/>
        <v>1671.683890134</v>
      </c>
      <c r="V28" s="31">
        <f t="shared" si="22"/>
        <v>15348.465538</v>
      </c>
      <c r="W28" s="31">
        <f t="shared" si="23"/>
        <v>380.64446199999998</v>
      </c>
      <c r="X28" s="33">
        <f>15729.11</f>
        <v>15729.11</v>
      </c>
      <c r="Y28" s="37">
        <f t="shared" si="4"/>
        <v>0.15638347082775605</v>
      </c>
      <c r="Z28" s="36">
        <f>'[1]STA MARIA'!$G28</f>
        <v>18135.97928</v>
      </c>
      <c r="AA28" s="31">
        <f t="shared" si="24"/>
        <v>15907.067426488</v>
      </c>
      <c r="AB28" s="31">
        <f t="shared" si="25"/>
        <v>2228.9118535119997</v>
      </c>
      <c r="AC28" s="31">
        <f t="shared" si="26"/>
        <v>11790.357207999999</v>
      </c>
      <c r="AD28" s="31">
        <f t="shared" si="27"/>
        <v>292.40279199999998</v>
      </c>
      <c r="AE28" s="33">
        <v>12082.76</v>
      </c>
      <c r="AF28" s="37">
        <f t="shared" si="5"/>
        <v>-0.33376853747706747</v>
      </c>
      <c r="AG28" s="36">
        <f>'[1]STA MARIA'!$H28</f>
        <v>18549.204870000001</v>
      </c>
      <c r="AH28" s="31">
        <f t="shared" si="28"/>
        <v>16269.507591477002</v>
      </c>
      <c r="AI28" s="31">
        <f t="shared" si="29"/>
        <v>2279.697278523</v>
      </c>
      <c r="AJ28" s="31">
        <f t="shared" si="30"/>
        <v>20005.578376000001</v>
      </c>
      <c r="AK28" s="31">
        <f t="shared" si="31"/>
        <v>496.14162400000004</v>
      </c>
      <c r="AL28" s="33">
        <f>20501.72</f>
        <v>20501.72</v>
      </c>
      <c r="AM28" s="37">
        <f t="shared" si="6"/>
        <v>0.10526139226365672</v>
      </c>
      <c r="AN28" s="36">
        <f>'[1]STA MARIA'!$I28</f>
        <v>15868.98187</v>
      </c>
      <c r="AO28" s="31">
        <f t="shared" si="32"/>
        <v>13918.683998176999</v>
      </c>
      <c r="AP28" s="31">
        <f t="shared" si="33"/>
        <v>1950.2978718229999</v>
      </c>
      <c r="AQ28" s="31">
        <f t="shared" si="34"/>
        <v>0</v>
      </c>
      <c r="AR28" s="31">
        <f t="shared" si="35"/>
        <v>0</v>
      </c>
      <c r="AS28" s="33"/>
      <c r="AT28" s="37">
        <f t="shared" si="7"/>
        <v>-1</v>
      </c>
      <c r="AU28" s="36">
        <f>'[1]STA MARIA'!$J28</f>
        <v>14015.21005</v>
      </c>
      <c r="AV28" s="31">
        <f t="shared" si="36"/>
        <v>12292.740734855</v>
      </c>
      <c r="AW28" s="31">
        <f t="shared" si="37"/>
        <v>1722.4693151449999</v>
      </c>
      <c r="AX28" s="31">
        <f t="shared" si="38"/>
        <v>0</v>
      </c>
      <c r="AY28" s="31">
        <f t="shared" si="39"/>
        <v>0</v>
      </c>
      <c r="AZ28" s="27"/>
      <c r="BA28" s="37">
        <f t="shared" si="8"/>
        <v>-1</v>
      </c>
      <c r="BB28" s="36">
        <f>'[1]STA MARIA'!$K28</f>
        <v>11334.98705</v>
      </c>
      <c r="BC28" s="31">
        <f t="shared" si="40"/>
        <v>9941.917141554999</v>
      </c>
      <c r="BD28" s="31">
        <f t="shared" si="41"/>
        <v>1393.069908445</v>
      </c>
      <c r="BE28" s="31">
        <f t="shared" si="42"/>
        <v>0</v>
      </c>
      <c r="BF28" s="31">
        <f t="shared" si="43"/>
        <v>0</v>
      </c>
      <c r="BG28" s="33"/>
      <c r="BH28" s="37">
        <f t="shared" si="9"/>
        <v>-1</v>
      </c>
      <c r="BI28" s="36">
        <f>'[1]STA MARIA'!$L28</f>
        <v>18549.204870000001</v>
      </c>
      <c r="BJ28" s="31">
        <f t="shared" si="44"/>
        <v>16269.507591477002</v>
      </c>
      <c r="BK28" s="31">
        <f t="shared" si="45"/>
        <v>2279.697278523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'[1]STA MARIA'!$M28</f>
        <v>18549.204870000001</v>
      </c>
      <c r="BQ28" s="31">
        <f t="shared" si="48"/>
        <v>16269.507591477002</v>
      </c>
      <c r="BR28" s="31">
        <f t="shared" si="49"/>
        <v>2279.697278523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'[1]STA MARIA'!$N28</f>
        <v>17193.519</v>
      </c>
      <c r="BX28" s="31">
        <f t="shared" si="52"/>
        <v>15080.4355149</v>
      </c>
      <c r="BY28" s="31">
        <f t="shared" si="53"/>
        <v>2113.0834851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'[1]STA MARIA'!$O28</f>
        <v>12659.52418</v>
      </c>
      <c r="CE28" s="31">
        <f t="shared" si="56"/>
        <v>11103.668658278</v>
      </c>
      <c r="CF28" s="31">
        <f t="shared" si="57"/>
        <v>1555.855521722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'[1]STA MARIA'!$P28</f>
        <v>12659.52418</v>
      </c>
      <c r="CL28" s="31">
        <f t="shared" si="60"/>
        <v>11103.668658278</v>
      </c>
      <c r="CM28" s="31">
        <f t="shared" si="61"/>
        <v>1555.855521722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354628.37799999944</v>
      </c>
      <c r="C29" s="31">
        <f t="shared" si="0"/>
        <v>311044.55034379952</v>
      </c>
      <c r="D29" s="32">
        <f t="shared" si="0"/>
        <v>43583.827656199923</v>
      </c>
      <c r="E29" s="30">
        <f t="shared" si="15"/>
        <v>118209.45933333313</v>
      </c>
      <c r="F29" s="33">
        <f t="shared" si="15"/>
        <v>103681.5167812665</v>
      </c>
      <c r="G29" s="34">
        <f t="shared" si="15"/>
        <v>14527.942552066645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'[1]STA MARIA'!$E29</f>
        <v>21116.833333333332</v>
      </c>
      <c r="M29" s="31">
        <f t="shared" si="16"/>
        <v>18521.574516666667</v>
      </c>
      <c r="N29" s="31">
        <f t="shared" si="17"/>
        <v>2595.2588166666665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'[1]STA MARIA'!$F29</f>
        <v>37987.896333333236</v>
      </c>
      <c r="T29" s="31">
        <f t="shared" si="20"/>
        <v>33319.183873966584</v>
      </c>
      <c r="U29" s="31">
        <f t="shared" si="21"/>
        <v>4668.7124593666549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'[1]STA MARIA'!$G29</f>
        <v>21116.833333333332</v>
      </c>
      <c r="AA29" s="31">
        <f t="shared" si="24"/>
        <v>18521.574516666667</v>
      </c>
      <c r="AB29" s="31">
        <f t="shared" si="25"/>
        <v>2595.2588166666665</v>
      </c>
      <c r="AC29" s="31">
        <f t="shared" si="26"/>
        <v>0</v>
      </c>
      <c r="AD29" s="31">
        <f t="shared" si="27"/>
        <v>0</v>
      </c>
      <c r="AE29" s="33"/>
      <c r="AF29" s="37">
        <f t="shared" si="5"/>
        <v>-1</v>
      </c>
      <c r="AG29" s="36">
        <f>'[1]STA MARIA'!$H29</f>
        <v>37987.896333333236</v>
      </c>
      <c r="AH29" s="31">
        <f t="shared" si="28"/>
        <v>33319.183873966584</v>
      </c>
      <c r="AI29" s="31">
        <f t="shared" si="29"/>
        <v>4668.7124593666549</v>
      </c>
      <c r="AJ29" s="31">
        <f t="shared" si="30"/>
        <v>0</v>
      </c>
      <c r="AK29" s="31">
        <f t="shared" si="31"/>
        <v>0</v>
      </c>
      <c r="AL29" s="33"/>
      <c r="AM29" s="37">
        <f t="shared" si="6"/>
        <v>-1</v>
      </c>
      <c r="AN29" s="36">
        <f>'[1]STA MARIA'!$I29</f>
        <v>21116.833333333332</v>
      </c>
      <c r="AO29" s="31">
        <f t="shared" si="32"/>
        <v>18521.574516666667</v>
      </c>
      <c r="AP29" s="31">
        <f t="shared" si="33"/>
        <v>2595.2588166666665</v>
      </c>
      <c r="AQ29" s="31">
        <f t="shared" si="34"/>
        <v>0</v>
      </c>
      <c r="AR29" s="31">
        <f t="shared" si="35"/>
        <v>0</v>
      </c>
      <c r="AS29" s="33"/>
      <c r="AT29" s="37">
        <f t="shared" si="7"/>
        <v>-1</v>
      </c>
      <c r="AU29" s="36">
        <f>'[1]STA MARIA'!$J29</f>
        <v>37987.896333333236</v>
      </c>
      <c r="AV29" s="31">
        <f t="shared" si="36"/>
        <v>33319.183873966584</v>
      </c>
      <c r="AW29" s="31">
        <f t="shared" si="37"/>
        <v>4668.7124593666549</v>
      </c>
      <c r="AX29" s="31">
        <f t="shared" si="38"/>
        <v>0</v>
      </c>
      <c r="AY29" s="31">
        <f t="shared" si="39"/>
        <v>0</v>
      </c>
      <c r="AZ29" s="27"/>
      <c r="BA29" s="37">
        <f t="shared" si="8"/>
        <v>-1</v>
      </c>
      <c r="BB29" s="36">
        <f>'[1]STA MARIA'!$K29</f>
        <v>21116.833333333332</v>
      </c>
      <c r="BC29" s="31">
        <f t="shared" si="40"/>
        <v>18521.574516666667</v>
      </c>
      <c r="BD29" s="31">
        <f t="shared" si="41"/>
        <v>2595.2588166666665</v>
      </c>
      <c r="BE29" s="31">
        <f t="shared" si="42"/>
        <v>0</v>
      </c>
      <c r="BF29" s="31">
        <f t="shared" si="43"/>
        <v>0</v>
      </c>
      <c r="BG29" s="33"/>
      <c r="BH29" s="37">
        <f t="shared" si="9"/>
        <v>-1</v>
      </c>
      <c r="BI29" s="36">
        <f>'[1]STA MARIA'!$L29</f>
        <v>37987.896333333236</v>
      </c>
      <c r="BJ29" s="31">
        <f t="shared" si="44"/>
        <v>33319.183873966584</v>
      </c>
      <c r="BK29" s="31">
        <f t="shared" si="45"/>
        <v>4668.7124593666549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'[1]STA MARIA'!$M29</f>
        <v>21116.833333333332</v>
      </c>
      <c r="BQ29" s="31">
        <f t="shared" si="48"/>
        <v>18521.574516666667</v>
      </c>
      <c r="BR29" s="31">
        <f t="shared" si="49"/>
        <v>2595.2588166666665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'[1]STA MARIA'!$N29</f>
        <v>37987.896333333236</v>
      </c>
      <c r="BX29" s="31">
        <f t="shared" si="52"/>
        <v>33319.183873966584</v>
      </c>
      <c r="BY29" s="31">
        <f t="shared" si="53"/>
        <v>4668.7124593666549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'[1]STA MARIA'!$O29</f>
        <v>21116.833333333332</v>
      </c>
      <c r="CE29" s="31">
        <f t="shared" si="56"/>
        <v>18521.574516666667</v>
      </c>
      <c r="CF29" s="31">
        <f t="shared" si="57"/>
        <v>2595.2588166666665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'[1]STA MARIA'!$P29</f>
        <v>37987.896333333236</v>
      </c>
      <c r="CL29" s="31">
        <f t="shared" si="60"/>
        <v>33319.183873966584</v>
      </c>
      <c r="CM29" s="31">
        <f t="shared" si="61"/>
        <v>4668.7124593666549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99999.999999999985</v>
      </c>
      <c r="C30" s="31">
        <f t="shared" si="0"/>
        <v>87710.000000000015</v>
      </c>
      <c r="D30" s="32">
        <f t="shared" si="0"/>
        <v>12289.999999999998</v>
      </c>
      <c r="E30" s="30">
        <f t="shared" si="15"/>
        <v>33333.333333333336</v>
      </c>
      <c r="F30" s="33">
        <f t="shared" si="15"/>
        <v>29236.666666666668</v>
      </c>
      <c r="G30" s="34">
        <f t="shared" si="15"/>
        <v>4096.666666666667</v>
      </c>
      <c r="H30" s="31">
        <f t="shared" si="1"/>
        <v>999.2192</v>
      </c>
      <c r="I30" s="33">
        <f t="shared" si="1"/>
        <v>24.780799999999999</v>
      </c>
      <c r="J30" s="33">
        <f t="shared" si="1"/>
        <v>1024</v>
      </c>
      <c r="K30" s="37">
        <f t="shared" si="2"/>
        <v>-0.96928000000000003</v>
      </c>
      <c r="L30" s="36">
        <f>'[1]STA MARIA'!$E30</f>
        <v>8333.3333333333339</v>
      </c>
      <c r="M30" s="31">
        <f t="shared" si="16"/>
        <v>7309.166666666667</v>
      </c>
      <c r="N30" s="31">
        <f t="shared" si="17"/>
        <v>1024.1666666666667</v>
      </c>
      <c r="O30" s="31">
        <f t="shared" si="18"/>
        <v>0</v>
      </c>
      <c r="P30" s="31">
        <f t="shared" si="19"/>
        <v>0</v>
      </c>
      <c r="Q30" s="33"/>
      <c r="R30" s="37">
        <f t="shared" si="3"/>
        <v>-1</v>
      </c>
      <c r="S30" s="36">
        <f>'[1]STA MARIA'!$F30</f>
        <v>8333.3333333333339</v>
      </c>
      <c r="T30" s="31">
        <f t="shared" si="20"/>
        <v>7309.166666666667</v>
      </c>
      <c r="U30" s="31">
        <f t="shared" si="21"/>
        <v>1024.1666666666667</v>
      </c>
      <c r="V30" s="31">
        <f t="shared" si="22"/>
        <v>999.2192</v>
      </c>
      <c r="W30" s="31">
        <f t="shared" si="23"/>
        <v>24.780799999999999</v>
      </c>
      <c r="X30" s="33">
        <f>1024</f>
        <v>1024</v>
      </c>
      <c r="Y30" s="37">
        <f t="shared" si="4"/>
        <v>-0.87712000000000001</v>
      </c>
      <c r="Z30" s="36">
        <f>'[1]STA MARIA'!$G30</f>
        <v>8333.3333333333339</v>
      </c>
      <c r="AA30" s="31">
        <f t="shared" si="24"/>
        <v>7309.166666666667</v>
      </c>
      <c r="AB30" s="31">
        <f t="shared" si="25"/>
        <v>1024.1666666666667</v>
      </c>
      <c r="AC30" s="31">
        <f t="shared" si="26"/>
        <v>0</v>
      </c>
      <c r="AD30" s="31">
        <f t="shared" si="27"/>
        <v>0</v>
      </c>
      <c r="AE30" s="33"/>
      <c r="AF30" s="37">
        <f t="shared" si="5"/>
        <v>-1</v>
      </c>
      <c r="AG30" s="36">
        <f>'[1]STA MARIA'!$H30</f>
        <v>8333.3333333333339</v>
      </c>
      <c r="AH30" s="31">
        <f t="shared" si="28"/>
        <v>7309.166666666667</v>
      </c>
      <c r="AI30" s="31">
        <f t="shared" si="29"/>
        <v>1024.1666666666667</v>
      </c>
      <c r="AJ30" s="31">
        <f t="shared" si="30"/>
        <v>0</v>
      </c>
      <c r="AK30" s="31">
        <f t="shared" si="31"/>
        <v>0</v>
      </c>
      <c r="AL30" s="33"/>
      <c r="AM30" s="37">
        <f t="shared" si="6"/>
        <v>-1</v>
      </c>
      <c r="AN30" s="36">
        <f>'[1]STA MARIA'!$I30</f>
        <v>8333.3333333333339</v>
      </c>
      <c r="AO30" s="31">
        <f t="shared" si="32"/>
        <v>7309.166666666667</v>
      </c>
      <c r="AP30" s="31">
        <f t="shared" si="33"/>
        <v>1024.1666666666667</v>
      </c>
      <c r="AQ30" s="31">
        <f t="shared" si="34"/>
        <v>0</v>
      </c>
      <c r="AR30" s="31">
        <f t="shared" si="35"/>
        <v>0</v>
      </c>
      <c r="AS30" s="33"/>
      <c r="AT30" s="37">
        <f t="shared" si="7"/>
        <v>-1</v>
      </c>
      <c r="AU30" s="36">
        <f>'[1]STA MARIA'!$J30</f>
        <v>8333.3333333333339</v>
      </c>
      <c r="AV30" s="31">
        <f t="shared" si="36"/>
        <v>7309.166666666667</v>
      </c>
      <c r="AW30" s="31">
        <f t="shared" si="37"/>
        <v>1024.1666666666667</v>
      </c>
      <c r="AX30" s="31">
        <f t="shared" si="38"/>
        <v>0</v>
      </c>
      <c r="AY30" s="31">
        <f t="shared" si="39"/>
        <v>0</v>
      </c>
      <c r="AZ30" s="27"/>
      <c r="BA30" s="37">
        <f t="shared" si="8"/>
        <v>-1</v>
      </c>
      <c r="BB30" s="36">
        <f>'[1]STA MARIA'!$K30</f>
        <v>8333.3333333333339</v>
      </c>
      <c r="BC30" s="31">
        <f t="shared" si="40"/>
        <v>7309.166666666667</v>
      </c>
      <c r="BD30" s="31">
        <f t="shared" si="41"/>
        <v>1024.1666666666667</v>
      </c>
      <c r="BE30" s="31">
        <f t="shared" si="42"/>
        <v>0</v>
      </c>
      <c r="BF30" s="31">
        <f t="shared" si="43"/>
        <v>0</v>
      </c>
      <c r="BG30" s="33"/>
      <c r="BH30" s="37">
        <f t="shared" si="9"/>
        <v>-1</v>
      </c>
      <c r="BI30" s="36">
        <f>'[1]STA MARIA'!$L30</f>
        <v>8333.3333333333339</v>
      </c>
      <c r="BJ30" s="31">
        <f t="shared" si="44"/>
        <v>7309.166666666667</v>
      </c>
      <c r="BK30" s="31">
        <f t="shared" si="45"/>
        <v>1024.1666666666667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'[1]STA MARIA'!$M30</f>
        <v>8333.3333333333339</v>
      </c>
      <c r="BQ30" s="31">
        <f t="shared" si="48"/>
        <v>7309.166666666667</v>
      </c>
      <c r="BR30" s="31">
        <f t="shared" si="49"/>
        <v>1024.1666666666667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'[1]STA MARIA'!$N30</f>
        <v>8333.3333333333339</v>
      </c>
      <c r="BX30" s="31">
        <f t="shared" si="52"/>
        <v>7309.166666666667</v>
      </c>
      <c r="BY30" s="31">
        <f t="shared" si="53"/>
        <v>1024.1666666666667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'[1]STA MARIA'!$O30</f>
        <v>8333.3333333333339</v>
      </c>
      <c r="CE30" s="31">
        <f t="shared" si="56"/>
        <v>7309.166666666667</v>
      </c>
      <c r="CF30" s="31">
        <f t="shared" si="57"/>
        <v>1024.1666666666667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'[1]STA MARIA'!$P30</f>
        <v>8333.3333333333339</v>
      </c>
      <c r="CL30" s="31">
        <f t="shared" si="60"/>
        <v>7309.166666666667</v>
      </c>
      <c r="CM30" s="31">
        <f t="shared" si="61"/>
        <v>1024.1666666666667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55000.000000000007</v>
      </c>
      <c r="C31" s="31">
        <f t="shared" si="0"/>
        <v>48240.499999999993</v>
      </c>
      <c r="D31" s="32">
        <f t="shared" si="0"/>
        <v>6759.5000000000009</v>
      </c>
      <c r="E31" s="30">
        <f t="shared" si="15"/>
        <v>18333.333333333332</v>
      </c>
      <c r="F31" s="33">
        <f t="shared" si="15"/>
        <v>16080.166666666666</v>
      </c>
      <c r="G31" s="34">
        <f t="shared" si="15"/>
        <v>2253.1666666666665</v>
      </c>
      <c r="H31" s="31">
        <f t="shared" si="1"/>
        <v>65573.759999999995</v>
      </c>
      <c r="I31" s="33">
        <f t="shared" si="1"/>
        <v>1626.24</v>
      </c>
      <c r="J31" s="33">
        <f t="shared" si="1"/>
        <v>67200</v>
      </c>
      <c r="K31" s="37">
        <f t="shared" si="2"/>
        <v>2.6654545454545455</v>
      </c>
      <c r="L31" s="36">
        <f>'[1]STA MARIA'!$E31</f>
        <v>4583.333333333333</v>
      </c>
      <c r="M31" s="31">
        <f t="shared" si="16"/>
        <v>4020.0416666666665</v>
      </c>
      <c r="N31" s="31">
        <f t="shared" si="17"/>
        <v>563.29166666666663</v>
      </c>
      <c r="O31" s="31">
        <f t="shared" si="18"/>
        <v>0</v>
      </c>
      <c r="P31" s="31">
        <f t="shared" si="19"/>
        <v>0</v>
      </c>
      <c r="Q31" s="33"/>
      <c r="R31" s="37">
        <f t="shared" si="3"/>
        <v>-1</v>
      </c>
      <c r="S31" s="36">
        <f>'[1]STA MARIA'!$F31</f>
        <v>4583.333333333333</v>
      </c>
      <c r="T31" s="31">
        <f t="shared" si="20"/>
        <v>4020.0416666666665</v>
      </c>
      <c r="U31" s="31">
        <f t="shared" si="21"/>
        <v>563.29166666666663</v>
      </c>
      <c r="V31" s="31">
        <f t="shared" si="22"/>
        <v>65573.759999999995</v>
      </c>
      <c r="W31" s="31">
        <f t="shared" si="23"/>
        <v>1626.24</v>
      </c>
      <c r="X31" s="33">
        <f>50400+16800</f>
        <v>67200</v>
      </c>
      <c r="Y31" s="37">
        <f t="shared" si="4"/>
        <v>13.661818181818182</v>
      </c>
      <c r="Z31" s="36">
        <f>'[1]STA MARIA'!$G31</f>
        <v>4583.333333333333</v>
      </c>
      <c r="AA31" s="31">
        <f t="shared" si="24"/>
        <v>4020.0416666666665</v>
      </c>
      <c r="AB31" s="31">
        <f t="shared" si="25"/>
        <v>563.29166666666663</v>
      </c>
      <c r="AC31" s="31">
        <f t="shared" si="26"/>
        <v>0</v>
      </c>
      <c r="AD31" s="31">
        <f t="shared" si="27"/>
        <v>0</v>
      </c>
      <c r="AE31" s="33"/>
      <c r="AF31" s="37">
        <f t="shared" si="5"/>
        <v>-1</v>
      </c>
      <c r="AG31" s="36">
        <f>'[1]STA MARIA'!$H31</f>
        <v>4583.333333333333</v>
      </c>
      <c r="AH31" s="31">
        <f t="shared" si="28"/>
        <v>4020.0416666666665</v>
      </c>
      <c r="AI31" s="31">
        <f t="shared" si="29"/>
        <v>563.29166666666663</v>
      </c>
      <c r="AJ31" s="31">
        <f t="shared" si="30"/>
        <v>0</v>
      </c>
      <c r="AK31" s="31">
        <f t="shared" si="31"/>
        <v>0</v>
      </c>
      <c r="AL31" s="33"/>
      <c r="AM31" s="37">
        <f t="shared" si="6"/>
        <v>-1</v>
      </c>
      <c r="AN31" s="36">
        <f>'[1]STA MARIA'!$I31</f>
        <v>4583.333333333333</v>
      </c>
      <c r="AO31" s="31">
        <f t="shared" si="32"/>
        <v>4020.0416666666665</v>
      </c>
      <c r="AP31" s="31">
        <f t="shared" si="33"/>
        <v>563.29166666666663</v>
      </c>
      <c r="AQ31" s="31">
        <f t="shared" si="34"/>
        <v>0</v>
      </c>
      <c r="AR31" s="31">
        <f t="shared" si="35"/>
        <v>0</v>
      </c>
      <c r="AS31" s="33"/>
      <c r="AT31" s="37">
        <f t="shared" si="7"/>
        <v>-1</v>
      </c>
      <c r="AU31" s="36">
        <f>'[1]STA MARIA'!$J31</f>
        <v>4583.333333333333</v>
      </c>
      <c r="AV31" s="31">
        <f t="shared" si="36"/>
        <v>4020.0416666666665</v>
      </c>
      <c r="AW31" s="31">
        <f t="shared" si="37"/>
        <v>563.29166666666663</v>
      </c>
      <c r="AX31" s="31">
        <f t="shared" si="38"/>
        <v>0</v>
      </c>
      <c r="AY31" s="31">
        <f t="shared" si="39"/>
        <v>0</v>
      </c>
      <c r="AZ31" s="33"/>
      <c r="BA31" s="37">
        <f t="shared" si="8"/>
        <v>-1</v>
      </c>
      <c r="BB31" s="36">
        <f>'[1]STA MARIA'!$K31</f>
        <v>4583.333333333333</v>
      </c>
      <c r="BC31" s="31">
        <f t="shared" si="40"/>
        <v>4020.0416666666665</v>
      </c>
      <c r="BD31" s="31">
        <f t="shared" si="41"/>
        <v>563.29166666666663</v>
      </c>
      <c r="BE31" s="31">
        <f t="shared" si="42"/>
        <v>0</v>
      </c>
      <c r="BF31" s="31">
        <f t="shared" si="43"/>
        <v>0</v>
      </c>
      <c r="BG31" s="33"/>
      <c r="BH31" s="37">
        <f t="shared" si="9"/>
        <v>-1</v>
      </c>
      <c r="BI31" s="36">
        <f>'[1]STA MARIA'!$L31</f>
        <v>4583.333333333333</v>
      </c>
      <c r="BJ31" s="31">
        <f t="shared" si="44"/>
        <v>4020.0416666666665</v>
      </c>
      <c r="BK31" s="31">
        <f t="shared" si="45"/>
        <v>563.29166666666663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'[1]STA MARIA'!$M31</f>
        <v>4583.333333333333</v>
      </c>
      <c r="BQ31" s="31">
        <f t="shared" si="48"/>
        <v>4020.0416666666665</v>
      </c>
      <c r="BR31" s="31">
        <f t="shared" si="49"/>
        <v>563.29166666666663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'[1]STA MARIA'!$N31</f>
        <v>4583.333333333333</v>
      </c>
      <c r="BX31" s="31">
        <f t="shared" si="52"/>
        <v>4020.0416666666665</v>
      </c>
      <c r="BY31" s="31">
        <f t="shared" si="53"/>
        <v>563.29166666666663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'[1]STA MARIA'!$O31</f>
        <v>4583.333333333333</v>
      </c>
      <c r="CE31" s="31">
        <f t="shared" si="56"/>
        <v>4020.0416666666665</v>
      </c>
      <c r="CF31" s="31">
        <f t="shared" si="57"/>
        <v>563.29166666666663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'[1]STA MARIA'!$P31</f>
        <v>4583.333333333333</v>
      </c>
      <c r="CL31" s="31">
        <f t="shared" si="60"/>
        <v>4020.0416666666665</v>
      </c>
      <c r="CM31" s="31">
        <f t="shared" si="61"/>
        <v>563.29166666666663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140</v>
      </c>
      <c r="B32" s="30">
        <f t="shared" si="0"/>
        <v>6142232.7999999989</v>
      </c>
      <c r="C32" s="31">
        <f t="shared" si="0"/>
        <v>5387352.3888799995</v>
      </c>
      <c r="D32" s="32">
        <f t="shared" si="0"/>
        <v>754880.41111999995</v>
      </c>
      <c r="E32" s="30">
        <f t="shared" si="15"/>
        <v>3423260.5439999998</v>
      </c>
      <c r="F32" s="33">
        <f t="shared" si="15"/>
        <v>3002541.8231424</v>
      </c>
      <c r="G32" s="34">
        <f t="shared" si="15"/>
        <v>420718.72085759992</v>
      </c>
      <c r="H32" s="31">
        <f t="shared" si="1"/>
        <v>2793350.7142659998</v>
      </c>
      <c r="I32" s="33">
        <f t="shared" si="1"/>
        <v>69275.555733999994</v>
      </c>
      <c r="J32" s="33">
        <f t="shared" si="1"/>
        <v>2862626.2699999996</v>
      </c>
      <c r="K32" s="37">
        <f t="shared" si="2"/>
        <v>-0.16377201407664754</v>
      </c>
      <c r="L32" s="36">
        <f>'[1]STA MARIA'!$E32</f>
        <v>973329.63199999987</v>
      </c>
      <c r="M32" s="31">
        <f t="shared" si="16"/>
        <v>853707.42022719991</v>
      </c>
      <c r="N32" s="31">
        <f t="shared" si="17"/>
        <v>119622.21177279997</v>
      </c>
      <c r="O32" s="31">
        <f t="shared" si="18"/>
        <v>865952.09603000002</v>
      </c>
      <c r="P32" s="31">
        <f t="shared" si="19"/>
        <v>21475.753969999998</v>
      </c>
      <c r="Q32" s="33">
        <f>466464.69+397568.78+10811.93+12582.45</f>
        <v>887427.85</v>
      </c>
      <c r="R32" s="37">
        <f t="shared" si="3"/>
        <v>-8.8255591092494257E-2</v>
      </c>
      <c r="S32" s="36">
        <f>'[1]STA MARIA'!$F32</f>
        <v>852870.304</v>
      </c>
      <c r="T32" s="31">
        <f t="shared" si="20"/>
        <v>748052.54363840003</v>
      </c>
      <c r="U32" s="31">
        <f t="shared" si="21"/>
        <v>104817.7603616</v>
      </c>
      <c r="V32" s="31">
        <f t="shared" si="22"/>
        <v>581443.01782000007</v>
      </c>
      <c r="W32" s="31">
        <f t="shared" si="23"/>
        <v>14419.882180000001</v>
      </c>
      <c r="X32" s="33">
        <f>571803.15+10370.3+13689.45</f>
        <v>595862.9</v>
      </c>
      <c r="Y32" s="37">
        <f t="shared" si="4"/>
        <v>-0.30134406461876295</v>
      </c>
      <c r="Z32" s="36">
        <f>'[1]STA MARIA'!$G32</f>
        <v>822070.304</v>
      </c>
      <c r="AA32" s="31">
        <f t="shared" si="24"/>
        <v>721037.86363839998</v>
      </c>
      <c r="AB32" s="31">
        <f t="shared" si="25"/>
        <v>101032.44036159999</v>
      </c>
      <c r="AC32" s="31">
        <f t="shared" si="26"/>
        <v>792561.00707000005</v>
      </c>
      <c r="AD32" s="31">
        <f t="shared" si="27"/>
        <v>19655.642930000002</v>
      </c>
      <c r="AE32" s="33">
        <f>787508.93+11188.74+13518.98</f>
        <v>812216.65</v>
      </c>
      <c r="AF32" s="37">
        <f t="shared" si="5"/>
        <v>-1.198638845370581E-2</v>
      </c>
      <c r="AG32" s="36">
        <f>'[1]STA MARIA'!$H32</f>
        <v>774990.304</v>
      </c>
      <c r="AH32" s="31">
        <f t="shared" si="28"/>
        <v>679743.99563839997</v>
      </c>
      <c r="AI32" s="31">
        <f t="shared" si="29"/>
        <v>95246.308361599993</v>
      </c>
      <c r="AJ32" s="31">
        <f t="shared" si="30"/>
        <v>553394.59334599983</v>
      </c>
      <c r="AK32" s="31">
        <f t="shared" si="31"/>
        <v>13724.276653999998</v>
      </c>
      <c r="AL32" s="33">
        <f>532947.94+16275.72+17895.21</f>
        <v>567118.86999999988</v>
      </c>
      <c r="AM32" s="37">
        <f t="shared" si="6"/>
        <v>-0.26822456091011959</v>
      </c>
      <c r="AN32" s="36">
        <f>'[1]STA MARIA'!$I32</f>
        <v>821190.304</v>
      </c>
      <c r="AO32" s="31">
        <f t="shared" si="32"/>
        <v>720266.01563839999</v>
      </c>
      <c r="AP32" s="31">
        <f t="shared" si="33"/>
        <v>100924.2883616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'[1]STA MARIA'!$J32</f>
        <v>842360.64</v>
      </c>
      <c r="AV32" s="31">
        <f t="shared" si="36"/>
        <v>738834.51734400005</v>
      </c>
      <c r="AW32" s="31">
        <f t="shared" si="37"/>
        <v>103526.12265599999</v>
      </c>
      <c r="AX32" s="31">
        <f t="shared" si="38"/>
        <v>0</v>
      </c>
      <c r="AY32" s="31">
        <f t="shared" si="39"/>
        <v>0</v>
      </c>
      <c r="AZ32" s="27"/>
      <c r="BA32" s="37">
        <f t="shared" si="8"/>
        <v>-1</v>
      </c>
      <c r="BB32" s="36">
        <f>'[1]STA MARIA'!$K32</f>
        <v>928701.31199999992</v>
      </c>
      <c r="BC32" s="31">
        <f t="shared" si="40"/>
        <v>814563.92075519997</v>
      </c>
      <c r="BD32" s="31">
        <f t="shared" si="41"/>
        <v>114137.39124479999</v>
      </c>
      <c r="BE32" s="31">
        <f t="shared" si="42"/>
        <v>0</v>
      </c>
      <c r="BF32" s="31">
        <f t="shared" si="43"/>
        <v>0</v>
      </c>
      <c r="BG32" s="33"/>
      <c r="BH32" s="37">
        <f t="shared" si="9"/>
        <v>-1</v>
      </c>
      <c r="BI32" s="36">
        <f>'[1]STA MARIA'!$L32</f>
        <v>114400</v>
      </c>
      <c r="BJ32" s="31">
        <f t="shared" si="44"/>
        <v>100340.24</v>
      </c>
      <c r="BK32" s="31">
        <f t="shared" si="45"/>
        <v>14059.76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'[1]STA MARIA'!$M32</f>
        <v>6160</v>
      </c>
      <c r="BQ32" s="31">
        <f t="shared" si="48"/>
        <v>5402.9359999999997</v>
      </c>
      <c r="BR32" s="31">
        <f t="shared" si="49"/>
        <v>757.06399999999996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'[1]STA MARIA'!$N32</f>
        <v>6160</v>
      </c>
      <c r="BX32" s="31">
        <f t="shared" si="52"/>
        <v>5402.9359999999997</v>
      </c>
      <c r="BY32" s="31">
        <f t="shared" si="53"/>
        <v>757.06399999999996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'[1]STA MARIA'!$O32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'[1]STA MARIA'!$P32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3061224.4897959186</v>
      </c>
      <c r="C33" s="31">
        <f t="shared" si="0"/>
        <v>2685000</v>
      </c>
      <c r="D33" s="32">
        <f t="shared" si="0"/>
        <v>376224.48979591834</v>
      </c>
      <c r="E33" s="30">
        <f t="shared" si="15"/>
        <v>1877551.0204081633</v>
      </c>
      <c r="F33" s="33">
        <f t="shared" si="15"/>
        <v>1646800</v>
      </c>
      <c r="G33" s="34">
        <f t="shared" si="15"/>
        <v>230751.02040816325</v>
      </c>
      <c r="H33" s="31">
        <f t="shared" si="1"/>
        <v>1669897.9275859999</v>
      </c>
      <c r="I33" s="33">
        <f t="shared" si="1"/>
        <v>41413.742414000008</v>
      </c>
      <c r="J33" s="33">
        <f t="shared" si="1"/>
        <v>1711311.67</v>
      </c>
      <c r="K33" s="37">
        <f t="shared" si="2"/>
        <v>-8.8540523586956632E-2</v>
      </c>
      <c r="L33" s="36">
        <f>'[1]STA MARIA'!$E33</f>
        <v>530612.24489795917</v>
      </c>
      <c r="M33" s="31">
        <f t="shared" si="16"/>
        <v>465400</v>
      </c>
      <c r="N33" s="31">
        <f t="shared" si="17"/>
        <v>65212.244897959179</v>
      </c>
      <c r="O33" s="31">
        <f t="shared" si="18"/>
        <v>379195.73363000003</v>
      </c>
      <c r="P33" s="31">
        <f t="shared" si="19"/>
        <v>9404.1163699999997</v>
      </c>
      <c r="Q33" s="33">
        <f>107459.64+281140.21</f>
        <v>388599.85000000003</v>
      </c>
      <c r="R33" s="37">
        <f t="shared" si="3"/>
        <v>-0.26763874423076917</v>
      </c>
      <c r="S33" s="36">
        <f>'[1]STA MARIA'!$F33</f>
        <v>448979.59183673467</v>
      </c>
      <c r="T33" s="31">
        <f t="shared" si="20"/>
        <v>393800</v>
      </c>
      <c r="U33" s="31">
        <f t="shared" si="21"/>
        <v>55179.591836734689</v>
      </c>
      <c r="V33" s="31">
        <f t="shared" si="22"/>
        <v>459164.83676000003</v>
      </c>
      <c r="W33" s="31">
        <f t="shared" si="23"/>
        <v>11387.363240000001</v>
      </c>
      <c r="X33" s="33">
        <v>470552.2</v>
      </c>
      <c r="Y33" s="37">
        <f t="shared" si="4"/>
        <v>4.8048081818181876E-2</v>
      </c>
      <c r="Z33" s="36">
        <f>'[1]STA MARIA'!$G33</f>
        <v>448979.59183673467</v>
      </c>
      <c r="AA33" s="31">
        <f t="shared" si="24"/>
        <v>393800</v>
      </c>
      <c r="AB33" s="31">
        <f t="shared" si="25"/>
        <v>55179.591836734689</v>
      </c>
      <c r="AC33" s="31">
        <f t="shared" si="26"/>
        <v>443886.01406800002</v>
      </c>
      <c r="AD33" s="31">
        <f t="shared" si="27"/>
        <v>11008.445932000001</v>
      </c>
      <c r="AE33" s="33">
        <v>454894.46</v>
      </c>
      <c r="AF33" s="37">
        <f t="shared" si="5"/>
        <v>1.3174024545454577E-2</v>
      </c>
      <c r="AG33" s="36">
        <f>'[1]STA MARIA'!$H33</f>
        <v>448979.59183673467</v>
      </c>
      <c r="AH33" s="31">
        <f t="shared" si="28"/>
        <v>393800</v>
      </c>
      <c r="AI33" s="31">
        <f t="shared" si="29"/>
        <v>55179.591836734689</v>
      </c>
      <c r="AJ33" s="31">
        <f t="shared" si="30"/>
        <v>387651.34312799998</v>
      </c>
      <c r="AK33" s="31">
        <f t="shared" si="31"/>
        <v>9613.8168719999994</v>
      </c>
      <c r="AL33" s="33">
        <v>397265.16</v>
      </c>
      <c r="AM33" s="37">
        <f t="shared" si="6"/>
        <v>-0.1151821436363637</v>
      </c>
      <c r="AN33" s="36">
        <f>'[1]STA MARIA'!$I33</f>
        <v>448979.59183673467</v>
      </c>
      <c r="AO33" s="31">
        <f t="shared" si="32"/>
        <v>393800</v>
      </c>
      <c r="AP33" s="31">
        <f t="shared" si="33"/>
        <v>55179.591836734689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'[1]STA MARIA'!$J33</f>
        <v>408163.26530612248</v>
      </c>
      <c r="AV33" s="31">
        <f t="shared" si="36"/>
        <v>358000.00000000006</v>
      </c>
      <c r="AW33" s="31">
        <f t="shared" si="37"/>
        <v>50163.265306122448</v>
      </c>
      <c r="AX33" s="31">
        <f t="shared" si="38"/>
        <v>0</v>
      </c>
      <c r="AY33" s="31">
        <f t="shared" si="39"/>
        <v>0</v>
      </c>
      <c r="AZ33" s="27"/>
      <c r="BA33" s="37">
        <f t="shared" si="8"/>
        <v>-1</v>
      </c>
      <c r="BB33" s="36">
        <f>'[1]STA MARIA'!$K33</f>
        <v>326530.61224489799</v>
      </c>
      <c r="BC33" s="31">
        <f t="shared" si="40"/>
        <v>286400</v>
      </c>
      <c r="BD33" s="31">
        <f t="shared" si="41"/>
        <v>40130.612244897959</v>
      </c>
      <c r="BE33" s="31">
        <f t="shared" si="42"/>
        <v>0</v>
      </c>
      <c r="BF33" s="31">
        <f t="shared" si="43"/>
        <v>0</v>
      </c>
      <c r="BG33" s="33"/>
      <c r="BH33" s="37">
        <f t="shared" si="9"/>
        <v>-1</v>
      </c>
      <c r="BI33" s="36">
        <f>'[1]STA MARIA'!$L33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'[1]STA MARIA'!$M33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'[1]STA MARIA'!$N33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'[1]STA MARIA'!$O33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'[1]STA MARIA'!$P33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'[1]STA MARIA'!$E34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3"/>
        <v/>
      </c>
      <c r="S34" s="36">
        <f>'[1]STA MARIA'!$F34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'[1]STA MARIA'!$G34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33"/>
      <c r="AF34" s="37" t="str">
        <f t="shared" si="5"/>
        <v/>
      </c>
      <c r="AG34" s="36">
        <f>'[1]STA MARIA'!$H34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33"/>
      <c r="AM34" s="37" t="str">
        <f t="shared" si="6"/>
        <v/>
      </c>
      <c r="AN34" s="36">
        <f>'[1]STA MARIA'!$I34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7"/>
        <v/>
      </c>
      <c r="AU34" s="36">
        <f>'[1]STA MARIA'!$J34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27"/>
      <c r="BA34" s="37" t="str">
        <f t="shared" si="8"/>
        <v/>
      </c>
      <c r="BB34" s="36">
        <f>'[1]STA MARIA'!$K34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33"/>
      <c r="BH34" s="37" t="str">
        <f t="shared" si="9"/>
        <v/>
      </c>
      <c r="BI34" s="36">
        <f>'[1]STA MARIA'!$L34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'[1]STA MARIA'!$M34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'[1]STA MARIA'!$N34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'[1]STA MARIA'!$O34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'[1]STA MARIA'!$P34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'[1]STA MARIA'!$E35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3"/>
        <v/>
      </c>
      <c r="S35" s="36">
        <f>'[1]STA MARIA'!$F35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'[1]STA MARIA'!$G35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33"/>
      <c r="AF35" s="37" t="str">
        <f t="shared" si="5"/>
        <v/>
      </c>
      <c r="AG35" s="36">
        <f>'[1]STA MARIA'!$H35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33"/>
      <c r="AM35" s="37" t="str">
        <f t="shared" si="6"/>
        <v/>
      </c>
      <c r="AN35" s="36">
        <f>'[1]STA MARIA'!$I35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7"/>
        <v/>
      </c>
      <c r="AU35" s="36">
        <f>'[1]STA MARIA'!$J35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27"/>
      <c r="BA35" s="37" t="str">
        <f t="shared" si="8"/>
        <v/>
      </c>
      <c r="BB35" s="36">
        <f>'[1]STA MARIA'!$K35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33"/>
      <c r="BH35" s="37" t="str">
        <f t="shared" si="9"/>
        <v/>
      </c>
      <c r="BI35" s="36">
        <f>'[1]STA MARIA'!$L35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'[1]STA MARIA'!$M35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'[1]STA MARIA'!$N35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'[1]STA MARIA'!$O35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'[1]STA MARIA'!$P35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250000.00000000003</v>
      </c>
      <c r="C36" s="31">
        <f t="shared" si="64"/>
        <v>219274.99999999991</v>
      </c>
      <c r="D36" s="32">
        <f t="shared" si="64"/>
        <v>30725.000000000004</v>
      </c>
      <c r="E36" s="30">
        <f t="shared" si="15"/>
        <v>83333.333333333328</v>
      </c>
      <c r="F36" s="33">
        <f t="shared" si="15"/>
        <v>73091.666666666657</v>
      </c>
      <c r="G36" s="34">
        <f t="shared" si="15"/>
        <v>10241.666666666666</v>
      </c>
      <c r="H36" s="31">
        <f t="shared" ref="H36:J54" si="65">+O36+V36+AC36+AJ36+AQ36+AX36+BE36+BL36+BS36+BZ36+CG36+CN36</f>
        <v>136921.46521200001</v>
      </c>
      <c r="I36" s="33">
        <f t="shared" si="65"/>
        <v>3395.6747880000003</v>
      </c>
      <c r="J36" s="33">
        <f t="shared" si="65"/>
        <v>140317.13999999998</v>
      </c>
      <c r="K36" s="37">
        <f t="shared" si="2"/>
        <v>0.68380567999999986</v>
      </c>
      <c r="L36" s="36">
        <f>'[1]STA MARIA'!$E36</f>
        <v>20833.333333333332</v>
      </c>
      <c r="M36" s="31">
        <f t="shared" si="16"/>
        <v>18272.916666666664</v>
      </c>
      <c r="N36" s="31">
        <f t="shared" si="17"/>
        <v>2560.4166666666665</v>
      </c>
      <c r="O36" s="31">
        <f t="shared" si="18"/>
        <v>41553.769698000004</v>
      </c>
      <c r="P36" s="31">
        <f t="shared" si="19"/>
        <v>1030.5403020000001</v>
      </c>
      <c r="Q36" s="33">
        <f>445+90.56+359.42+280+320+80+330+400+10.67+123.1+2150.13+1900+492.24+893.87+1800+80.23+39.01+77.16+32.42+749.48+747.92+350+800+90.65+960+479.87+816+380+87.93+355.24+4725.33+1684.57+1444.57+1875.59+900+76.08+2288+1066.51+890+86.83+1120+1547.37+1547.37+1547.36+728.43+589.8+1473.52+236+143+1150+138.08+220+910+475</f>
        <v>42584.310000000005</v>
      </c>
      <c r="R36" s="37">
        <f t="shared" si="3"/>
        <v>1.0440468800000002</v>
      </c>
      <c r="S36" s="36">
        <f>'[1]STA MARIA'!$F36</f>
        <v>20833.333333333332</v>
      </c>
      <c r="T36" s="31">
        <f t="shared" si="20"/>
        <v>18272.916666666664</v>
      </c>
      <c r="U36" s="31">
        <f t="shared" si="21"/>
        <v>2560.4166666666665</v>
      </c>
      <c r="V36" s="31">
        <f t="shared" si="22"/>
        <v>39426.291506000009</v>
      </c>
      <c r="W36" s="31">
        <f t="shared" si="23"/>
        <v>977.77849400000014</v>
      </c>
      <c r="X36" s="33">
        <f>2314.54+2014.54+2014.54+97.81+67.31+1479+180+360+1730+2278+1361.8+1620+557.5+1610.3+54.95+365+83.19+52.45+176.25+1029+4081.3+1547.36+840+840+665+585.24+1229.6+585+1333.09+1250+500+1250+679.2+164.75+60+2534.51+2812.84</f>
        <v>40404.070000000007</v>
      </c>
      <c r="Y36" s="37">
        <f t="shared" si="4"/>
        <v>0.93939536000000046</v>
      </c>
      <c r="Z36" s="36">
        <f>'[1]STA MARIA'!$G36</f>
        <v>20833.333333333332</v>
      </c>
      <c r="AA36" s="31">
        <f t="shared" si="24"/>
        <v>18272.916666666664</v>
      </c>
      <c r="AB36" s="31">
        <f t="shared" si="25"/>
        <v>2560.4166666666665</v>
      </c>
      <c r="AC36" s="31">
        <f t="shared" si="26"/>
        <v>33514.680429999993</v>
      </c>
      <c r="AD36" s="31">
        <f t="shared" si="27"/>
        <v>831.16956999999979</v>
      </c>
      <c r="AE36" s="33">
        <f>1703.35+70.04+1460.1+670+2542.21+92.95+72.47+880+7.71+7.91+53.86+81.33+42.31+39.57+10.62+43.96+600+800+2657.95+2892.53+2892.53+241.78+2100+2019.28+500+319.8+1757.5+750+34.78+2548.76+67.04+1513.8+68.04+3600+73.67+1130</f>
        <v>34345.849999999991</v>
      </c>
      <c r="AF36" s="37">
        <f t="shared" si="5"/>
        <v>0.64860079999999964</v>
      </c>
      <c r="AG36" s="36">
        <f>'[1]STA MARIA'!$H36</f>
        <v>20833.333333333332</v>
      </c>
      <c r="AH36" s="31">
        <f t="shared" si="28"/>
        <v>18272.916666666664</v>
      </c>
      <c r="AI36" s="31">
        <f t="shared" si="29"/>
        <v>2560.4166666666665</v>
      </c>
      <c r="AJ36" s="31">
        <f t="shared" si="30"/>
        <v>22426.723578000001</v>
      </c>
      <c r="AK36" s="31">
        <f t="shared" si="31"/>
        <v>556.18642199999999</v>
      </c>
      <c r="AL36" s="33">
        <f>84.84+34.13+1352.7+3.84+1269+34.04+480+960+353+516+262.05+639+62.38+26.66+2510+13.19+1333.08+360+63.99+546.9+875+700+525+57.59+102.39+450+63.99+1691.1+180+50.27+1210+1420+978.71+3139+23.27+535+76.79</f>
        <v>22982.91</v>
      </c>
      <c r="AM36" s="37">
        <f t="shared" si="6"/>
        <v>0.10317968</v>
      </c>
      <c r="AN36" s="36">
        <f>'[1]STA MARIA'!$I36</f>
        <v>20833.333333333332</v>
      </c>
      <c r="AO36" s="31">
        <f t="shared" si="32"/>
        <v>18272.916666666664</v>
      </c>
      <c r="AP36" s="31">
        <f t="shared" si="33"/>
        <v>2560.4166666666665</v>
      </c>
      <c r="AQ36" s="31">
        <f t="shared" si="34"/>
        <v>0</v>
      </c>
      <c r="AR36" s="31">
        <f t="shared" si="35"/>
        <v>0</v>
      </c>
      <c r="AS36" s="33"/>
      <c r="AT36" s="37">
        <f t="shared" si="7"/>
        <v>-1</v>
      </c>
      <c r="AU36" s="36">
        <f>'[1]STA MARIA'!$J36</f>
        <v>20833.333333333332</v>
      </c>
      <c r="AV36" s="31">
        <f t="shared" si="36"/>
        <v>18272.916666666664</v>
      </c>
      <c r="AW36" s="31">
        <f t="shared" si="37"/>
        <v>2560.4166666666665</v>
      </c>
      <c r="AX36" s="31">
        <f t="shared" si="38"/>
        <v>0</v>
      </c>
      <c r="AY36" s="31">
        <f t="shared" si="39"/>
        <v>0</v>
      </c>
      <c r="AZ36" s="33"/>
      <c r="BA36" s="37">
        <f t="shared" si="8"/>
        <v>-1</v>
      </c>
      <c r="BB36" s="36">
        <f>'[1]STA MARIA'!$K36</f>
        <v>20833.333333333332</v>
      </c>
      <c r="BC36" s="31">
        <f t="shared" si="40"/>
        <v>18272.916666666664</v>
      </c>
      <c r="BD36" s="31">
        <f t="shared" si="41"/>
        <v>2560.4166666666665</v>
      </c>
      <c r="BE36" s="31">
        <f t="shared" si="42"/>
        <v>0</v>
      </c>
      <c r="BF36" s="31">
        <f t="shared" si="43"/>
        <v>0</v>
      </c>
      <c r="BG36" s="33"/>
      <c r="BH36" s="37">
        <f t="shared" si="9"/>
        <v>-1</v>
      </c>
      <c r="BI36" s="36">
        <f>'[1]STA MARIA'!$L36</f>
        <v>20833.333333333332</v>
      </c>
      <c r="BJ36" s="31">
        <f t="shared" si="44"/>
        <v>18272.916666666664</v>
      </c>
      <c r="BK36" s="31">
        <f t="shared" si="45"/>
        <v>2560.4166666666665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'[1]STA MARIA'!$M36</f>
        <v>20833.333333333332</v>
      </c>
      <c r="BQ36" s="31">
        <f t="shared" si="48"/>
        <v>18272.916666666664</v>
      </c>
      <c r="BR36" s="31">
        <f t="shared" si="49"/>
        <v>2560.4166666666665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'[1]STA MARIA'!$N36</f>
        <v>20833.333333333332</v>
      </c>
      <c r="BX36" s="31">
        <f t="shared" si="52"/>
        <v>18272.916666666664</v>
      </c>
      <c r="BY36" s="31">
        <f t="shared" si="53"/>
        <v>2560.4166666666665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'[1]STA MARIA'!$O36</f>
        <v>20833.333333333332</v>
      </c>
      <c r="CE36" s="31">
        <f t="shared" si="56"/>
        <v>18272.916666666664</v>
      </c>
      <c r="CF36" s="31">
        <f t="shared" si="57"/>
        <v>2560.4166666666665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'[1]STA MARIA'!$P36</f>
        <v>20833.333333333332</v>
      </c>
      <c r="CL36" s="31">
        <f t="shared" si="60"/>
        <v>18272.916666666664</v>
      </c>
      <c r="CM36" s="31">
        <f t="shared" si="61"/>
        <v>2560.4166666666665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350000.00000000006</v>
      </c>
      <c r="C37" s="31">
        <f t="shared" si="64"/>
        <v>306985.00000000006</v>
      </c>
      <c r="D37" s="32">
        <f t="shared" si="64"/>
        <v>43015</v>
      </c>
      <c r="E37" s="30">
        <f t="shared" ref="E37:G54" si="66">+L37+S37+Z37+AG37</f>
        <v>116666.66666666667</v>
      </c>
      <c r="F37" s="33">
        <f t="shared" si="66"/>
        <v>102328.33333333334</v>
      </c>
      <c r="G37" s="34">
        <f t="shared" si="66"/>
        <v>14338.333333333334</v>
      </c>
      <c r="H37" s="31">
        <f t="shared" si="65"/>
        <v>122060.51911200001</v>
      </c>
      <c r="I37" s="33">
        <f t="shared" si="65"/>
        <v>3027.1208880000004</v>
      </c>
      <c r="J37" s="33">
        <f t="shared" si="65"/>
        <v>125087.64</v>
      </c>
      <c r="K37" s="37">
        <f t="shared" si="2"/>
        <v>7.217977142857146E-2</v>
      </c>
      <c r="L37" s="36">
        <f>'[1]STA MARIA'!$E37</f>
        <v>29166.666666666668</v>
      </c>
      <c r="M37" s="31">
        <f t="shared" si="16"/>
        <v>25582.083333333336</v>
      </c>
      <c r="N37" s="31">
        <f t="shared" si="17"/>
        <v>3584.5833333333335</v>
      </c>
      <c r="O37" s="31">
        <f t="shared" si="18"/>
        <v>45886.370487999993</v>
      </c>
      <c r="P37" s="31">
        <f t="shared" si="19"/>
        <v>1137.9895119999999</v>
      </c>
      <c r="Q37" s="33">
        <f>(88003.67+220+910+475)-Q36</f>
        <v>47024.359999999993</v>
      </c>
      <c r="R37" s="37">
        <f t="shared" si="3"/>
        <v>0.61226377142857102</v>
      </c>
      <c r="S37" s="36">
        <f>'[1]STA MARIA'!$F37</f>
        <v>29166.666666666668</v>
      </c>
      <c r="T37" s="31">
        <f t="shared" si="20"/>
        <v>25582.083333333336</v>
      </c>
      <c r="U37" s="31">
        <f t="shared" si="21"/>
        <v>3584.5833333333335</v>
      </c>
      <c r="V37" s="31">
        <f t="shared" si="22"/>
        <v>23614.652739999994</v>
      </c>
      <c r="W37" s="31">
        <f t="shared" si="23"/>
        <v>585.64725999999985</v>
      </c>
      <c r="X37" s="33">
        <f>64604.37-X36</f>
        <v>24200.299999999996</v>
      </c>
      <c r="Y37" s="37">
        <f t="shared" si="4"/>
        <v>-0.17027542857142874</v>
      </c>
      <c r="Z37" s="36">
        <f>'[1]STA MARIA'!$G37</f>
        <v>29166.666666666668</v>
      </c>
      <c r="AA37" s="31">
        <f t="shared" si="24"/>
        <v>25582.083333333336</v>
      </c>
      <c r="AB37" s="31">
        <f t="shared" si="25"/>
        <v>3584.5833333333335</v>
      </c>
      <c r="AC37" s="31">
        <f t="shared" si="26"/>
        <v>33207.049722000011</v>
      </c>
      <c r="AD37" s="31">
        <f t="shared" si="27"/>
        <v>823.54027800000028</v>
      </c>
      <c r="AE37" s="33">
        <f>68376.44-AE36</f>
        <v>34030.590000000011</v>
      </c>
      <c r="AF37" s="37">
        <f t="shared" si="5"/>
        <v>0.16676308571428611</v>
      </c>
      <c r="AG37" s="36">
        <f>'[1]STA MARIA'!$H37</f>
        <v>29166.666666666668</v>
      </c>
      <c r="AH37" s="31">
        <f t="shared" si="28"/>
        <v>25582.083333333336</v>
      </c>
      <c r="AI37" s="31">
        <f t="shared" si="29"/>
        <v>3584.5833333333335</v>
      </c>
      <c r="AJ37" s="31">
        <f t="shared" si="30"/>
        <v>19352.446162000004</v>
      </c>
      <c r="AK37" s="31">
        <f t="shared" si="31"/>
        <v>479.94383800000008</v>
      </c>
      <c r="AL37" s="33">
        <f>42815.3-AL36</f>
        <v>19832.390000000003</v>
      </c>
      <c r="AM37" s="37">
        <f t="shared" si="6"/>
        <v>-0.32003234285714277</v>
      </c>
      <c r="AN37" s="36">
        <f>'[1]STA MARIA'!$I37</f>
        <v>29166.666666666668</v>
      </c>
      <c r="AO37" s="31">
        <f t="shared" si="32"/>
        <v>25582.083333333336</v>
      </c>
      <c r="AP37" s="31">
        <f t="shared" si="33"/>
        <v>3584.5833333333335</v>
      </c>
      <c r="AQ37" s="31">
        <f t="shared" si="34"/>
        <v>0</v>
      </c>
      <c r="AR37" s="31">
        <f t="shared" si="35"/>
        <v>0</v>
      </c>
      <c r="AS37" s="33"/>
      <c r="AT37" s="37">
        <f t="shared" si="7"/>
        <v>-1</v>
      </c>
      <c r="AU37" s="36">
        <f>'[1]STA MARIA'!$J37</f>
        <v>29166.666666666668</v>
      </c>
      <c r="AV37" s="31">
        <f t="shared" si="36"/>
        <v>25582.083333333336</v>
      </c>
      <c r="AW37" s="31">
        <f t="shared" si="37"/>
        <v>3584.5833333333335</v>
      </c>
      <c r="AX37" s="31">
        <f t="shared" si="38"/>
        <v>0</v>
      </c>
      <c r="AY37" s="31">
        <f t="shared" si="39"/>
        <v>0</v>
      </c>
      <c r="AZ37" s="33"/>
      <c r="BA37" s="37">
        <f t="shared" si="8"/>
        <v>-1</v>
      </c>
      <c r="BB37" s="36">
        <f>'[1]STA MARIA'!$K37</f>
        <v>29166.666666666668</v>
      </c>
      <c r="BC37" s="31">
        <f t="shared" si="40"/>
        <v>25582.083333333336</v>
      </c>
      <c r="BD37" s="31">
        <f t="shared" si="41"/>
        <v>3584.5833333333335</v>
      </c>
      <c r="BE37" s="31">
        <f t="shared" si="42"/>
        <v>0</v>
      </c>
      <c r="BF37" s="31">
        <f t="shared" si="43"/>
        <v>0</v>
      </c>
      <c r="BG37" s="33"/>
      <c r="BH37" s="37">
        <f t="shared" si="9"/>
        <v>-1</v>
      </c>
      <c r="BI37" s="36">
        <f>'[1]STA MARIA'!$L37</f>
        <v>29166.666666666668</v>
      </c>
      <c r="BJ37" s="31">
        <f t="shared" si="44"/>
        <v>25582.083333333336</v>
      </c>
      <c r="BK37" s="31">
        <f t="shared" si="45"/>
        <v>3584.5833333333335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'[1]STA MARIA'!$M37</f>
        <v>29166.666666666668</v>
      </c>
      <c r="BQ37" s="31">
        <f t="shared" si="48"/>
        <v>25582.083333333336</v>
      </c>
      <c r="BR37" s="31">
        <f t="shared" si="49"/>
        <v>3584.5833333333335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'[1]STA MARIA'!$N37</f>
        <v>29166.666666666668</v>
      </c>
      <c r="BX37" s="31">
        <f t="shared" si="52"/>
        <v>25582.083333333336</v>
      </c>
      <c r="BY37" s="31">
        <f t="shared" si="53"/>
        <v>3584.5833333333335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'[1]STA MARIA'!$O37</f>
        <v>29166.666666666668</v>
      </c>
      <c r="CE37" s="31">
        <f t="shared" si="56"/>
        <v>25582.083333333336</v>
      </c>
      <c r="CF37" s="31">
        <f t="shared" si="57"/>
        <v>3584.5833333333335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'[1]STA MARIA'!$P37</f>
        <v>29166.666666666668</v>
      </c>
      <c r="CL37" s="31">
        <f t="shared" si="60"/>
        <v>25582.083333333336</v>
      </c>
      <c r="CM37" s="31">
        <f t="shared" si="61"/>
        <v>3584.5833333333335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45000</v>
      </c>
      <c r="C38" s="31">
        <f t="shared" si="64"/>
        <v>39469.5</v>
      </c>
      <c r="D38" s="32">
        <f t="shared" si="64"/>
        <v>5530.5</v>
      </c>
      <c r="E38" s="30">
        <f t="shared" si="66"/>
        <v>15000</v>
      </c>
      <c r="F38" s="33">
        <f t="shared" si="66"/>
        <v>13156.5</v>
      </c>
      <c r="G38" s="34">
        <f t="shared" si="66"/>
        <v>1843.5</v>
      </c>
      <c r="H38" s="31">
        <f t="shared" si="65"/>
        <v>22316.604547999999</v>
      </c>
      <c r="I38" s="33">
        <f t="shared" si="65"/>
        <v>553.45545200000004</v>
      </c>
      <c r="J38" s="33">
        <f t="shared" si="65"/>
        <v>22870.06</v>
      </c>
      <c r="K38" s="37">
        <f t="shared" si="2"/>
        <v>0.52467066666666673</v>
      </c>
      <c r="L38" s="36">
        <f>'[1]STA MARIA'!$E38</f>
        <v>3750</v>
      </c>
      <c r="M38" s="31">
        <f t="shared" si="16"/>
        <v>3289.125</v>
      </c>
      <c r="N38" s="31">
        <f t="shared" si="17"/>
        <v>460.875</v>
      </c>
      <c r="O38" s="31">
        <f t="shared" si="18"/>
        <v>3911.5528479999998</v>
      </c>
      <c r="P38" s="31">
        <f t="shared" si="19"/>
        <v>97.007151999999991</v>
      </c>
      <c r="Q38" s="33">
        <f>4008.56</f>
        <v>4008.56</v>
      </c>
      <c r="R38" s="37">
        <f t="shared" si="3"/>
        <v>6.8949333333333307E-2</v>
      </c>
      <c r="S38" s="36">
        <f>'[1]STA MARIA'!$F38</f>
        <v>3750</v>
      </c>
      <c r="T38" s="31">
        <f t="shared" si="20"/>
        <v>3289.125</v>
      </c>
      <c r="U38" s="31">
        <f t="shared" si="21"/>
        <v>460.875</v>
      </c>
      <c r="V38" s="31">
        <f t="shared" si="22"/>
        <v>3223.5162679999999</v>
      </c>
      <c r="W38" s="31">
        <f t="shared" si="23"/>
        <v>79.943731999999997</v>
      </c>
      <c r="X38" s="33">
        <f>3303.46</f>
        <v>3303.46</v>
      </c>
      <c r="Y38" s="37">
        <f t="shared" si="4"/>
        <v>-0.11907733333333337</v>
      </c>
      <c r="Z38" s="36">
        <f>'[1]STA MARIA'!$G38</f>
        <v>3750</v>
      </c>
      <c r="AA38" s="31">
        <f t="shared" si="24"/>
        <v>3289.125</v>
      </c>
      <c r="AB38" s="31">
        <f t="shared" si="25"/>
        <v>460.875</v>
      </c>
      <c r="AC38" s="31">
        <f t="shared" si="26"/>
        <v>7119.7783300000001</v>
      </c>
      <c r="AD38" s="31">
        <f t="shared" si="27"/>
        <v>176.57167000000001</v>
      </c>
      <c r="AE38" s="33">
        <f>7296.35</f>
        <v>7296.35</v>
      </c>
      <c r="AF38" s="37">
        <f t="shared" si="5"/>
        <v>0.9456933333333335</v>
      </c>
      <c r="AG38" s="36">
        <f>'[1]STA MARIA'!$H38</f>
        <v>3750</v>
      </c>
      <c r="AH38" s="31">
        <f t="shared" si="28"/>
        <v>3289.125</v>
      </c>
      <c r="AI38" s="31">
        <f t="shared" si="29"/>
        <v>460.875</v>
      </c>
      <c r="AJ38" s="31">
        <f t="shared" si="30"/>
        <v>8061.7571020000005</v>
      </c>
      <c r="AK38" s="31">
        <f t="shared" si="31"/>
        <v>199.93289799999999</v>
      </c>
      <c r="AL38" s="33">
        <v>8261.69</v>
      </c>
      <c r="AM38" s="37">
        <f t="shared" si="6"/>
        <v>1.2031173333333336</v>
      </c>
      <c r="AN38" s="36">
        <f>'[1]STA MARIA'!$I38</f>
        <v>3750</v>
      </c>
      <c r="AO38" s="31">
        <f t="shared" si="32"/>
        <v>3289.125</v>
      </c>
      <c r="AP38" s="31">
        <f t="shared" si="33"/>
        <v>460.875</v>
      </c>
      <c r="AQ38" s="31">
        <f t="shared" si="34"/>
        <v>0</v>
      </c>
      <c r="AR38" s="31">
        <f t="shared" si="35"/>
        <v>0</v>
      </c>
      <c r="AS38" s="33"/>
      <c r="AT38" s="37">
        <f t="shared" si="7"/>
        <v>-1</v>
      </c>
      <c r="AU38" s="36">
        <f>'[1]STA MARIA'!$J38</f>
        <v>3750</v>
      </c>
      <c r="AV38" s="31">
        <f t="shared" si="36"/>
        <v>3289.125</v>
      </c>
      <c r="AW38" s="31">
        <f t="shared" si="37"/>
        <v>460.875</v>
      </c>
      <c r="AX38" s="31">
        <f t="shared" si="38"/>
        <v>0</v>
      </c>
      <c r="AY38" s="31">
        <f t="shared" si="39"/>
        <v>0</v>
      </c>
      <c r="AZ38" s="33"/>
      <c r="BA38" s="37">
        <f t="shared" si="8"/>
        <v>-1</v>
      </c>
      <c r="BB38" s="36">
        <f>'[1]STA MARIA'!$K38</f>
        <v>3750</v>
      </c>
      <c r="BC38" s="31">
        <f t="shared" si="40"/>
        <v>3289.125</v>
      </c>
      <c r="BD38" s="31">
        <f t="shared" si="41"/>
        <v>460.875</v>
      </c>
      <c r="BE38" s="31">
        <f t="shared" si="42"/>
        <v>0</v>
      </c>
      <c r="BF38" s="31">
        <f t="shared" si="43"/>
        <v>0</v>
      </c>
      <c r="BG38" s="33"/>
      <c r="BH38" s="37">
        <f t="shared" si="9"/>
        <v>-1</v>
      </c>
      <c r="BI38" s="36">
        <f>'[1]STA MARIA'!$L38</f>
        <v>3750</v>
      </c>
      <c r="BJ38" s="31">
        <f t="shared" si="44"/>
        <v>3289.125</v>
      </c>
      <c r="BK38" s="31">
        <f t="shared" si="45"/>
        <v>460.875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'[1]STA MARIA'!$M38</f>
        <v>3750</v>
      </c>
      <c r="BQ38" s="31">
        <f t="shared" si="48"/>
        <v>3289.125</v>
      </c>
      <c r="BR38" s="31">
        <f t="shared" si="49"/>
        <v>460.875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'[1]STA MARIA'!$N38</f>
        <v>3750</v>
      </c>
      <c r="BX38" s="31">
        <f t="shared" si="52"/>
        <v>3289.125</v>
      </c>
      <c r="BY38" s="31">
        <f t="shared" si="53"/>
        <v>460.875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'[1]STA MARIA'!$O38</f>
        <v>3750</v>
      </c>
      <c r="CE38" s="31">
        <f t="shared" si="56"/>
        <v>3289.125</v>
      </c>
      <c r="CF38" s="31">
        <f t="shared" si="57"/>
        <v>460.875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'[1]STA MARIA'!$P38</f>
        <v>3750</v>
      </c>
      <c r="CL38" s="31">
        <f t="shared" si="60"/>
        <v>3289.125</v>
      </c>
      <c r="CM38" s="31">
        <f t="shared" si="61"/>
        <v>460.875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120000</v>
      </c>
      <c r="C39" s="31">
        <f t="shared" si="64"/>
        <v>105252</v>
      </c>
      <c r="D39" s="32">
        <f t="shared" si="64"/>
        <v>14748</v>
      </c>
      <c r="E39" s="30">
        <f t="shared" si="66"/>
        <v>40000</v>
      </c>
      <c r="F39" s="33">
        <f t="shared" si="66"/>
        <v>35084</v>
      </c>
      <c r="G39" s="34">
        <f t="shared" si="66"/>
        <v>4916</v>
      </c>
      <c r="H39" s="31">
        <f t="shared" si="65"/>
        <v>5459.4546300000002</v>
      </c>
      <c r="I39" s="33">
        <f t="shared" si="65"/>
        <v>135.39536999999999</v>
      </c>
      <c r="J39" s="33">
        <f t="shared" si="65"/>
        <v>5594.85</v>
      </c>
      <c r="K39" s="37">
        <f t="shared" si="2"/>
        <v>-0.86012875</v>
      </c>
      <c r="L39" s="36">
        <f>'[1]STA MARIA'!$E39</f>
        <v>10000</v>
      </c>
      <c r="M39" s="31">
        <f t="shared" si="16"/>
        <v>8771</v>
      </c>
      <c r="N39" s="31">
        <f t="shared" si="17"/>
        <v>1229</v>
      </c>
      <c r="O39" s="31">
        <f t="shared" si="18"/>
        <v>5414.5190400000001</v>
      </c>
      <c r="P39" s="31">
        <f t="shared" si="19"/>
        <v>134.28095999999999</v>
      </c>
      <c r="Q39" s="33">
        <f>5548.8</f>
        <v>5548.8</v>
      </c>
      <c r="R39" s="37">
        <f t="shared" si="3"/>
        <v>-0.44511999999999996</v>
      </c>
      <c r="S39" s="36">
        <f>'[1]STA MARIA'!$F39</f>
        <v>10000</v>
      </c>
      <c r="T39" s="31">
        <f t="shared" si="20"/>
        <v>8771</v>
      </c>
      <c r="U39" s="31">
        <f t="shared" si="21"/>
        <v>1229</v>
      </c>
      <c r="V39" s="31">
        <f t="shared" si="22"/>
        <v>0</v>
      </c>
      <c r="W39" s="31">
        <f t="shared" si="23"/>
        <v>0</v>
      </c>
      <c r="X39" s="33"/>
      <c r="Y39" s="37">
        <f t="shared" si="4"/>
        <v>-1</v>
      </c>
      <c r="Z39" s="36">
        <f>'[1]STA MARIA'!$G39</f>
        <v>10000</v>
      </c>
      <c r="AA39" s="31">
        <f t="shared" si="24"/>
        <v>8771</v>
      </c>
      <c r="AB39" s="31">
        <f t="shared" si="25"/>
        <v>1229</v>
      </c>
      <c r="AC39" s="31">
        <f t="shared" si="26"/>
        <v>44.935589999999998</v>
      </c>
      <c r="AD39" s="31">
        <f t="shared" si="27"/>
        <v>1.1144099999999999</v>
      </c>
      <c r="AE39" s="33">
        <f>46.05</f>
        <v>46.05</v>
      </c>
      <c r="AF39" s="37">
        <f t="shared" si="5"/>
        <v>-0.99539500000000003</v>
      </c>
      <c r="AG39" s="36">
        <f>'[1]STA MARIA'!$H39</f>
        <v>10000</v>
      </c>
      <c r="AH39" s="31">
        <f t="shared" si="28"/>
        <v>8771</v>
      </c>
      <c r="AI39" s="31">
        <f t="shared" si="29"/>
        <v>1229</v>
      </c>
      <c r="AJ39" s="31">
        <f t="shared" si="30"/>
        <v>0</v>
      </c>
      <c r="AK39" s="31">
        <f t="shared" si="31"/>
        <v>0</v>
      </c>
      <c r="AL39" s="33"/>
      <c r="AM39" s="37">
        <f t="shared" si="6"/>
        <v>-1</v>
      </c>
      <c r="AN39" s="36">
        <f>'[1]STA MARIA'!$I39</f>
        <v>10000</v>
      </c>
      <c r="AO39" s="31">
        <f t="shared" si="32"/>
        <v>8771</v>
      </c>
      <c r="AP39" s="31">
        <f t="shared" si="33"/>
        <v>1229</v>
      </c>
      <c r="AQ39" s="31">
        <f t="shared" si="34"/>
        <v>0</v>
      </c>
      <c r="AR39" s="31">
        <f t="shared" si="35"/>
        <v>0</v>
      </c>
      <c r="AS39" s="33"/>
      <c r="AT39" s="37">
        <f t="shared" si="7"/>
        <v>-1</v>
      </c>
      <c r="AU39" s="36">
        <f>'[1]STA MARIA'!$J39</f>
        <v>10000</v>
      </c>
      <c r="AV39" s="31">
        <f t="shared" si="36"/>
        <v>8771</v>
      </c>
      <c r="AW39" s="31">
        <f t="shared" si="37"/>
        <v>1229</v>
      </c>
      <c r="AX39" s="31">
        <f t="shared" si="38"/>
        <v>0</v>
      </c>
      <c r="AY39" s="31">
        <f t="shared" si="39"/>
        <v>0</v>
      </c>
      <c r="AZ39" s="33"/>
      <c r="BA39" s="37">
        <f t="shared" si="8"/>
        <v>-1</v>
      </c>
      <c r="BB39" s="36">
        <f>'[1]STA MARIA'!$K39</f>
        <v>10000</v>
      </c>
      <c r="BC39" s="31">
        <f t="shared" si="40"/>
        <v>8771</v>
      </c>
      <c r="BD39" s="31">
        <f t="shared" si="41"/>
        <v>1229</v>
      </c>
      <c r="BE39" s="31">
        <f t="shared" si="42"/>
        <v>0</v>
      </c>
      <c r="BF39" s="31">
        <f t="shared" si="43"/>
        <v>0</v>
      </c>
      <c r="BG39" s="33"/>
      <c r="BH39" s="37">
        <f t="shared" si="9"/>
        <v>-1</v>
      </c>
      <c r="BI39" s="36">
        <f>'[1]STA MARIA'!$L39</f>
        <v>10000</v>
      </c>
      <c r="BJ39" s="31">
        <f t="shared" si="44"/>
        <v>8771</v>
      </c>
      <c r="BK39" s="31">
        <f t="shared" si="45"/>
        <v>1229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'[1]STA MARIA'!$M39</f>
        <v>10000</v>
      </c>
      <c r="BQ39" s="31">
        <f t="shared" si="48"/>
        <v>8771</v>
      </c>
      <c r="BR39" s="31">
        <f t="shared" si="49"/>
        <v>1229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'[1]STA MARIA'!$N39</f>
        <v>10000</v>
      </c>
      <c r="BX39" s="31">
        <f t="shared" si="52"/>
        <v>8771</v>
      </c>
      <c r="BY39" s="31">
        <f t="shared" si="53"/>
        <v>1229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'[1]STA MARIA'!$O39</f>
        <v>10000</v>
      </c>
      <c r="CE39" s="31">
        <f t="shared" si="56"/>
        <v>8771</v>
      </c>
      <c r="CF39" s="31">
        <f t="shared" si="57"/>
        <v>1229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'[1]STA MARIA'!$P39</f>
        <v>10000</v>
      </c>
      <c r="CL39" s="31">
        <f t="shared" si="60"/>
        <v>8771</v>
      </c>
      <c r="CM39" s="31">
        <f t="shared" si="61"/>
        <v>1229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40000</v>
      </c>
      <c r="C40" s="31">
        <f t="shared" si="64"/>
        <v>35084.000000000007</v>
      </c>
      <c r="D40" s="32">
        <f t="shared" si="64"/>
        <v>4916</v>
      </c>
      <c r="E40" s="30">
        <f t="shared" si="66"/>
        <v>13333.333333333334</v>
      </c>
      <c r="F40" s="33">
        <f t="shared" si="66"/>
        <v>11694.666666666668</v>
      </c>
      <c r="G40" s="34">
        <f t="shared" si="66"/>
        <v>1638.6666666666667</v>
      </c>
      <c r="H40" s="31">
        <f t="shared" si="65"/>
        <v>4525.1066140000003</v>
      </c>
      <c r="I40" s="33">
        <f t="shared" si="65"/>
        <v>112.22338599999999</v>
      </c>
      <c r="J40" s="33">
        <f t="shared" si="65"/>
        <v>4637.33</v>
      </c>
      <c r="K40" s="37">
        <f t="shared" si="2"/>
        <v>-0.65220025000000004</v>
      </c>
      <c r="L40" s="36">
        <f>'[1]STA MARIA'!$E40</f>
        <v>3333.3333333333335</v>
      </c>
      <c r="M40" s="31">
        <f t="shared" si="16"/>
        <v>2923.666666666667</v>
      </c>
      <c r="N40" s="31">
        <f t="shared" si="17"/>
        <v>409.66666666666669</v>
      </c>
      <c r="O40" s="31">
        <f t="shared" si="18"/>
        <v>4525.1066140000003</v>
      </c>
      <c r="P40" s="31">
        <f t="shared" si="19"/>
        <v>112.22338599999999</v>
      </c>
      <c r="Q40" s="33">
        <f>4637.33</f>
        <v>4637.33</v>
      </c>
      <c r="R40" s="37">
        <f t="shared" si="3"/>
        <v>0.39119899999999985</v>
      </c>
      <c r="S40" s="36">
        <f>'[1]STA MARIA'!$F40</f>
        <v>3333.3333333333335</v>
      </c>
      <c r="T40" s="31">
        <f t="shared" si="20"/>
        <v>2923.666666666667</v>
      </c>
      <c r="U40" s="31">
        <f t="shared" si="21"/>
        <v>409.66666666666669</v>
      </c>
      <c r="V40" s="31">
        <f t="shared" si="22"/>
        <v>0</v>
      </c>
      <c r="W40" s="31">
        <f t="shared" si="23"/>
        <v>0</v>
      </c>
      <c r="X40" s="33"/>
      <c r="Y40" s="37">
        <f t="shared" si="4"/>
        <v>-1</v>
      </c>
      <c r="Z40" s="36">
        <f>'[1]STA MARIA'!$G40</f>
        <v>3333.3333333333335</v>
      </c>
      <c r="AA40" s="31">
        <f t="shared" si="24"/>
        <v>2923.666666666667</v>
      </c>
      <c r="AB40" s="31">
        <f t="shared" si="25"/>
        <v>409.66666666666669</v>
      </c>
      <c r="AC40" s="31">
        <f t="shared" si="26"/>
        <v>0</v>
      </c>
      <c r="AD40" s="31">
        <f t="shared" si="27"/>
        <v>0</v>
      </c>
      <c r="AE40" s="33"/>
      <c r="AF40" s="37">
        <f t="shared" si="5"/>
        <v>-1</v>
      </c>
      <c r="AG40" s="36">
        <f>'[1]STA MARIA'!$H40</f>
        <v>3333.3333333333335</v>
      </c>
      <c r="AH40" s="31">
        <f t="shared" si="28"/>
        <v>2923.666666666667</v>
      </c>
      <c r="AI40" s="31">
        <f t="shared" si="29"/>
        <v>409.66666666666669</v>
      </c>
      <c r="AJ40" s="31">
        <f t="shared" si="30"/>
        <v>0</v>
      </c>
      <c r="AK40" s="31">
        <f t="shared" si="31"/>
        <v>0</v>
      </c>
      <c r="AL40" s="33"/>
      <c r="AM40" s="37">
        <f t="shared" si="6"/>
        <v>-1</v>
      </c>
      <c r="AN40" s="36">
        <f>'[1]STA MARIA'!$I40</f>
        <v>3333.3333333333335</v>
      </c>
      <c r="AO40" s="31">
        <f t="shared" si="32"/>
        <v>2923.666666666667</v>
      </c>
      <c r="AP40" s="31">
        <f t="shared" si="33"/>
        <v>409.66666666666669</v>
      </c>
      <c r="AQ40" s="31">
        <f t="shared" si="34"/>
        <v>0</v>
      </c>
      <c r="AR40" s="31">
        <f t="shared" si="35"/>
        <v>0</v>
      </c>
      <c r="AS40" s="33"/>
      <c r="AT40" s="37">
        <f t="shared" si="7"/>
        <v>-1</v>
      </c>
      <c r="AU40" s="36">
        <f>'[1]STA MARIA'!$J40</f>
        <v>3333.3333333333335</v>
      </c>
      <c r="AV40" s="31">
        <f t="shared" si="36"/>
        <v>2923.666666666667</v>
      </c>
      <c r="AW40" s="31">
        <f t="shared" si="37"/>
        <v>409.66666666666669</v>
      </c>
      <c r="AX40" s="31">
        <f t="shared" si="38"/>
        <v>0</v>
      </c>
      <c r="AY40" s="31">
        <f t="shared" si="39"/>
        <v>0</v>
      </c>
      <c r="AZ40" s="33"/>
      <c r="BA40" s="37">
        <f t="shared" si="8"/>
        <v>-1</v>
      </c>
      <c r="BB40" s="36">
        <f>'[1]STA MARIA'!$K40</f>
        <v>3333.3333333333335</v>
      </c>
      <c r="BC40" s="31">
        <f t="shared" si="40"/>
        <v>2923.666666666667</v>
      </c>
      <c r="BD40" s="31">
        <f t="shared" si="41"/>
        <v>409.66666666666669</v>
      </c>
      <c r="BE40" s="31">
        <f t="shared" si="42"/>
        <v>0</v>
      </c>
      <c r="BF40" s="31">
        <f t="shared" si="43"/>
        <v>0</v>
      </c>
      <c r="BG40" s="33"/>
      <c r="BH40" s="37">
        <f t="shared" si="9"/>
        <v>-1</v>
      </c>
      <c r="BI40" s="36">
        <f>'[1]STA MARIA'!$L40</f>
        <v>3333.3333333333335</v>
      </c>
      <c r="BJ40" s="31">
        <f t="shared" si="44"/>
        <v>2923.666666666667</v>
      </c>
      <c r="BK40" s="31">
        <f t="shared" si="45"/>
        <v>409.66666666666669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'[1]STA MARIA'!$M40</f>
        <v>3333.3333333333335</v>
      </c>
      <c r="BQ40" s="31">
        <f t="shared" si="48"/>
        <v>2923.666666666667</v>
      </c>
      <c r="BR40" s="31">
        <f t="shared" si="49"/>
        <v>409.66666666666669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'[1]STA MARIA'!$N40</f>
        <v>3333.3333333333335</v>
      </c>
      <c r="BX40" s="31">
        <f t="shared" si="52"/>
        <v>2923.666666666667</v>
      </c>
      <c r="BY40" s="31">
        <f t="shared" si="53"/>
        <v>409.66666666666669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'[1]STA MARIA'!$O40</f>
        <v>3333.3333333333335</v>
      </c>
      <c r="CE40" s="31">
        <f t="shared" si="56"/>
        <v>2923.666666666667</v>
      </c>
      <c r="CF40" s="31">
        <f t="shared" si="57"/>
        <v>409.66666666666669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'[1]STA MARIA'!$P40</f>
        <v>3333.3333333333335</v>
      </c>
      <c r="CL40" s="31">
        <f t="shared" si="60"/>
        <v>2923.666666666667</v>
      </c>
      <c r="CM40" s="31">
        <f t="shared" si="61"/>
        <v>409.66666666666669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1380000</v>
      </c>
      <c r="C41" s="31">
        <f t="shared" si="64"/>
        <v>1210398</v>
      </c>
      <c r="D41" s="32">
        <f t="shared" si="64"/>
        <v>169602</v>
      </c>
      <c r="E41" s="30">
        <f t="shared" si="66"/>
        <v>460000</v>
      </c>
      <c r="F41" s="33">
        <f t="shared" si="66"/>
        <v>403466</v>
      </c>
      <c r="G41" s="34">
        <f t="shared" si="66"/>
        <v>56534</v>
      </c>
      <c r="H41" s="31">
        <f t="shared" si="65"/>
        <v>448868</v>
      </c>
      <c r="I41" s="33">
        <f t="shared" si="65"/>
        <v>11132</v>
      </c>
      <c r="J41" s="33">
        <f t="shared" si="65"/>
        <v>460000</v>
      </c>
      <c r="K41" s="37">
        <f t="shared" si="2"/>
        <v>0</v>
      </c>
      <c r="L41" s="46">
        <f>'[1]STA MARIA'!$E41</f>
        <v>115000</v>
      </c>
      <c r="M41" s="47">
        <f t="shared" si="16"/>
        <v>100866.5</v>
      </c>
      <c r="N41" s="47">
        <f t="shared" si="17"/>
        <v>14133.5</v>
      </c>
      <c r="O41" s="47">
        <f t="shared" si="18"/>
        <v>112217</v>
      </c>
      <c r="P41" s="47">
        <f t="shared" si="19"/>
        <v>2783</v>
      </c>
      <c r="Q41" s="45">
        <v>115000</v>
      </c>
      <c r="R41" s="37">
        <f t="shared" si="3"/>
        <v>0</v>
      </c>
      <c r="S41" s="46">
        <f>'[1]STA MARIA'!$F41</f>
        <v>115000</v>
      </c>
      <c r="T41" s="47">
        <f t="shared" si="20"/>
        <v>100866.5</v>
      </c>
      <c r="U41" s="47">
        <f t="shared" si="21"/>
        <v>14133.5</v>
      </c>
      <c r="V41" s="47">
        <f t="shared" si="22"/>
        <v>112217</v>
      </c>
      <c r="W41" s="47">
        <f t="shared" si="23"/>
        <v>2783</v>
      </c>
      <c r="X41" s="45">
        <v>115000</v>
      </c>
      <c r="Y41" s="37">
        <f t="shared" si="4"/>
        <v>0</v>
      </c>
      <c r="Z41" s="46">
        <f>'[1]STA MARIA'!$G41</f>
        <v>115000</v>
      </c>
      <c r="AA41" s="47">
        <f t="shared" si="24"/>
        <v>100866.5</v>
      </c>
      <c r="AB41" s="47">
        <f t="shared" si="25"/>
        <v>14133.5</v>
      </c>
      <c r="AC41" s="47">
        <f t="shared" si="26"/>
        <v>112217</v>
      </c>
      <c r="AD41" s="47">
        <f t="shared" si="27"/>
        <v>2783</v>
      </c>
      <c r="AE41" s="45">
        <v>115000</v>
      </c>
      <c r="AF41" s="37">
        <f t="shared" si="5"/>
        <v>0</v>
      </c>
      <c r="AG41" s="46">
        <f>'[1]STA MARIA'!$H41</f>
        <v>115000</v>
      </c>
      <c r="AH41" s="47">
        <f t="shared" si="28"/>
        <v>100866.5</v>
      </c>
      <c r="AI41" s="47">
        <f t="shared" si="29"/>
        <v>14133.5</v>
      </c>
      <c r="AJ41" s="47">
        <f t="shared" si="30"/>
        <v>112217</v>
      </c>
      <c r="AK41" s="47">
        <f t="shared" si="31"/>
        <v>2783</v>
      </c>
      <c r="AL41" s="45">
        <v>115000</v>
      </c>
      <c r="AM41" s="37">
        <f t="shared" si="6"/>
        <v>0</v>
      </c>
      <c r="AN41" s="46">
        <f>'[1]STA MARIA'!$I41</f>
        <v>115000</v>
      </c>
      <c r="AO41" s="47">
        <f t="shared" si="32"/>
        <v>100866.5</v>
      </c>
      <c r="AP41" s="47">
        <f t="shared" si="33"/>
        <v>14133.5</v>
      </c>
      <c r="AQ41" s="47">
        <f t="shared" si="34"/>
        <v>0</v>
      </c>
      <c r="AR41" s="47">
        <f t="shared" si="35"/>
        <v>0</v>
      </c>
      <c r="AS41" s="45"/>
      <c r="AT41" s="37">
        <f t="shared" si="7"/>
        <v>-1</v>
      </c>
      <c r="AU41" s="46">
        <f>'[1]STA MARIA'!$J41</f>
        <v>115000</v>
      </c>
      <c r="AV41" s="47">
        <f t="shared" si="36"/>
        <v>100866.5</v>
      </c>
      <c r="AW41" s="47">
        <f t="shared" si="37"/>
        <v>14133.5</v>
      </c>
      <c r="AX41" s="47">
        <f t="shared" si="38"/>
        <v>0</v>
      </c>
      <c r="AY41" s="47">
        <f t="shared" si="39"/>
        <v>0</v>
      </c>
      <c r="AZ41" s="45"/>
      <c r="BA41" s="37">
        <f t="shared" si="8"/>
        <v>-1</v>
      </c>
      <c r="BB41" s="46">
        <f>'[1]STA MARIA'!$K41</f>
        <v>115000</v>
      </c>
      <c r="BC41" s="47">
        <f t="shared" si="40"/>
        <v>100866.5</v>
      </c>
      <c r="BD41" s="47">
        <f t="shared" si="41"/>
        <v>14133.5</v>
      </c>
      <c r="BE41" s="47">
        <f t="shared" si="42"/>
        <v>0</v>
      </c>
      <c r="BF41" s="47">
        <f t="shared" si="43"/>
        <v>0</v>
      </c>
      <c r="BG41" s="45"/>
      <c r="BH41" s="37">
        <f t="shared" si="9"/>
        <v>-1</v>
      </c>
      <c r="BI41" s="46">
        <f>'[1]STA MARIA'!$L41</f>
        <v>115000</v>
      </c>
      <c r="BJ41" s="47">
        <f t="shared" si="44"/>
        <v>100866.5</v>
      </c>
      <c r="BK41" s="47">
        <f t="shared" si="45"/>
        <v>14133.5</v>
      </c>
      <c r="BL41" s="47">
        <f t="shared" si="46"/>
        <v>0</v>
      </c>
      <c r="BM41" s="47">
        <f t="shared" si="47"/>
        <v>0</v>
      </c>
      <c r="BN41" s="45"/>
      <c r="BO41" s="37">
        <f t="shared" si="10"/>
        <v>-1</v>
      </c>
      <c r="BP41" s="46">
        <f>'[1]STA MARIA'!$M41</f>
        <v>115000</v>
      </c>
      <c r="BQ41" s="47">
        <f t="shared" si="48"/>
        <v>100866.5</v>
      </c>
      <c r="BR41" s="47">
        <f t="shared" si="49"/>
        <v>14133.5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'[1]STA MARIA'!$N41</f>
        <v>115000</v>
      </c>
      <c r="BX41" s="47">
        <f t="shared" si="52"/>
        <v>100866.5</v>
      </c>
      <c r="BY41" s="47">
        <f t="shared" si="53"/>
        <v>14133.5</v>
      </c>
      <c r="BZ41" s="47">
        <f t="shared" si="54"/>
        <v>0</v>
      </c>
      <c r="CA41" s="47">
        <f t="shared" si="55"/>
        <v>0</v>
      </c>
      <c r="CB41" s="45"/>
      <c r="CC41" s="37">
        <f t="shared" si="12"/>
        <v>-1</v>
      </c>
      <c r="CD41" s="46">
        <f>'[1]STA MARIA'!$O41</f>
        <v>115000</v>
      </c>
      <c r="CE41" s="47">
        <f t="shared" si="56"/>
        <v>100866.5</v>
      </c>
      <c r="CF41" s="47">
        <f t="shared" si="57"/>
        <v>14133.5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'[1]STA MARIA'!$P41</f>
        <v>115000</v>
      </c>
      <c r="CL41" s="47">
        <f t="shared" si="60"/>
        <v>100866.5</v>
      </c>
      <c r="CM41" s="47">
        <f t="shared" si="61"/>
        <v>14133.5</v>
      </c>
      <c r="CN41" s="47">
        <f t="shared" si="62"/>
        <v>0</v>
      </c>
      <c r="CO41" s="47">
        <f t="shared" si="63"/>
        <v>0</v>
      </c>
      <c r="CP41" s="46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0</v>
      </c>
      <c r="C42" s="31">
        <f t="shared" si="64"/>
        <v>0</v>
      </c>
      <c r="D42" s="32">
        <f t="shared" si="64"/>
        <v>0</v>
      </c>
      <c r="E42" s="30">
        <f t="shared" si="66"/>
        <v>0</v>
      </c>
      <c r="F42" s="33">
        <f t="shared" si="66"/>
        <v>0</v>
      </c>
      <c r="G42" s="34">
        <f t="shared" si="66"/>
        <v>0</v>
      </c>
      <c r="H42" s="31">
        <f t="shared" si="65"/>
        <v>0</v>
      </c>
      <c r="I42" s="33">
        <f t="shared" si="65"/>
        <v>0</v>
      </c>
      <c r="J42" s="33">
        <f t="shared" si="65"/>
        <v>0</v>
      </c>
      <c r="K42" s="37" t="str">
        <f t="shared" si="2"/>
        <v/>
      </c>
      <c r="L42" s="36">
        <f>'[1]STA MARIA'!$E42</f>
        <v>0</v>
      </c>
      <c r="M42" s="31">
        <f t="shared" si="16"/>
        <v>0</v>
      </c>
      <c r="N42" s="31">
        <f t="shared" si="17"/>
        <v>0</v>
      </c>
      <c r="O42" s="31">
        <f t="shared" si="18"/>
        <v>0</v>
      </c>
      <c r="P42" s="31">
        <f t="shared" si="19"/>
        <v>0</v>
      </c>
      <c r="Q42" s="33"/>
      <c r="R42" s="37" t="str">
        <f t="shared" si="3"/>
        <v/>
      </c>
      <c r="S42" s="36">
        <f>'[1]STA MARIA'!$F42</f>
        <v>0</v>
      </c>
      <c r="T42" s="31">
        <f t="shared" si="20"/>
        <v>0</v>
      </c>
      <c r="U42" s="31">
        <f t="shared" si="21"/>
        <v>0</v>
      </c>
      <c r="V42" s="31">
        <f t="shared" si="22"/>
        <v>0</v>
      </c>
      <c r="W42" s="31">
        <f t="shared" si="23"/>
        <v>0</v>
      </c>
      <c r="X42" s="33"/>
      <c r="Y42" s="37" t="str">
        <f t="shared" si="4"/>
        <v/>
      </c>
      <c r="Z42" s="36">
        <f>'[1]STA MARIA'!$G42</f>
        <v>0</v>
      </c>
      <c r="AA42" s="31">
        <f t="shared" si="24"/>
        <v>0</v>
      </c>
      <c r="AB42" s="31">
        <f t="shared" si="25"/>
        <v>0</v>
      </c>
      <c r="AC42" s="31">
        <f t="shared" si="26"/>
        <v>0</v>
      </c>
      <c r="AD42" s="31">
        <f t="shared" si="27"/>
        <v>0</v>
      </c>
      <c r="AE42" s="33"/>
      <c r="AF42" s="37" t="str">
        <f t="shared" si="5"/>
        <v/>
      </c>
      <c r="AG42" s="36">
        <f>'[1]STA MARIA'!$H42</f>
        <v>0</v>
      </c>
      <c r="AH42" s="31">
        <f t="shared" si="28"/>
        <v>0</v>
      </c>
      <c r="AI42" s="31">
        <f t="shared" si="29"/>
        <v>0</v>
      </c>
      <c r="AJ42" s="31">
        <f t="shared" si="30"/>
        <v>0</v>
      </c>
      <c r="AK42" s="31">
        <f t="shared" si="31"/>
        <v>0</v>
      </c>
      <c r="AL42" s="33"/>
      <c r="AM42" s="37" t="str">
        <f t="shared" si="6"/>
        <v/>
      </c>
      <c r="AN42" s="36">
        <f>'[1]STA MARIA'!$I42</f>
        <v>0</v>
      </c>
      <c r="AO42" s="31">
        <f t="shared" si="32"/>
        <v>0</v>
      </c>
      <c r="AP42" s="31">
        <f t="shared" si="33"/>
        <v>0</v>
      </c>
      <c r="AQ42" s="31">
        <f t="shared" si="34"/>
        <v>0</v>
      </c>
      <c r="AR42" s="31">
        <f t="shared" si="35"/>
        <v>0</v>
      </c>
      <c r="AS42" s="33"/>
      <c r="AT42" s="37" t="str">
        <f t="shared" si="7"/>
        <v/>
      </c>
      <c r="AU42" s="36">
        <f>'[1]STA MARIA'!$J42</f>
        <v>0</v>
      </c>
      <c r="AV42" s="31">
        <f t="shared" si="36"/>
        <v>0</v>
      </c>
      <c r="AW42" s="31">
        <f t="shared" si="37"/>
        <v>0</v>
      </c>
      <c r="AX42" s="31">
        <f t="shared" si="38"/>
        <v>0</v>
      </c>
      <c r="AY42" s="31">
        <f t="shared" si="39"/>
        <v>0</v>
      </c>
      <c r="AZ42" s="27"/>
      <c r="BA42" s="37" t="str">
        <f t="shared" si="8"/>
        <v/>
      </c>
      <c r="BB42" s="36">
        <f>'[1]STA MARIA'!$K42</f>
        <v>0</v>
      </c>
      <c r="BC42" s="31">
        <f t="shared" si="40"/>
        <v>0</v>
      </c>
      <c r="BD42" s="31">
        <f t="shared" si="41"/>
        <v>0</v>
      </c>
      <c r="BE42" s="31">
        <f t="shared" si="42"/>
        <v>0</v>
      </c>
      <c r="BF42" s="31">
        <f t="shared" si="43"/>
        <v>0</v>
      </c>
      <c r="BG42" s="33"/>
      <c r="BH42" s="37" t="str">
        <f t="shared" si="9"/>
        <v/>
      </c>
      <c r="BI42" s="36">
        <f>'[1]STA MARIA'!$L42</f>
        <v>0</v>
      </c>
      <c r="BJ42" s="31">
        <f t="shared" si="44"/>
        <v>0</v>
      </c>
      <c r="BK42" s="31">
        <f t="shared" si="45"/>
        <v>0</v>
      </c>
      <c r="BL42" s="31">
        <f t="shared" si="46"/>
        <v>0</v>
      </c>
      <c r="BM42" s="31">
        <f t="shared" si="47"/>
        <v>0</v>
      </c>
      <c r="BN42" s="33"/>
      <c r="BO42" s="37" t="str">
        <f t="shared" si="10"/>
        <v/>
      </c>
      <c r="BP42" s="36">
        <f>'[1]STA MARIA'!$M42</f>
        <v>0</v>
      </c>
      <c r="BQ42" s="31">
        <f t="shared" si="48"/>
        <v>0</v>
      </c>
      <c r="BR42" s="31">
        <f t="shared" si="49"/>
        <v>0</v>
      </c>
      <c r="BS42" s="31">
        <f t="shared" si="50"/>
        <v>0</v>
      </c>
      <c r="BT42" s="31">
        <f t="shared" si="51"/>
        <v>0</v>
      </c>
      <c r="BU42" s="33"/>
      <c r="BV42" s="37" t="str">
        <f t="shared" si="11"/>
        <v/>
      </c>
      <c r="BW42" s="36">
        <f>'[1]STA MARIA'!$N42</f>
        <v>0</v>
      </c>
      <c r="BX42" s="31">
        <f t="shared" si="52"/>
        <v>0</v>
      </c>
      <c r="BY42" s="31">
        <f t="shared" si="53"/>
        <v>0</v>
      </c>
      <c r="BZ42" s="31">
        <f t="shared" si="54"/>
        <v>0</v>
      </c>
      <c r="CA42" s="31">
        <f t="shared" si="55"/>
        <v>0</v>
      </c>
      <c r="CB42" s="33"/>
      <c r="CC42" s="37" t="str">
        <f t="shared" si="12"/>
        <v/>
      </c>
      <c r="CD42" s="36">
        <f>'[1]STA MARIA'!$O42</f>
        <v>0</v>
      </c>
      <c r="CE42" s="31">
        <f t="shared" si="56"/>
        <v>0</v>
      </c>
      <c r="CF42" s="31">
        <f t="shared" si="57"/>
        <v>0</v>
      </c>
      <c r="CG42" s="31">
        <f t="shared" si="58"/>
        <v>0</v>
      </c>
      <c r="CH42" s="31">
        <f t="shared" si="59"/>
        <v>0</v>
      </c>
      <c r="CI42" s="33"/>
      <c r="CJ42" s="37" t="str">
        <f t="shared" si="13"/>
        <v/>
      </c>
      <c r="CK42" s="36">
        <f>'[1]STA MARIA'!$P42</f>
        <v>0</v>
      </c>
      <c r="CL42" s="31">
        <f t="shared" si="60"/>
        <v>0</v>
      </c>
      <c r="CM42" s="31">
        <f t="shared" si="61"/>
        <v>0</v>
      </c>
      <c r="CN42" s="31">
        <f t="shared" si="62"/>
        <v>0</v>
      </c>
      <c r="CO42" s="31">
        <f t="shared" si="63"/>
        <v>0</v>
      </c>
      <c r="CP42" s="33"/>
      <c r="CQ42" s="37" t="str">
        <f t="shared" si="14"/>
        <v/>
      </c>
    </row>
    <row r="43" spans="1:95" s="26" customFormat="1" ht="16" customHeight="1" x14ac:dyDescent="0.2">
      <c r="A43" s="38" t="s">
        <v>67</v>
      </c>
      <c r="B43" s="30">
        <f t="shared" si="64"/>
        <v>93186</v>
      </c>
      <c r="C43" s="31">
        <f t="shared" si="64"/>
        <v>81733.440599999987</v>
      </c>
      <c r="D43" s="32">
        <f t="shared" si="64"/>
        <v>11452.559400000004</v>
      </c>
      <c r="E43" s="30">
        <f t="shared" si="66"/>
        <v>31062</v>
      </c>
      <c r="F43" s="33">
        <f t="shared" si="66"/>
        <v>27244.480199999998</v>
      </c>
      <c r="G43" s="34">
        <f t="shared" si="66"/>
        <v>3817.5198</v>
      </c>
      <c r="H43" s="31">
        <f t="shared" si="65"/>
        <v>37551.116161999998</v>
      </c>
      <c r="I43" s="33">
        <f t="shared" si="65"/>
        <v>931.27383799999984</v>
      </c>
      <c r="J43" s="33">
        <f t="shared" si="65"/>
        <v>38482.39</v>
      </c>
      <c r="K43" s="37">
        <f t="shared" si="2"/>
        <v>0.23888964007468938</v>
      </c>
      <c r="L43" s="36">
        <f>'[1]STA MARIA'!$E43</f>
        <v>7765.5</v>
      </c>
      <c r="M43" s="31">
        <f t="shared" si="16"/>
        <v>6811.1200499999995</v>
      </c>
      <c r="N43" s="31">
        <f t="shared" si="17"/>
        <v>954.37995000000001</v>
      </c>
      <c r="O43" s="31">
        <f t="shared" si="18"/>
        <v>9119.1632559999998</v>
      </c>
      <c r="P43" s="31">
        <f t="shared" si="19"/>
        <v>226.15674399999997</v>
      </c>
      <c r="Q43" s="33">
        <f>9345.32</f>
        <v>9345.32</v>
      </c>
      <c r="R43" s="37">
        <f t="shared" si="3"/>
        <v>0.2034408602150537</v>
      </c>
      <c r="S43" s="36">
        <f>'[1]STA MARIA'!$F43</f>
        <v>7765.5</v>
      </c>
      <c r="T43" s="31">
        <f t="shared" si="20"/>
        <v>6811.1200499999995</v>
      </c>
      <c r="U43" s="31">
        <f t="shared" si="21"/>
        <v>954.37995000000001</v>
      </c>
      <c r="V43" s="31">
        <f t="shared" si="22"/>
        <v>11136.288225999999</v>
      </c>
      <c r="W43" s="31">
        <f t="shared" si="23"/>
        <v>276.18177399999996</v>
      </c>
      <c r="X43" s="33">
        <f>11412.47</f>
        <v>11412.47</v>
      </c>
      <c r="Y43" s="37">
        <f t="shared" si="4"/>
        <v>0.46963749919515796</v>
      </c>
      <c r="Z43" s="36">
        <f>'[1]STA MARIA'!$G43</f>
        <v>7765.5</v>
      </c>
      <c r="AA43" s="31">
        <f t="shared" si="24"/>
        <v>6811.1200499999995</v>
      </c>
      <c r="AB43" s="31">
        <f t="shared" si="25"/>
        <v>954.37995000000001</v>
      </c>
      <c r="AC43" s="31">
        <f t="shared" si="26"/>
        <v>8447.0810060000003</v>
      </c>
      <c r="AD43" s="31">
        <f t="shared" si="27"/>
        <v>209.48899399999999</v>
      </c>
      <c r="AE43" s="33">
        <f>8656.57</f>
        <v>8656.57</v>
      </c>
      <c r="AF43" s="37">
        <f t="shared" si="5"/>
        <v>0.11474727963427989</v>
      </c>
      <c r="AG43" s="36">
        <f>'[1]STA MARIA'!$H43</f>
        <v>7765.5</v>
      </c>
      <c r="AH43" s="31">
        <f t="shared" si="28"/>
        <v>6811.1200499999995</v>
      </c>
      <c r="AI43" s="31">
        <f t="shared" si="29"/>
        <v>954.37995000000001</v>
      </c>
      <c r="AJ43" s="31">
        <f t="shared" si="30"/>
        <v>8848.5836740000013</v>
      </c>
      <c r="AK43" s="31">
        <f t="shared" si="31"/>
        <v>219.446326</v>
      </c>
      <c r="AL43" s="33">
        <f>9068.03</f>
        <v>9068.0300000000007</v>
      </c>
      <c r="AM43" s="37">
        <f t="shared" si="6"/>
        <v>0.16773292125426575</v>
      </c>
      <c r="AN43" s="36">
        <f>'[1]STA MARIA'!$I43</f>
        <v>7765.5</v>
      </c>
      <c r="AO43" s="31">
        <f t="shared" si="32"/>
        <v>6811.1200499999995</v>
      </c>
      <c r="AP43" s="31">
        <f t="shared" si="33"/>
        <v>954.37995000000001</v>
      </c>
      <c r="AQ43" s="31">
        <f t="shared" si="34"/>
        <v>0</v>
      </c>
      <c r="AR43" s="31">
        <f t="shared" si="35"/>
        <v>0</v>
      </c>
      <c r="AS43" s="33"/>
      <c r="AT43" s="37">
        <f t="shared" si="7"/>
        <v>-1</v>
      </c>
      <c r="AU43" s="36">
        <f>'[1]STA MARIA'!$J43</f>
        <v>7765.5</v>
      </c>
      <c r="AV43" s="31">
        <f t="shared" si="36"/>
        <v>6811.1200499999995</v>
      </c>
      <c r="AW43" s="31">
        <f t="shared" si="37"/>
        <v>954.37995000000001</v>
      </c>
      <c r="AX43" s="31">
        <f t="shared" si="38"/>
        <v>0</v>
      </c>
      <c r="AY43" s="31">
        <f t="shared" si="39"/>
        <v>0</v>
      </c>
      <c r="AZ43" s="33"/>
      <c r="BA43" s="37">
        <f t="shared" si="8"/>
        <v>-1</v>
      </c>
      <c r="BB43" s="36">
        <f>'[1]STA MARIA'!$K43</f>
        <v>7765.5</v>
      </c>
      <c r="BC43" s="31">
        <f t="shared" si="40"/>
        <v>6811.1200499999995</v>
      </c>
      <c r="BD43" s="31">
        <f t="shared" si="41"/>
        <v>954.37995000000001</v>
      </c>
      <c r="BE43" s="31">
        <f t="shared" si="42"/>
        <v>0</v>
      </c>
      <c r="BF43" s="31">
        <f t="shared" si="43"/>
        <v>0</v>
      </c>
      <c r="BG43" s="33"/>
      <c r="BH43" s="37">
        <f t="shared" si="9"/>
        <v>-1</v>
      </c>
      <c r="BI43" s="36">
        <f>'[1]STA MARIA'!$L43</f>
        <v>7765.5</v>
      </c>
      <c r="BJ43" s="31">
        <f t="shared" si="44"/>
        <v>6811.1200499999995</v>
      </c>
      <c r="BK43" s="31">
        <f t="shared" si="45"/>
        <v>954.37995000000001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'[1]STA MARIA'!$M43</f>
        <v>7765.5</v>
      </c>
      <c r="BQ43" s="31">
        <f t="shared" si="48"/>
        <v>6811.1200499999995</v>
      </c>
      <c r="BR43" s="31">
        <f t="shared" si="49"/>
        <v>954.37995000000001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'[1]STA MARIA'!$N43</f>
        <v>7765.5</v>
      </c>
      <c r="BX43" s="31">
        <f t="shared" si="52"/>
        <v>6811.1200499999995</v>
      </c>
      <c r="BY43" s="31">
        <f t="shared" si="53"/>
        <v>954.37995000000001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'[1]STA MARIA'!$O43</f>
        <v>7765.5</v>
      </c>
      <c r="CE43" s="31">
        <f t="shared" si="56"/>
        <v>6811.1200499999995</v>
      </c>
      <c r="CF43" s="31">
        <f t="shared" si="57"/>
        <v>954.37995000000001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'[1]STA MARIA'!$P43</f>
        <v>7765.5</v>
      </c>
      <c r="CL43" s="31">
        <f t="shared" si="60"/>
        <v>6811.1200499999995</v>
      </c>
      <c r="CM43" s="31">
        <f t="shared" si="61"/>
        <v>954.37995000000001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'[1]STA MARIA'!$E44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'[1]STA MARIA'!$F44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'[1]STA MARIA'!$G44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33"/>
      <c r="AF44" s="37" t="str">
        <f t="shared" si="5"/>
        <v/>
      </c>
      <c r="AG44" s="36">
        <f>'[1]STA MARIA'!$H44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33"/>
      <c r="AM44" s="37" t="str">
        <f t="shared" si="6"/>
        <v/>
      </c>
      <c r="AN44" s="36">
        <f>'[1]STA MARIA'!$I44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7"/>
        <v/>
      </c>
      <c r="AU44" s="36">
        <f>'[1]STA MARIA'!$J44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27"/>
      <c r="BA44" s="37" t="str">
        <f t="shared" si="8"/>
        <v/>
      </c>
      <c r="BB44" s="36">
        <f>'[1]STA MARIA'!$K44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33"/>
      <c r="BH44" s="37" t="str">
        <f t="shared" si="9"/>
        <v/>
      </c>
      <c r="BI44" s="36">
        <f>'[1]STA MARIA'!$L44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'[1]STA MARIA'!$M44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'[1]STA MARIA'!$N44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'[1]STA MARIA'!$O44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'[1]STA MARIA'!$P44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'[1]STA MARIA'!$E45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'[1]STA MARIA'!$F45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'[1]STA MARIA'!$G45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33"/>
      <c r="AF45" s="37" t="str">
        <f t="shared" si="5"/>
        <v/>
      </c>
      <c r="AG45" s="36">
        <f>'[1]STA MARIA'!$H45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33"/>
      <c r="AM45" s="37" t="str">
        <f t="shared" si="6"/>
        <v/>
      </c>
      <c r="AN45" s="36">
        <f>'[1]STA MARIA'!$I45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7"/>
        <v/>
      </c>
      <c r="AU45" s="36">
        <f>'[1]STA MARIA'!$J45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27"/>
      <c r="BA45" s="37" t="str">
        <f t="shared" si="8"/>
        <v/>
      </c>
      <c r="BB45" s="36">
        <f>'[1]STA MARIA'!$K45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33"/>
      <c r="BH45" s="37" t="str">
        <f t="shared" si="9"/>
        <v/>
      </c>
      <c r="BI45" s="36">
        <f>'[1]STA MARIA'!$L45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'[1]STA MARIA'!$M45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'[1]STA MARIA'!$N45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'[1]STA MARIA'!$O45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'[1]STA MARIA'!$P45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'[1]STA MARIA'!$E46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'[1]STA MARIA'!$F46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'[1]STA MARIA'!$G46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33"/>
      <c r="AF46" s="37" t="str">
        <f t="shared" si="5"/>
        <v/>
      </c>
      <c r="AG46" s="36">
        <f>'[1]STA MARIA'!$H46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33"/>
      <c r="AM46" s="37" t="str">
        <f t="shared" si="6"/>
        <v/>
      </c>
      <c r="AN46" s="36">
        <f>'[1]STA MARIA'!$I46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7"/>
        <v/>
      </c>
      <c r="AU46" s="36">
        <f>'[1]STA MARIA'!$J46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27"/>
      <c r="BA46" s="37" t="str">
        <f t="shared" si="8"/>
        <v/>
      </c>
      <c r="BB46" s="36">
        <f>'[1]STA MARIA'!$K46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33"/>
      <c r="BH46" s="37" t="str">
        <f t="shared" si="9"/>
        <v/>
      </c>
      <c r="BI46" s="36">
        <f>'[1]STA MARIA'!$L46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'[1]STA MARIA'!$M46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'[1]STA MARIA'!$N46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'[1]STA MARIA'!$O46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'[1]STA MARIA'!$P46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'[1]STA MARIA'!$E47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'[1]STA MARIA'!$F47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'[1]STA MARIA'!$G47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33"/>
      <c r="AF47" s="37" t="str">
        <f t="shared" si="5"/>
        <v/>
      </c>
      <c r="AG47" s="36">
        <f>'[1]STA MARIA'!$H47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33"/>
      <c r="AM47" s="37" t="str">
        <f t="shared" si="6"/>
        <v/>
      </c>
      <c r="AN47" s="36">
        <f>'[1]STA MARIA'!$I47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7"/>
        <v/>
      </c>
      <c r="AU47" s="36">
        <f>'[1]STA MARIA'!$J47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27"/>
      <c r="BA47" s="37" t="str">
        <f t="shared" si="8"/>
        <v/>
      </c>
      <c r="BB47" s="36">
        <f>'[1]STA MARIA'!$K47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33"/>
      <c r="BH47" s="37" t="str">
        <f t="shared" si="9"/>
        <v/>
      </c>
      <c r="BI47" s="36">
        <f>'[1]STA MARIA'!$L47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'[1]STA MARIA'!$M47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'[1]STA MARIA'!$N47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'[1]STA MARIA'!$O47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'[1]STA MARIA'!$P47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49999.999999999993</v>
      </c>
      <c r="C48" s="31">
        <f t="shared" si="64"/>
        <v>43855.000000000007</v>
      </c>
      <c r="D48" s="32">
        <f t="shared" si="64"/>
        <v>6144.9999999999991</v>
      </c>
      <c r="E48" s="30">
        <f t="shared" si="66"/>
        <v>16666.666666666668</v>
      </c>
      <c r="F48" s="33">
        <f t="shared" si="66"/>
        <v>14618.333333333334</v>
      </c>
      <c r="G48" s="34">
        <f t="shared" si="66"/>
        <v>2048.3333333333335</v>
      </c>
      <c r="H48" s="31">
        <f t="shared" si="65"/>
        <v>12061.561301999998</v>
      </c>
      <c r="I48" s="33">
        <f t="shared" si="65"/>
        <v>299.12869799999999</v>
      </c>
      <c r="J48" s="33">
        <f t="shared" si="65"/>
        <v>12360.69</v>
      </c>
      <c r="K48" s="37">
        <f t="shared" si="2"/>
        <v>-0.25835859999999999</v>
      </c>
      <c r="L48" s="36">
        <f>'[1]STA MARIA'!$E48</f>
        <v>4166.666666666667</v>
      </c>
      <c r="M48" s="31">
        <f t="shared" si="16"/>
        <v>3654.5833333333335</v>
      </c>
      <c r="N48" s="31">
        <f t="shared" si="17"/>
        <v>512.08333333333337</v>
      </c>
      <c r="O48" s="31">
        <f t="shared" si="18"/>
        <v>3472.4818799999998</v>
      </c>
      <c r="P48" s="31">
        <f t="shared" si="19"/>
        <v>86.11811999999999</v>
      </c>
      <c r="Q48" s="33">
        <f>3558.6</f>
        <v>3558.6</v>
      </c>
      <c r="R48" s="37">
        <f t="shared" si="3"/>
        <v>-0.14593600000000007</v>
      </c>
      <c r="S48" s="36">
        <f>'[1]STA MARIA'!$F48</f>
        <v>4166.666666666667</v>
      </c>
      <c r="T48" s="31">
        <f t="shared" si="20"/>
        <v>3654.5833333333335</v>
      </c>
      <c r="U48" s="31">
        <f t="shared" si="21"/>
        <v>512.08333333333337</v>
      </c>
      <c r="V48" s="31">
        <f t="shared" si="22"/>
        <v>3701.9412499999999</v>
      </c>
      <c r="W48" s="31">
        <f t="shared" si="23"/>
        <v>91.808750000000003</v>
      </c>
      <c r="X48" s="33">
        <f>3793.75</f>
        <v>3793.75</v>
      </c>
      <c r="Y48" s="37">
        <f t="shared" si="4"/>
        <v>-8.9500000000000024E-2</v>
      </c>
      <c r="Z48" s="36">
        <f>'[1]STA MARIA'!$G48</f>
        <v>4166.666666666667</v>
      </c>
      <c r="AA48" s="31">
        <f t="shared" si="24"/>
        <v>3654.5833333333335</v>
      </c>
      <c r="AB48" s="31">
        <f t="shared" si="25"/>
        <v>512.08333333333337</v>
      </c>
      <c r="AC48" s="31">
        <f t="shared" si="26"/>
        <v>2093.247128</v>
      </c>
      <c r="AD48" s="31">
        <f t="shared" si="27"/>
        <v>51.912871999999993</v>
      </c>
      <c r="AE48" s="33">
        <f>2145.16</f>
        <v>2145.16</v>
      </c>
      <c r="AF48" s="37">
        <f t="shared" si="5"/>
        <v>-0.48516160000000008</v>
      </c>
      <c r="AG48" s="36">
        <f>'[1]STA MARIA'!$H48</f>
        <v>4166.666666666667</v>
      </c>
      <c r="AH48" s="31">
        <f t="shared" si="28"/>
        <v>3654.5833333333335</v>
      </c>
      <c r="AI48" s="31">
        <f t="shared" si="29"/>
        <v>512.08333333333337</v>
      </c>
      <c r="AJ48" s="31">
        <f t="shared" si="30"/>
        <v>2793.891044</v>
      </c>
      <c r="AK48" s="31">
        <f t="shared" si="31"/>
        <v>69.288955999999999</v>
      </c>
      <c r="AL48" s="33">
        <f>2863.18</f>
        <v>2863.18</v>
      </c>
      <c r="AM48" s="37">
        <f t="shared" si="6"/>
        <v>-0.31283680000000014</v>
      </c>
      <c r="AN48" s="36">
        <f>'[1]STA MARIA'!$I48</f>
        <v>4166.666666666667</v>
      </c>
      <c r="AO48" s="31">
        <f t="shared" si="32"/>
        <v>3654.5833333333335</v>
      </c>
      <c r="AP48" s="31">
        <f t="shared" si="33"/>
        <v>512.08333333333337</v>
      </c>
      <c r="AQ48" s="31">
        <f t="shared" si="34"/>
        <v>0</v>
      </c>
      <c r="AR48" s="31">
        <f t="shared" si="35"/>
        <v>0</v>
      </c>
      <c r="AS48" s="33"/>
      <c r="AT48" s="37">
        <f t="shared" si="7"/>
        <v>-1</v>
      </c>
      <c r="AU48" s="36">
        <f>'[1]STA MARIA'!$J48</f>
        <v>4166.666666666667</v>
      </c>
      <c r="AV48" s="31">
        <f t="shared" si="36"/>
        <v>3654.5833333333335</v>
      </c>
      <c r="AW48" s="31">
        <f t="shared" si="37"/>
        <v>512.08333333333337</v>
      </c>
      <c r="AX48" s="31">
        <f t="shared" si="38"/>
        <v>0</v>
      </c>
      <c r="AY48" s="31">
        <f t="shared" si="39"/>
        <v>0</v>
      </c>
      <c r="AZ48" s="33"/>
      <c r="BA48" s="37">
        <f t="shared" si="8"/>
        <v>-1</v>
      </c>
      <c r="BB48" s="36">
        <f>'[1]STA MARIA'!$K48</f>
        <v>4166.666666666667</v>
      </c>
      <c r="BC48" s="31">
        <f t="shared" si="40"/>
        <v>3654.5833333333335</v>
      </c>
      <c r="BD48" s="31">
        <f t="shared" si="41"/>
        <v>512.08333333333337</v>
      </c>
      <c r="BE48" s="31">
        <f t="shared" si="42"/>
        <v>0</v>
      </c>
      <c r="BF48" s="31">
        <f t="shared" si="43"/>
        <v>0</v>
      </c>
      <c r="BG48" s="33"/>
      <c r="BH48" s="37">
        <f t="shared" si="9"/>
        <v>-1</v>
      </c>
      <c r="BI48" s="36">
        <f>'[1]STA MARIA'!$L48</f>
        <v>4166.666666666667</v>
      </c>
      <c r="BJ48" s="31">
        <f t="shared" si="44"/>
        <v>3654.5833333333335</v>
      </c>
      <c r="BK48" s="31">
        <f t="shared" si="45"/>
        <v>512.08333333333337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'[1]STA MARIA'!$M48</f>
        <v>4166.666666666667</v>
      </c>
      <c r="BQ48" s="31">
        <f t="shared" si="48"/>
        <v>3654.5833333333335</v>
      </c>
      <c r="BR48" s="31">
        <f t="shared" si="49"/>
        <v>512.08333333333337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'[1]STA MARIA'!$N48</f>
        <v>4166.666666666667</v>
      </c>
      <c r="BX48" s="31">
        <f t="shared" si="52"/>
        <v>3654.5833333333335</v>
      </c>
      <c r="BY48" s="31">
        <f t="shared" si="53"/>
        <v>512.08333333333337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'[1]STA MARIA'!$O48</f>
        <v>4166.666666666667</v>
      </c>
      <c r="CE48" s="31">
        <f t="shared" si="56"/>
        <v>3654.5833333333335</v>
      </c>
      <c r="CF48" s="31">
        <f t="shared" si="57"/>
        <v>512.08333333333337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'[1]STA MARIA'!$P48</f>
        <v>4166.666666666667</v>
      </c>
      <c r="CL48" s="31">
        <f t="shared" si="60"/>
        <v>3654.5833333333335</v>
      </c>
      <c r="CM48" s="31">
        <f t="shared" si="61"/>
        <v>512.08333333333337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104000.00000000001</v>
      </c>
      <c r="C49" s="31">
        <f t="shared" si="64"/>
        <v>91218.399999999965</v>
      </c>
      <c r="D49" s="32">
        <f t="shared" si="64"/>
        <v>12781.599999999999</v>
      </c>
      <c r="E49" s="30">
        <f t="shared" si="66"/>
        <v>34666.666666666664</v>
      </c>
      <c r="F49" s="33">
        <f t="shared" si="66"/>
        <v>30406.133333333331</v>
      </c>
      <c r="G49" s="34">
        <f t="shared" si="66"/>
        <v>4260.5333333333328</v>
      </c>
      <c r="H49" s="31">
        <f t="shared" si="65"/>
        <v>45398.577825999993</v>
      </c>
      <c r="I49" s="33">
        <f t="shared" si="65"/>
        <v>1125.8921740000001</v>
      </c>
      <c r="J49" s="33">
        <f t="shared" si="65"/>
        <v>46524.469999999994</v>
      </c>
      <c r="K49" s="37">
        <f t="shared" si="2"/>
        <v>0.34205201923076922</v>
      </c>
      <c r="L49" s="36">
        <f>'[1]STA MARIA'!$E49</f>
        <v>8666.6666666666661</v>
      </c>
      <c r="M49" s="31">
        <f t="shared" si="16"/>
        <v>7601.5333333333328</v>
      </c>
      <c r="N49" s="31">
        <f t="shared" si="17"/>
        <v>1065.1333333333332</v>
      </c>
      <c r="O49" s="31">
        <f t="shared" si="18"/>
        <v>15970.645376</v>
      </c>
      <c r="P49" s="31">
        <f t="shared" si="19"/>
        <v>396.07462400000003</v>
      </c>
      <c r="Q49" s="33">
        <f>R82</f>
        <v>16366.720000000001</v>
      </c>
      <c r="R49" s="37">
        <f t="shared" si="3"/>
        <v>0.88846769230769262</v>
      </c>
      <c r="S49" s="36">
        <f>'[1]STA MARIA'!$F49</f>
        <v>8666.6666666666661</v>
      </c>
      <c r="T49" s="31">
        <f t="shared" si="20"/>
        <v>7601.5333333333328</v>
      </c>
      <c r="U49" s="31">
        <f t="shared" si="21"/>
        <v>1065.1333333333332</v>
      </c>
      <c r="V49" s="31">
        <f t="shared" si="22"/>
        <v>9926.4816279999977</v>
      </c>
      <c r="W49" s="31">
        <f t="shared" si="23"/>
        <v>246.17837199999994</v>
      </c>
      <c r="X49" s="33">
        <f>Y82</f>
        <v>10172.659999999998</v>
      </c>
      <c r="Y49" s="37">
        <f t="shared" si="4"/>
        <v>0.17376846153846137</v>
      </c>
      <c r="Z49" s="36">
        <f>'[1]STA MARIA'!$G49</f>
        <v>8666.6666666666661</v>
      </c>
      <c r="AA49" s="31">
        <f t="shared" si="24"/>
        <v>7601.5333333333328</v>
      </c>
      <c r="AB49" s="31">
        <f t="shared" si="25"/>
        <v>1065.1333333333332</v>
      </c>
      <c r="AC49" s="31">
        <f t="shared" si="26"/>
        <v>8212.7426360000009</v>
      </c>
      <c r="AD49" s="31">
        <f t="shared" si="27"/>
        <v>203.67736399999998</v>
      </c>
      <c r="AE49" s="33">
        <f>AF82</f>
        <v>8416.42</v>
      </c>
      <c r="AF49" s="37">
        <f t="shared" si="5"/>
        <v>-2.8874615384615332E-2</v>
      </c>
      <c r="AG49" s="36">
        <f>'[1]STA MARIA'!$H49</f>
        <v>8666.6666666666661</v>
      </c>
      <c r="AH49" s="31">
        <f t="shared" si="28"/>
        <v>7601.5333333333328</v>
      </c>
      <c r="AI49" s="31">
        <f t="shared" si="29"/>
        <v>1065.1333333333332</v>
      </c>
      <c r="AJ49" s="31">
        <f t="shared" si="30"/>
        <v>11288.708186</v>
      </c>
      <c r="AK49" s="31">
        <f t="shared" si="31"/>
        <v>279.961814</v>
      </c>
      <c r="AL49" s="33">
        <f>AM82</f>
        <v>11568.67</v>
      </c>
      <c r="AM49" s="37">
        <f t="shared" si="6"/>
        <v>0.33484653846153867</v>
      </c>
      <c r="AN49" s="36">
        <f>'[1]STA MARIA'!$I49</f>
        <v>8666.6666666666661</v>
      </c>
      <c r="AO49" s="31">
        <f t="shared" si="32"/>
        <v>7601.5333333333328</v>
      </c>
      <c r="AP49" s="31">
        <f t="shared" si="33"/>
        <v>1065.1333333333332</v>
      </c>
      <c r="AQ49" s="31">
        <f t="shared" si="34"/>
        <v>0</v>
      </c>
      <c r="AR49" s="31">
        <f t="shared" si="35"/>
        <v>0</v>
      </c>
      <c r="AS49" s="33"/>
      <c r="AT49" s="37">
        <f t="shared" si="7"/>
        <v>-1</v>
      </c>
      <c r="AU49" s="36">
        <f>'[1]STA MARIA'!$J49</f>
        <v>8666.6666666666661</v>
      </c>
      <c r="AV49" s="31">
        <f t="shared" si="36"/>
        <v>7601.5333333333328</v>
      </c>
      <c r="AW49" s="31">
        <f t="shared" si="37"/>
        <v>1065.1333333333332</v>
      </c>
      <c r="AX49" s="31">
        <f t="shared" si="38"/>
        <v>0</v>
      </c>
      <c r="AY49" s="31">
        <f t="shared" si="39"/>
        <v>0</v>
      </c>
      <c r="AZ49" s="33"/>
      <c r="BA49" s="37">
        <f t="shared" si="8"/>
        <v>-1</v>
      </c>
      <c r="BB49" s="36">
        <f>'[1]STA MARIA'!$K49</f>
        <v>8666.6666666666661</v>
      </c>
      <c r="BC49" s="31">
        <f t="shared" si="40"/>
        <v>7601.5333333333328</v>
      </c>
      <c r="BD49" s="31">
        <f t="shared" si="41"/>
        <v>1065.1333333333332</v>
      </c>
      <c r="BE49" s="31">
        <f t="shared" si="42"/>
        <v>0</v>
      </c>
      <c r="BF49" s="31">
        <f t="shared" si="43"/>
        <v>0</v>
      </c>
      <c r="BG49" s="33"/>
      <c r="BH49" s="37">
        <f t="shared" si="9"/>
        <v>-1</v>
      </c>
      <c r="BI49" s="36">
        <f>'[1]STA MARIA'!$L49</f>
        <v>8666.6666666666661</v>
      </c>
      <c r="BJ49" s="31">
        <f t="shared" si="44"/>
        <v>7601.5333333333328</v>
      </c>
      <c r="BK49" s="31">
        <f t="shared" si="45"/>
        <v>1065.1333333333332</v>
      </c>
      <c r="BL49" s="31">
        <f t="shared" si="46"/>
        <v>0</v>
      </c>
      <c r="BM49" s="31">
        <f t="shared" si="47"/>
        <v>0</v>
      </c>
      <c r="BN49" s="33"/>
      <c r="BO49" s="37">
        <f t="shared" si="10"/>
        <v>-1</v>
      </c>
      <c r="BP49" s="36">
        <f>'[1]STA MARIA'!$M49</f>
        <v>8666.6666666666661</v>
      </c>
      <c r="BQ49" s="31">
        <f t="shared" si="48"/>
        <v>7601.5333333333328</v>
      </c>
      <c r="BR49" s="31">
        <f t="shared" si="49"/>
        <v>1065.1333333333332</v>
      </c>
      <c r="BS49" s="31">
        <f t="shared" si="50"/>
        <v>0</v>
      </c>
      <c r="BT49" s="31">
        <f t="shared" si="51"/>
        <v>0</v>
      </c>
      <c r="BU49" s="33"/>
      <c r="BV49" s="37">
        <f t="shared" si="11"/>
        <v>-1</v>
      </c>
      <c r="BW49" s="36">
        <f>'[1]STA MARIA'!$N49</f>
        <v>8666.6666666666661</v>
      </c>
      <c r="BX49" s="31">
        <f t="shared" si="52"/>
        <v>7601.5333333333328</v>
      </c>
      <c r="BY49" s="31">
        <f t="shared" si="53"/>
        <v>1065.1333333333332</v>
      </c>
      <c r="BZ49" s="31">
        <f t="shared" si="54"/>
        <v>0</v>
      </c>
      <c r="CA49" s="31">
        <f t="shared" si="55"/>
        <v>0</v>
      </c>
      <c r="CB49" s="33"/>
      <c r="CC49" s="37">
        <f t="shared" si="12"/>
        <v>-1</v>
      </c>
      <c r="CD49" s="36">
        <f>'[1]STA MARIA'!$O49</f>
        <v>8666.6666666666661</v>
      </c>
      <c r="CE49" s="31">
        <f t="shared" si="56"/>
        <v>7601.5333333333328</v>
      </c>
      <c r="CF49" s="31">
        <f t="shared" si="57"/>
        <v>1065.1333333333332</v>
      </c>
      <c r="CG49" s="31">
        <f t="shared" si="58"/>
        <v>0</v>
      </c>
      <c r="CH49" s="31">
        <f t="shared" si="59"/>
        <v>0</v>
      </c>
      <c r="CI49" s="33"/>
      <c r="CJ49" s="37">
        <f t="shared" si="13"/>
        <v>-1</v>
      </c>
      <c r="CK49" s="36">
        <f>'[1]STA MARIA'!$P49</f>
        <v>8666.6666666666661</v>
      </c>
      <c r="CL49" s="31">
        <f t="shared" si="60"/>
        <v>7601.5333333333328</v>
      </c>
      <c r="CM49" s="31">
        <f t="shared" si="61"/>
        <v>1065.1333333333332</v>
      </c>
      <c r="CN49" s="31">
        <f t="shared" si="62"/>
        <v>0</v>
      </c>
      <c r="CO49" s="31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11087.600000000004</v>
      </c>
      <c r="C50" s="31">
        <f t="shared" si="64"/>
        <v>9724.9339600000003</v>
      </c>
      <c r="D50" s="32">
        <f t="shared" si="64"/>
        <v>1362.6660400000001</v>
      </c>
      <c r="E50" s="30">
        <f t="shared" si="66"/>
        <v>3695.8666666666672</v>
      </c>
      <c r="F50" s="33">
        <f t="shared" si="66"/>
        <v>3241.6446533333337</v>
      </c>
      <c r="G50" s="34">
        <f t="shared" si="66"/>
        <v>454.22201333333339</v>
      </c>
      <c r="H50" s="31">
        <f t="shared" si="65"/>
        <v>4337.4993060000006</v>
      </c>
      <c r="I50" s="33">
        <f t="shared" si="65"/>
        <v>107.570694</v>
      </c>
      <c r="J50" s="33">
        <f t="shared" si="65"/>
        <v>4445.07</v>
      </c>
      <c r="K50" s="37">
        <f t="shared" si="2"/>
        <v>0.20271384249071001</v>
      </c>
      <c r="L50" s="36">
        <f>'[1]STA MARIA'!$E50</f>
        <v>923.96666666666681</v>
      </c>
      <c r="M50" s="28">
        <f t="shared" si="16"/>
        <v>810.41116333333343</v>
      </c>
      <c r="N50" s="28">
        <f t="shared" si="17"/>
        <v>113.55550333333335</v>
      </c>
      <c r="O50" s="28">
        <f t="shared" si="18"/>
        <v>842.905798</v>
      </c>
      <c r="P50" s="28">
        <f t="shared" si="19"/>
        <v>20.904201999999998</v>
      </c>
      <c r="Q50" s="151">
        <f>863.81</f>
        <v>863.81</v>
      </c>
      <c r="R50" s="37">
        <f t="shared" si="3"/>
        <v>-6.5106966340777284E-2</v>
      </c>
      <c r="S50" s="36">
        <f>'[1]STA MARIA'!$F50</f>
        <v>923.96666666666681</v>
      </c>
      <c r="T50" s="28">
        <f t="shared" si="20"/>
        <v>810.41116333333343</v>
      </c>
      <c r="U50" s="28">
        <f t="shared" si="21"/>
        <v>113.55550333333335</v>
      </c>
      <c r="V50" s="28">
        <f t="shared" si="22"/>
        <v>976.12201400000004</v>
      </c>
      <c r="W50" s="28">
        <f t="shared" si="23"/>
        <v>24.207986000000002</v>
      </c>
      <c r="X50" s="151">
        <f>1000.33</f>
        <v>1000.33</v>
      </c>
      <c r="Y50" s="37">
        <f t="shared" si="4"/>
        <v>8.2647281647966864E-2</v>
      </c>
      <c r="Z50" s="36">
        <f>'[1]STA MARIA'!$G50</f>
        <v>923.96666666666681</v>
      </c>
      <c r="AA50" s="28">
        <f t="shared" si="24"/>
        <v>810.41116333333343</v>
      </c>
      <c r="AB50" s="28">
        <f t="shared" si="25"/>
        <v>113.55550333333335</v>
      </c>
      <c r="AC50" s="28">
        <f t="shared" si="26"/>
        <v>1721.301442</v>
      </c>
      <c r="AD50" s="28">
        <f t="shared" si="27"/>
        <v>42.688558</v>
      </c>
      <c r="AE50" s="151">
        <f>1763.99</f>
        <v>1763.99</v>
      </c>
      <c r="AF50" s="37">
        <f t="shared" si="5"/>
        <v>0.90914895919766203</v>
      </c>
      <c r="AG50" s="36">
        <f>'[1]STA MARIA'!$H50</f>
        <v>923.96666666666681</v>
      </c>
      <c r="AH50" s="28">
        <f t="shared" si="28"/>
        <v>810.41116333333343</v>
      </c>
      <c r="AI50" s="28">
        <f t="shared" si="29"/>
        <v>113.55550333333335</v>
      </c>
      <c r="AJ50" s="28">
        <f t="shared" si="30"/>
        <v>797.17005200000006</v>
      </c>
      <c r="AK50" s="28">
        <f t="shared" si="31"/>
        <v>19.769947999999999</v>
      </c>
      <c r="AL50" s="151">
        <f>816.94</f>
        <v>816.94</v>
      </c>
      <c r="AM50" s="37">
        <f t="shared" si="6"/>
        <v>-0.11583390454201092</v>
      </c>
      <c r="AN50" s="36">
        <f>'[1]STA MARIA'!$I50</f>
        <v>923.96666666666681</v>
      </c>
      <c r="AO50" s="28">
        <f t="shared" si="32"/>
        <v>810.41116333333343</v>
      </c>
      <c r="AP50" s="28">
        <f t="shared" si="33"/>
        <v>113.55550333333335</v>
      </c>
      <c r="AQ50" s="28">
        <f t="shared" si="34"/>
        <v>0</v>
      </c>
      <c r="AR50" s="28">
        <f t="shared" si="35"/>
        <v>0</v>
      </c>
      <c r="AS50" s="151"/>
      <c r="AT50" s="37">
        <f t="shared" si="7"/>
        <v>-1</v>
      </c>
      <c r="AU50" s="36">
        <f>'[1]STA MARIA'!$J50</f>
        <v>923.96666666666681</v>
      </c>
      <c r="AV50" s="28">
        <f t="shared" si="36"/>
        <v>810.41116333333343</v>
      </c>
      <c r="AW50" s="28">
        <f t="shared" si="37"/>
        <v>113.55550333333335</v>
      </c>
      <c r="AX50" s="28">
        <f t="shared" si="38"/>
        <v>0</v>
      </c>
      <c r="AY50" s="28">
        <f t="shared" si="39"/>
        <v>0</v>
      </c>
      <c r="AZ50" s="151"/>
      <c r="BA50" s="37">
        <f t="shared" si="8"/>
        <v>-1</v>
      </c>
      <c r="BB50" s="36">
        <f>'[1]STA MARIA'!$K50</f>
        <v>923.96666666666681</v>
      </c>
      <c r="BC50" s="28">
        <f t="shared" si="40"/>
        <v>810.41116333333343</v>
      </c>
      <c r="BD50" s="28">
        <f t="shared" si="41"/>
        <v>113.55550333333335</v>
      </c>
      <c r="BE50" s="28">
        <f t="shared" si="42"/>
        <v>0</v>
      </c>
      <c r="BF50" s="28">
        <f t="shared" si="43"/>
        <v>0</v>
      </c>
      <c r="BG50" s="151"/>
      <c r="BH50" s="37">
        <f t="shared" si="9"/>
        <v>-1</v>
      </c>
      <c r="BI50" s="36">
        <f>'[1]STA MARIA'!$L50</f>
        <v>923.96666666666681</v>
      </c>
      <c r="BJ50" s="28">
        <f t="shared" si="44"/>
        <v>810.41116333333343</v>
      </c>
      <c r="BK50" s="28">
        <f t="shared" si="45"/>
        <v>113.55550333333335</v>
      </c>
      <c r="BL50" s="28">
        <f t="shared" si="46"/>
        <v>0</v>
      </c>
      <c r="BM50" s="28">
        <f t="shared" si="47"/>
        <v>0</v>
      </c>
      <c r="BN50" s="151"/>
      <c r="BO50" s="37">
        <f t="shared" si="10"/>
        <v>-1</v>
      </c>
      <c r="BP50" s="36">
        <f>'[1]STA MARIA'!$M50</f>
        <v>923.96666666666681</v>
      </c>
      <c r="BQ50" s="28">
        <f t="shared" si="48"/>
        <v>810.41116333333343</v>
      </c>
      <c r="BR50" s="28">
        <f t="shared" si="49"/>
        <v>113.55550333333335</v>
      </c>
      <c r="BS50" s="28">
        <f t="shared" si="50"/>
        <v>0</v>
      </c>
      <c r="BT50" s="28">
        <f t="shared" si="51"/>
        <v>0</v>
      </c>
      <c r="BU50" s="151"/>
      <c r="BV50" s="37">
        <f t="shared" si="11"/>
        <v>-1</v>
      </c>
      <c r="BW50" s="36">
        <f>'[1]STA MARIA'!$N50</f>
        <v>923.96666666666681</v>
      </c>
      <c r="BX50" s="28">
        <f t="shared" si="52"/>
        <v>810.41116333333343</v>
      </c>
      <c r="BY50" s="28">
        <f t="shared" si="53"/>
        <v>113.55550333333335</v>
      </c>
      <c r="BZ50" s="28">
        <f t="shared" si="54"/>
        <v>0</v>
      </c>
      <c r="CA50" s="28">
        <f t="shared" si="55"/>
        <v>0</v>
      </c>
      <c r="CB50" s="151"/>
      <c r="CC50" s="37">
        <f t="shared" si="12"/>
        <v>-1</v>
      </c>
      <c r="CD50" s="36">
        <f>'[1]STA MARIA'!$O50</f>
        <v>923.96666666666681</v>
      </c>
      <c r="CE50" s="28">
        <f t="shared" si="56"/>
        <v>810.41116333333343</v>
      </c>
      <c r="CF50" s="28">
        <f t="shared" si="57"/>
        <v>113.55550333333335</v>
      </c>
      <c r="CG50" s="28">
        <f t="shared" si="58"/>
        <v>0</v>
      </c>
      <c r="CH50" s="28">
        <f t="shared" si="59"/>
        <v>0</v>
      </c>
      <c r="CI50" s="151"/>
      <c r="CJ50" s="37">
        <f t="shared" si="13"/>
        <v>-1</v>
      </c>
      <c r="CK50" s="36">
        <f>'[1]STA MARIA'!$P50</f>
        <v>923.96666666666681</v>
      </c>
      <c r="CL50" s="28">
        <f t="shared" si="60"/>
        <v>810.41116333333343</v>
      </c>
      <c r="CM50" s="28">
        <f t="shared" si="61"/>
        <v>113.55550333333335</v>
      </c>
      <c r="CN50" s="28">
        <f t="shared" si="62"/>
        <v>0</v>
      </c>
      <c r="CO50" s="28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8333.5866000000005</v>
      </c>
      <c r="C51" s="31">
        <f t="shared" si="64"/>
        <v>7309.3888068600027</v>
      </c>
      <c r="D51" s="32">
        <f t="shared" si="64"/>
        <v>1024.1977931400004</v>
      </c>
      <c r="E51" s="30">
        <f t="shared" si="66"/>
        <v>2777.8622000000005</v>
      </c>
      <c r="F51" s="33">
        <f t="shared" si="66"/>
        <v>2436.4629356200003</v>
      </c>
      <c r="G51" s="34">
        <f t="shared" si="66"/>
        <v>341.39926438000003</v>
      </c>
      <c r="H51" s="31">
        <f t="shared" si="65"/>
        <v>2743.7251660000002</v>
      </c>
      <c r="I51" s="33">
        <f t="shared" si="65"/>
        <v>68.044834000000009</v>
      </c>
      <c r="J51" s="33">
        <f t="shared" si="65"/>
        <v>2811.7700000000004</v>
      </c>
      <c r="K51" s="37">
        <f t="shared" si="2"/>
        <v>1.220643702196611E-2</v>
      </c>
      <c r="L51" s="36">
        <f>'[1]STA MARIA'!$E51</f>
        <v>694.46555000000012</v>
      </c>
      <c r="M51" s="31">
        <f t="shared" si="16"/>
        <v>609.11573390500007</v>
      </c>
      <c r="N51" s="31">
        <f t="shared" si="17"/>
        <v>85.349816095000008</v>
      </c>
      <c r="O51" s="31">
        <f t="shared" si="18"/>
        <v>671.174756</v>
      </c>
      <c r="P51" s="31">
        <f t="shared" si="19"/>
        <v>16.645244000000002</v>
      </c>
      <c r="Q51" s="45">
        <f>687.82</f>
        <v>687.82</v>
      </c>
      <c r="R51" s="37">
        <f t="shared" si="3"/>
        <v>-9.5693011697989272E-3</v>
      </c>
      <c r="S51" s="36">
        <f>'[1]STA MARIA'!$F51</f>
        <v>694.46555000000012</v>
      </c>
      <c r="T51" s="31">
        <f t="shared" si="20"/>
        <v>609.11573390500007</v>
      </c>
      <c r="U51" s="31">
        <f t="shared" si="21"/>
        <v>85.349816095000008</v>
      </c>
      <c r="V51" s="31">
        <f t="shared" si="22"/>
        <v>653.70793600000002</v>
      </c>
      <c r="W51" s="31">
        <f t="shared" si="23"/>
        <v>16.212063999999998</v>
      </c>
      <c r="X51" s="45">
        <f>669.92</f>
        <v>669.92</v>
      </c>
      <c r="Y51" s="37">
        <f t="shared" si="4"/>
        <v>-3.5344517809414944E-2</v>
      </c>
      <c r="Z51" s="36">
        <f>'[1]STA MARIA'!$G51</f>
        <v>694.46555000000012</v>
      </c>
      <c r="AA51" s="31">
        <f t="shared" si="24"/>
        <v>609.11573390500007</v>
      </c>
      <c r="AB51" s="31">
        <f t="shared" si="25"/>
        <v>85.349816095000008</v>
      </c>
      <c r="AC51" s="31">
        <f t="shared" si="26"/>
        <v>608.00146400000006</v>
      </c>
      <c r="AD51" s="31">
        <f t="shared" si="27"/>
        <v>15.078536</v>
      </c>
      <c r="AE51" s="45">
        <f>623.08</f>
        <v>623.08000000000004</v>
      </c>
      <c r="AF51" s="37">
        <f t="shared" si="5"/>
        <v>-0.10279206794347118</v>
      </c>
      <c r="AG51" s="36">
        <f>'[1]STA MARIA'!$H51</f>
        <v>694.46555000000012</v>
      </c>
      <c r="AH51" s="31">
        <f t="shared" si="28"/>
        <v>609.11573390500007</v>
      </c>
      <c r="AI51" s="31">
        <f t="shared" si="29"/>
        <v>85.349816095000008</v>
      </c>
      <c r="AJ51" s="31">
        <f t="shared" si="30"/>
        <v>810.8410100000001</v>
      </c>
      <c r="AK51" s="31">
        <f t="shared" si="31"/>
        <v>20.108990000000002</v>
      </c>
      <c r="AL51" s="45">
        <f>830.95</f>
        <v>830.95</v>
      </c>
      <c r="AM51" s="37">
        <f t="shared" si="6"/>
        <v>0.1965316350105486</v>
      </c>
      <c r="AN51" s="36">
        <f>'[1]STA MARIA'!$I51</f>
        <v>694.46555000000012</v>
      </c>
      <c r="AO51" s="31">
        <f t="shared" si="32"/>
        <v>609.11573390500007</v>
      </c>
      <c r="AP51" s="31">
        <f t="shared" si="33"/>
        <v>85.349816095000008</v>
      </c>
      <c r="AQ51" s="31">
        <f t="shared" si="34"/>
        <v>0</v>
      </c>
      <c r="AR51" s="31">
        <f t="shared" si="35"/>
        <v>0</v>
      </c>
      <c r="AS51" s="45"/>
      <c r="AT51" s="37">
        <f t="shared" si="7"/>
        <v>-1</v>
      </c>
      <c r="AU51" s="36">
        <f>'[1]STA MARIA'!$J51</f>
        <v>694.46555000000012</v>
      </c>
      <c r="AV51" s="31">
        <f t="shared" si="36"/>
        <v>609.11573390500007</v>
      </c>
      <c r="AW51" s="31">
        <f t="shared" si="37"/>
        <v>85.349816095000008</v>
      </c>
      <c r="AX51" s="31">
        <f t="shared" si="38"/>
        <v>0</v>
      </c>
      <c r="AY51" s="31">
        <f t="shared" si="39"/>
        <v>0</v>
      </c>
      <c r="AZ51" s="45"/>
      <c r="BA51" s="37">
        <f t="shared" si="8"/>
        <v>-1</v>
      </c>
      <c r="BB51" s="36">
        <f>'[1]STA MARIA'!$K51</f>
        <v>694.46555000000012</v>
      </c>
      <c r="BC51" s="31">
        <f t="shared" si="40"/>
        <v>609.11573390500007</v>
      </c>
      <c r="BD51" s="31">
        <f t="shared" si="41"/>
        <v>85.349816095000008</v>
      </c>
      <c r="BE51" s="31">
        <f t="shared" si="42"/>
        <v>0</v>
      </c>
      <c r="BF51" s="31">
        <f t="shared" si="43"/>
        <v>0</v>
      </c>
      <c r="BG51" s="45"/>
      <c r="BH51" s="37">
        <f t="shared" si="9"/>
        <v>-1</v>
      </c>
      <c r="BI51" s="36">
        <f>'[1]STA MARIA'!$L51</f>
        <v>694.46555000000012</v>
      </c>
      <c r="BJ51" s="31">
        <f t="shared" si="44"/>
        <v>609.11573390500007</v>
      </c>
      <c r="BK51" s="31">
        <f t="shared" si="45"/>
        <v>85.349816095000008</v>
      </c>
      <c r="BL51" s="31">
        <f t="shared" si="46"/>
        <v>0</v>
      </c>
      <c r="BM51" s="31">
        <f t="shared" si="47"/>
        <v>0</v>
      </c>
      <c r="BN51" s="45"/>
      <c r="BO51" s="37">
        <f t="shared" si="10"/>
        <v>-1</v>
      </c>
      <c r="BP51" s="36">
        <f>'[1]STA MARIA'!$M51</f>
        <v>694.46555000000012</v>
      </c>
      <c r="BQ51" s="31">
        <f t="shared" si="48"/>
        <v>609.11573390500007</v>
      </c>
      <c r="BR51" s="31">
        <f t="shared" si="49"/>
        <v>85.349816095000008</v>
      </c>
      <c r="BS51" s="31">
        <f t="shared" si="50"/>
        <v>0</v>
      </c>
      <c r="BT51" s="31">
        <f t="shared" si="51"/>
        <v>0</v>
      </c>
      <c r="BU51" s="45"/>
      <c r="BV51" s="37">
        <f t="shared" si="11"/>
        <v>-1</v>
      </c>
      <c r="BW51" s="36">
        <f>'[1]STA MARIA'!$N51</f>
        <v>694.46555000000012</v>
      </c>
      <c r="BX51" s="31">
        <f t="shared" si="52"/>
        <v>609.11573390500007</v>
      </c>
      <c r="BY51" s="31">
        <f t="shared" si="53"/>
        <v>85.349816095000008</v>
      </c>
      <c r="BZ51" s="31">
        <f t="shared" si="54"/>
        <v>0</v>
      </c>
      <c r="CA51" s="31">
        <f t="shared" si="55"/>
        <v>0</v>
      </c>
      <c r="CB51" s="45"/>
      <c r="CC51" s="37">
        <f t="shared" si="12"/>
        <v>-1</v>
      </c>
      <c r="CD51" s="36">
        <f>'[1]STA MARIA'!$O51</f>
        <v>694.46555000000012</v>
      </c>
      <c r="CE51" s="31">
        <f t="shared" si="56"/>
        <v>609.11573390500007</v>
      </c>
      <c r="CF51" s="31">
        <f t="shared" si="57"/>
        <v>85.349816095000008</v>
      </c>
      <c r="CG51" s="31">
        <f t="shared" si="58"/>
        <v>0</v>
      </c>
      <c r="CH51" s="31">
        <f t="shared" si="59"/>
        <v>0</v>
      </c>
      <c r="CI51" s="45"/>
      <c r="CJ51" s="37">
        <f t="shared" si="13"/>
        <v>-1</v>
      </c>
      <c r="CK51" s="36">
        <f>'[1]STA MARIA'!$P51</f>
        <v>694.46555000000012</v>
      </c>
      <c r="CL51" s="31">
        <f t="shared" si="60"/>
        <v>609.11573390500007</v>
      </c>
      <c r="CM51" s="31">
        <f t="shared" si="61"/>
        <v>85.349816095000008</v>
      </c>
      <c r="CN51" s="31">
        <f t="shared" si="62"/>
        <v>0</v>
      </c>
      <c r="CO51" s="31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20000</v>
      </c>
      <c r="C52" s="31">
        <f t="shared" si="64"/>
        <v>17542.000000000004</v>
      </c>
      <c r="D52" s="32">
        <f t="shared" si="64"/>
        <v>2458</v>
      </c>
      <c r="E52" s="30">
        <f t="shared" si="66"/>
        <v>6666.666666666667</v>
      </c>
      <c r="F52" s="33">
        <f t="shared" si="66"/>
        <v>5847.3333333333339</v>
      </c>
      <c r="G52" s="34">
        <f t="shared" si="66"/>
        <v>819.33333333333337</v>
      </c>
      <c r="H52" s="31">
        <f t="shared" si="65"/>
        <v>1425.7413799999999</v>
      </c>
      <c r="I52" s="33">
        <f t="shared" si="65"/>
        <v>35.358619999999995</v>
      </c>
      <c r="J52" s="33">
        <f t="shared" si="65"/>
        <v>1461.1</v>
      </c>
      <c r="K52" s="37">
        <f t="shared" si="2"/>
        <v>-0.78083500000000006</v>
      </c>
      <c r="L52" s="36">
        <f>'[1]STA MARIA'!$E52</f>
        <v>1666.6666666666667</v>
      </c>
      <c r="M52" s="31">
        <f t="shared" si="16"/>
        <v>1461.8333333333335</v>
      </c>
      <c r="N52" s="31">
        <f t="shared" si="17"/>
        <v>204.83333333333334</v>
      </c>
      <c r="O52" s="31">
        <f t="shared" si="18"/>
        <v>1425.7413799999999</v>
      </c>
      <c r="P52" s="31">
        <f t="shared" si="19"/>
        <v>35.358619999999995</v>
      </c>
      <c r="Q52" s="33">
        <f>1461.1</f>
        <v>1461.1</v>
      </c>
      <c r="R52" s="37">
        <f t="shared" si="3"/>
        <v>-0.12334000000000012</v>
      </c>
      <c r="S52" s="36">
        <f>'[1]STA MARIA'!$F52</f>
        <v>1666.6666666666667</v>
      </c>
      <c r="T52" s="31">
        <f t="shared" si="20"/>
        <v>1461.8333333333335</v>
      </c>
      <c r="U52" s="31">
        <f t="shared" si="21"/>
        <v>204.83333333333334</v>
      </c>
      <c r="V52" s="31">
        <f t="shared" si="22"/>
        <v>0</v>
      </c>
      <c r="W52" s="31">
        <f t="shared" si="23"/>
        <v>0</v>
      </c>
      <c r="X52" s="33"/>
      <c r="Y52" s="37">
        <f t="shared" si="4"/>
        <v>-1</v>
      </c>
      <c r="Z52" s="36">
        <f>'[1]STA MARIA'!$G52</f>
        <v>1666.6666666666667</v>
      </c>
      <c r="AA52" s="31">
        <f t="shared" si="24"/>
        <v>1461.8333333333335</v>
      </c>
      <c r="AB52" s="31">
        <f t="shared" si="25"/>
        <v>204.83333333333334</v>
      </c>
      <c r="AC52" s="31">
        <f t="shared" si="26"/>
        <v>0</v>
      </c>
      <c r="AD52" s="31">
        <f t="shared" si="27"/>
        <v>0</v>
      </c>
      <c r="AE52" s="33"/>
      <c r="AF52" s="37">
        <f t="shared" si="5"/>
        <v>-1</v>
      </c>
      <c r="AG52" s="36">
        <f>'[1]STA MARIA'!$H52</f>
        <v>1666.6666666666667</v>
      </c>
      <c r="AH52" s="31">
        <f t="shared" si="28"/>
        <v>1461.8333333333335</v>
      </c>
      <c r="AI52" s="31">
        <f t="shared" si="29"/>
        <v>204.83333333333334</v>
      </c>
      <c r="AJ52" s="31">
        <f t="shared" si="30"/>
        <v>0</v>
      </c>
      <c r="AK52" s="31">
        <f t="shared" si="31"/>
        <v>0</v>
      </c>
      <c r="AL52" s="33"/>
      <c r="AM52" s="37">
        <f t="shared" si="6"/>
        <v>-1</v>
      </c>
      <c r="AN52" s="36">
        <f>'[1]STA MARIA'!$I52</f>
        <v>1666.6666666666667</v>
      </c>
      <c r="AO52" s="31">
        <f t="shared" si="32"/>
        <v>1461.8333333333335</v>
      </c>
      <c r="AP52" s="31">
        <f t="shared" si="33"/>
        <v>204.83333333333334</v>
      </c>
      <c r="AQ52" s="31">
        <f t="shared" si="34"/>
        <v>0</v>
      </c>
      <c r="AR52" s="31">
        <f t="shared" si="35"/>
        <v>0</v>
      </c>
      <c r="AS52" s="33"/>
      <c r="AT52" s="37">
        <f t="shared" si="7"/>
        <v>-1</v>
      </c>
      <c r="AU52" s="36">
        <f>'[1]STA MARIA'!$J52</f>
        <v>1666.6666666666667</v>
      </c>
      <c r="AV52" s="31">
        <f t="shared" si="36"/>
        <v>1461.8333333333335</v>
      </c>
      <c r="AW52" s="31">
        <f t="shared" si="37"/>
        <v>204.83333333333334</v>
      </c>
      <c r="AX52" s="31">
        <f t="shared" si="38"/>
        <v>0</v>
      </c>
      <c r="AY52" s="31">
        <f t="shared" si="39"/>
        <v>0</v>
      </c>
      <c r="AZ52" s="33"/>
      <c r="BA52" s="37">
        <f t="shared" si="8"/>
        <v>-1</v>
      </c>
      <c r="BB52" s="36">
        <f>'[1]STA MARIA'!$K52</f>
        <v>1666.6666666666667</v>
      </c>
      <c r="BC52" s="31">
        <f t="shared" si="40"/>
        <v>1461.8333333333335</v>
      </c>
      <c r="BD52" s="31">
        <f t="shared" si="41"/>
        <v>204.83333333333334</v>
      </c>
      <c r="BE52" s="31">
        <f t="shared" si="42"/>
        <v>0</v>
      </c>
      <c r="BF52" s="31">
        <f t="shared" si="43"/>
        <v>0</v>
      </c>
      <c r="BG52" s="33"/>
      <c r="BH52" s="37">
        <f t="shared" si="9"/>
        <v>-1</v>
      </c>
      <c r="BI52" s="36">
        <f>'[1]STA MARIA'!$L52</f>
        <v>1666.6666666666667</v>
      </c>
      <c r="BJ52" s="31">
        <f t="shared" si="44"/>
        <v>1461.8333333333335</v>
      </c>
      <c r="BK52" s="31">
        <f t="shared" si="45"/>
        <v>204.83333333333334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'[1]STA MARIA'!$M52</f>
        <v>1666.6666666666667</v>
      </c>
      <c r="BQ52" s="31">
        <f t="shared" si="48"/>
        <v>1461.8333333333335</v>
      </c>
      <c r="BR52" s="31">
        <f t="shared" si="49"/>
        <v>204.83333333333334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'[1]STA MARIA'!$N52</f>
        <v>1666.6666666666667</v>
      </c>
      <c r="BX52" s="31">
        <f t="shared" si="52"/>
        <v>1461.8333333333335</v>
      </c>
      <c r="BY52" s="31">
        <f t="shared" si="53"/>
        <v>204.83333333333334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'[1]STA MARIA'!$O52</f>
        <v>1666.6666666666667</v>
      </c>
      <c r="CE52" s="31">
        <f t="shared" si="56"/>
        <v>1461.8333333333335</v>
      </c>
      <c r="CF52" s="31">
        <f t="shared" si="57"/>
        <v>204.83333333333334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'[1]STA MARIA'!$P52</f>
        <v>1666.6666666666667</v>
      </c>
      <c r="CL52" s="31">
        <f t="shared" si="60"/>
        <v>1461.8333333333335</v>
      </c>
      <c r="CM52" s="31">
        <f t="shared" si="61"/>
        <v>204.83333333333334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120000</v>
      </c>
      <c r="C53" s="31">
        <f t="shared" si="64"/>
        <v>105252</v>
      </c>
      <c r="D53" s="32">
        <f t="shared" si="64"/>
        <v>14748</v>
      </c>
      <c r="E53" s="30">
        <f t="shared" si="66"/>
        <v>40000</v>
      </c>
      <c r="F53" s="33">
        <f t="shared" si="66"/>
        <v>35084</v>
      </c>
      <c r="G53" s="34">
        <f t="shared" si="66"/>
        <v>4916</v>
      </c>
      <c r="H53" s="31">
        <f t="shared" si="65"/>
        <v>89.441828000000001</v>
      </c>
      <c r="I53" s="33">
        <f t="shared" si="65"/>
        <v>2.218172</v>
      </c>
      <c r="J53" s="33">
        <f t="shared" si="65"/>
        <v>91.66</v>
      </c>
      <c r="K53" s="37">
        <f t="shared" si="2"/>
        <v>-0.9977085</v>
      </c>
      <c r="L53" s="36">
        <f>'[1]STA MARIA'!$E53</f>
        <v>10000</v>
      </c>
      <c r="M53" s="31">
        <f t="shared" si="16"/>
        <v>8771</v>
      </c>
      <c r="N53" s="31">
        <f t="shared" si="17"/>
        <v>1229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f>'[1]STA MARIA'!$F53</f>
        <v>10000</v>
      </c>
      <c r="T53" s="31">
        <f t="shared" si="20"/>
        <v>8771</v>
      </c>
      <c r="U53" s="31">
        <f t="shared" si="21"/>
        <v>1229</v>
      </c>
      <c r="V53" s="31">
        <f t="shared" si="22"/>
        <v>89.441828000000001</v>
      </c>
      <c r="W53" s="31">
        <f t="shared" si="23"/>
        <v>2.218172</v>
      </c>
      <c r="X53" s="33">
        <f>91.66</f>
        <v>91.66</v>
      </c>
      <c r="Y53" s="37">
        <f t="shared" si="4"/>
        <v>-0.99083399999999999</v>
      </c>
      <c r="Z53" s="36">
        <f>'[1]STA MARIA'!$G53</f>
        <v>10000</v>
      </c>
      <c r="AA53" s="31">
        <f t="shared" si="24"/>
        <v>8771</v>
      </c>
      <c r="AB53" s="31">
        <f t="shared" si="25"/>
        <v>1229</v>
      </c>
      <c r="AC53" s="31">
        <f t="shared" si="26"/>
        <v>0</v>
      </c>
      <c r="AD53" s="31">
        <f t="shared" si="27"/>
        <v>0</v>
      </c>
      <c r="AE53" s="33"/>
      <c r="AF53" s="37">
        <f t="shared" si="5"/>
        <v>-1</v>
      </c>
      <c r="AG53" s="36">
        <f>'[1]STA MARIA'!$H53</f>
        <v>10000</v>
      </c>
      <c r="AH53" s="31">
        <f t="shared" si="28"/>
        <v>8771</v>
      </c>
      <c r="AI53" s="31">
        <f t="shared" si="29"/>
        <v>1229</v>
      </c>
      <c r="AJ53" s="31">
        <f t="shared" si="30"/>
        <v>0</v>
      </c>
      <c r="AK53" s="31">
        <f t="shared" si="31"/>
        <v>0</v>
      </c>
      <c r="AL53" s="33"/>
      <c r="AM53" s="37">
        <f t="shared" si="6"/>
        <v>-1</v>
      </c>
      <c r="AN53" s="36">
        <f>'[1]STA MARIA'!$I53</f>
        <v>10000</v>
      </c>
      <c r="AO53" s="31">
        <f t="shared" si="32"/>
        <v>8771</v>
      </c>
      <c r="AP53" s="31">
        <f t="shared" si="33"/>
        <v>1229</v>
      </c>
      <c r="AQ53" s="31">
        <f t="shared" si="34"/>
        <v>0</v>
      </c>
      <c r="AR53" s="31">
        <f t="shared" si="35"/>
        <v>0</v>
      </c>
      <c r="AS53" s="33"/>
      <c r="AT53" s="37">
        <f t="shared" si="7"/>
        <v>-1</v>
      </c>
      <c r="AU53" s="36">
        <f>'[1]STA MARIA'!$J53</f>
        <v>10000</v>
      </c>
      <c r="AV53" s="31">
        <f t="shared" si="36"/>
        <v>8771</v>
      </c>
      <c r="AW53" s="31">
        <f t="shared" si="37"/>
        <v>1229</v>
      </c>
      <c r="AX53" s="31">
        <f t="shared" si="38"/>
        <v>0</v>
      </c>
      <c r="AY53" s="31">
        <f t="shared" si="39"/>
        <v>0</v>
      </c>
      <c r="AZ53" s="27"/>
      <c r="BA53" s="37">
        <f t="shared" si="8"/>
        <v>-1</v>
      </c>
      <c r="BB53" s="36">
        <f>'[1]STA MARIA'!$K53</f>
        <v>10000</v>
      </c>
      <c r="BC53" s="31">
        <f t="shared" si="40"/>
        <v>8771</v>
      </c>
      <c r="BD53" s="31">
        <f t="shared" si="41"/>
        <v>1229</v>
      </c>
      <c r="BE53" s="31">
        <f t="shared" si="42"/>
        <v>0</v>
      </c>
      <c r="BF53" s="31">
        <f t="shared" si="43"/>
        <v>0</v>
      </c>
      <c r="BG53" s="33"/>
      <c r="BH53" s="37">
        <f t="shared" si="9"/>
        <v>-1</v>
      </c>
      <c r="BI53" s="36">
        <f>'[1]STA MARIA'!$L53</f>
        <v>10000</v>
      </c>
      <c r="BJ53" s="31">
        <f t="shared" si="44"/>
        <v>8771</v>
      </c>
      <c r="BK53" s="31">
        <f t="shared" si="45"/>
        <v>1229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'[1]STA MARIA'!$M53</f>
        <v>10000</v>
      </c>
      <c r="BQ53" s="31">
        <f t="shared" si="48"/>
        <v>8771</v>
      </c>
      <c r="BR53" s="31">
        <f t="shared" si="49"/>
        <v>1229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'[1]STA MARIA'!$N53</f>
        <v>10000</v>
      </c>
      <c r="BX53" s="31">
        <f t="shared" si="52"/>
        <v>8771</v>
      </c>
      <c r="BY53" s="31">
        <f t="shared" si="53"/>
        <v>1229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'[1]STA MARIA'!$O53</f>
        <v>10000</v>
      </c>
      <c r="CE53" s="31">
        <f t="shared" si="56"/>
        <v>8771</v>
      </c>
      <c r="CF53" s="31">
        <f t="shared" si="57"/>
        <v>1229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'[1]STA MARIA'!$P53</f>
        <v>10000</v>
      </c>
      <c r="CL53" s="31">
        <f t="shared" si="60"/>
        <v>8771</v>
      </c>
      <c r="CM53" s="31">
        <f t="shared" si="61"/>
        <v>1229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414375</v>
      </c>
      <c r="C54" s="40">
        <f t="shared" si="64"/>
        <v>363448.3125</v>
      </c>
      <c r="D54" s="51">
        <f t="shared" si="64"/>
        <v>50926.6875</v>
      </c>
      <c r="E54" s="52">
        <f t="shared" si="66"/>
        <v>236785.71428571429</v>
      </c>
      <c r="F54" s="53">
        <f t="shared" si="66"/>
        <v>207684.75</v>
      </c>
      <c r="G54" s="54">
        <f t="shared" si="66"/>
        <v>29100.964285714286</v>
      </c>
      <c r="H54" s="40">
        <f t="shared" si="65"/>
        <v>192555.65810599999</v>
      </c>
      <c r="I54" s="53">
        <f t="shared" si="65"/>
        <v>4775.4118939999998</v>
      </c>
      <c r="J54" s="53">
        <f t="shared" si="65"/>
        <v>197331.07</v>
      </c>
      <c r="K54" s="60">
        <f t="shared" si="2"/>
        <v>-0.16662594871794867</v>
      </c>
      <c r="L54" s="56">
        <f>'[1]STA MARIA'!$E54</f>
        <v>59196.428571428572</v>
      </c>
      <c r="M54" s="57">
        <f t="shared" si="16"/>
        <v>51921.1875</v>
      </c>
      <c r="N54" s="57">
        <f t="shared" si="17"/>
        <v>7275.2410714285716</v>
      </c>
      <c r="O54" s="57">
        <f t="shared" si="18"/>
        <v>0</v>
      </c>
      <c r="P54" s="57">
        <f t="shared" si="19"/>
        <v>0</v>
      </c>
      <c r="Q54" s="58"/>
      <c r="R54" s="127">
        <f t="shared" si="3"/>
        <v>-1</v>
      </c>
      <c r="S54" s="87">
        <f>'[1]STA MARIA'!$F54</f>
        <v>59196.428571428572</v>
      </c>
      <c r="T54" s="40">
        <f t="shared" si="20"/>
        <v>51921.1875</v>
      </c>
      <c r="U54" s="40">
        <f t="shared" si="21"/>
        <v>7275.2410714285716</v>
      </c>
      <c r="V54" s="57">
        <f t="shared" si="22"/>
        <v>106697.69955600001</v>
      </c>
      <c r="W54" s="57">
        <f t="shared" si="23"/>
        <v>2646.1204440000001</v>
      </c>
      <c r="X54" s="53">
        <v>109343.82</v>
      </c>
      <c r="Y54" s="60">
        <f t="shared" si="4"/>
        <v>0.84713542081447968</v>
      </c>
      <c r="Z54" s="87">
        <f>'[1]STA MARIA'!$G54</f>
        <v>59196.428571428572</v>
      </c>
      <c r="AA54" s="40">
        <f t="shared" si="24"/>
        <v>51921.1875</v>
      </c>
      <c r="AB54" s="40">
        <f t="shared" si="25"/>
        <v>7275.2410714285716</v>
      </c>
      <c r="AC54" s="57">
        <f t="shared" si="26"/>
        <v>85857.958549999996</v>
      </c>
      <c r="AD54" s="57">
        <f t="shared" si="27"/>
        <v>2129.2914499999997</v>
      </c>
      <c r="AE54" s="53">
        <v>87987.25</v>
      </c>
      <c r="AF54" s="60">
        <f t="shared" si="5"/>
        <v>0.48636078431372542</v>
      </c>
      <c r="AG54" s="87">
        <f>'[1]STA MARIA'!$H54</f>
        <v>59196.428571428572</v>
      </c>
      <c r="AH54" s="40">
        <f t="shared" si="28"/>
        <v>51921.1875</v>
      </c>
      <c r="AI54" s="40">
        <f t="shared" si="29"/>
        <v>7275.2410714285716</v>
      </c>
      <c r="AJ54" s="57">
        <f t="shared" si="30"/>
        <v>0</v>
      </c>
      <c r="AK54" s="57">
        <f t="shared" si="31"/>
        <v>0</v>
      </c>
      <c r="AL54" s="53"/>
      <c r="AM54" s="60">
        <f t="shared" si="6"/>
        <v>-1</v>
      </c>
      <c r="AN54" s="56">
        <f>'[1]STA MARIA'!$I54</f>
        <v>59196.428571428572</v>
      </c>
      <c r="AO54" s="57">
        <f t="shared" si="32"/>
        <v>51921.1875</v>
      </c>
      <c r="AP54" s="57">
        <f t="shared" si="33"/>
        <v>7275.2410714285716</v>
      </c>
      <c r="AQ54" s="57">
        <f t="shared" si="34"/>
        <v>0</v>
      </c>
      <c r="AR54" s="57">
        <f t="shared" si="35"/>
        <v>0</v>
      </c>
      <c r="AS54" s="58"/>
      <c r="AT54" s="60">
        <f t="shared" si="7"/>
        <v>-1</v>
      </c>
      <c r="AU54" s="56">
        <f>'[1]STA MARIA'!$J54</f>
        <v>59196.428571428572</v>
      </c>
      <c r="AV54" s="57">
        <f t="shared" si="36"/>
        <v>51921.1875</v>
      </c>
      <c r="AW54" s="57">
        <f t="shared" si="37"/>
        <v>7275.2410714285716</v>
      </c>
      <c r="AX54" s="57">
        <f t="shared" si="38"/>
        <v>0</v>
      </c>
      <c r="AY54" s="57">
        <f t="shared" si="39"/>
        <v>0</v>
      </c>
      <c r="AZ54" s="59"/>
      <c r="BA54" s="60">
        <f t="shared" si="8"/>
        <v>-1</v>
      </c>
      <c r="BB54" s="56">
        <f>'[1]STA MARIA'!$K54</f>
        <v>59196.428571428572</v>
      </c>
      <c r="BC54" s="57">
        <f t="shared" si="40"/>
        <v>51921.1875</v>
      </c>
      <c r="BD54" s="57">
        <f t="shared" si="41"/>
        <v>7275.2410714285716</v>
      </c>
      <c r="BE54" s="57">
        <f t="shared" si="42"/>
        <v>0</v>
      </c>
      <c r="BF54" s="57">
        <f t="shared" si="43"/>
        <v>0</v>
      </c>
      <c r="BG54" s="58"/>
      <c r="BH54" s="60">
        <f t="shared" si="9"/>
        <v>-1</v>
      </c>
      <c r="BI54" s="56">
        <f>'[1]STA MARIA'!$L54</f>
        <v>0</v>
      </c>
      <c r="BJ54" s="57">
        <f t="shared" si="44"/>
        <v>0</v>
      </c>
      <c r="BK54" s="57">
        <f t="shared" si="45"/>
        <v>0</v>
      </c>
      <c r="BL54" s="57">
        <f t="shared" si="46"/>
        <v>0</v>
      </c>
      <c r="BM54" s="57">
        <f t="shared" si="47"/>
        <v>0</v>
      </c>
      <c r="BN54" s="58"/>
      <c r="BO54" s="60" t="str">
        <f t="shared" si="10"/>
        <v/>
      </c>
      <c r="BP54" s="56">
        <f>'[1]STA MARIA'!$M54</f>
        <v>0</v>
      </c>
      <c r="BQ54" s="57">
        <f t="shared" si="48"/>
        <v>0</v>
      </c>
      <c r="BR54" s="57">
        <f t="shared" si="49"/>
        <v>0</v>
      </c>
      <c r="BS54" s="57">
        <f t="shared" si="50"/>
        <v>0</v>
      </c>
      <c r="BT54" s="57">
        <f t="shared" si="51"/>
        <v>0</v>
      </c>
      <c r="BU54" s="58"/>
      <c r="BV54" s="60" t="str">
        <f t="shared" si="11"/>
        <v/>
      </c>
      <c r="BW54" s="87">
        <f>'[1]STA MARIA'!$N54</f>
        <v>0</v>
      </c>
      <c r="BX54" s="40">
        <f t="shared" si="52"/>
        <v>0</v>
      </c>
      <c r="BY54" s="40">
        <f t="shared" si="53"/>
        <v>0</v>
      </c>
      <c r="BZ54" s="57">
        <f t="shared" si="54"/>
        <v>0</v>
      </c>
      <c r="CA54" s="57">
        <f t="shared" si="55"/>
        <v>0</v>
      </c>
      <c r="CB54" s="53"/>
      <c r="CC54" s="60" t="str">
        <f t="shared" si="12"/>
        <v/>
      </c>
      <c r="CD54" s="87">
        <f>'[1]STA MARIA'!$O54</f>
        <v>0</v>
      </c>
      <c r="CE54" s="40">
        <f t="shared" si="56"/>
        <v>0</v>
      </c>
      <c r="CF54" s="40">
        <f t="shared" si="57"/>
        <v>0</v>
      </c>
      <c r="CG54" s="57">
        <f t="shared" si="58"/>
        <v>0</v>
      </c>
      <c r="CH54" s="57">
        <f t="shared" si="59"/>
        <v>0</v>
      </c>
      <c r="CI54" s="53"/>
      <c r="CJ54" s="60" t="str">
        <f t="shared" si="13"/>
        <v/>
      </c>
      <c r="CK54" s="87">
        <f>'[1]STA MARIA'!$P54</f>
        <v>0</v>
      </c>
      <c r="CL54" s="40">
        <f t="shared" si="60"/>
        <v>0</v>
      </c>
      <c r="CM54" s="40">
        <f t="shared" si="61"/>
        <v>0</v>
      </c>
      <c r="CN54" s="57">
        <f t="shared" si="62"/>
        <v>0</v>
      </c>
      <c r="CO54" s="57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21711959.665240832</v>
      </c>
      <c r="C55" s="64">
        <f t="shared" si="67"/>
        <v>19043559.822382733</v>
      </c>
      <c r="D55" s="65">
        <f t="shared" si="67"/>
        <v>2668399.842858098</v>
      </c>
      <c r="E55" s="63">
        <f t="shared" si="67"/>
        <v>9558670.0730223805</v>
      </c>
      <c r="F55" s="66">
        <f t="shared" si="67"/>
        <v>8383909.5210479302</v>
      </c>
      <c r="G55" s="67">
        <f t="shared" si="67"/>
        <v>1174760.5519744507</v>
      </c>
      <c r="H55" s="64">
        <f t="shared" si="67"/>
        <v>8544490.8069639988</v>
      </c>
      <c r="I55" s="66">
        <f t="shared" si="67"/>
        <v>211904.773036</v>
      </c>
      <c r="J55" s="66">
        <f t="shared" si="67"/>
        <v>8756395.5800000001</v>
      </c>
      <c r="K55" s="120">
        <f>+J55/E55-1</f>
        <v>-8.3931602084128309E-2</v>
      </c>
      <c r="L55" s="121">
        <f t="shared" ref="L55:X55" si="68">SUM(L4:L54)</f>
        <v>2266065.2180716367</v>
      </c>
      <c r="M55" s="121">
        <f t="shared" si="68"/>
        <v>1987565.802770633</v>
      </c>
      <c r="N55" s="121">
        <f t="shared" si="68"/>
        <v>278499.41530100413</v>
      </c>
      <c r="O55" s="122">
        <f t="shared" si="68"/>
        <v>2000350.3630040004</v>
      </c>
      <c r="P55" s="122">
        <f t="shared" si="68"/>
        <v>49609.016995999984</v>
      </c>
      <c r="Q55" s="123">
        <f t="shared" si="68"/>
        <v>2049959.3800000008</v>
      </c>
      <c r="R55" s="120">
        <f>+Q55/L55-1</f>
        <v>-9.5366115832948739E-2</v>
      </c>
      <c r="S55" s="121">
        <f t="shared" si="68"/>
        <v>2192745.596610412</v>
      </c>
      <c r="T55" s="121">
        <f t="shared" si="68"/>
        <v>1923257.162786993</v>
      </c>
      <c r="U55" s="121">
        <f t="shared" si="68"/>
        <v>269488.43382341973</v>
      </c>
      <c r="V55" s="122">
        <f t="shared" si="68"/>
        <v>1978547.3610280005</v>
      </c>
      <c r="W55" s="122">
        <f t="shared" si="68"/>
        <v>49068.298971999997</v>
      </c>
      <c r="X55" s="123">
        <f t="shared" si="68"/>
        <v>2027615.66</v>
      </c>
      <c r="Y55" s="120">
        <f>+X55/S55-1</f>
        <v>-7.5307384890282325E-2</v>
      </c>
      <c r="Z55" s="121">
        <f t="shared" ref="Z55:AE55" si="69">SUM(Z4:Z54)</f>
        <v>2824796.1145910225</v>
      </c>
      <c r="AA55" s="121">
        <f t="shared" si="69"/>
        <v>2477628.6721077864</v>
      </c>
      <c r="AB55" s="121">
        <f t="shared" si="69"/>
        <v>347167.44248323666</v>
      </c>
      <c r="AC55" s="122">
        <f t="shared" si="69"/>
        <v>2405832.8703360003</v>
      </c>
      <c r="AD55" s="122">
        <f t="shared" si="69"/>
        <v>59665.049664000006</v>
      </c>
      <c r="AE55" s="123">
        <f t="shared" si="69"/>
        <v>2465497.92</v>
      </c>
      <c r="AF55" s="120">
        <f>+AE55/Z55-1</f>
        <v>-0.12719438147593254</v>
      </c>
      <c r="AG55" s="121">
        <f t="shared" ref="AG55:AL55" si="70">SUM(AG4:AG54)</f>
        <v>2275063.1437493083</v>
      </c>
      <c r="AH55" s="121">
        <f t="shared" si="70"/>
        <v>1995457.8833825185</v>
      </c>
      <c r="AI55" s="121">
        <f t="shared" si="70"/>
        <v>279605.26036679005</v>
      </c>
      <c r="AJ55" s="122">
        <f t="shared" si="70"/>
        <v>2159760.2125960002</v>
      </c>
      <c r="AK55" s="122">
        <f t="shared" si="70"/>
        <v>53562.40740399999</v>
      </c>
      <c r="AL55" s="123">
        <f t="shared" si="70"/>
        <v>2213322.6199999996</v>
      </c>
      <c r="AM55" s="120">
        <f>+AL55/AG55-1</f>
        <v>-2.7137938531042294E-2</v>
      </c>
      <c r="AN55" s="121">
        <f t="shared" ref="AN55:AS55" si="71">SUM(AN4:AN54)</f>
        <v>2340087.3250644128</v>
      </c>
      <c r="AO55" s="121">
        <f t="shared" si="71"/>
        <v>2052490.5928139964</v>
      </c>
      <c r="AP55" s="121">
        <f t="shared" si="71"/>
        <v>287596.73225041636</v>
      </c>
      <c r="AQ55" s="122">
        <f t="shared" si="71"/>
        <v>0</v>
      </c>
      <c r="AR55" s="122">
        <f t="shared" si="71"/>
        <v>0</v>
      </c>
      <c r="AS55" s="123">
        <f t="shared" si="71"/>
        <v>0</v>
      </c>
      <c r="AT55" s="120">
        <f>+AS55/AN55-1</f>
        <v>-1</v>
      </c>
      <c r="AU55" s="121">
        <f t="shared" ref="AU55:AZ55" si="72">SUM(AU4:AU54)</f>
        <v>2279295.313578696</v>
      </c>
      <c r="AV55" s="121">
        <f t="shared" si="72"/>
        <v>1999169.9195398747</v>
      </c>
      <c r="AW55" s="121">
        <f t="shared" si="72"/>
        <v>280125.3940388218</v>
      </c>
      <c r="AX55" s="122">
        <f t="shared" si="72"/>
        <v>0</v>
      </c>
      <c r="AY55" s="122">
        <f t="shared" si="72"/>
        <v>0</v>
      </c>
      <c r="AZ55" s="123">
        <f t="shared" si="72"/>
        <v>0</v>
      </c>
      <c r="BA55" s="120">
        <f>+AZ55/AU55-1</f>
        <v>-1</v>
      </c>
      <c r="BB55" s="121">
        <f t="shared" ref="BB55:BG55" si="73">SUM(BB4:BB54)</f>
        <v>2482873.5017334796</v>
      </c>
      <c r="BC55" s="121">
        <f t="shared" si="73"/>
        <v>2177728.3483704352</v>
      </c>
      <c r="BD55" s="121">
        <f t="shared" si="73"/>
        <v>305145.15336304461</v>
      </c>
      <c r="BE55" s="122">
        <f t="shared" si="73"/>
        <v>0</v>
      </c>
      <c r="BF55" s="122">
        <f t="shared" si="73"/>
        <v>0</v>
      </c>
      <c r="BG55" s="123">
        <f t="shared" si="73"/>
        <v>0</v>
      </c>
      <c r="BH55" s="120">
        <f>+BG55/BB55-1</f>
        <v>-1</v>
      </c>
      <c r="BI55" s="121">
        <f t="shared" ref="BI55:BN55" si="74">SUM(BI4:BI54)</f>
        <v>1085303.9436979415</v>
      </c>
      <c r="BJ55" s="121">
        <f t="shared" si="74"/>
        <v>951920.0890174642</v>
      </c>
      <c r="BK55" s="121">
        <f t="shared" si="74"/>
        <v>133383.854680477</v>
      </c>
      <c r="BL55" s="122">
        <f t="shared" si="74"/>
        <v>0</v>
      </c>
      <c r="BM55" s="122">
        <f t="shared" si="74"/>
        <v>0</v>
      </c>
      <c r="BN55" s="123">
        <f t="shared" si="74"/>
        <v>0</v>
      </c>
      <c r="BO55" s="120">
        <f>+BN55/BI55-1</f>
        <v>-1</v>
      </c>
      <c r="BP55" s="121">
        <f t="shared" ref="BP55:BU55" si="75">SUM(BP4:BP54)</f>
        <v>1254580.0549019282</v>
      </c>
      <c r="BQ55" s="121">
        <f t="shared" si="75"/>
        <v>1100392.166154481</v>
      </c>
      <c r="BR55" s="121">
        <f t="shared" si="75"/>
        <v>154187.88874744697</v>
      </c>
      <c r="BS55" s="122">
        <f t="shared" si="75"/>
        <v>0</v>
      </c>
      <c r="BT55" s="122">
        <f t="shared" si="75"/>
        <v>0</v>
      </c>
      <c r="BU55" s="123">
        <f t="shared" si="75"/>
        <v>0</v>
      </c>
      <c r="BV55" s="120">
        <f>+BU55/BP55-1</f>
        <v>-1</v>
      </c>
      <c r="BW55" s="121">
        <f t="shared" ref="BW55:CB55" si="76">SUM(BW4:BW54)</f>
        <v>900457.74498303176</v>
      </c>
      <c r="BX55" s="121">
        <f t="shared" si="76"/>
        <v>789791.48812461714</v>
      </c>
      <c r="BY55" s="121">
        <f t="shared" si="76"/>
        <v>110666.25685841461</v>
      </c>
      <c r="BZ55" s="122">
        <f t="shared" si="76"/>
        <v>0</v>
      </c>
      <c r="CA55" s="122">
        <f t="shared" si="76"/>
        <v>0</v>
      </c>
      <c r="CB55" s="123">
        <f t="shared" si="76"/>
        <v>0</v>
      </c>
      <c r="CC55" s="120">
        <f>+CB55/BW55-1</f>
        <v>-1</v>
      </c>
      <c r="CD55" s="121">
        <f t="shared" ref="CD55:CI55" si="77">SUM(CD4:CD54)</f>
        <v>949493.07031192794</v>
      </c>
      <c r="CE55" s="121">
        <f t="shared" si="77"/>
        <v>832800.37197059195</v>
      </c>
      <c r="CF55" s="121">
        <f t="shared" si="77"/>
        <v>116692.69834133596</v>
      </c>
      <c r="CG55" s="122">
        <f t="shared" si="77"/>
        <v>0</v>
      </c>
      <c r="CH55" s="122">
        <f t="shared" si="77"/>
        <v>0</v>
      </c>
      <c r="CI55" s="123">
        <f t="shared" si="77"/>
        <v>0</v>
      </c>
      <c r="CJ55" s="120">
        <f>+CI55/CD55-1</f>
        <v>-1</v>
      </c>
      <c r="CK55" s="121">
        <f t="shared" ref="CK55:CP55" si="78">SUM(CK4:CK54)</f>
        <v>861198.63794703176</v>
      </c>
      <c r="CL55" s="121">
        <f t="shared" si="78"/>
        <v>755357.32534334168</v>
      </c>
      <c r="CM55" s="121">
        <f t="shared" si="78"/>
        <v>105841.31260369021</v>
      </c>
      <c r="CN55" s="122">
        <f t="shared" si="78"/>
        <v>0</v>
      </c>
      <c r="CO55" s="122">
        <f t="shared" si="78"/>
        <v>0</v>
      </c>
      <c r="CP55" s="123">
        <f t="shared" si="78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-389273.35640138411</v>
      </c>
      <c r="C56" s="76">
        <f t="shared" ref="C56:D57" si="79">+M56+T56+AA56+AH56+AO56+AV56+BC56+BJ56+BQ56+BX56+CE56+CL56</f>
        <v>-341431.66089965403</v>
      </c>
      <c r="D56" s="77">
        <f t="shared" si="79"/>
        <v>-47841.695501730108</v>
      </c>
      <c r="E56" s="75">
        <f>+L56+S56+Z56+AG56</f>
        <v>-129757.78546712804</v>
      </c>
      <c r="F56" s="78">
        <f t="shared" ref="F56:G57" si="80">+M56+T56+AA56+AH56</f>
        <v>-113810.55363321801</v>
      </c>
      <c r="G56" s="79">
        <f t="shared" si="80"/>
        <v>-15947.231833910035</v>
      </c>
      <c r="H56" s="76">
        <f t="shared" ref="H56:J57" si="81">+O56+V56+AC56+AJ56+AQ56+AX56+BE56+BL56+BS56+BZ56+CG56+CN56</f>
        <v>-87001.810826000001</v>
      </c>
      <c r="I56" s="78">
        <f t="shared" si="81"/>
        <v>-2157.6591739999999</v>
      </c>
      <c r="J56" s="78">
        <f t="shared" si="81"/>
        <v>-89159.47</v>
      </c>
      <c r="K56" s="25">
        <f t="shared" ref="K56:K57" si="82">IF(E56=0,"",(+J56/E56-1))</f>
        <v>-0.31287768453333342</v>
      </c>
      <c r="L56" s="23">
        <f>'[1]STA MARIA'!$E56</f>
        <v>-32439.446366782009</v>
      </c>
      <c r="M56" s="18">
        <f t="shared" ref="M56:M57" si="83">L56-N56</f>
        <v>-28452.638408304501</v>
      </c>
      <c r="N56" s="18">
        <f t="shared" ref="N56:N57" si="84">+L56*12.29%</f>
        <v>-3986.8079584775087</v>
      </c>
      <c r="O56" s="18">
        <f t="shared" ref="O56:O57" si="85">+Q56-P56</f>
        <v>0</v>
      </c>
      <c r="P56" s="18">
        <f t="shared" ref="P56:P57" si="86">+Q56*2.42%</f>
        <v>0</v>
      </c>
      <c r="Q56" s="20"/>
      <c r="R56" s="25">
        <f t="shared" ref="R56:R57" si="87">IF(L56=0,"",(+Q56/L56-1))</f>
        <v>-1</v>
      </c>
      <c r="S56" s="23">
        <f>'[1]STA MARIA'!$F56</f>
        <v>-32439.446366782009</v>
      </c>
      <c r="T56" s="18">
        <f t="shared" ref="T56:T57" si="88">S56-U56</f>
        <v>-28452.638408304501</v>
      </c>
      <c r="U56" s="18">
        <f t="shared" ref="U56:U57" si="89">+S56*12.29%</f>
        <v>-3986.8079584775087</v>
      </c>
      <c r="V56" s="18">
        <f t="shared" ref="V56:V57" si="90">+X56-W56</f>
        <v>-31438.246335999997</v>
      </c>
      <c r="W56" s="18">
        <f t="shared" ref="W56:W57" si="91">+X56*2.42%</f>
        <v>-779.67366399999992</v>
      </c>
      <c r="X56" s="20">
        <v>-32217.919999999998</v>
      </c>
      <c r="Y56" s="25">
        <f>IF(S56=0,"",(+X56/S56-1))</f>
        <v>-6.8289194666667496E-3</v>
      </c>
      <c r="Z56" s="23">
        <f>'[1]STA MARIA'!$G56</f>
        <v>-32439.446366782009</v>
      </c>
      <c r="AA56" s="18">
        <f t="shared" ref="AA56:AA57" si="92">Z56-AB56</f>
        <v>-28452.638408304501</v>
      </c>
      <c r="AB56" s="18">
        <f t="shared" ref="AB56:AB57" si="93">+Z56*12.29%</f>
        <v>-3986.8079584775087</v>
      </c>
      <c r="AC56" s="18">
        <f t="shared" ref="AC56:AC57" si="94">+AE56-AD56</f>
        <v>2162.548444</v>
      </c>
      <c r="AD56" s="18">
        <f t="shared" ref="AD56:AD57" si="95">+AE56*2.42%</f>
        <v>53.631555999999996</v>
      </c>
      <c r="AE56" s="20">
        <f>2216.18</f>
        <v>2216.1799999999998</v>
      </c>
      <c r="AF56" s="25">
        <f t="shared" ref="AF56:AF57" si="96">IF(Z56=0,"",(+AE56/Z56-1))</f>
        <v>-1.0683174421333332</v>
      </c>
      <c r="AG56" s="23">
        <f>'[1]STA MARIA'!$H56</f>
        <v>-32439.446366782009</v>
      </c>
      <c r="AH56" s="18">
        <f t="shared" ref="AH56:AH57" si="97">AG56-AI56</f>
        <v>-28452.638408304501</v>
      </c>
      <c r="AI56" s="18">
        <f t="shared" ref="AI56:AI57" si="98">+AG56*12.29%</f>
        <v>-3986.8079584775087</v>
      </c>
      <c r="AJ56" s="18">
        <f t="shared" ref="AJ56:AJ57" si="99">+AL56-AK56</f>
        <v>-57726.112934000004</v>
      </c>
      <c r="AK56" s="18">
        <f t="shared" ref="AK56:AK57" si="100">+AL56*2.42%</f>
        <v>-1431.617066</v>
      </c>
      <c r="AL56" s="20">
        <f>-61765.98+2608.25</f>
        <v>-59157.73</v>
      </c>
      <c r="AM56" s="25">
        <f t="shared" ref="AM56:AM57" si="101">IF(AG56=0,"",(+AL56/AG56-1))</f>
        <v>0.82363562346666663</v>
      </c>
      <c r="AN56" s="23">
        <f>'[1]STA MARIA'!$I56</f>
        <v>-32439.446366782009</v>
      </c>
      <c r="AO56" s="18">
        <f t="shared" ref="AO56:AO57" si="102">AN56-AP56</f>
        <v>-28452.638408304501</v>
      </c>
      <c r="AP56" s="18">
        <f t="shared" ref="AP56:AP57" si="103">+AN56*12.29%</f>
        <v>-3986.8079584775087</v>
      </c>
      <c r="AQ56" s="18">
        <f t="shared" ref="AQ56:AQ57" si="104">+AS56-AR56</f>
        <v>0</v>
      </c>
      <c r="AR56" s="18">
        <f t="shared" ref="AR56:AR57" si="105">+AS56*2.42%</f>
        <v>0</v>
      </c>
      <c r="AS56" s="20"/>
      <c r="AT56" s="25">
        <f t="shared" ref="AT56:AT57" si="106">IF(AN56=0,"",(+AS56/AN56-1))</f>
        <v>-1</v>
      </c>
      <c r="AU56" s="23">
        <f>'[1]STA MARIA'!$J56</f>
        <v>-32439.446366782009</v>
      </c>
      <c r="AV56" s="18">
        <f t="shared" ref="AV56:AV57" si="107">AU56-AW56</f>
        <v>-28452.638408304501</v>
      </c>
      <c r="AW56" s="18">
        <f t="shared" ref="AW56:AW57" si="108">+AU56*12.29%</f>
        <v>-3986.8079584775087</v>
      </c>
      <c r="AX56" s="18">
        <f t="shared" ref="AX56:AX57" si="109">+AZ56-AY56</f>
        <v>0</v>
      </c>
      <c r="AY56" s="18">
        <f t="shared" ref="AY56:AY57" si="110">+AZ56*2.42%</f>
        <v>0</v>
      </c>
      <c r="AZ56" s="20"/>
      <c r="BA56" s="25">
        <f t="shared" ref="BA56:BA57" si="111">IF(AU56=0,"",(+AZ56/AU56-1))</f>
        <v>-1</v>
      </c>
      <c r="BB56" s="23">
        <f>'[1]STA MARIA'!$K56</f>
        <v>-32439.446366782009</v>
      </c>
      <c r="BC56" s="18">
        <f t="shared" ref="BC56:BC57" si="112">BB56-BD56</f>
        <v>-28452.638408304501</v>
      </c>
      <c r="BD56" s="18">
        <f t="shared" ref="BD56:BD57" si="113">+BB56*12.29%</f>
        <v>-3986.8079584775087</v>
      </c>
      <c r="BE56" s="18">
        <f t="shared" ref="BE56:BE57" si="114">+BG56-BF56</f>
        <v>0</v>
      </c>
      <c r="BF56" s="18">
        <f t="shared" ref="BF56:BF57" si="115">+BG56*2.42%</f>
        <v>0</v>
      </c>
      <c r="BG56" s="20"/>
      <c r="BH56" s="25">
        <f t="shared" ref="BH56:BH57" si="116">IF(BB56=0,"",(+BG56/BB56-1))</f>
        <v>-1</v>
      </c>
      <c r="BI56" s="23">
        <f>'[1]STA MARIA'!$L56</f>
        <v>-32439.446366782009</v>
      </c>
      <c r="BJ56" s="18">
        <f t="shared" ref="BJ56:BJ57" si="117">BI56-BK56</f>
        <v>-28452.638408304501</v>
      </c>
      <c r="BK56" s="18">
        <f t="shared" ref="BK56:BK57" si="118">+BI56*12.29%</f>
        <v>-3986.8079584775087</v>
      </c>
      <c r="BL56" s="18">
        <f t="shared" ref="BL56:BL57" si="119">+BN56-BM56</f>
        <v>0</v>
      </c>
      <c r="BM56" s="18">
        <f t="shared" ref="BM56:BM57" si="120">+BN56*2.42%</f>
        <v>0</v>
      </c>
      <c r="BN56" s="20"/>
      <c r="BO56" s="25">
        <f t="shared" ref="BO56:BO57" si="121">IF(BI56=0,"",(+BN56/BI56-1))</f>
        <v>-1</v>
      </c>
      <c r="BP56" s="23">
        <f>'[1]STA MARIA'!$M56</f>
        <v>-32439.446366782009</v>
      </c>
      <c r="BQ56" s="18">
        <f t="shared" ref="BQ56:BQ57" si="122">BP56-BR56</f>
        <v>-28452.638408304501</v>
      </c>
      <c r="BR56" s="18">
        <f t="shared" ref="BR56:BR57" si="123">+BP56*12.29%</f>
        <v>-3986.8079584775087</v>
      </c>
      <c r="BS56" s="18">
        <f t="shared" ref="BS56:BS57" si="124">+BU56-BT56</f>
        <v>0</v>
      </c>
      <c r="BT56" s="18">
        <f t="shared" ref="BT56:BT57" si="125">+BU56*2.42%</f>
        <v>0</v>
      </c>
      <c r="BU56" s="20"/>
      <c r="BV56" s="25">
        <f t="shared" ref="BV56:BV57" si="126">IF(BP56=0,"",(+BU56/BP56-1))</f>
        <v>-1</v>
      </c>
      <c r="BW56" s="23">
        <f>'[1]STA MARIA'!$N56</f>
        <v>-32439.446366782009</v>
      </c>
      <c r="BX56" s="18">
        <f t="shared" ref="BX56:BX57" si="127">BW56-BY56</f>
        <v>-28452.638408304501</v>
      </c>
      <c r="BY56" s="18">
        <f t="shared" ref="BY56:BY57" si="128">+BW56*12.29%</f>
        <v>-3986.8079584775087</v>
      </c>
      <c r="BZ56" s="18">
        <f t="shared" ref="BZ56:BZ57" si="129">+CB56-CA56</f>
        <v>0</v>
      </c>
      <c r="CA56" s="18">
        <f t="shared" ref="CA56:CA57" si="130">+CB56*2.42%</f>
        <v>0</v>
      </c>
      <c r="CB56" s="20"/>
      <c r="CC56" s="25">
        <f t="shared" ref="CC56:CC57" si="131">IF(BW56=0,"",(+CB56/BW56-1))</f>
        <v>-1</v>
      </c>
      <c r="CD56" s="23">
        <f>'[1]STA MARIA'!$O56</f>
        <v>-32439.446366782009</v>
      </c>
      <c r="CE56" s="18">
        <f t="shared" ref="CE56:CE57" si="132">CD56-CF56</f>
        <v>-28452.638408304501</v>
      </c>
      <c r="CF56" s="18">
        <f t="shared" ref="CF56:CF57" si="133">+CD56*12.29%</f>
        <v>-3986.8079584775087</v>
      </c>
      <c r="CG56" s="18">
        <f t="shared" ref="CG56:CG57" si="134">+CI56-CH56</f>
        <v>0</v>
      </c>
      <c r="CH56" s="18">
        <f t="shared" ref="CH56:CH57" si="135">+CI56*2.42%</f>
        <v>0</v>
      </c>
      <c r="CI56" s="20"/>
      <c r="CJ56" s="25">
        <f t="shared" ref="CJ56:CJ57" si="136">IF(CD56=0,"",(+CI56/CD56-1))</f>
        <v>-1</v>
      </c>
      <c r="CK56" s="23">
        <f>'[1]STA MARIA'!$P56</f>
        <v>-32439.446366782009</v>
      </c>
      <c r="CL56" s="18">
        <f t="shared" ref="CL56:CL57" si="137">CK56-CM56</f>
        <v>-28452.638408304501</v>
      </c>
      <c r="CM56" s="18">
        <f t="shared" ref="CM56:CM57" si="138">+CK56*12.29%</f>
        <v>-3986.8079584775087</v>
      </c>
      <c r="CN56" s="18">
        <f t="shared" ref="CN56:CN57" si="139">+CP56-CO56</f>
        <v>0</v>
      </c>
      <c r="CO56" s="18">
        <f t="shared" ref="CO56:CO57" si="140">+CP56*2.42%</f>
        <v>0</v>
      </c>
      <c r="CP56" s="20"/>
      <c r="CQ56" s="25">
        <f t="shared" ref="CQ56:CQ57" si="141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-129757.78546712805</v>
      </c>
      <c r="C57" s="40">
        <f t="shared" si="79"/>
        <v>-113810.55363321798</v>
      </c>
      <c r="D57" s="51">
        <f t="shared" si="79"/>
        <v>-15947.231833910033</v>
      </c>
      <c r="E57" s="50">
        <f>+L57+S57+Z57+AG57</f>
        <v>-43252.595155709343</v>
      </c>
      <c r="F57" s="58">
        <f t="shared" si="80"/>
        <v>-37936.851211072666</v>
      </c>
      <c r="G57" s="85">
        <f t="shared" si="80"/>
        <v>-5315.743944636678</v>
      </c>
      <c r="H57" s="57">
        <f t="shared" si="81"/>
        <v>-74776.510284000004</v>
      </c>
      <c r="I57" s="58">
        <f t="shared" si="81"/>
        <v>-1854.4697160000001</v>
      </c>
      <c r="J57" s="58">
        <f t="shared" si="81"/>
        <v>-76630.98000000001</v>
      </c>
      <c r="K57" s="127">
        <f t="shared" si="82"/>
        <v>0.77170825760000028</v>
      </c>
      <c r="L57" s="56">
        <f>'[1]STA MARIA'!$E57</f>
        <v>-10813.148788927336</v>
      </c>
      <c r="M57" s="57">
        <f t="shared" si="83"/>
        <v>-9484.2128027681665</v>
      </c>
      <c r="N57" s="57">
        <f t="shared" si="84"/>
        <v>-1328.9359861591695</v>
      </c>
      <c r="O57" s="57">
        <f t="shared" si="85"/>
        <v>-41603.418402000003</v>
      </c>
      <c r="P57" s="57">
        <f t="shared" si="86"/>
        <v>-1031.771598</v>
      </c>
      <c r="Q57" s="58">
        <v>-42635.19</v>
      </c>
      <c r="R57" s="127">
        <f t="shared" si="87"/>
        <v>2.9429023712000002</v>
      </c>
      <c r="S57" s="56">
        <f>'[1]STA MARIA'!$F57</f>
        <v>-10813.148788927336</v>
      </c>
      <c r="T57" s="57">
        <f t="shared" si="88"/>
        <v>-9484.2128027681665</v>
      </c>
      <c r="U57" s="57">
        <f t="shared" si="89"/>
        <v>-1328.9359861591695</v>
      </c>
      <c r="V57" s="57">
        <f t="shared" si="90"/>
        <v>-6146.9447620000001</v>
      </c>
      <c r="W57" s="57">
        <f t="shared" si="91"/>
        <v>-152.44523800000002</v>
      </c>
      <c r="X57" s="58">
        <f>-6299.39</f>
        <v>-6299.39</v>
      </c>
      <c r="Y57" s="127">
        <f>IF(S57=0,"",(+X57/S57-1))</f>
        <v>-0.41743241279999999</v>
      </c>
      <c r="Z57" s="56">
        <f>'[1]STA MARIA'!$G57</f>
        <v>-10813.148788927336</v>
      </c>
      <c r="AA57" s="57">
        <f t="shared" si="92"/>
        <v>-9484.2128027681665</v>
      </c>
      <c r="AB57" s="57">
        <f t="shared" si="93"/>
        <v>-1328.9359861591695</v>
      </c>
      <c r="AC57" s="57">
        <f t="shared" si="94"/>
        <v>-27026.147120000001</v>
      </c>
      <c r="AD57" s="57">
        <f t="shared" si="95"/>
        <v>-670.25288</v>
      </c>
      <c r="AE57" s="58">
        <v>-27696.400000000001</v>
      </c>
      <c r="AF57" s="127">
        <f t="shared" si="96"/>
        <v>1.5613630720000002</v>
      </c>
      <c r="AG57" s="56">
        <f>'[1]STA MARIA'!$H57</f>
        <v>-10813.148788927336</v>
      </c>
      <c r="AH57" s="57">
        <f t="shared" si="97"/>
        <v>-9484.2128027681665</v>
      </c>
      <c r="AI57" s="57">
        <f t="shared" si="98"/>
        <v>-1328.9359861591695</v>
      </c>
      <c r="AJ57" s="57">
        <f t="shared" si="99"/>
        <v>0</v>
      </c>
      <c r="AK57" s="57">
        <f t="shared" si="100"/>
        <v>0</v>
      </c>
      <c r="AL57" s="58"/>
      <c r="AM57" s="127">
        <f t="shared" si="101"/>
        <v>-1</v>
      </c>
      <c r="AN57" s="56">
        <f>'[1]STA MARIA'!$I57</f>
        <v>-10813.148788927336</v>
      </c>
      <c r="AO57" s="57">
        <f t="shared" si="102"/>
        <v>-9484.2128027681665</v>
      </c>
      <c r="AP57" s="57">
        <f t="shared" si="103"/>
        <v>-1328.9359861591695</v>
      </c>
      <c r="AQ57" s="57">
        <f t="shared" si="104"/>
        <v>0</v>
      </c>
      <c r="AR57" s="57">
        <f t="shared" si="105"/>
        <v>0</v>
      </c>
      <c r="AS57" s="58"/>
      <c r="AT57" s="127">
        <f t="shared" si="106"/>
        <v>-1</v>
      </c>
      <c r="AU57" s="56">
        <f>'[1]STA MARIA'!$J57</f>
        <v>-10813.148788927336</v>
      </c>
      <c r="AV57" s="57">
        <f t="shared" si="107"/>
        <v>-9484.2128027681665</v>
      </c>
      <c r="AW57" s="57">
        <f t="shared" si="108"/>
        <v>-1328.9359861591695</v>
      </c>
      <c r="AX57" s="57">
        <f t="shared" si="109"/>
        <v>0</v>
      </c>
      <c r="AY57" s="57">
        <f t="shared" si="110"/>
        <v>0</v>
      </c>
      <c r="AZ57" s="58"/>
      <c r="BA57" s="127">
        <f t="shared" si="111"/>
        <v>-1</v>
      </c>
      <c r="BB57" s="56">
        <f>'[1]STA MARIA'!$K57</f>
        <v>-10813.148788927336</v>
      </c>
      <c r="BC57" s="57">
        <f t="shared" si="112"/>
        <v>-9484.2128027681665</v>
      </c>
      <c r="BD57" s="57">
        <f t="shared" si="113"/>
        <v>-1328.9359861591695</v>
      </c>
      <c r="BE57" s="57">
        <f t="shared" si="114"/>
        <v>0</v>
      </c>
      <c r="BF57" s="57">
        <f t="shared" si="115"/>
        <v>0</v>
      </c>
      <c r="BG57" s="58"/>
      <c r="BH57" s="127">
        <f t="shared" si="116"/>
        <v>-1</v>
      </c>
      <c r="BI57" s="56">
        <f>'[1]STA MARIA'!$L57</f>
        <v>-10813.148788927336</v>
      </c>
      <c r="BJ57" s="57">
        <f t="shared" si="117"/>
        <v>-9484.2128027681665</v>
      </c>
      <c r="BK57" s="57">
        <f t="shared" si="118"/>
        <v>-1328.9359861591695</v>
      </c>
      <c r="BL57" s="57">
        <f t="shared" si="119"/>
        <v>0</v>
      </c>
      <c r="BM57" s="57">
        <f t="shared" si="120"/>
        <v>0</v>
      </c>
      <c r="BN57" s="58"/>
      <c r="BO57" s="127">
        <f t="shared" si="121"/>
        <v>-1</v>
      </c>
      <c r="BP57" s="56">
        <f>'[1]STA MARIA'!$M57</f>
        <v>-10813.148788927336</v>
      </c>
      <c r="BQ57" s="57">
        <f t="shared" si="122"/>
        <v>-9484.2128027681665</v>
      </c>
      <c r="BR57" s="57">
        <f t="shared" si="123"/>
        <v>-1328.9359861591695</v>
      </c>
      <c r="BS57" s="57">
        <f t="shared" si="124"/>
        <v>0</v>
      </c>
      <c r="BT57" s="57">
        <f t="shared" si="125"/>
        <v>0</v>
      </c>
      <c r="BU57" s="58"/>
      <c r="BV57" s="127">
        <f t="shared" si="126"/>
        <v>-1</v>
      </c>
      <c r="BW57" s="56">
        <f>'[1]STA MARIA'!$N57</f>
        <v>-10813.148788927336</v>
      </c>
      <c r="BX57" s="57">
        <f t="shared" si="127"/>
        <v>-9484.2128027681665</v>
      </c>
      <c r="BY57" s="57">
        <f t="shared" si="128"/>
        <v>-1328.9359861591695</v>
      </c>
      <c r="BZ57" s="57">
        <f t="shared" si="129"/>
        <v>0</v>
      </c>
      <c r="CA57" s="57">
        <f t="shared" si="130"/>
        <v>0</v>
      </c>
      <c r="CB57" s="58"/>
      <c r="CC57" s="127">
        <f t="shared" si="131"/>
        <v>-1</v>
      </c>
      <c r="CD57" s="56">
        <f>'[1]STA MARIA'!$O57</f>
        <v>-10813.148788927336</v>
      </c>
      <c r="CE57" s="57">
        <f t="shared" si="132"/>
        <v>-9484.2128027681665</v>
      </c>
      <c r="CF57" s="57">
        <f t="shared" si="133"/>
        <v>-1328.9359861591695</v>
      </c>
      <c r="CG57" s="57">
        <f t="shared" si="134"/>
        <v>0</v>
      </c>
      <c r="CH57" s="57">
        <f t="shared" si="135"/>
        <v>0</v>
      </c>
      <c r="CI57" s="58"/>
      <c r="CJ57" s="127">
        <f t="shared" si="136"/>
        <v>-1</v>
      </c>
      <c r="CK57" s="56">
        <f>'[1]STA MARIA'!$P57</f>
        <v>-10813.148788927336</v>
      </c>
      <c r="CL57" s="57">
        <f t="shared" si="137"/>
        <v>-9484.2128027681665</v>
      </c>
      <c r="CM57" s="57">
        <f t="shared" si="138"/>
        <v>-1328.9359861591695</v>
      </c>
      <c r="CN57" s="57">
        <f t="shared" si="139"/>
        <v>0</v>
      </c>
      <c r="CO57" s="57">
        <f t="shared" si="140"/>
        <v>0</v>
      </c>
      <c r="CP57" s="58"/>
      <c r="CQ57" s="127">
        <f t="shared" si="141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21192928.523372319</v>
      </c>
      <c r="C58" s="90">
        <f t="shared" ref="C58:D58" si="142">+C55+C56+C57</f>
        <v>18588317.607849862</v>
      </c>
      <c r="D58" s="91">
        <f t="shared" si="142"/>
        <v>2604610.9155224576</v>
      </c>
      <c r="E58" s="92">
        <f t="shared" ref="E58:J58" si="143">SUM(E55:E57)</f>
        <v>9385659.6923995446</v>
      </c>
      <c r="F58" s="93">
        <f t="shared" si="143"/>
        <v>8232162.1162036397</v>
      </c>
      <c r="G58" s="94">
        <f t="shared" si="143"/>
        <v>1153497.5761959038</v>
      </c>
      <c r="H58" s="95">
        <f t="shared" si="143"/>
        <v>8382712.4858539989</v>
      </c>
      <c r="I58" s="96">
        <f t="shared" si="143"/>
        <v>207892.64414600001</v>
      </c>
      <c r="J58" s="96">
        <f t="shared" si="143"/>
        <v>8590605.129999999</v>
      </c>
      <c r="K58" s="132">
        <f>+J58/E55-1</f>
        <v>-0.10127611222345356</v>
      </c>
      <c r="L58" s="133">
        <f t="shared" ref="L58:X58" si="144">SUM(L55:L57)</f>
        <v>2222812.6229159278</v>
      </c>
      <c r="M58" s="133">
        <f t="shared" si="144"/>
        <v>1949628.9515595604</v>
      </c>
      <c r="N58" s="133">
        <f t="shared" si="144"/>
        <v>273183.67135636741</v>
      </c>
      <c r="O58" s="95">
        <f t="shared" si="144"/>
        <v>1958746.9446020003</v>
      </c>
      <c r="P58" s="95">
        <f t="shared" si="144"/>
        <v>48577.245397999985</v>
      </c>
      <c r="Q58" s="96">
        <f t="shared" si="144"/>
        <v>2007324.1900000009</v>
      </c>
      <c r="R58" s="132">
        <f>+Q58/L55-1</f>
        <v>-0.11418075084874113</v>
      </c>
      <c r="S58" s="133">
        <f t="shared" si="144"/>
        <v>2149493.001454703</v>
      </c>
      <c r="T58" s="133">
        <f t="shared" si="144"/>
        <v>1885320.3115759203</v>
      </c>
      <c r="U58" s="133">
        <f t="shared" si="144"/>
        <v>264172.68987878301</v>
      </c>
      <c r="V58" s="95">
        <f t="shared" si="144"/>
        <v>1940962.1699300003</v>
      </c>
      <c r="W58" s="95">
        <f t="shared" si="144"/>
        <v>48136.180069999995</v>
      </c>
      <c r="X58" s="96">
        <f t="shared" si="144"/>
        <v>1989098.35</v>
      </c>
      <c r="Y58" s="132">
        <f>+X58/S55-1</f>
        <v>-9.2873175495239213E-2</v>
      </c>
      <c r="Z58" s="133">
        <f t="shared" ref="Z58:AE58" si="145">SUM(Z55:Z57)</f>
        <v>2781543.5194353135</v>
      </c>
      <c r="AA58" s="133">
        <f t="shared" si="145"/>
        <v>2439691.8208967135</v>
      </c>
      <c r="AB58" s="133">
        <f t="shared" si="145"/>
        <v>341851.69853859994</v>
      </c>
      <c r="AC58" s="95">
        <f t="shared" si="145"/>
        <v>2380969.2716600006</v>
      </c>
      <c r="AD58" s="95">
        <f t="shared" si="145"/>
        <v>59048.428340000006</v>
      </c>
      <c r="AE58" s="96">
        <f t="shared" si="145"/>
        <v>2440017.7000000002</v>
      </c>
      <c r="AF58" s="132">
        <f>+AE58/Z55-1</f>
        <v>-0.13621457938274284</v>
      </c>
      <c r="AG58" s="133">
        <f t="shared" ref="AG58:AL58" si="146">SUM(AG55:AG57)</f>
        <v>2231810.5485935993</v>
      </c>
      <c r="AH58" s="133">
        <f t="shared" si="146"/>
        <v>1957521.0321714459</v>
      </c>
      <c r="AI58" s="133">
        <f t="shared" si="146"/>
        <v>274289.51642215333</v>
      </c>
      <c r="AJ58" s="95">
        <f t="shared" si="146"/>
        <v>2102034.0996620003</v>
      </c>
      <c r="AK58" s="95">
        <f t="shared" si="146"/>
        <v>52130.790337999992</v>
      </c>
      <c r="AL58" s="96">
        <f t="shared" si="146"/>
        <v>2154164.8899999997</v>
      </c>
      <c r="AM58" s="132">
        <f>+AL58/AG55-1</f>
        <v>-5.3140614616114856E-2</v>
      </c>
      <c r="AN58" s="133">
        <f t="shared" ref="AN58:AS58" si="147">SUM(AN55:AN57)</f>
        <v>2296834.7299087038</v>
      </c>
      <c r="AO58" s="133">
        <f t="shared" si="147"/>
        <v>2014553.7416029237</v>
      </c>
      <c r="AP58" s="133">
        <f t="shared" si="147"/>
        <v>282280.98830577964</v>
      </c>
      <c r="AQ58" s="95">
        <f t="shared" si="147"/>
        <v>0</v>
      </c>
      <c r="AR58" s="95">
        <f t="shared" si="147"/>
        <v>0</v>
      </c>
      <c r="AS58" s="96">
        <f t="shared" si="147"/>
        <v>0</v>
      </c>
      <c r="AT58" s="132">
        <f>+AS58/AN55-1</f>
        <v>-1</v>
      </c>
      <c r="AU58" s="133">
        <f t="shared" ref="AU58:AZ58" si="148">SUM(AU55:AU57)</f>
        <v>2236042.718422987</v>
      </c>
      <c r="AV58" s="133">
        <f t="shared" si="148"/>
        <v>1961233.068328802</v>
      </c>
      <c r="AW58" s="133">
        <f t="shared" si="148"/>
        <v>274809.65009418508</v>
      </c>
      <c r="AX58" s="95">
        <f t="shared" si="148"/>
        <v>0</v>
      </c>
      <c r="AY58" s="95">
        <f t="shared" si="148"/>
        <v>0</v>
      </c>
      <c r="AZ58" s="96">
        <f t="shared" si="148"/>
        <v>0</v>
      </c>
      <c r="BA58" s="132">
        <f>+AZ58/AU55-1</f>
        <v>-1</v>
      </c>
      <c r="BB58" s="133">
        <f t="shared" ref="BB58:BG58" si="149">SUM(BB55:BB57)</f>
        <v>2439620.9065777706</v>
      </c>
      <c r="BC58" s="133">
        <f t="shared" si="149"/>
        <v>2139791.4971593623</v>
      </c>
      <c r="BD58" s="133">
        <f t="shared" si="149"/>
        <v>299829.40941840789</v>
      </c>
      <c r="BE58" s="95">
        <f t="shared" si="149"/>
        <v>0</v>
      </c>
      <c r="BF58" s="95">
        <f t="shared" si="149"/>
        <v>0</v>
      </c>
      <c r="BG58" s="96">
        <f t="shared" si="149"/>
        <v>0</v>
      </c>
      <c r="BH58" s="132">
        <f>+BG58/BB55-1</f>
        <v>-1</v>
      </c>
      <c r="BI58" s="133">
        <f t="shared" ref="BI58:BN58" si="150">SUM(BI55:BI57)</f>
        <v>1042051.3485422321</v>
      </c>
      <c r="BJ58" s="133">
        <f t="shared" si="150"/>
        <v>913983.23780639144</v>
      </c>
      <c r="BK58" s="133">
        <f t="shared" si="150"/>
        <v>128068.11073584032</v>
      </c>
      <c r="BL58" s="95">
        <f t="shared" si="150"/>
        <v>0</v>
      </c>
      <c r="BM58" s="95">
        <f t="shared" si="150"/>
        <v>0</v>
      </c>
      <c r="BN58" s="96">
        <f t="shared" si="150"/>
        <v>0</v>
      </c>
      <c r="BO58" s="132">
        <f>+BN58/BI55-1</f>
        <v>-1</v>
      </c>
      <c r="BP58" s="133">
        <f t="shared" ref="BP58:BU58" si="151">SUM(BP55:BP57)</f>
        <v>1211327.4597462188</v>
      </c>
      <c r="BQ58" s="133">
        <f t="shared" si="151"/>
        <v>1062455.3149434084</v>
      </c>
      <c r="BR58" s="133">
        <f t="shared" si="151"/>
        <v>148872.1448028103</v>
      </c>
      <c r="BS58" s="95">
        <f t="shared" si="151"/>
        <v>0</v>
      </c>
      <c r="BT58" s="95">
        <f t="shared" si="151"/>
        <v>0</v>
      </c>
      <c r="BU58" s="96">
        <f t="shared" si="151"/>
        <v>0</v>
      </c>
      <c r="BV58" s="132">
        <f>+BU58/BP55-1</f>
        <v>-1</v>
      </c>
      <c r="BW58" s="133">
        <f t="shared" ref="BW58:CB58" si="152">SUM(BW55:BW57)</f>
        <v>857205.14982732246</v>
      </c>
      <c r="BX58" s="133">
        <f t="shared" si="152"/>
        <v>751854.63691354438</v>
      </c>
      <c r="BY58" s="133">
        <f t="shared" si="152"/>
        <v>105350.51291377793</v>
      </c>
      <c r="BZ58" s="95">
        <f t="shared" si="152"/>
        <v>0</v>
      </c>
      <c r="CA58" s="95">
        <f t="shared" si="152"/>
        <v>0</v>
      </c>
      <c r="CB58" s="96">
        <f t="shared" si="152"/>
        <v>0</v>
      </c>
      <c r="CC58" s="132">
        <f>+CB58/BW55-1</f>
        <v>-1</v>
      </c>
      <c r="CD58" s="133">
        <f t="shared" ref="CD58:CI58" si="153">SUM(CD55:CD57)</f>
        <v>906240.47515621851</v>
      </c>
      <c r="CE58" s="133">
        <f t="shared" si="153"/>
        <v>794863.52075951919</v>
      </c>
      <c r="CF58" s="133">
        <f t="shared" si="153"/>
        <v>111376.95439669928</v>
      </c>
      <c r="CG58" s="95">
        <f t="shared" si="153"/>
        <v>0</v>
      </c>
      <c r="CH58" s="95">
        <f t="shared" si="153"/>
        <v>0</v>
      </c>
      <c r="CI58" s="96">
        <f t="shared" si="153"/>
        <v>0</v>
      </c>
      <c r="CJ58" s="132">
        <f>+CI58/CD55-1</f>
        <v>-1</v>
      </c>
      <c r="CK58" s="133">
        <f t="shared" ref="CK58:CP58" si="154">SUM(CK55:CK57)</f>
        <v>817946.04279132234</v>
      </c>
      <c r="CL58" s="133">
        <f t="shared" si="154"/>
        <v>717420.47413226892</v>
      </c>
      <c r="CM58" s="133">
        <f t="shared" si="154"/>
        <v>100525.56865905353</v>
      </c>
      <c r="CN58" s="95">
        <f t="shared" si="154"/>
        <v>0</v>
      </c>
      <c r="CO58" s="95">
        <f t="shared" si="154"/>
        <v>0</v>
      </c>
      <c r="CP58" s="96">
        <f t="shared" si="154"/>
        <v>0</v>
      </c>
      <c r="CQ58" s="132">
        <f>+CP58/CK55-1</f>
        <v>-1</v>
      </c>
    </row>
    <row r="59" spans="1:99" s="105" customFormat="1" ht="14.25" customHeight="1" x14ac:dyDescent="0.2">
      <c r="B59" s="104"/>
      <c r="C59" s="104"/>
      <c r="D59" s="104"/>
      <c r="J59" s="104">
        <f>J58-'[2]STA MARIA'!$O$42</f>
        <v>0</v>
      </c>
      <c r="Q59" s="104">
        <f>Q58-'[2]STA MARIA'!$O$90</f>
        <v>0</v>
      </c>
      <c r="X59" s="104">
        <f>X58-'[2]STA MARIA'!$O$136</f>
        <v>0</v>
      </c>
      <c r="AE59" s="104">
        <f>AE58-'[2]STA MARIA'!$O$182</f>
        <v>0</v>
      </c>
      <c r="AL59" s="104">
        <f>AL58-'[2]STA MARIA'!$O$231</f>
        <v>0</v>
      </c>
      <c r="AS59" s="104">
        <f>AS58-'[3]STA MARIA'!$O$272</f>
        <v>0</v>
      </c>
      <c r="AZ59" s="104">
        <f>AZ58-'[3]STA MARIA'!$O$318</f>
        <v>0</v>
      </c>
      <c r="BG59" s="104">
        <f>BG58-'[3]STA MARIA'!$O$364</f>
        <v>0</v>
      </c>
      <c r="BI59" s="104"/>
      <c r="BJ59" s="104"/>
      <c r="BK59" s="104"/>
      <c r="BL59" s="104"/>
      <c r="BM59" s="104"/>
      <c r="BN59" s="104">
        <f>BN58-'[3]STA MARIA'!$O$410</f>
        <v>0</v>
      </c>
      <c r="BO59" s="104"/>
      <c r="BP59" s="104"/>
      <c r="BQ59" s="104"/>
      <c r="BR59" s="104"/>
      <c r="BS59" s="104"/>
      <c r="BT59" s="104"/>
      <c r="BU59" s="104">
        <f>BU58-'[3]STA MARIA'!$O$456</f>
        <v>0</v>
      </c>
      <c r="BV59" s="104"/>
      <c r="BW59" s="104"/>
      <c r="BX59" s="104"/>
      <c r="BY59" s="104"/>
      <c r="BZ59" s="104"/>
      <c r="CA59" s="104"/>
      <c r="CB59" s="104">
        <f>CB58-'[3]STA MARIA'!$O$502</f>
        <v>0</v>
      </c>
      <c r="CC59" s="104"/>
      <c r="CD59" s="104"/>
      <c r="CE59" s="104"/>
      <c r="CF59" s="104"/>
      <c r="CG59" s="104"/>
      <c r="CH59" s="104"/>
      <c r="CI59" s="104">
        <f>CI58-'[3]STA MARIA'!$O$548</f>
        <v>0</v>
      </c>
      <c r="CP59" s="104">
        <f>CP58-'[3]STA MARIA'!$O$594</f>
        <v>0</v>
      </c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8"/>
      <c r="R61" s="110">
        <f>22.34+6.97+1389.19+129.88+80.5+5.27+1254.07+369.11+196.86+659.13+78.22+13.18+11.25+817.81+99.36+1.87+1389.19+11.55+1254.51+6.64</f>
        <v>7796.9000000000015</v>
      </c>
      <c r="S61" s="107" t="s">
        <v>84</v>
      </c>
      <c r="T61" s="108"/>
      <c r="U61" s="108"/>
      <c r="V61" s="108"/>
      <c r="W61" s="108"/>
      <c r="X61" s="108"/>
      <c r="Y61" s="110">
        <f>84.72+663.6+127.72+8.81+1389.19+158.19+6.97+46.18+29.44+26.37+129.89+31.64+24.29+38.67+47.46+5.27+14.06+1350.08+659.13+13.18</f>
        <v>4854.8599999999997</v>
      </c>
      <c r="Z61" s="107" t="s">
        <v>84</v>
      </c>
      <c r="AA61" s="108"/>
      <c r="AB61" s="108"/>
      <c r="AC61" s="108"/>
      <c r="AD61" s="108"/>
      <c r="AE61" s="108"/>
      <c r="AF61" s="110">
        <f>6.97+35.08+32.52+5.27+210.92+659.13+13.18+1389.19+68.75+19.33+71.92+569.43+99.45</f>
        <v>3181.14</v>
      </c>
      <c r="AG61" s="107" t="s">
        <v>84</v>
      </c>
      <c r="AH61" s="108"/>
      <c r="AI61" s="108"/>
      <c r="AJ61" s="108"/>
      <c r="AK61" s="108"/>
      <c r="AL61" s="108"/>
      <c r="AM61" s="110">
        <f>13.18+65.17+88.18+6.97+295.29+369.11+50.9+21.27+58+9.15+5.27+1281.79+659.13+746.65+1389.16+32.52</f>
        <v>5091.7400000000007</v>
      </c>
      <c r="AN61" s="107"/>
      <c r="AO61" s="108"/>
      <c r="AP61" s="108"/>
      <c r="AQ61" s="108"/>
      <c r="AR61" s="108"/>
      <c r="AS61" s="108"/>
      <c r="AT61" s="110"/>
      <c r="AU61" s="107"/>
      <c r="AV61" s="108"/>
      <c r="AW61" s="108"/>
      <c r="AX61" s="108"/>
      <c r="AY61" s="108"/>
      <c r="AZ61" s="108"/>
      <c r="BA61" s="110"/>
      <c r="BB61" s="107"/>
      <c r="BC61" s="108"/>
      <c r="BD61" s="108"/>
      <c r="BE61" s="108"/>
      <c r="BF61" s="108"/>
      <c r="BG61" s="108"/>
      <c r="BH61" s="110"/>
      <c r="BI61" s="107"/>
      <c r="BJ61" s="108"/>
      <c r="BK61" s="108"/>
      <c r="BL61" s="108"/>
      <c r="BM61" s="108"/>
      <c r="BN61" s="108"/>
      <c r="BO61" s="110"/>
      <c r="BP61" s="107"/>
      <c r="BQ61" s="108"/>
      <c r="BR61" s="108"/>
      <c r="BS61" s="108"/>
      <c r="BT61" s="108"/>
      <c r="BU61" s="108"/>
      <c r="BV61" s="110"/>
      <c r="BW61" s="107"/>
      <c r="BX61" s="108"/>
      <c r="BY61" s="108"/>
      <c r="BZ61" s="108"/>
      <c r="CA61" s="108"/>
      <c r="CB61" s="108"/>
      <c r="CC61" s="110"/>
      <c r="CD61" s="107"/>
      <c r="CE61" s="108"/>
      <c r="CF61" s="108"/>
      <c r="CG61" s="108"/>
      <c r="CH61" s="108"/>
      <c r="CI61" s="108"/>
      <c r="CJ61" s="110"/>
      <c r="CK61" s="107"/>
      <c r="CL61" s="108"/>
      <c r="CM61" s="108"/>
      <c r="CN61" s="108"/>
      <c r="CO61" s="108"/>
      <c r="CP61" s="108"/>
      <c r="CQ61" s="110"/>
    </row>
    <row r="62" spans="1:99" ht="14.25" customHeight="1" x14ac:dyDescent="0.2">
      <c r="L62" s="107" t="s">
        <v>86</v>
      </c>
      <c r="M62" s="108"/>
      <c r="N62" s="108"/>
      <c r="O62" s="108"/>
      <c r="P62" s="108"/>
      <c r="Q62" s="108"/>
      <c r="R62" s="110">
        <f>788.2</f>
        <v>788.2</v>
      </c>
      <c r="S62" s="107" t="s">
        <v>86</v>
      </c>
      <c r="T62" s="108"/>
      <c r="U62" s="108"/>
      <c r="V62" s="108"/>
      <c r="W62" s="108"/>
      <c r="X62" s="108"/>
      <c r="Y62" s="110">
        <f>622.02</f>
        <v>622.02</v>
      </c>
      <c r="Z62" s="107" t="s">
        <v>86</v>
      </c>
      <c r="AA62" s="108"/>
      <c r="AB62" s="108"/>
      <c r="AC62" s="108"/>
      <c r="AD62" s="108"/>
      <c r="AE62" s="108"/>
      <c r="AF62" s="110">
        <v>805.89</v>
      </c>
      <c r="AG62" s="107" t="s">
        <v>86</v>
      </c>
      <c r="AH62" s="108"/>
      <c r="AI62" s="108"/>
      <c r="AJ62" s="108"/>
      <c r="AK62" s="108"/>
      <c r="AL62" s="108"/>
      <c r="AM62" s="110">
        <v>752.12</v>
      </c>
      <c r="AN62" s="107"/>
      <c r="AO62" s="108"/>
      <c r="AP62" s="108"/>
      <c r="AQ62" s="108"/>
      <c r="AR62" s="108"/>
      <c r="AS62" s="108"/>
      <c r="AT62" s="110"/>
      <c r="AU62" s="107"/>
      <c r="AV62" s="108"/>
      <c r="AW62" s="108"/>
      <c r="AX62" s="108"/>
      <c r="AY62" s="108"/>
      <c r="AZ62" s="108"/>
      <c r="BA62" s="110"/>
      <c r="BB62" s="107"/>
      <c r="BC62" s="108"/>
      <c r="BD62" s="108"/>
      <c r="BE62" s="108"/>
      <c r="BF62" s="108"/>
      <c r="BG62" s="108"/>
      <c r="BH62" s="110"/>
      <c r="BI62" s="107"/>
      <c r="BJ62" s="108"/>
      <c r="BK62" s="108"/>
      <c r="BL62" s="108"/>
      <c r="BM62" s="108"/>
      <c r="BN62" s="108"/>
      <c r="BO62" s="110"/>
      <c r="BP62" s="107"/>
      <c r="BQ62" s="108"/>
      <c r="BR62" s="108"/>
      <c r="BS62" s="108"/>
      <c r="BT62" s="108"/>
      <c r="BU62" s="108"/>
      <c r="BV62" s="110"/>
      <c r="BW62" s="107"/>
      <c r="BX62" s="108"/>
      <c r="BY62" s="108"/>
      <c r="BZ62" s="108"/>
      <c r="CA62" s="108"/>
      <c r="CB62" s="108"/>
      <c r="CC62" s="110"/>
      <c r="CD62" s="107"/>
      <c r="CE62" s="108"/>
      <c r="CF62" s="108"/>
      <c r="CG62" s="108"/>
      <c r="CH62" s="108"/>
      <c r="CI62" s="108"/>
      <c r="CJ62" s="110"/>
      <c r="CK62" s="107"/>
      <c r="CL62" s="108"/>
      <c r="CM62" s="108"/>
      <c r="CN62" s="108"/>
      <c r="CO62" s="108"/>
      <c r="CP62" s="108"/>
      <c r="CQ62" s="110"/>
    </row>
    <row r="63" spans="1:99" ht="14.25" customHeight="1" x14ac:dyDescent="0.2">
      <c r="L63" s="107" t="s">
        <v>87</v>
      </c>
      <c r="M63" s="108"/>
      <c r="N63" s="108"/>
      <c r="O63" s="108"/>
      <c r="P63" s="108"/>
      <c r="Q63" s="108"/>
      <c r="R63" s="110">
        <f>668.65</f>
        <v>668.65</v>
      </c>
      <c r="S63" s="107" t="s">
        <v>87</v>
      </c>
      <c r="T63" s="108"/>
      <c r="U63" s="108"/>
      <c r="V63" s="108"/>
      <c r="W63" s="108"/>
      <c r="X63" s="108"/>
      <c r="Y63" s="110">
        <v>666.6</v>
      </c>
      <c r="Z63" s="107" t="s">
        <v>87</v>
      </c>
      <c r="AA63" s="108"/>
      <c r="AB63" s="108"/>
      <c r="AC63" s="108"/>
      <c r="AD63" s="108"/>
      <c r="AE63" s="108"/>
      <c r="AF63" s="110">
        <f>853.63</f>
        <v>853.63</v>
      </c>
      <c r="AG63" s="107" t="s">
        <v>87</v>
      </c>
      <c r="AH63" s="108"/>
      <c r="AI63" s="108"/>
      <c r="AJ63" s="108"/>
      <c r="AK63" s="108"/>
      <c r="AL63" s="108"/>
      <c r="AM63" s="110">
        <f>389.9+120</f>
        <v>509.9</v>
      </c>
      <c r="AN63" s="107"/>
      <c r="AO63" s="108"/>
      <c r="AP63" s="108"/>
      <c r="AQ63" s="108"/>
      <c r="AR63" s="108"/>
      <c r="AS63" s="108"/>
      <c r="AT63" s="110"/>
      <c r="AU63" s="107"/>
      <c r="AV63" s="108"/>
      <c r="AW63" s="108"/>
      <c r="AX63" s="108"/>
      <c r="AY63" s="108"/>
      <c r="AZ63" s="108"/>
      <c r="BA63" s="110"/>
      <c r="BB63" s="107"/>
      <c r="BC63" s="108"/>
      <c r="BD63" s="108"/>
      <c r="BE63" s="108"/>
      <c r="BF63" s="108"/>
      <c r="BG63" s="108"/>
      <c r="BH63" s="110"/>
      <c r="BI63" s="107"/>
      <c r="BJ63" s="108"/>
      <c r="BK63" s="108"/>
      <c r="BL63" s="108"/>
      <c r="BM63" s="108"/>
      <c r="BN63" s="108"/>
      <c r="BO63" s="110"/>
      <c r="BP63" s="107"/>
      <c r="BQ63" s="108"/>
      <c r="BR63" s="108"/>
      <c r="BS63" s="108"/>
      <c r="BT63" s="108"/>
      <c r="BU63" s="108"/>
      <c r="BV63" s="110"/>
      <c r="BW63" s="107"/>
      <c r="BX63" s="108"/>
      <c r="BY63" s="108"/>
      <c r="BZ63" s="108"/>
      <c r="CA63" s="108"/>
      <c r="CB63" s="108"/>
      <c r="CC63" s="110"/>
      <c r="CD63" s="107"/>
      <c r="CE63" s="108"/>
      <c r="CF63" s="108"/>
      <c r="CG63" s="108"/>
      <c r="CH63" s="108"/>
      <c r="CI63" s="108"/>
      <c r="CJ63" s="110"/>
      <c r="CK63" s="107"/>
      <c r="CL63" s="108"/>
      <c r="CM63" s="108"/>
      <c r="CN63" s="108"/>
      <c r="CO63" s="108"/>
      <c r="CP63" s="108"/>
      <c r="CQ63" s="110"/>
    </row>
    <row r="64" spans="1:99" ht="14.25" customHeight="1" x14ac:dyDescent="0.2">
      <c r="L64" s="107" t="s">
        <v>89</v>
      </c>
      <c r="M64" s="108"/>
      <c r="N64" s="108"/>
      <c r="O64" s="108"/>
      <c r="P64" s="108"/>
      <c r="Q64" s="108"/>
      <c r="R64" s="110">
        <f>1094.4</f>
        <v>1094.4000000000001</v>
      </c>
      <c r="S64" s="107" t="s">
        <v>89</v>
      </c>
      <c r="T64" s="108"/>
      <c r="U64" s="108"/>
      <c r="V64" s="108"/>
      <c r="W64" s="108"/>
      <c r="X64" s="108"/>
      <c r="Y64" s="110">
        <f>145.02</f>
        <v>145.02000000000001</v>
      </c>
      <c r="Z64" s="107" t="s">
        <v>89</v>
      </c>
      <c r="AA64" s="108"/>
      <c r="AB64" s="108"/>
      <c r="AC64" s="108"/>
      <c r="AD64" s="108"/>
      <c r="AE64" s="108"/>
      <c r="AF64" s="110">
        <f>1455.51</f>
        <v>1455.51</v>
      </c>
      <c r="AG64" s="107" t="s">
        <v>89</v>
      </c>
      <c r="AH64" s="108"/>
      <c r="AI64" s="108"/>
      <c r="AJ64" s="108"/>
      <c r="AK64" s="108"/>
      <c r="AL64" s="108"/>
      <c r="AM64" s="110"/>
      <c r="AN64" s="107"/>
      <c r="AO64" s="108"/>
      <c r="AP64" s="108"/>
      <c r="AQ64" s="108"/>
      <c r="AR64" s="108"/>
      <c r="AS64" s="108"/>
      <c r="AT64" s="110"/>
      <c r="AU64" s="107"/>
      <c r="AV64" s="108"/>
      <c r="AW64" s="108"/>
      <c r="AX64" s="108"/>
      <c r="AY64" s="108"/>
      <c r="AZ64" s="108"/>
      <c r="BA64" s="110"/>
      <c r="BB64" s="107"/>
      <c r="BC64" s="108"/>
      <c r="BD64" s="108"/>
      <c r="BE64" s="108"/>
      <c r="BF64" s="108"/>
      <c r="BG64" s="108"/>
      <c r="BH64" s="110"/>
      <c r="BI64" s="107"/>
      <c r="BJ64" s="108"/>
      <c r="BK64" s="108"/>
      <c r="BL64" s="108"/>
      <c r="BM64" s="108"/>
      <c r="BN64" s="108"/>
      <c r="BO64" s="110"/>
      <c r="BP64" s="107"/>
      <c r="BQ64" s="108"/>
      <c r="BR64" s="108"/>
      <c r="BS64" s="108"/>
      <c r="BT64" s="108"/>
      <c r="BU64" s="108"/>
      <c r="BV64" s="110"/>
      <c r="BW64" s="107"/>
      <c r="BX64" s="108"/>
      <c r="BY64" s="108"/>
      <c r="BZ64" s="108"/>
      <c r="CA64" s="108"/>
      <c r="CB64" s="108"/>
      <c r="CC64" s="110"/>
      <c r="CD64" s="107"/>
      <c r="CE64" s="108"/>
      <c r="CF64" s="108"/>
      <c r="CG64" s="108"/>
      <c r="CH64" s="108"/>
      <c r="CI64" s="108"/>
      <c r="CJ64" s="110"/>
      <c r="CK64" s="107"/>
      <c r="CL64" s="108"/>
      <c r="CM64" s="108"/>
      <c r="CN64" s="108"/>
      <c r="CO64" s="108"/>
      <c r="CP64" s="108"/>
      <c r="CQ64" s="110"/>
    </row>
    <row r="65" spans="12:99" ht="14.25" customHeight="1" x14ac:dyDescent="0.2">
      <c r="L65" s="107" t="s">
        <v>109</v>
      </c>
      <c r="M65" s="108"/>
      <c r="N65" s="108"/>
      <c r="O65" s="108"/>
      <c r="P65" s="108"/>
      <c r="Q65" s="108"/>
      <c r="R65" s="110">
        <f>550</f>
        <v>550</v>
      </c>
      <c r="S65" s="107" t="s">
        <v>109</v>
      </c>
      <c r="T65" s="108"/>
      <c r="U65" s="108"/>
      <c r="V65" s="108"/>
      <c r="W65" s="108"/>
      <c r="X65" s="108"/>
      <c r="Y65" s="110">
        <f>325</f>
        <v>325</v>
      </c>
      <c r="Z65" s="107" t="s">
        <v>109</v>
      </c>
      <c r="AA65" s="108"/>
      <c r="AB65" s="108"/>
      <c r="AC65" s="108"/>
      <c r="AD65" s="108"/>
      <c r="AE65" s="108"/>
      <c r="AF65" s="110"/>
      <c r="AG65" s="107" t="s">
        <v>109</v>
      </c>
      <c r="AH65" s="108"/>
      <c r="AI65" s="108"/>
      <c r="AJ65" s="108"/>
      <c r="AK65" s="108"/>
      <c r="AL65" s="108"/>
      <c r="AM65" s="110">
        <f>250+275</f>
        <v>525</v>
      </c>
      <c r="AN65" s="107"/>
      <c r="AO65" s="108"/>
      <c r="AP65" s="108"/>
      <c r="AQ65" s="108"/>
      <c r="AR65" s="108"/>
      <c r="AS65" s="108"/>
      <c r="AT65" s="110"/>
      <c r="AU65" s="107"/>
      <c r="AV65" s="108"/>
      <c r="AW65" s="108"/>
      <c r="AX65" s="108"/>
      <c r="AY65" s="108"/>
      <c r="AZ65" s="108"/>
      <c r="BA65" s="110"/>
      <c r="BB65" s="107"/>
      <c r="BC65" s="108"/>
      <c r="BD65" s="108"/>
      <c r="BE65" s="108"/>
      <c r="BF65" s="108"/>
      <c r="BG65" s="108"/>
      <c r="BH65" s="110"/>
      <c r="BI65" s="107"/>
      <c r="BJ65" s="108"/>
      <c r="BK65" s="108"/>
      <c r="BL65" s="108"/>
      <c r="BM65" s="108"/>
      <c r="BN65" s="108"/>
      <c r="BO65" s="110"/>
      <c r="BP65" s="107"/>
      <c r="BQ65" s="108"/>
      <c r="BR65" s="108"/>
      <c r="BS65" s="108"/>
      <c r="BT65" s="108"/>
      <c r="BU65" s="108"/>
      <c r="BV65" s="110"/>
      <c r="BW65" s="107"/>
      <c r="BX65" s="108"/>
      <c r="BY65" s="108"/>
      <c r="BZ65" s="108"/>
      <c r="CA65" s="108"/>
      <c r="CB65" s="108"/>
      <c r="CC65" s="110"/>
      <c r="CD65" s="107"/>
      <c r="CE65" s="108"/>
      <c r="CF65" s="108"/>
      <c r="CG65" s="108"/>
      <c r="CH65" s="108"/>
      <c r="CI65" s="108"/>
      <c r="CJ65" s="110"/>
      <c r="CK65" s="107"/>
      <c r="CL65" s="108"/>
      <c r="CM65" s="108"/>
      <c r="CN65" s="108"/>
      <c r="CO65" s="108"/>
      <c r="CP65" s="108"/>
      <c r="CQ65" s="110"/>
    </row>
    <row r="66" spans="12:99" ht="14.25" customHeight="1" x14ac:dyDescent="0.2">
      <c r="L66" s="107" t="s">
        <v>101</v>
      </c>
      <c r="M66" s="108"/>
      <c r="N66" s="108"/>
      <c r="O66" s="108"/>
      <c r="P66" s="108"/>
      <c r="Q66" s="108"/>
      <c r="R66" s="110">
        <f>482.17</f>
        <v>482.17</v>
      </c>
      <c r="S66" s="107" t="s">
        <v>101</v>
      </c>
      <c r="T66" s="108"/>
      <c r="U66" s="108"/>
      <c r="V66" s="108"/>
      <c r="W66" s="108"/>
      <c r="X66" s="108"/>
      <c r="Y66" s="110">
        <f>482.17+180.18+180.18</f>
        <v>842.53</v>
      </c>
      <c r="Z66" s="107" t="s">
        <v>101</v>
      </c>
      <c r="AA66" s="108"/>
      <c r="AB66" s="108"/>
      <c r="AC66" s="108"/>
      <c r="AD66" s="108"/>
      <c r="AE66" s="108"/>
      <c r="AF66" s="110">
        <f>482.17+180.18</f>
        <v>662.35</v>
      </c>
      <c r="AG66" s="107" t="s">
        <v>101</v>
      </c>
      <c r="AH66" s="108"/>
      <c r="AI66" s="108"/>
      <c r="AJ66" s="108"/>
      <c r="AK66" s="108"/>
      <c r="AL66" s="108"/>
      <c r="AM66" s="110">
        <f>482.17+180.18</f>
        <v>662.35</v>
      </c>
      <c r="AN66" s="107"/>
      <c r="AO66" s="108"/>
      <c r="AP66" s="108"/>
      <c r="AQ66" s="108"/>
      <c r="AR66" s="108"/>
      <c r="AS66" s="108"/>
      <c r="AT66" s="110"/>
      <c r="AU66" s="107"/>
      <c r="AV66" s="108"/>
      <c r="AW66" s="108"/>
      <c r="AX66" s="108"/>
      <c r="AY66" s="108"/>
      <c r="AZ66" s="108"/>
      <c r="BA66" s="110"/>
      <c r="BB66" s="107"/>
      <c r="BC66" s="108"/>
      <c r="BD66" s="108"/>
      <c r="BE66" s="108"/>
      <c r="BF66" s="108"/>
      <c r="BG66" s="108"/>
      <c r="BH66" s="110"/>
      <c r="BI66" s="107"/>
      <c r="BJ66" s="108"/>
      <c r="BK66" s="108"/>
      <c r="BL66" s="108"/>
      <c r="BM66" s="108"/>
      <c r="BN66" s="108"/>
      <c r="BO66" s="110"/>
      <c r="BP66" s="107"/>
      <c r="BQ66" s="108"/>
      <c r="BR66" s="108"/>
      <c r="BS66" s="108"/>
      <c r="BT66" s="108"/>
      <c r="BU66" s="108"/>
      <c r="BV66" s="110"/>
      <c r="BW66" s="107"/>
      <c r="BX66" s="108"/>
      <c r="BY66" s="108"/>
      <c r="BZ66" s="108"/>
      <c r="CA66" s="108"/>
      <c r="CB66" s="108"/>
      <c r="CC66" s="110"/>
      <c r="CD66" s="107"/>
      <c r="CE66" s="108"/>
      <c r="CF66" s="108"/>
      <c r="CG66" s="108"/>
      <c r="CH66" s="108"/>
      <c r="CI66" s="108"/>
      <c r="CJ66" s="110"/>
      <c r="CK66" s="107"/>
      <c r="CL66" s="108"/>
      <c r="CM66" s="108"/>
      <c r="CN66" s="108"/>
      <c r="CO66" s="108"/>
      <c r="CP66" s="108"/>
      <c r="CQ66" s="110"/>
    </row>
    <row r="67" spans="12:99" ht="14.25" customHeight="1" x14ac:dyDescent="0.2">
      <c r="L67" s="107" t="s">
        <v>132</v>
      </c>
      <c r="M67" s="108"/>
      <c r="N67" s="108"/>
      <c r="O67" s="108"/>
      <c r="P67" s="108"/>
      <c r="Q67" s="108"/>
      <c r="R67" s="110">
        <f>2060</f>
        <v>2060</v>
      </c>
      <c r="S67" s="107" t="s">
        <v>99</v>
      </c>
      <c r="T67" s="108"/>
      <c r="U67" s="108"/>
      <c r="V67" s="108"/>
      <c r="W67" s="108"/>
      <c r="X67" s="108"/>
      <c r="Y67" s="110">
        <f>751.51</f>
        <v>751.51</v>
      </c>
      <c r="Z67" s="107" t="s">
        <v>99</v>
      </c>
      <c r="AA67" s="108"/>
      <c r="AB67" s="108"/>
      <c r="AC67" s="108"/>
      <c r="AD67" s="108"/>
      <c r="AE67" s="108"/>
      <c r="AF67" s="110"/>
      <c r="AG67" s="107" t="s">
        <v>99</v>
      </c>
      <c r="AH67" s="108"/>
      <c r="AI67" s="108"/>
      <c r="AJ67" s="108"/>
      <c r="AK67" s="108"/>
      <c r="AL67" s="108"/>
      <c r="AM67" s="110">
        <f>810.66</f>
        <v>810.66</v>
      </c>
      <c r="AN67" s="107"/>
      <c r="AO67" s="108"/>
      <c r="AP67" s="108"/>
      <c r="AQ67" s="108"/>
      <c r="AR67" s="108"/>
      <c r="AS67" s="108"/>
      <c r="AT67" s="110"/>
      <c r="AU67" s="107"/>
      <c r="AV67" s="108"/>
      <c r="AW67" s="108"/>
      <c r="AX67" s="108"/>
      <c r="AY67" s="108"/>
      <c r="AZ67" s="108"/>
      <c r="BA67" s="110"/>
      <c r="BB67" s="107"/>
      <c r="BC67" s="108"/>
      <c r="BD67" s="108"/>
      <c r="BE67" s="108"/>
      <c r="BF67" s="108"/>
      <c r="BG67" s="108"/>
      <c r="BH67" s="110"/>
      <c r="BI67" s="107"/>
      <c r="BJ67" s="108"/>
      <c r="BK67" s="108"/>
      <c r="BL67" s="108"/>
      <c r="BM67" s="108"/>
      <c r="BN67" s="108"/>
      <c r="BO67" s="110"/>
      <c r="BP67" s="107"/>
      <c r="BQ67" s="108"/>
      <c r="BR67" s="108"/>
      <c r="BS67" s="108"/>
      <c r="BT67" s="108"/>
      <c r="BU67" s="108"/>
      <c r="BV67" s="110"/>
      <c r="BW67" s="107"/>
      <c r="BX67" s="108"/>
      <c r="BY67" s="108"/>
      <c r="BZ67" s="108"/>
      <c r="CA67" s="108"/>
      <c r="CB67" s="108"/>
      <c r="CC67" s="110"/>
      <c r="CD67" s="107"/>
      <c r="CE67" s="108"/>
      <c r="CF67" s="108"/>
      <c r="CG67" s="108"/>
      <c r="CH67" s="108"/>
      <c r="CI67" s="108"/>
      <c r="CJ67" s="110"/>
      <c r="CK67" s="107"/>
      <c r="CL67" s="108"/>
      <c r="CM67" s="108"/>
      <c r="CN67" s="108"/>
      <c r="CO67" s="108"/>
      <c r="CP67" s="108"/>
      <c r="CQ67" s="110"/>
    </row>
    <row r="68" spans="12:99" ht="14.25" customHeight="1" x14ac:dyDescent="0.2">
      <c r="L68" s="107" t="s">
        <v>94</v>
      </c>
      <c r="M68" s="108"/>
      <c r="N68" s="108"/>
      <c r="O68" s="108"/>
      <c r="P68" s="108"/>
      <c r="Q68" s="108"/>
      <c r="R68" s="110">
        <f>177.1</f>
        <v>177.1</v>
      </c>
      <c r="S68" s="107" t="s">
        <v>94</v>
      </c>
      <c r="T68" s="108"/>
      <c r="U68" s="108"/>
      <c r="V68" s="108"/>
      <c r="W68" s="108"/>
      <c r="X68" s="108"/>
      <c r="Y68" s="110"/>
      <c r="Z68" s="107" t="s">
        <v>94</v>
      </c>
      <c r="AA68" s="108"/>
      <c r="AB68" s="108"/>
      <c r="AC68" s="108"/>
      <c r="AD68" s="108"/>
      <c r="AE68" s="108"/>
      <c r="AF68" s="110"/>
      <c r="AG68" s="107" t="s">
        <v>94</v>
      </c>
      <c r="AH68" s="108"/>
      <c r="AI68" s="108"/>
      <c r="AJ68" s="108"/>
      <c r="AK68" s="108"/>
      <c r="AL68" s="108"/>
      <c r="AM68" s="110"/>
      <c r="AN68" s="107"/>
      <c r="AO68" s="108"/>
      <c r="AP68" s="108"/>
      <c r="AQ68" s="108"/>
      <c r="AR68" s="108"/>
      <c r="AS68" s="108"/>
      <c r="AT68" s="110"/>
      <c r="AU68" s="107"/>
      <c r="AV68" s="108"/>
      <c r="AW68" s="108"/>
      <c r="AX68" s="108"/>
      <c r="AY68" s="108"/>
      <c r="AZ68" s="108"/>
      <c r="BA68" s="110"/>
      <c r="BB68" s="107"/>
      <c r="BC68" s="108"/>
      <c r="BD68" s="108"/>
      <c r="BE68" s="108"/>
      <c r="BF68" s="108"/>
      <c r="BG68" s="108"/>
      <c r="BH68" s="110"/>
      <c r="BI68" s="107"/>
      <c r="BJ68" s="108"/>
      <c r="BK68" s="108"/>
      <c r="BL68" s="108"/>
      <c r="BM68" s="108"/>
      <c r="BN68" s="108"/>
      <c r="BO68" s="110"/>
      <c r="BP68" s="107"/>
      <c r="BQ68" s="108"/>
      <c r="BR68" s="108"/>
      <c r="BS68" s="108"/>
      <c r="BT68" s="108"/>
      <c r="BU68" s="108"/>
      <c r="BV68" s="110"/>
      <c r="BW68" s="107"/>
      <c r="BX68" s="108"/>
      <c r="BY68" s="108"/>
      <c r="BZ68" s="108"/>
      <c r="CA68" s="108"/>
      <c r="CB68" s="108"/>
      <c r="CC68" s="110"/>
      <c r="CD68" s="107"/>
      <c r="CE68" s="108"/>
      <c r="CF68" s="108"/>
      <c r="CG68" s="108"/>
      <c r="CH68" s="108"/>
      <c r="CI68" s="108"/>
      <c r="CJ68" s="110"/>
      <c r="CK68" s="107"/>
      <c r="CL68" s="108"/>
      <c r="CM68" s="108"/>
      <c r="CN68" s="108"/>
      <c r="CO68" s="108"/>
      <c r="CP68" s="108"/>
      <c r="CQ68" s="110"/>
    </row>
    <row r="69" spans="12:99" ht="14.25" customHeight="1" x14ac:dyDescent="0.2">
      <c r="L69" s="107" t="s">
        <v>95</v>
      </c>
      <c r="M69" s="108"/>
      <c r="N69" s="108"/>
      <c r="O69" s="108"/>
      <c r="P69" s="108"/>
      <c r="Q69" s="108"/>
      <c r="R69" s="110">
        <f>925</f>
        <v>925</v>
      </c>
      <c r="S69" s="107" t="s">
        <v>95</v>
      </c>
      <c r="T69" s="108"/>
      <c r="U69" s="108"/>
      <c r="V69" s="108"/>
      <c r="W69" s="108"/>
      <c r="X69" s="108"/>
      <c r="Y69" s="110"/>
      <c r="Z69" s="107" t="s">
        <v>95</v>
      </c>
      <c r="AA69" s="108"/>
      <c r="AB69" s="108"/>
      <c r="AC69" s="108"/>
      <c r="AD69" s="108"/>
      <c r="AE69" s="108"/>
      <c r="AF69" s="110">
        <f>900</f>
        <v>900</v>
      </c>
      <c r="AG69" s="107" t="s">
        <v>95</v>
      </c>
      <c r="AH69" s="108"/>
      <c r="AI69" s="108"/>
      <c r="AJ69" s="108"/>
      <c r="AK69" s="108"/>
      <c r="AL69" s="108"/>
      <c r="AM69" s="110">
        <f>900</f>
        <v>900</v>
      </c>
      <c r="AN69" s="107"/>
      <c r="AO69" s="108"/>
      <c r="AP69" s="108"/>
      <c r="AQ69" s="108"/>
      <c r="AR69" s="108"/>
      <c r="AS69" s="108"/>
      <c r="AT69" s="110"/>
      <c r="AU69" s="107"/>
      <c r="AV69" s="108"/>
      <c r="AW69" s="108"/>
      <c r="AX69" s="108"/>
      <c r="AY69" s="108"/>
      <c r="AZ69" s="108"/>
      <c r="BA69" s="110"/>
      <c r="BB69" s="107"/>
      <c r="BC69" s="108"/>
      <c r="BD69" s="108"/>
      <c r="BE69" s="108"/>
      <c r="BF69" s="108"/>
      <c r="BG69" s="108"/>
      <c r="BH69" s="110"/>
      <c r="BI69" s="107"/>
      <c r="BJ69" s="108"/>
      <c r="BK69" s="108"/>
      <c r="BL69" s="108"/>
      <c r="BM69" s="108"/>
      <c r="BN69" s="108"/>
      <c r="BO69" s="110"/>
      <c r="BP69" s="107"/>
      <c r="BQ69" s="108"/>
      <c r="BR69" s="108"/>
      <c r="BS69" s="108"/>
      <c r="BT69" s="108"/>
      <c r="BU69" s="108"/>
      <c r="BV69" s="110"/>
      <c r="BW69" s="107"/>
      <c r="BX69" s="108"/>
      <c r="BY69" s="108"/>
      <c r="BZ69" s="108"/>
      <c r="CA69" s="108"/>
      <c r="CB69" s="108"/>
      <c r="CC69" s="110"/>
      <c r="CD69" s="107"/>
      <c r="CE69" s="108"/>
      <c r="CF69" s="108"/>
      <c r="CG69" s="108"/>
      <c r="CH69" s="108"/>
      <c r="CI69" s="108"/>
      <c r="CJ69" s="110"/>
      <c r="CK69" s="107"/>
      <c r="CL69" s="108"/>
      <c r="CM69" s="108"/>
      <c r="CN69" s="108"/>
      <c r="CO69" s="108"/>
      <c r="CP69" s="108"/>
      <c r="CQ69" s="110"/>
    </row>
    <row r="70" spans="12:99" ht="14.25" customHeight="1" x14ac:dyDescent="0.2">
      <c r="L70" s="107" t="s">
        <v>90</v>
      </c>
      <c r="M70" s="108"/>
      <c r="N70" s="108"/>
      <c r="O70" s="108"/>
      <c r="P70" s="108"/>
      <c r="Q70" s="108"/>
      <c r="R70" s="110">
        <f>873.5+580</f>
        <v>1453.5</v>
      </c>
      <c r="S70" s="107" t="s">
        <v>90</v>
      </c>
      <c r="T70" s="108"/>
      <c r="U70" s="108"/>
      <c r="V70" s="108"/>
      <c r="W70" s="108"/>
      <c r="X70" s="108"/>
      <c r="Y70" s="110"/>
      <c r="Z70" s="107" t="s">
        <v>90</v>
      </c>
      <c r="AA70" s="108"/>
      <c r="AB70" s="108"/>
      <c r="AC70" s="108"/>
      <c r="AD70" s="108"/>
      <c r="AE70" s="108"/>
      <c r="AF70" s="110">
        <f>411</f>
        <v>411</v>
      </c>
      <c r="AG70" s="107" t="s">
        <v>90</v>
      </c>
      <c r="AH70" s="108"/>
      <c r="AI70" s="108"/>
      <c r="AJ70" s="108"/>
      <c r="AK70" s="108"/>
      <c r="AL70" s="108"/>
      <c r="AM70" s="110">
        <f>1301+869</f>
        <v>2170</v>
      </c>
      <c r="AN70" s="107"/>
      <c r="AO70" s="108"/>
      <c r="AP70" s="108"/>
      <c r="AQ70" s="108"/>
      <c r="AR70" s="108"/>
      <c r="AS70" s="108"/>
      <c r="AT70" s="110"/>
      <c r="AU70" s="107"/>
      <c r="AV70" s="108"/>
      <c r="AW70" s="108"/>
      <c r="AX70" s="108"/>
      <c r="AY70" s="108"/>
      <c r="AZ70" s="108"/>
      <c r="BA70" s="110"/>
      <c r="BB70" s="107"/>
      <c r="BC70" s="108"/>
      <c r="BD70" s="108"/>
      <c r="BE70" s="108"/>
      <c r="BF70" s="108"/>
      <c r="BG70" s="108"/>
      <c r="BH70" s="110"/>
      <c r="BI70" s="107"/>
      <c r="BJ70" s="108"/>
      <c r="BK70" s="108"/>
      <c r="BL70" s="108"/>
      <c r="BM70" s="108"/>
      <c r="BN70" s="108"/>
      <c r="BO70" s="110"/>
      <c r="BP70" s="107"/>
      <c r="BQ70" s="108"/>
      <c r="BR70" s="108"/>
      <c r="BS70" s="108"/>
      <c r="BT70" s="108"/>
      <c r="BU70" s="108"/>
      <c r="BV70" s="110"/>
      <c r="BW70" s="107"/>
      <c r="BX70" s="108"/>
      <c r="BY70" s="108"/>
      <c r="BZ70" s="108"/>
      <c r="CA70" s="108"/>
      <c r="CB70" s="108"/>
      <c r="CC70" s="110"/>
      <c r="CD70" s="107"/>
      <c r="CE70" s="108"/>
      <c r="CF70" s="108"/>
      <c r="CG70" s="108"/>
      <c r="CH70" s="108"/>
      <c r="CI70" s="108"/>
      <c r="CJ70" s="110"/>
      <c r="CK70" s="107"/>
      <c r="CL70" s="108"/>
      <c r="CM70" s="108"/>
      <c r="CN70" s="108"/>
      <c r="CO70" s="108"/>
      <c r="CP70" s="108"/>
      <c r="CQ70" s="110"/>
    </row>
    <row r="71" spans="12:99" ht="14.25" customHeight="1" x14ac:dyDescent="0.2">
      <c r="L71" s="107" t="s">
        <v>141</v>
      </c>
      <c r="M71" s="108"/>
      <c r="N71" s="108"/>
      <c r="O71" s="108"/>
      <c r="P71" s="108"/>
      <c r="Q71" s="108"/>
      <c r="R71" s="110">
        <f>370.8</f>
        <v>370.8</v>
      </c>
      <c r="S71" s="107" t="s">
        <v>141</v>
      </c>
      <c r="T71" s="108"/>
      <c r="U71" s="108"/>
      <c r="V71" s="108"/>
      <c r="W71" s="108"/>
      <c r="X71" s="108"/>
      <c r="Y71" s="110">
        <f>182.9</f>
        <v>182.9</v>
      </c>
      <c r="Z71" s="107" t="s">
        <v>141</v>
      </c>
      <c r="AA71" s="108"/>
      <c r="AB71" s="108"/>
      <c r="AC71" s="108"/>
      <c r="AD71" s="108"/>
      <c r="AE71" s="108"/>
      <c r="AF71" s="110">
        <f>146.9</f>
        <v>146.9</v>
      </c>
      <c r="AG71" s="107" t="s">
        <v>141</v>
      </c>
      <c r="AH71" s="108"/>
      <c r="AI71" s="108"/>
      <c r="AJ71" s="108"/>
      <c r="AK71" s="108"/>
      <c r="AL71" s="108"/>
      <c r="AM71" s="110">
        <f>146.9</f>
        <v>146.9</v>
      </c>
      <c r="AN71" s="107"/>
      <c r="AO71" s="108"/>
      <c r="AP71" s="108"/>
      <c r="AQ71" s="108"/>
      <c r="AR71" s="108"/>
      <c r="AS71" s="108"/>
      <c r="AT71" s="110"/>
      <c r="AU71" s="107"/>
      <c r="AV71" s="108"/>
      <c r="AW71" s="108"/>
      <c r="AX71" s="108"/>
      <c r="AY71" s="108"/>
      <c r="AZ71" s="108"/>
      <c r="BA71" s="110"/>
      <c r="BB71" s="107"/>
      <c r="BC71" s="108"/>
      <c r="BD71" s="108"/>
      <c r="BE71" s="108"/>
      <c r="BF71" s="108"/>
      <c r="BG71" s="108"/>
      <c r="BH71" s="110"/>
      <c r="BI71" s="107"/>
      <c r="BJ71" s="108"/>
      <c r="BK71" s="108"/>
      <c r="BL71" s="108"/>
      <c r="BM71" s="108"/>
      <c r="BN71" s="108"/>
      <c r="BO71" s="110"/>
      <c r="BP71" s="107"/>
      <c r="BQ71" s="108"/>
      <c r="BR71" s="108"/>
      <c r="BS71" s="108"/>
      <c r="BT71" s="108"/>
      <c r="BU71" s="108"/>
      <c r="BV71" s="110"/>
      <c r="BW71" s="107"/>
      <c r="BX71" s="108"/>
      <c r="BY71" s="108"/>
      <c r="BZ71" s="108"/>
      <c r="CA71" s="108"/>
      <c r="CB71" s="108"/>
      <c r="CC71" s="110"/>
      <c r="CD71" s="107"/>
      <c r="CE71" s="108"/>
      <c r="CF71" s="108"/>
      <c r="CG71" s="108"/>
      <c r="CH71" s="108"/>
      <c r="CI71" s="108"/>
      <c r="CJ71" s="110"/>
      <c r="CK71" s="107"/>
      <c r="CL71" s="108"/>
      <c r="CM71" s="108"/>
      <c r="CN71" s="108"/>
      <c r="CO71" s="108"/>
      <c r="CP71" s="108"/>
      <c r="CQ71" s="110"/>
    </row>
    <row r="72" spans="12:99" ht="14.25" customHeight="1" x14ac:dyDescent="0.2">
      <c r="L72" s="107"/>
      <c r="M72" s="108"/>
      <c r="N72" s="108"/>
      <c r="O72" s="108"/>
      <c r="P72" s="108"/>
      <c r="Q72" s="108"/>
      <c r="R72" s="110"/>
      <c r="S72" s="107" t="s">
        <v>121</v>
      </c>
      <c r="T72" s="108"/>
      <c r="U72" s="108"/>
      <c r="V72" s="108"/>
      <c r="W72" s="108"/>
      <c r="X72" s="108"/>
      <c r="Y72" s="110">
        <f>208.26+124.96</f>
        <v>333.21999999999997</v>
      </c>
      <c r="Z72" s="107" t="s">
        <v>121</v>
      </c>
      <c r="AA72" s="108"/>
      <c r="AB72" s="108"/>
      <c r="AC72" s="108"/>
      <c r="AD72" s="108"/>
      <c r="AE72" s="108"/>
      <c r="AF72" s="110"/>
      <c r="AG72" s="107" t="s">
        <v>121</v>
      </c>
      <c r="AH72" s="108"/>
      <c r="AI72" s="108"/>
      <c r="AJ72" s="108"/>
      <c r="AK72" s="108"/>
      <c r="AL72" s="108"/>
      <c r="AM72" s="110"/>
      <c r="AN72" s="107"/>
      <c r="AO72" s="108"/>
      <c r="AP72" s="108"/>
      <c r="AQ72" s="108"/>
      <c r="AR72" s="108"/>
      <c r="AS72" s="108"/>
      <c r="AT72" s="110"/>
      <c r="AU72" s="107"/>
      <c r="AV72" s="108"/>
      <c r="AW72" s="108"/>
      <c r="AX72" s="108"/>
      <c r="AY72" s="108"/>
      <c r="AZ72" s="108"/>
      <c r="BA72" s="110"/>
      <c r="BB72" s="107"/>
      <c r="BC72" s="108"/>
      <c r="BD72" s="108"/>
      <c r="BE72" s="108"/>
      <c r="BF72" s="108"/>
      <c r="BG72" s="108"/>
      <c r="BH72" s="110"/>
      <c r="BI72" s="107"/>
      <c r="BJ72" s="108"/>
      <c r="BK72" s="108"/>
      <c r="BL72" s="108"/>
      <c r="BM72" s="108"/>
      <c r="BN72" s="108"/>
      <c r="BO72" s="110"/>
      <c r="BP72" s="107"/>
      <c r="BQ72" s="108"/>
      <c r="BR72" s="108"/>
      <c r="BS72" s="108"/>
      <c r="BT72" s="108"/>
      <c r="BU72" s="108"/>
      <c r="BV72" s="110"/>
      <c r="BW72" s="107"/>
      <c r="BX72" s="108"/>
      <c r="BY72" s="108"/>
      <c r="BZ72" s="108"/>
      <c r="CA72" s="108"/>
      <c r="CB72" s="108"/>
      <c r="CC72" s="110"/>
      <c r="CD72" s="107"/>
      <c r="CE72" s="108"/>
      <c r="CF72" s="108"/>
      <c r="CG72" s="108"/>
      <c r="CH72" s="108"/>
      <c r="CI72" s="108"/>
      <c r="CJ72" s="110"/>
      <c r="CK72" s="107"/>
      <c r="CL72" s="108"/>
      <c r="CM72" s="108"/>
      <c r="CN72" s="108"/>
      <c r="CO72" s="108"/>
      <c r="CP72" s="108"/>
      <c r="CQ72" s="110"/>
    </row>
    <row r="73" spans="12:99" ht="14.25" customHeight="1" x14ac:dyDescent="0.2">
      <c r="L73" s="107"/>
      <c r="M73" s="108"/>
      <c r="N73" s="108"/>
      <c r="O73" s="108"/>
      <c r="P73" s="108"/>
      <c r="Q73" s="108"/>
      <c r="R73" s="110"/>
      <c r="S73" s="107" t="s">
        <v>142</v>
      </c>
      <c r="T73" s="108"/>
      <c r="U73" s="108"/>
      <c r="V73" s="108"/>
      <c r="W73" s="108"/>
      <c r="X73" s="108"/>
      <c r="Y73" s="110">
        <f>200+160</f>
        <v>360</v>
      </c>
      <c r="Z73" s="107" t="s">
        <v>142</v>
      </c>
      <c r="AA73" s="108"/>
      <c r="AB73" s="108"/>
      <c r="AC73" s="108"/>
      <c r="AD73" s="108"/>
      <c r="AE73" s="108"/>
      <c r="AF73" s="110"/>
      <c r="AG73" s="107" t="s">
        <v>142</v>
      </c>
      <c r="AH73" s="108"/>
      <c r="AI73" s="108"/>
      <c r="AJ73" s="108"/>
      <c r="AK73" s="108"/>
      <c r="AL73" s="108"/>
      <c r="AM73" s="110"/>
      <c r="AN73" s="107"/>
      <c r="AO73" s="108"/>
      <c r="AP73" s="108"/>
      <c r="AQ73" s="108"/>
      <c r="AR73" s="108"/>
      <c r="AS73" s="108"/>
      <c r="AT73" s="110"/>
      <c r="AU73" s="107"/>
      <c r="AV73" s="108"/>
      <c r="AW73" s="108"/>
      <c r="AX73" s="108"/>
      <c r="AY73" s="108"/>
      <c r="AZ73" s="108"/>
      <c r="BA73" s="110"/>
      <c r="BB73" s="107"/>
      <c r="BC73" s="108"/>
      <c r="BD73" s="108"/>
      <c r="BE73" s="108"/>
      <c r="BF73" s="108"/>
      <c r="BG73" s="108"/>
      <c r="BH73" s="110"/>
      <c r="BI73" s="107"/>
      <c r="BJ73" s="108"/>
      <c r="BK73" s="108"/>
      <c r="BL73" s="108"/>
      <c r="BM73" s="108"/>
      <c r="BN73" s="108"/>
      <c r="BO73" s="110"/>
      <c r="BP73" s="107"/>
      <c r="BQ73" s="108"/>
      <c r="BR73" s="108"/>
      <c r="BS73" s="108"/>
      <c r="BT73" s="108"/>
      <c r="BU73" s="108"/>
      <c r="BV73" s="110"/>
      <c r="BW73" s="107"/>
      <c r="BX73" s="108"/>
      <c r="BY73" s="108"/>
      <c r="BZ73" s="108"/>
      <c r="CA73" s="108"/>
      <c r="CB73" s="108"/>
      <c r="CC73" s="110"/>
      <c r="CD73" s="107"/>
      <c r="CE73" s="108"/>
      <c r="CF73" s="108"/>
      <c r="CG73" s="108"/>
      <c r="CH73" s="108"/>
      <c r="CI73" s="108"/>
      <c r="CJ73" s="110"/>
      <c r="CK73" s="107"/>
      <c r="CL73" s="108"/>
      <c r="CM73" s="108"/>
      <c r="CN73" s="108"/>
      <c r="CO73" s="108"/>
      <c r="CP73" s="108"/>
      <c r="CQ73" s="110"/>
    </row>
    <row r="74" spans="12:99" ht="14.25" customHeight="1" x14ac:dyDescent="0.2">
      <c r="L74" s="107"/>
      <c r="M74" s="108"/>
      <c r="N74" s="108"/>
      <c r="O74" s="108"/>
      <c r="P74" s="108"/>
      <c r="Q74" s="108"/>
      <c r="R74" s="110"/>
      <c r="S74" s="107" t="s">
        <v>143</v>
      </c>
      <c r="T74" s="108"/>
      <c r="U74" s="108"/>
      <c r="V74" s="108"/>
      <c r="W74" s="108"/>
      <c r="X74" s="108"/>
      <c r="Y74" s="110">
        <f>589+500</f>
        <v>1089</v>
      </c>
      <c r="Z74" s="107" t="s">
        <v>143</v>
      </c>
      <c r="AA74" s="108"/>
      <c r="AB74" s="108"/>
      <c r="AC74" s="108"/>
      <c r="AD74" s="108"/>
      <c r="AE74" s="108"/>
      <c r="AF74" s="110"/>
      <c r="AG74" s="107" t="s">
        <v>143</v>
      </c>
      <c r="AH74" s="108"/>
      <c r="AI74" s="108"/>
      <c r="AJ74" s="108"/>
      <c r="AK74" s="108"/>
      <c r="AL74" s="108"/>
      <c r="AM74" s="110"/>
      <c r="AN74" s="107"/>
      <c r="AO74" s="108"/>
      <c r="AP74" s="108"/>
      <c r="AQ74" s="108"/>
      <c r="AR74" s="108"/>
      <c r="AS74" s="108"/>
      <c r="AT74" s="110"/>
      <c r="AU74" s="107"/>
      <c r="AV74" s="108"/>
      <c r="AW74" s="108"/>
      <c r="AX74" s="108"/>
      <c r="AY74" s="108"/>
      <c r="AZ74" s="108"/>
      <c r="BA74" s="110"/>
      <c r="BB74" s="107"/>
      <c r="BC74" s="108"/>
      <c r="BD74" s="108"/>
      <c r="BE74" s="108"/>
      <c r="BF74" s="108"/>
      <c r="BG74" s="108"/>
      <c r="BH74" s="110"/>
      <c r="BI74" s="107"/>
      <c r="BJ74" s="108"/>
      <c r="BK74" s="108"/>
      <c r="BL74" s="108"/>
      <c r="BM74" s="108"/>
      <c r="BN74" s="108"/>
      <c r="BO74" s="110"/>
      <c r="BP74" s="107"/>
      <c r="BQ74" s="108"/>
      <c r="BR74" s="108"/>
      <c r="BS74" s="108"/>
      <c r="BT74" s="108"/>
      <c r="BU74" s="108"/>
      <c r="BV74" s="110"/>
      <c r="BW74" s="107"/>
      <c r="BX74" s="108"/>
      <c r="BY74" s="108"/>
      <c r="BZ74" s="108"/>
      <c r="CA74" s="108"/>
      <c r="CB74" s="108"/>
      <c r="CC74" s="110"/>
      <c r="CD74" s="107"/>
      <c r="CE74" s="108"/>
      <c r="CF74" s="108"/>
      <c r="CG74" s="108"/>
      <c r="CH74" s="108"/>
      <c r="CI74" s="108"/>
      <c r="CJ74" s="110"/>
      <c r="CK74" s="107"/>
      <c r="CL74" s="108"/>
      <c r="CM74" s="108"/>
      <c r="CN74" s="108"/>
      <c r="CO74" s="108"/>
      <c r="CP74" s="108"/>
      <c r="CQ74" s="110"/>
    </row>
    <row r="75" spans="12:99" ht="14.25" customHeight="1" x14ac:dyDescent="0.2">
      <c r="L75" s="107"/>
      <c r="M75" s="108"/>
      <c r="N75" s="108"/>
      <c r="O75" s="108"/>
      <c r="P75" s="108"/>
      <c r="Q75" s="108"/>
      <c r="R75" s="110"/>
      <c r="S75" s="107"/>
      <c r="T75" s="108"/>
      <c r="U75" s="108"/>
      <c r="V75" s="108"/>
      <c r="W75" s="108"/>
      <c r="X75" s="108"/>
      <c r="Y75" s="110"/>
      <c r="Z75" s="107"/>
      <c r="AA75" s="108"/>
      <c r="AB75" s="108"/>
      <c r="AC75" s="108"/>
      <c r="AD75" s="108"/>
      <c r="AE75" s="108"/>
      <c r="AF75" s="110"/>
      <c r="AG75" s="107"/>
      <c r="AH75" s="108"/>
      <c r="AI75" s="108"/>
      <c r="AJ75" s="108"/>
      <c r="AK75" s="108"/>
      <c r="AL75" s="108"/>
      <c r="AM75" s="110"/>
      <c r="AN75" s="107"/>
      <c r="AO75" s="108"/>
      <c r="AP75" s="108"/>
      <c r="AQ75" s="108"/>
      <c r="AR75" s="108"/>
      <c r="AS75" s="108"/>
      <c r="AT75" s="110"/>
      <c r="AU75" s="107"/>
      <c r="AV75" s="108"/>
      <c r="AW75" s="108"/>
      <c r="AX75" s="108"/>
      <c r="AY75" s="108"/>
      <c r="AZ75" s="108"/>
      <c r="BA75" s="110"/>
      <c r="BB75" s="107"/>
      <c r="BC75" s="108"/>
      <c r="BD75" s="108"/>
      <c r="BE75" s="108"/>
      <c r="BF75" s="108"/>
      <c r="BG75" s="108"/>
      <c r="BH75" s="110"/>
      <c r="BI75" s="107"/>
      <c r="BJ75" s="108"/>
      <c r="BK75" s="108"/>
      <c r="BL75" s="108"/>
      <c r="BM75" s="108"/>
      <c r="BN75" s="108"/>
      <c r="BO75" s="110"/>
      <c r="BP75" s="107"/>
      <c r="BQ75" s="108"/>
      <c r="BR75" s="108"/>
      <c r="BS75" s="108"/>
      <c r="BT75" s="108"/>
      <c r="BU75" s="108"/>
      <c r="BV75" s="110"/>
      <c r="BW75" s="107"/>
      <c r="BX75" s="108"/>
      <c r="BY75" s="108"/>
      <c r="BZ75" s="108"/>
      <c r="CA75" s="108"/>
      <c r="CB75" s="108"/>
      <c r="CC75" s="110"/>
      <c r="CD75" s="107"/>
      <c r="CE75" s="108"/>
      <c r="CF75" s="108"/>
      <c r="CG75" s="108"/>
      <c r="CH75" s="108"/>
      <c r="CI75" s="108"/>
      <c r="CJ75" s="110"/>
      <c r="CK75" s="107"/>
      <c r="CL75" s="108"/>
      <c r="CM75" s="108"/>
      <c r="CN75" s="108"/>
      <c r="CO75" s="108"/>
      <c r="CP75" s="108"/>
      <c r="CQ75" s="110"/>
    </row>
    <row r="76" spans="12:99" ht="14.25" customHeight="1" x14ac:dyDescent="0.2">
      <c r="L76" s="107"/>
      <c r="M76" s="108"/>
      <c r="N76" s="108"/>
      <c r="O76" s="108"/>
      <c r="P76" s="108"/>
      <c r="Q76" s="108"/>
      <c r="R76" s="110"/>
      <c r="S76" s="107"/>
      <c r="T76" s="108"/>
      <c r="U76" s="108"/>
      <c r="V76" s="108"/>
      <c r="W76" s="108"/>
      <c r="X76" s="108"/>
      <c r="Y76" s="110"/>
      <c r="Z76" s="107"/>
      <c r="AA76" s="108"/>
      <c r="AB76" s="108"/>
      <c r="AC76" s="108"/>
      <c r="AD76" s="108"/>
      <c r="AE76" s="108"/>
      <c r="AF76" s="110"/>
      <c r="AG76" s="107"/>
      <c r="AH76" s="108"/>
      <c r="AI76" s="108"/>
      <c r="AJ76" s="108"/>
      <c r="AK76" s="108"/>
      <c r="AL76" s="108"/>
      <c r="AM76" s="110"/>
      <c r="AN76" s="107"/>
      <c r="AO76" s="108"/>
      <c r="AP76" s="108"/>
      <c r="AQ76" s="108"/>
      <c r="AR76" s="108"/>
      <c r="AS76" s="108"/>
      <c r="AT76" s="110"/>
      <c r="AU76" s="107"/>
      <c r="AV76" s="108"/>
      <c r="AW76" s="108"/>
      <c r="AX76" s="108"/>
      <c r="AY76" s="108"/>
      <c r="AZ76" s="108"/>
      <c r="BA76" s="110"/>
      <c r="BB76" s="107"/>
      <c r="BC76" s="108"/>
      <c r="BD76" s="108"/>
      <c r="BE76" s="108"/>
      <c r="BF76" s="108"/>
      <c r="BG76" s="108"/>
      <c r="BH76" s="110"/>
      <c r="BI76" s="107"/>
      <c r="BJ76" s="108"/>
      <c r="BK76" s="108"/>
      <c r="BL76" s="108"/>
      <c r="BM76" s="108"/>
      <c r="BN76" s="108"/>
      <c r="BO76" s="110"/>
      <c r="BP76" s="107"/>
      <c r="BQ76" s="108"/>
      <c r="BR76" s="108"/>
      <c r="BS76" s="108"/>
      <c r="BT76" s="108"/>
      <c r="BU76" s="108"/>
      <c r="BV76" s="110"/>
      <c r="BW76" s="107"/>
      <c r="BX76" s="108"/>
      <c r="BY76" s="108"/>
      <c r="BZ76" s="108"/>
      <c r="CA76" s="108"/>
      <c r="CB76" s="108"/>
      <c r="CC76" s="110"/>
      <c r="CD76" s="107"/>
      <c r="CE76" s="108"/>
      <c r="CF76" s="108"/>
      <c r="CG76" s="108"/>
      <c r="CH76" s="108"/>
      <c r="CI76" s="108"/>
      <c r="CJ76" s="110"/>
      <c r="CK76" s="107"/>
      <c r="CL76" s="108"/>
      <c r="CM76" s="108"/>
      <c r="CN76" s="108"/>
      <c r="CO76" s="108"/>
      <c r="CP76" s="108"/>
      <c r="CQ76" s="110"/>
      <c r="CU76" s="155"/>
    </row>
    <row r="77" spans="12:99" ht="14.25" customHeight="1" x14ac:dyDescent="0.2">
      <c r="L77" s="107"/>
      <c r="M77" s="108"/>
      <c r="N77" s="108"/>
      <c r="O77" s="108"/>
      <c r="P77" s="108"/>
      <c r="Q77" s="108"/>
      <c r="R77" s="110"/>
      <c r="S77" s="107"/>
      <c r="T77" s="108"/>
      <c r="U77" s="108"/>
      <c r="V77" s="108"/>
      <c r="W77" s="108"/>
      <c r="X77" s="108"/>
      <c r="Y77" s="110"/>
      <c r="Z77" s="107"/>
      <c r="AA77" s="108"/>
      <c r="AB77" s="108"/>
      <c r="AC77" s="108"/>
      <c r="AD77" s="108"/>
      <c r="AE77" s="108"/>
      <c r="AF77" s="110"/>
      <c r="AG77" s="107"/>
      <c r="AH77" s="108"/>
      <c r="AI77" s="108"/>
      <c r="AJ77" s="108"/>
      <c r="AK77" s="108"/>
      <c r="AL77" s="108"/>
      <c r="AM77" s="110"/>
      <c r="AN77" s="107"/>
      <c r="AO77" s="108"/>
      <c r="AP77" s="108"/>
      <c r="AQ77" s="108"/>
      <c r="AR77" s="108"/>
      <c r="AS77" s="108"/>
      <c r="AT77" s="110"/>
      <c r="AU77" s="107"/>
      <c r="AV77" s="108"/>
      <c r="AW77" s="108"/>
      <c r="AX77" s="108"/>
      <c r="AY77" s="108"/>
      <c r="AZ77" s="108"/>
      <c r="BA77" s="110"/>
      <c r="BB77" s="107"/>
      <c r="BC77" s="108"/>
      <c r="BD77" s="108"/>
      <c r="BE77" s="108"/>
      <c r="BF77" s="108"/>
      <c r="BG77" s="108"/>
      <c r="BH77" s="110"/>
      <c r="BI77" s="107"/>
      <c r="BJ77" s="108"/>
      <c r="BK77" s="108"/>
      <c r="BL77" s="108"/>
      <c r="BM77" s="108"/>
      <c r="BN77" s="108"/>
      <c r="BO77" s="110"/>
      <c r="BP77" s="107"/>
      <c r="BQ77" s="108"/>
      <c r="BR77" s="108"/>
      <c r="BS77" s="108"/>
      <c r="BT77" s="108"/>
      <c r="BU77" s="108"/>
      <c r="BV77" s="110"/>
      <c r="BW77" s="107"/>
      <c r="BX77" s="108"/>
      <c r="BY77" s="108"/>
      <c r="BZ77" s="108"/>
      <c r="CA77" s="108"/>
      <c r="CB77" s="108"/>
      <c r="CC77" s="110"/>
      <c r="CD77" s="107"/>
      <c r="CE77" s="108"/>
      <c r="CF77" s="108"/>
      <c r="CG77" s="108"/>
      <c r="CH77" s="108"/>
      <c r="CI77" s="108"/>
      <c r="CJ77" s="110"/>
      <c r="CK77" s="107"/>
      <c r="CL77" s="108"/>
      <c r="CM77" s="108"/>
      <c r="CN77" s="108"/>
      <c r="CO77" s="108"/>
      <c r="CP77" s="108"/>
      <c r="CQ77" s="110"/>
      <c r="CU77" s="155"/>
    </row>
    <row r="78" spans="12:99" ht="14.25" customHeight="1" x14ac:dyDescent="0.2">
      <c r="L78" s="107"/>
      <c r="M78" s="108"/>
      <c r="N78" s="108"/>
      <c r="O78" s="108"/>
      <c r="P78" s="108"/>
      <c r="Q78" s="108"/>
      <c r="R78" s="110"/>
      <c r="S78" s="107"/>
      <c r="T78" s="108"/>
      <c r="U78" s="108"/>
      <c r="V78" s="108"/>
      <c r="W78" s="108"/>
      <c r="X78" s="108"/>
      <c r="Y78" s="110"/>
      <c r="Z78" s="107"/>
      <c r="AA78" s="108"/>
      <c r="AB78" s="108"/>
      <c r="AC78" s="108"/>
      <c r="AD78" s="108"/>
      <c r="AE78" s="108"/>
      <c r="AF78" s="110"/>
      <c r="AG78" s="107"/>
      <c r="AH78" s="108"/>
      <c r="AI78" s="108"/>
      <c r="AJ78" s="108"/>
      <c r="AK78" s="108"/>
      <c r="AL78" s="108"/>
      <c r="AM78" s="110"/>
      <c r="AN78" s="107"/>
      <c r="AO78" s="108"/>
      <c r="AP78" s="108"/>
      <c r="AQ78" s="108"/>
      <c r="AR78" s="108"/>
      <c r="AS78" s="108"/>
      <c r="AT78" s="110"/>
      <c r="AU78" s="107"/>
      <c r="AV78" s="108"/>
      <c r="AW78" s="108"/>
      <c r="AX78" s="108"/>
      <c r="AY78" s="108"/>
      <c r="AZ78" s="108"/>
      <c r="BA78" s="110"/>
      <c r="BB78" s="107"/>
      <c r="BC78" s="108"/>
      <c r="BD78" s="108"/>
      <c r="BE78" s="108"/>
      <c r="BF78" s="108"/>
      <c r="BG78" s="108"/>
      <c r="BH78" s="110"/>
      <c r="BI78" s="107"/>
      <c r="BJ78" s="108"/>
      <c r="BK78" s="108"/>
      <c r="BL78" s="108"/>
      <c r="BM78" s="108"/>
      <c r="BN78" s="108"/>
      <c r="BO78" s="110"/>
      <c r="BP78" s="107"/>
      <c r="BQ78" s="108"/>
      <c r="BR78" s="108"/>
      <c r="BS78" s="108"/>
      <c r="BT78" s="108"/>
      <c r="BU78" s="108"/>
      <c r="BV78" s="110"/>
      <c r="BW78" s="107"/>
      <c r="BX78" s="108"/>
      <c r="BY78" s="108"/>
      <c r="BZ78" s="108"/>
      <c r="CA78" s="108"/>
      <c r="CB78" s="108"/>
      <c r="CC78" s="110"/>
      <c r="CD78" s="107"/>
      <c r="CE78" s="108"/>
      <c r="CF78" s="108"/>
      <c r="CG78" s="108"/>
      <c r="CH78" s="108"/>
      <c r="CI78" s="108"/>
      <c r="CJ78" s="110"/>
      <c r="CK78" s="107"/>
      <c r="CL78" s="108"/>
      <c r="CM78" s="108"/>
      <c r="CN78" s="108"/>
      <c r="CO78" s="108"/>
      <c r="CP78" s="108"/>
      <c r="CQ78" s="110"/>
      <c r="CU78" s="155"/>
    </row>
    <row r="79" spans="12:99" ht="14.25" customHeight="1" x14ac:dyDescent="0.2">
      <c r="L79" s="107"/>
      <c r="M79" s="108"/>
      <c r="N79" s="108"/>
      <c r="O79" s="108"/>
      <c r="P79" s="108"/>
      <c r="Q79" s="108"/>
      <c r="R79" s="110"/>
      <c r="S79" s="107"/>
      <c r="T79" s="108"/>
      <c r="U79" s="108"/>
      <c r="V79" s="108"/>
      <c r="W79" s="108"/>
      <c r="X79" s="108"/>
      <c r="Y79" s="110"/>
      <c r="Z79" s="107"/>
      <c r="AA79" s="108"/>
      <c r="AB79" s="108"/>
      <c r="AC79" s="108"/>
      <c r="AD79" s="108"/>
      <c r="AE79" s="108"/>
      <c r="AF79" s="110"/>
      <c r="AG79" s="107"/>
      <c r="AH79" s="108"/>
      <c r="AI79" s="108"/>
      <c r="AJ79" s="108"/>
      <c r="AK79" s="108"/>
      <c r="AL79" s="108"/>
      <c r="AM79" s="110"/>
      <c r="AN79" s="107"/>
      <c r="AO79" s="108"/>
      <c r="AP79" s="108"/>
      <c r="AQ79" s="108"/>
      <c r="AR79" s="108"/>
      <c r="AS79" s="108"/>
      <c r="AT79" s="110"/>
      <c r="AU79" s="107"/>
      <c r="AV79" s="108"/>
      <c r="AW79" s="108"/>
      <c r="AX79" s="108"/>
      <c r="AY79" s="108"/>
      <c r="AZ79" s="108"/>
      <c r="BA79" s="110"/>
      <c r="BB79" s="107"/>
      <c r="BC79" s="108"/>
      <c r="BD79" s="108"/>
      <c r="BE79" s="108"/>
      <c r="BF79" s="108"/>
      <c r="BG79" s="108"/>
      <c r="BH79" s="110"/>
      <c r="BI79" s="107"/>
      <c r="BJ79" s="108"/>
      <c r="BK79" s="108"/>
      <c r="BL79" s="108"/>
      <c r="BM79" s="108"/>
      <c r="BN79" s="108"/>
      <c r="BO79" s="110"/>
      <c r="BP79" s="107"/>
      <c r="BQ79" s="108"/>
      <c r="BR79" s="108"/>
      <c r="BS79" s="108"/>
      <c r="BT79" s="108"/>
      <c r="BU79" s="108"/>
      <c r="BV79" s="110"/>
      <c r="BW79" s="107"/>
      <c r="BX79" s="108"/>
      <c r="BY79" s="108"/>
      <c r="BZ79" s="108"/>
      <c r="CA79" s="108"/>
      <c r="CB79" s="108"/>
      <c r="CC79" s="110"/>
      <c r="CD79" s="107"/>
      <c r="CE79" s="108"/>
      <c r="CF79" s="108"/>
      <c r="CG79" s="108"/>
      <c r="CH79" s="108"/>
      <c r="CI79" s="108"/>
      <c r="CJ79" s="110"/>
      <c r="CK79" s="107"/>
      <c r="CL79" s="108"/>
      <c r="CM79" s="108"/>
      <c r="CN79" s="108"/>
      <c r="CO79" s="108"/>
      <c r="CP79" s="108"/>
      <c r="CQ79" s="110"/>
      <c r="CU79" s="155"/>
    </row>
    <row r="80" spans="12:99" ht="14.25" customHeight="1" x14ac:dyDescent="0.2">
      <c r="L80" s="107"/>
      <c r="M80" s="108"/>
      <c r="N80" s="108"/>
      <c r="O80" s="108"/>
      <c r="P80" s="108"/>
      <c r="Q80" s="108"/>
      <c r="R80" s="110"/>
      <c r="S80" s="107"/>
      <c r="T80" s="108"/>
      <c r="U80" s="108"/>
      <c r="V80" s="108"/>
      <c r="W80" s="108"/>
      <c r="X80" s="108"/>
      <c r="Y80" s="110"/>
      <c r="Z80" s="107"/>
      <c r="AA80" s="108"/>
      <c r="AB80" s="108"/>
      <c r="AC80" s="108"/>
      <c r="AD80" s="108"/>
      <c r="AE80" s="108"/>
      <c r="AF80" s="110"/>
      <c r="AG80" s="107"/>
      <c r="AH80" s="108"/>
      <c r="AI80" s="108"/>
      <c r="AJ80" s="108"/>
      <c r="AK80" s="108"/>
      <c r="AL80" s="108"/>
      <c r="AM80" s="110"/>
      <c r="AN80" s="107"/>
      <c r="AO80" s="108"/>
      <c r="AP80" s="108"/>
      <c r="AQ80" s="108"/>
      <c r="AR80" s="108"/>
      <c r="AS80" s="108"/>
      <c r="AT80" s="110"/>
      <c r="AU80" s="107"/>
      <c r="AV80" s="108"/>
      <c r="AW80" s="108"/>
      <c r="AX80" s="108"/>
      <c r="AY80" s="108"/>
      <c r="AZ80" s="108"/>
      <c r="BA80" s="110"/>
      <c r="BB80" s="107"/>
      <c r="BC80" s="108"/>
      <c r="BD80" s="108"/>
      <c r="BE80" s="108"/>
      <c r="BF80" s="108"/>
      <c r="BG80" s="108"/>
      <c r="BH80" s="110"/>
      <c r="BI80" s="107"/>
      <c r="BJ80" s="108"/>
      <c r="BK80" s="108"/>
      <c r="BL80" s="108"/>
      <c r="BM80" s="108"/>
      <c r="BN80" s="108"/>
      <c r="BO80" s="110"/>
      <c r="BP80" s="107"/>
      <c r="BQ80" s="108"/>
      <c r="BR80" s="108"/>
      <c r="BS80" s="108"/>
      <c r="BT80" s="108"/>
      <c r="BU80" s="108"/>
      <c r="BV80" s="110"/>
      <c r="BW80" s="107"/>
      <c r="BX80" s="108"/>
      <c r="BY80" s="108"/>
      <c r="BZ80" s="108"/>
      <c r="CA80" s="108"/>
      <c r="CB80" s="108"/>
      <c r="CC80" s="110"/>
      <c r="CD80" s="107"/>
      <c r="CE80" s="108"/>
      <c r="CF80" s="108"/>
      <c r="CG80" s="108"/>
      <c r="CH80" s="108"/>
      <c r="CI80" s="108"/>
      <c r="CJ80" s="110"/>
      <c r="CK80" s="107"/>
      <c r="CL80" s="108"/>
      <c r="CM80" s="108"/>
      <c r="CN80" s="108"/>
      <c r="CO80" s="108"/>
      <c r="CP80" s="108"/>
      <c r="CQ80" s="110"/>
      <c r="CU80" s="155"/>
    </row>
    <row r="81" spans="12:95" ht="14.25" customHeight="1" x14ac:dyDescent="0.2">
      <c r="L81" s="107"/>
      <c r="M81" s="108"/>
      <c r="N81" s="108"/>
      <c r="O81" s="108"/>
      <c r="P81" s="108"/>
      <c r="Q81" s="108"/>
      <c r="R81" s="110"/>
      <c r="S81" s="107"/>
      <c r="T81" s="108"/>
      <c r="U81" s="108"/>
      <c r="V81" s="108"/>
      <c r="W81" s="108"/>
      <c r="X81" s="108"/>
      <c r="Y81" s="110"/>
      <c r="Z81" s="107"/>
      <c r="AA81" s="108"/>
      <c r="AB81" s="108"/>
      <c r="AC81" s="108"/>
      <c r="AD81" s="108"/>
      <c r="AE81" s="108"/>
      <c r="AF81" s="110"/>
      <c r="AG81" s="107"/>
      <c r="AH81" s="108"/>
      <c r="AI81" s="108"/>
      <c r="AJ81" s="108"/>
      <c r="AK81" s="108"/>
      <c r="AL81" s="108"/>
      <c r="AM81" s="110"/>
      <c r="AN81" s="107"/>
      <c r="AO81" s="108"/>
      <c r="AP81" s="108"/>
      <c r="AQ81" s="108"/>
      <c r="AR81" s="108"/>
      <c r="AS81" s="108"/>
      <c r="AT81" s="110"/>
      <c r="AU81" s="107"/>
      <c r="AV81" s="108"/>
      <c r="AW81" s="108"/>
      <c r="AX81" s="108"/>
      <c r="AY81" s="108"/>
      <c r="AZ81" s="108"/>
      <c r="BA81" s="110"/>
      <c r="BB81" s="107"/>
      <c r="BC81" s="108"/>
      <c r="BD81" s="108"/>
      <c r="BE81" s="108"/>
      <c r="BF81" s="108"/>
      <c r="BG81" s="108"/>
      <c r="BH81" s="110"/>
      <c r="BI81" s="107"/>
      <c r="BJ81" s="108"/>
      <c r="BK81" s="108"/>
      <c r="BL81" s="108"/>
      <c r="BM81" s="108"/>
      <c r="BN81" s="108"/>
      <c r="BO81" s="110"/>
      <c r="BP81" s="107"/>
      <c r="BQ81" s="108"/>
      <c r="BR81" s="108"/>
      <c r="BS81" s="108"/>
      <c r="BT81" s="108"/>
      <c r="BU81" s="108"/>
      <c r="BV81" s="110"/>
      <c r="BW81" s="107"/>
      <c r="BX81" s="108"/>
      <c r="BY81" s="108"/>
      <c r="BZ81" s="108"/>
      <c r="CA81" s="108"/>
      <c r="CB81" s="108"/>
      <c r="CC81" s="110"/>
      <c r="CD81" s="107"/>
      <c r="CE81" s="108"/>
      <c r="CF81" s="108"/>
      <c r="CG81" s="108"/>
      <c r="CH81" s="108"/>
      <c r="CI81" s="108"/>
      <c r="CJ81" s="110"/>
      <c r="CK81" s="107"/>
      <c r="CL81" s="108"/>
      <c r="CM81" s="108"/>
      <c r="CN81" s="108"/>
      <c r="CO81" s="108"/>
      <c r="CP81" s="108"/>
      <c r="CQ81" s="110"/>
    </row>
    <row r="82" spans="12:95" ht="14.25" customHeight="1" x14ac:dyDescent="0.2">
      <c r="L82" s="107" t="s">
        <v>82</v>
      </c>
      <c r="M82" s="108"/>
      <c r="N82" s="108"/>
      <c r="O82" s="108"/>
      <c r="P82" s="108"/>
      <c r="Q82" s="108"/>
      <c r="R82" s="110">
        <f>SUM(R61:R81)</f>
        <v>16366.720000000001</v>
      </c>
      <c r="S82" s="107" t="s">
        <v>82</v>
      </c>
      <c r="T82" s="108"/>
      <c r="U82" s="108"/>
      <c r="V82" s="108"/>
      <c r="W82" s="108"/>
      <c r="X82" s="108"/>
      <c r="Y82" s="110">
        <f>SUM(Y61:Y81)</f>
        <v>10172.659999999998</v>
      </c>
      <c r="Z82" s="107" t="s">
        <v>82</v>
      </c>
      <c r="AA82" s="108"/>
      <c r="AB82" s="108"/>
      <c r="AC82" s="108"/>
      <c r="AD82" s="108"/>
      <c r="AE82" s="108"/>
      <c r="AF82" s="110">
        <f>SUM(AF61:AF81)</f>
        <v>8416.42</v>
      </c>
      <c r="AG82" s="107" t="s">
        <v>82</v>
      </c>
      <c r="AH82" s="108"/>
      <c r="AI82" s="108"/>
      <c r="AJ82" s="108"/>
      <c r="AK82" s="108"/>
      <c r="AL82" s="108"/>
      <c r="AM82" s="110">
        <f>SUM(AM61:AM81)</f>
        <v>11568.67</v>
      </c>
      <c r="AN82" s="107" t="s">
        <v>82</v>
      </c>
      <c r="AO82" s="108"/>
      <c r="AP82" s="108"/>
      <c r="AQ82" s="108"/>
      <c r="AR82" s="108"/>
      <c r="AS82" s="108"/>
      <c r="AT82" s="110">
        <f>SUM(AT61:AT81)</f>
        <v>0</v>
      </c>
      <c r="AU82" s="107" t="s">
        <v>82</v>
      </c>
      <c r="AV82" s="108"/>
      <c r="AW82" s="108"/>
      <c r="AX82" s="108"/>
      <c r="AY82" s="108"/>
      <c r="AZ82" s="108"/>
      <c r="BA82" s="110">
        <f>SUM(BA61:BA81)</f>
        <v>0</v>
      </c>
      <c r="BB82" s="107" t="s">
        <v>82</v>
      </c>
      <c r="BC82" s="108"/>
      <c r="BD82" s="108"/>
      <c r="BE82" s="108"/>
      <c r="BF82" s="108"/>
      <c r="BG82" s="108"/>
      <c r="BH82" s="110">
        <f>SUM(BH61:BH81)</f>
        <v>0</v>
      </c>
      <c r="BI82" s="107" t="s">
        <v>82</v>
      </c>
      <c r="BJ82" s="108"/>
      <c r="BK82" s="108"/>
      <c r="BL82" s="108"/>
      <c r="BM82" s="108"/>
      <c r="BN82" s="108"/>
      <c r="BO82" s="110">
        <f>SUM(BO61:BO81)</f>
        <v>0</v>
      </c>
      <c r="BP82" s="107" t="s">
        <v>82</v>
      </c>
      <c r="BQ82" s="108"/>
      <c r="BR82" s="108"/>
      <c r="BS82" s="108"/>
      <c r="BT82" s="108"/>
      <c r="BU82" s="108"/>
      <c r="BV82" s="110">
        <f>SUM(BV61:BV81)</f>
        <v>0</v>
      </c>
      <c r="BW82" s="107" t="s">
        <v>82</v>
      </c>
      <c r="BX82" s="108"/>
      <c r="BY82" s="108"/>
      <c r="BZ82" s="108"/>
      <c r="CA82" s="108"/>
      <c r="CB82" s="108"/>
      <c r="CC82" s="110">
        <f>SUM(CC61:CC81)</f>
        <v>0</v>
      </c>
      <c r="CD82" s="107" t="s">
        <v>82</v>
      </c>
      <c r="CE82" s="108"/>
      <c r="CF82" s="108"/>
      <c r="CG82" s="108"/>
      <c r="CH82" s="108"/>
      <c r="CI82" s="108"/>
      <c r="CJ82" s="110">
        <f>SUM(CJ61:CJ81)</f>
        <v>0</v>
      </c>
      <c r="CK82" s="107" t="s">
        <v>82</v>
      </c>
      <c r="CL82" s="108"/>
      <c r="CM82" s="108"/>
      <c r="CN82" s="108"/>
      <c r="CO82" s="108"/>
      <c r="CP82" s="108"/>
      <c r="CQ82" s="110">
        <f>SUM(CQ61:CQ81)</f>
        <v>0</v>
      </c>
    </row>
    <row r="83" spans="12:95" ht="14.25" customHeight="1" x14ac:dyDescent="0.2">
      <c r="AF83" s="104"/>
      <c r="BA83" s="156"/>
    </row>
    <row r="84" spans="12:95" ht="14.25" customHeight="1" x14ac:dyDescent="0.2">
      <c r="BA84" s="156"/>
    </row>
    <row r="85" spans="12:95" ht="14.25" customHeight="1" x14ac:dyDescent="0.2">
      <c r="BA85" s="156"/>
    </row>
    <row r="86" spans="12:95" ht="14.25" customHeight="1" x14ac:dyDescent="0.2"/>
    <row r="87" spans="12:95" ht="14.25" customHeight="1" x14ac:dyDescent="0.2"/>
    <row r="88" spans="12:95" ht="14.25" customHeight="1" x14ac:dyDescent="0.2"/>
    <row r="89" spans="12:95" ht="14.25" customHeight="1" x14ac:dyDescent="0.2"/>
    <row r="90" spans="12:95" ht="14.25" customHeight="1" x14ac:dyDescent="0.2"/>
    <row r="91" spans="12:95" ht="14.25" customHeight="1" x14ac:dyDescent="0.2"/>
    <row r="92" spans="12:95" ht="14.25" customHeight="1" x14ac:dyDescent="0.2"/>
    <row r="93" spans="12:95" ht="14.25" customHeight="1" x14ac:dyDescent="0.2"/>
    <row r="94" spans="12:95" ht="14.25" customHeight="1" x14ac:dyDescent="0.2"/>
    <row r="95" spans="12:95" ht="14.25" customHeight="1" x14ac:dyDescent="0.2"/>
    <row r="96" spans="12:95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>
      <c r="CU193" s="155"/>
    </row>
    <row r="194" spans="99:99" ht="14.25" customHeight="1" x14ac:dyDescent="0.2">
      <c r="CU194" s="155"/>
    </row>
    <row r="195" spans="99:99" ht="14.25" customHeight="1" x14ac:dyDescent="0.2">
      <c r="CU195" s="155"/>
    </row>
    <row r="196" spans="99:99" ht="14.25" customHeight="1" x14ac:dyDescent="0.2">
      <c r="CU196" s="155"/>
    </row>
    <row r="197" spans="99:99" ht="14.25" customHeight="1" x14ac:dyDescent="0.2">
      <c r="CU197" s="155"/>
    </row>
    <row r="198" spans="99:99" ht="14.25" customHeight="1" x14ac:dyDescent="0.2">
      <c r="CU198" s="155"/>
    </row>
    <row r="199" spans="99:99" ht="14.25" customHeight="1" x14ac:dyDescent="0.2">
      <c r="CU199" s="155"/>
    </row>
    <row r="200" spans="99:99" ht="14.25" customHeight="1" x14ac:dyDescent="0.2">
      <c r="CU200" s="155"/>
    </row>
    <row r="201" spans="99:99" ht="14.25" customHeight="1" x14ac:dyDescent="0.2">
      <c r="CU201" s="155"/>
    </row>
    <row r="202" spans="99:99" ht="14.25" customHeight="1" x14ac:dyDescent="0.2">
      <c r="CU202" s="155"/>
    </row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296CB-A71E-B447-BE9A-5F98D9423869}">
  <sheetPr>
    <pageSetUpPr fitToPage="1"/>
  </sheetPr>
  <dimension ref="A1:DF1000"/>
  <sheetViews>
    <sheetView zoomScale="85" zoomScaleNormal="85" workbookViewId="0">
      <pane xSplit="11" ySplit="3" topLeftCell="CJ32" activePane="bottomRight" state="frozen"/>
      <selection activeCell="J2" sqref="J2:P58"/>
      <selection pane="topRight" activeCell="J2" sqref="J2:P58"/>
      <selection pane="bottomLeft" activeCell="J2" sqref="J2:P58"/>
      <selection pane="bottomRight" activeCell="CK58" sqref="CK58:CM58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104" width="10.5" customWidth="1"/>
    <col min="105" max="105" width="13.5" customWidth="1"/>
    <col min="106" max="106" width="9.1640625" customWidth="1"/>
    <col min="107" max="110" width="9.83203125" customWidth="1"/>
  </cols>
  <sheetData>
    <row r="1" spans="1:110" ht="20" customHeight="1" thickBot="1" x14ac:dyDescent="0.25">
      <c r="A1" s="1" t="s">
        <v>190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46"/>
      <c r="DB1" s="4"/>
      <c r="DC1" s="4"/>
      <c r="DD1" s="4"/>
      <c r="DE1" s="195"/>
      <c r="DF1" s="195"/>
    </row>
    <row r="2" spans="1:110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  <c r="CS2" s="196" t="s">
        <v>176</v>
      </c>
      <c r="CT2" s="196" t="s">
        <v>177</v>
      </c>
      <c r="CU2" s="196" t="s">
        <v>178</v>
      </c>
      <c r="CV2" s="196" t="s">
        <v>179</v>
      </c>
      <c r="CW2" s="196" t="s">
        <v>180</v>
      </c>
      <c r="CX2" s="196" t="s">
        <v>181</v>
      </c>
      <c r="CY2" s="196" t="s">
        <v>182</v>
      </c>
      <c r="CZ2" s="196" t="s">
        <v>183</v>
      </c>
      <c r="DA2" s="196" t="s">
        <v>184</v>
      </c>
      <c r="DB2" s="196" t="s">
        <v>185</v>
      </c>
      <c r="DC2" s="196" t="s">
        <v>186</v>
      </c>
      <c r="DD2" s="196" t="s">
        <v>187</v>
      </c>
      <c r="DE2" s="197"/>
      <c r="DF2" s="197"/>
    </row>
    <row r="3" spans="1:110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27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27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  <c r="DE3" s="197"/>
      <c r="DF3" s="197"/>
    </row>
    <row r="4" spans="1:110" s="26" customFormat="1" ht="14.25" customHeight="1" x14ac:dyDescent="0.2">
      <c r="A4" s="16" t="s">
        <v>28</v>
      </c>
      <c r="B4" s="17">
        <f t="shared" ref="B4:D35" si="0">+L4+S4+Z4+AG4+AN4+AU4+BB4+BI4+BP4+BW4+CD4+CK4</f>
        <v>514347.41950726381</v>
      </c>
      <c r="C4" s="18">
        <f t="shared" si="0"/>
        <v>451134.12164982123</v>
      </c>
      <c r="D4" s="19">
        <f t="shared" si="0"/>
        <v>63213.297857442725</v>
      </c>
      <c r="E4" s="17">
        <f>+L4+S4+Z4+AG4</f>
        <v>179608.40778943998</v>
      </c>
      <c r="F4" s="20">
        <f>+M4+T4+AA4+AH4</f>
        <v>157534.53447211781</v>
      </c>
      <c r="G4" s="21">
        <f>+N4+U4+AB4+AI4</f>
        <v>22073.87331732217</v>
      </c>
      <c r="H4" s="18">
        <f t="shared" ref="H4:J35" si="1">+O4+V4+AC4+AJ4+AQ4+AX4+BE4+BL4+BS4+BZ4+CG4+CN4</f>
        <v>197069.96446054272</v>
      </c>
      <c r="I4" s="20">
        <f t="shared" si="1"/>
        <v>4042.3576749228578</v>
      </c>
      <c r="J4" s="20">
        <f t="shared" si="1"/>
        <v>201112.3221354656</v>
      </c>
      <c r="K4" s="25">
        <f t="shared" ref="K4:K54" si="2">IF(E4=0,"",(+J4/E4-1))</f>
        <v>0.11972665762526691</v>
      </c>
      <c r="L4" s="23">
        <f>'[1]CB I'!$E4</f>
        <v>39849.882347359999</v>
      </c>
      <c r="M4" s="18">
        <f>L4-N4</f>
        <v>34952.331806869457</v>
      </c>
      <c r="N4" s="18">
        <f>+L4*12.29%</f>
        <v>4897.5505404905434</v>
      </c>
      <c r="O4" s="18">
        <f>+Q4-P4</f>
        <v>38130.906941789799</v>
      </c>
      <c r="P4" s="18">
        <f>+Q4*2.01%</f>
        <v>782.15249467290005</v>
      </c>
      <c r="Q4" s="24">
        <f>CS4*'[2]CAMBARÁ - CITROS'!$U$5</f>
        <v>38913.059436462696</v>
      </c>
      <c r="R4" s="25">
        <f t="shared" ref="R4:R54" si="3">IF(L4=0,"",(+Q4/L4-1))</f>
        <v>-2.350879991893795E-2</v>
      </c>
      <c r="S4" s="23">
        <f>'[1]CB I'!$F4</f>
        <v>60058.76074736</v>
      </c>
      <c r="T4" s="18">
        <f>S4-U4</f>
        <v>52677.539051509455</v>
      </c>
      <c r="U4" s="18">
        <f>+S4*12.29%</f>
        <v>7381.2216958505442</v>
      </c>
      <c r="V4" s="18">
        <f>+X4-W4</f>
        <v>36996.60929405153</v>
      </c>
      <c r="W4" s="18">
        <f>+X4*2.01%</f>
        <v>758.88544423965266</v>
      </c>
      <c r="X4" s="20">
        <f>CT4*'[2]CAMBARÁ - CITROS'!$U$5</f>
        <v>37755.494738291185</v>
      </c>
      <c r="Y4" s="25">
        <f t="shared" ref="Y4:Y54" si="4">IF(S4=0,"",(+X4/S4-1))</f>
        <v>-0.37135741283255164</v>
      </c>
      <c r="Z4" s="23">
        <f>'[1]CB I'!$G4</f>
        <v>39849.882347359999</v>
      </c>
      <c r="AA4" s="18">
        <f>Z4-AB4</f>
        <v>34952.331806869457</v>
      </c>
      <c r="AB4" s="18">
        <f>+Z4*12.29%</f>
        <v>4897.5505404905434</v>
      </c>
      <c r="AC4" s="18">
        <f>+AE4-AD4</f>
        <v>47884.118021052767</v>
      </c>
      <c r="AD4" s="18">
        <f>+AE4*2.01%</f>
        <v>982.2132587235028</v>
      </c>
      <c r="AE4" s="24">
        <f>CU4*'[2]CAMBARÁ - CITROS'!$U$5</f>
        <v>48866.33127977627</v>
      </c>
      <c r="AF4" s="25">
        <f t="shared" ref="AF4:AF54" si="5">IF(Z4=0,"",(+AE4/Z4-1))</f>
        <v>0.22626036518307568</v>
      </c>
      <c r="AG4" s="23">
        <f>'[1]CB I'!$H4</f>
        <v>39849.882347359999</v>
      </c>
      <c r="AH4" s="18">
        <f>AG4-AI4</f>
        <v>34952.331806869457</v>
      </c>
      <c r="AI4" s="18">
        <f>+AG4*12.29%</f>
        <v>4897.5505404905434</v>
      </c>
      <c r="AJ4" s="18">
        <f>+AL4-AK4</f>
        <v>74058.330203648642</v>
      </c>
      <c r="AK4" s="18">
        <f>+AL4*2.01%</f>
        <v>1519.1064772868021</v>
      </c>
      <c r="AL4" s="20">
        <f>CV4*'[2]CAMBARÁ - CITROS'!$U$5</f>
        <v>75577.43668093544</v>
      </c>
      <c r="AM4" s="25">
        <f t="shared" ref="AM4:AM54" si="6">IF(AG4=0,"",(+AL4/AG4-1))</f>
        <v>0.89655357127904645</v>
      </c>
      <c r="AN4" s="23">
        <f>'[1]CB I'!$I4</f>
        <v>39849.882347359999</v>
      </c>
      <c r="AO4" s="18">
        <f>AN4-AP4</f>
        <v>34952.331806869457</v>
      </c>
      <c r="AP4" s="18">
        <f>+AN4*12.29%</f>
        <v>4897.5505404905434</v>
      </c>
      <c r="AQ4" s="18">
        <f>+AS4-AR4</f>
        <v>0</v>
      </c>
      <c r="AR4" s="18">
        <f>+AS4*2.01%</f>
        <v>0</v>
      </c>
      <c r="AS4" s="24">
        <f>CW4*'[3]CAMBARÁ - CITROS'!$U$5</f>
        <v>0</v>
      </c>
      <c r="AT4" s="25">
        <f t="shared" ref="AT4:AT54" si="7">IF(AN4=0,"",(+AS4/AN4-1))</f>
        <v>-1</v>
      </c>
      <c r="AU4" s="23">
        <f>'[1]CB I'!$J4</f>
        <v>39849.882347359999</v>
      </c>
      <c r="AV4" s="18">
        <f>AU4-AW4</f>
        <v>34952.331806869457</v>
      </c>
      <c r="AW4" s="18">
        <f>+AU4*12.29%</f>
        <v>4897.5505404905434</v>
      </c>
      <c r="AX4" s="18">
        <f>+AZ4-AY4</f>
        <v>0</v>
      </c>
      <c r="AY4" s="18">
        <f>+AZ4*2.01%</f>
        <v>0</v>
      </c>
      <c r="AZ4" s="20">
        <f>CX4*'[3]CAMBARÁ - CITROS'!$U$5</f>
        <v>0</v>
      </c>
      <c r="BA4" s="25">
        <f t="shared" ref="BA4:BA54" si="8">IF(AU4=0,"",(+AZ4/AU4-1))</f>
        <v>-1</v>
      </c>
      <c r="BB4" s="23">
        <f>'[1]CB I'!$K4</f>
        <v>39849.882347359999</v>
      </c>
      <c r="BC4" s="18">
        <f>BB4-BD4</f>
        <v>34952.331806869457</v>
      </c>
      <c r="BD4" s="18">
        <f>+BB4*12.29%</f>
        <v>4897.5505404905434</v>
      </c>
      <c r="BE4" s="18">
        <f>+BG4-BF4</f>
        <v>0</v>
      </c>
      <c r="BF4" s="18">
        <f>+BG4*2.01%</f>
        <v>0</v>
      </c>
      <c r="BG4" s="20">
        <f>CY4*'[3]CAMBARÁ - CITROS'!$U$5</f>
        <v>0</v>
      </c>
      <c r="BH4" s="25">
        <f t="shared" ref="BH4:BH54" si="9">IF(BB4=0,"",(+BG4/BB4-1))</f>
        <v>-1</v>
      </c>
      <c r="BI4" s="23">
        <f>'[1]CB I'!$L4</f>
        <v>43037.8729351488</v>
      </c>
      <c r="BJ4" s="18">
        <f>BI4-BK4</f>
        <v>37748.518351419014</v>
      </c>
      <c r="BK4" s="18">
        <f>+BI4*12.29%</f>
        <v>5289.354583729787</v>
      </c>
      <c r="BL4" s="18">
        <f>+BN4-BM4</f>
        <v>0</v>
      </c>
      <c r="BM4" s="18">
        <f>+BN4*2.01%</f>
        <v>0</v>
      </c>
      <c r="BN4" s="20">
        <f>CZ4*'[3]CAMBARÁ - CITROS'!$U$5</f>
        <v>0</v>
      </c>
      <c r="BO4" s="25">
        <f t="shared" ref="BO4:BO54" si="10">IF(BI4=0,"",(+BN4/BI4-1))</f>
        <v>-1</v>
      </c>
      <c r="BP4" s="23">
        <f>'[1]CB I'!$M4</f>
        <v>43037.8729351488</v>
      </c>
      <c r="BQ4" s="18">
        <f>BP4-BR4</f>
        <v>37748.518351419014</v>
      </c>
      <c r="BR4" s="18">
        <f>+BP4*12.29%</f>
        <v>5289.354583729787</v>
      </c>
      <c r="BS4" s="18">
        <f>+BU4-BT4</f>
        <v>0</v>
      </c>
      <c r="BT4" s="18">
        <f>+BU4*2.01%</f>
        <v>0</v>
      </c>
      <c r="BU4" s="20">
        <f>DA4*'[3]CAMBARÁ - CITROS'!$U$5</f>
        <v>0</v>
      </c>
      <c r="BV4" s="25">
        <f t="shared" ref="BV4:BV54" si="11">IF(BP4=0,"",(+BU4/BP4-1))</f>
        <v>-1</v>
      </c>
      <c r="BW4" s="23">
        <f>'[1]CB I'!$N4</f>
        <v>43037.8729351488</v>
      </c>
      <c r="BX4" s="18">
        <f>BW4-BY4</f>
        <v>37748.518351419014</v>
      </c>
      <c r="BY4" s="18">
        <f>+BW4*12.29%</f>
        <v>5289.354583729787</v>
      </c>
      <c r="BZ4" s="18">
        <f>+CB4-CA4</f>
        <v>0</v>
      </c>
      <c r="CA4" s="18">
        <f>+CB4*2.01%</f>
        <v>0</v>
      </c>
      <c r="CB4" s="20">
        <f>DB4*'[3]CAMBARÁ - CITROS'!$U$5</f>
        <v>0</v>
      </c>
      <c r="CC4" s="25">
        <f t="shared" ref="CC4:CC54" si="12">IF(BW4=0,"",(+CB4/BW4-1))</f>
        <v>-1</v>
      </c>
      <c r="CD4" s="23">
        <f>'[1]CB I'!$O4</f>
        <v>43037.8729351488</v>
      </c>
      <c r="CE4" s="18">
        <f>CD4-CF4</f>
        <v>37748.518351419014</v>
      </c>
      <c r="CF4" s="18">
        <f>+CD4*12.29%</f>
        <v>5289.354583729787</v>
      </c>
      <c r="CG4" s="18">
        <f>+CI4-CH4</f>
        <v>0</v>
      </c>
      <c r="CH4" s="18">
        <f>+CI4*2.01%</f>
        <v>0</v>
      </c>
      <c r="CI4" s="20">
        <f>DC4*'[3]CAMBARÁ - CITROS'!$U$5</f>
        <v>0</v>
      </c>
      <c r="CJ4" s="25">
        <f t="shared" ref="CJ4:CJ54" si="13">IF(CD4=0,"",(+CI4/CD4-1))</f>
        <v>-1</v>
      </c>
      <c r="CK4" s="23">
        <f>'[1]CB I'!$P4</f>
        <v>43037.8729351488</v>
      </c>
      <c r="CL4" s="18">
        <f>CK4-CM4</f>
        <v>37748.518351419014</v>
      </c>
      <c r="CM4" s="18">
        <f>+CK4*12.29%</f>
        <v>5289.354583729787</v>
      </c>
      <c r="CN4" s="18">
        <f>+CP4-CO4</f>
        <v>0</v>
      </c>
      <c r="CO4" s="18">
        <f>+CP4*2.01%</f>
        <v>0</v>
      </c>
      <c r="CP4" s="20">
        <f>DD4*'[3]CAMBARÁ - CITROS'!$U$5</f>
        <v>0</v>
      </c>
      <c r="CQ4" s="25">
        <f t="shared" ref="CQ4:CQ54" si="14">IF(CK4=0,"",(+CP4/CK4-1))</f>
        <v>-1</v>
      </c>
      <c r="CS4" s="198">
        <f>93379.87-CS5-CS6-CS7-CS8-CS9</f>
        <v>63235.649999999994</v>
      </c>
      <c r="CT4" s="198">
        <f>82989.13-CT5-CT6-CT7-CT8-CT9</f>
        <v>61354.550000000017</v>
      </c>
      <c r="CU4" s="198">
        <f>94552.43-CU5-CU6-CU7-CU8-CU9</f>
        <v>79410.209999999992</v>
      </c>
      <c r="CV4" s="198">
        <f>141647.66-CV5-CV6-CV7-CV8-CV9</f>
        <v>122817.08000000002</v>
      </c>
      <c r="CW4" s="198"/>
      <c r="CX4" s="198"/>
      <c r="CY4" s="33"/>
      <c r="CZ4" s="27"/>
      <c r="DA4" s="198"/>
      <c r="DB4" s="198"/>
      <c r="DC4" s="198"/>
      <c r="DD4" s="198"/>
      <c r="DE4" s="199"/>
      <c r="DF4" s="199"/>
    </row>
    <row r="5" spans="1:110" s="26" customFormat="1" ht="14.25" customHeight="1" x14ac:dyDescent="0.2">
      <c r="A5" s="29" t="s">
        <v>29</v>
      </c>
      <c r="B5" s="30">
        <f t="shared" si="0"/>
        <v>22363.199999999997</v>
      </c>
      <c r="C5" s="31">
        <f t="shared" si="0"/>
        <v>19614.762720000002</v>
      </c>
      <c r="D5" s="32">
        <f t="shared" si="0"/>
        <v>2748.4372799999987</v>
      </c>
      <c r="E5" s="30">
        <f t="shared" ref="E5:G36" si="15">+L5+S5+Z5+AG5</f>
        <v>7454.4</v>
      </c>
      <c r="F5" s="33">
        <f t="shared" si="15"/>
        <v>6538.2542400000002</v>
      </c>
      <c r="G5" s="34">
        <f t="shared" si="15"/>
        <v>916.14575999999988</v>
      </c>
      <c r="H5" s="31">
        <f t="shared" si="1"/>
        <v>6304.2672555219842</v>
      </c>
      <c r="I5" s="33">
        <f t="shared" si="1"/>
        <v>129.31500340442071</v>
      </c>
      <c r="J5" s="33">
        <f t="shared" si="1"/>
        <v>6433.5822589264044</v>
      </c>
      <c r="K5" s="37">
        <f t="shared" si="2"/>
        <v>-0.13694163729791742</v>
      </c>
      <c r="L5" s="36">
        <f>'[1]CB I'!$E5</f>
        <v>1863.6</v>
      </c>
      <c r="M5" s="31">
        <f t="shared" ref="M5:M54" si="16">L5-N5</f>
        <v>1634.5635600000001</v>
      </c>
      <c r="N5" s="31">
        <f t="shared" ref="N5:N54" si="17">+L5*12.29%</f>
        <v>229.03643999999997</v>
      </c>
      <c r="O5" s="31">
        <f t="shared" ref="O5:O54" si="18">+Q5-P5</f>
        <v>1479.1998690733108</v>
      </c>
      <c r="P5" s="31">
        <f t="shared" ref="P5:P54" si="19">+Q5*2.01%</f>
        <v>30.341787292962081</v>
      </c>
      <c r="Q5" s="27">
        <f>CS5*'[2]CAMBARÁ - CITROS'!$U$5</f>
        <v>1509.5416563662729</v>
      </c>
      <c r="R5" s="37">
        <f t="shared" si="3"/>
        <v>-0.18998623290069061</v>
      </c>
      <c r="S5" s="36">
        <f>'[1]CB I'!$F5</f>
        <v>1863.6</v>
      </c>
      <c r="T5" s="31">
        <f t="shared" ref="T5:T54" si="20">S5-U5</f>
        <v>1634.5635600000001</v>
      </c>
      <c r="U5" s="31">
        <f t="shared" ref="U5:U54" si="21">+S5*12.29%</f>
        <v>229.03643999999997</v>
      </c>
      <c r="V5" s="31">
        <f t="shared" ref="V5:V54" si="22">+X5-W5</f>
        <v>1369.4122061507087</v>
      </c>
      <c r="W5" s="31">
        <f t="shared" ref="W5:W54" si="23">+X5*2.01%</f>
        <v>28.089790125144646</v>
      </c>
      <c r="X5" s="33">
        <f>CT5*'[2]CAMBARÁ - CITROS'!$U$5</f>
        <v>1397.5019962758533</v>
      </c>
      <c r="Y5" s="37">
        <f t="shared" si="4"/>
        <v>-0.2501062479738928</v>
      </c>
      <c r="Z5" s="36">
        <f>'[1]CB I'!$G5</f>
        <v>1863.6</v>
      </c>
      <c r="AA5" s="31">
        <f t="shared" ref="AA5:AA54" si="24">Z5-AB5</f>
        <v>1634.5635600000001</v>
      </c>
      <c r="AB5" s="31">
        <f t="shared" ref="AB5:AB54" si="25">+Z5*12.29%</f>
        <v>229.03643999999997</v>
      </c>
      <c r="AC5" s="31">
        <f t="shared" ref="AC5:AC54" si="26">+AE5-AD5</f>
        <v>624.45765829635809</v>
      </c>
      <c r="AD5" s="31">
        <f t="shared" ref="AD5:AD54" si="27">+AE5*2.01%</f>
        <v>12.80906105904357</v>
      </c>
      <c r="AE5" s="27">
        <f>CU5*'[2]CAMBARÁ - CITROS'!$U$5</f>
        <v>637.26671935540162</v>
      </c>
      <c r="AF5" s="37">
        <f t="shared" si="5"/>
        <v>-0.65804533196211545</v>
      </c>
      <c r="AG5" s="36">
        <f>'[1]CB I'!$H5</f>
        <v>1863.6</v>
      </c>
      <c r="AH5" s="31">
        <f t="shared" ref="AH5:AH54" si="28">AG5-AI5</f>
        <v>1634.5635600000001</v>
      </c>
      <c r="AI5" s="31">
        <f t="shared" ref="AI5:AI54" si="29">+AG5*12.29%</f>
        <v>229.03643999999997</v>
      </c>
      <c r="AJ5" s="31">
        <f t="shared" ref="AJ5:AJ54" si="30">+AL5-AK5</f>
        <v>2831.1975220016066</v>
      </c>
      <c r="AK5" s="31">
        <f t="shared" ref="AK5:AK54" si="31">+AL5*2.01%</f>
        <v>58.074364927270416</v>
      </c>
      <c r="AL5" s="33">
        <f>CV5*'[2]CAMBARÁ - CITROS'!$U$5</f>
        <v>2889.2718869288769</v>
      </c>
      <c r="AM5" s="37">
        <f t="shared" si="6"/>
        <v>0.55037126364502953</v>
      </c>
      <c r="AN5" s="36">
        <f>'[1]CB I'!$I5</f>
        <v>1863.6</v>
      </c>
      <c r="AO5" s="31">
        <f t="shared" ref="AO5:AO54" si="32">AN5-AP5</f>
        <v>1634.5635600000001</v>
      </c>
      <c r="AP5" s="31">
        <f t="shared" ref="AP5:AP54" si="33">+AN5*12.29%</f>
        <v>229.03643999999997</v>
      </c>
      <c r="AQ5" s="31">
        <f t="shared" ref="AQ5:AQ54" si="34">+AS5-AR5</f>
        <v>0</v>
      </c>
      <c r="AR5" s="31">
        <f t="shared" ref="AR5:AR54" si="35">+AS5*2.01%</f>
        <v>0</v>
      </c>
      <c r="AS5" s="27">
        <f>CW5*'[3]CAMBARÁ - CITROS'!$U$5</f>
        <v>0</v>
      </c>
      <c r="AT5" s="37">
        <f t="shared" si="7"/>
        <v>-1</v>
      </c>
      <c r="AU5" s="36">
        <f>'[1]CB I'!$J5</f>
        <v>1863.6</v>
      </c>
      <c r="AV5" s="31">
        <f t="shared" ref="AV5:AV54" si="36">AU5-AW5</f>
        <v>1634.5635600000001</v>
      </c>
      <c r="AW5" s="31">
        <f t="shared" ref="AW5:AW54" si="37">+AU5*12.29%</f>
        <v>229.03643999999997</v>
      </c>
      <c r="AX5" s="31">
        <f t="shared" ref="AX5:AX54" si="38">+AZ5-AY5</f>
        <v>0</v>
      </c>
      <c r="AY5" s="31">
        <f t="shared" ref="AY5:AY54" si="39">+AZ5*2.01%</f>
        <v>0</v>
      </c>
      <c r="AZ5" s="33">
        <f>CX5*'[3]CAMBARÁ - CITROS'!$U$5</f>
        <v>0</v>
      </c>
      <c r="BA5" s="37">
        <f t="shared" si="8"/>
        <v>-1</v>
      </c>
      <c r="BB5" s="36">
        <f>'[1]CB I'!$K5</f>
        <v>1863.6</v>
      </c>
      <c r="BC5" s="31">
        <f t="shared" ref="BC5:BC54" si="40">BB5-BD5</f>
        <v>1634.5635600000001</v>
      </c>
      <c r="BD5" s="31">
        <f t="shared" ref="BD5:BD54" si="41">+BB5*12.29%</f>
        <v>229.03643999999997</v>
      </c>
      <c r="BE5" s="31">
        <f t="shared" ref="BE5:BE54" si="42">+BG5-BF5</f>
        <v>0</v>
      </c>
      <c r="BF5" s="31">
        <f t="shared" ref="BF5:BF54" si="43">+BG5*2.01%</f>
        <v>0</v>
      </c>
      <c r="BG5" s="33">
        <f>CY5*'[3]CAMBARÁ - CITROS'!$U$5</f>
        <v>0</v>
      </c>
      <c r="BH5" s="37">
        <f t="shared" si="9"/>
        <v>-1</v>
      </c>
      <c r="BI5" s="36">
        <f>'[1]CB I'!$L5</f>
        <v>1863.6</v>
      </c>
      <c r="BJ5" s="31">
        <f t="shared" ref="BJ5:BJ54" si="44">BI5-BK5</f>
        <v>1634.5635600000001</v>
      </c>
      <c r="BK5" s="31">
        <f t="shared" ref="BK5:BK54" si="45">+BI5*12.29%</f>
        <v>229.03643999999997</v>
      </c>
      <c r="BL5" s="31">
        <f t="shared" ref="BL5:BL54" si="46">+BN5-BM5</f>
        <v>0</v>
      </c>
      <c r="BM5" s="31">
        <f t="shared" ref="BM5:BM54" si="47">+BN5*2.01%</f>
        <v>0</v>
      </c>
      <c r="BN5" s="33">
        <f>CZ5*'[3]CAMBARÁ - CITROS'!$U$5</f>
        <v>0</v>
      </c>
      <c r="BO5" s="37">
        <f t="shared" si="10"/>
        <v>-1</v>
      </c>
      <c r="BP5" s="36">
        <f>'[1]CB I'!$M5</f>
        <v>1863.6</v>
      </c>
      <c r="BQ5" s="31">
        <f t="shared" ref="BQ5:BQ54" si="48">BP5-BR5</f>
        <v>1634.5635600000001</v>
      </c>
      <c r="BR5" s="31">
        <f t="shared" ref="BR5:BR54" si="49">+BP5*12.29%</f>
        <v>229.03643999999997</v>
      </c>
      <c r="BS5" s="31">
        <f t="shared" ref="BS5:BS54" si="50">+BU5-BT5</f>
        <v>0</v>
      </c>
      <c r="BT5" s="31">
        <f t="shared" ref="BT5:BT54" si="51">+BU5*2.01%</f>
        <v>0</v>
      </c>
      <c r="BU5" s="33">
        <f>DA5*'[3]CAMBARÁ - CITROS'!$U$5</f>
        <v>0</v>
      </c>
      <c r="BV5" s="37">
        <f t="shared" si="11"/>
        <v>-1</v>
      </c>
      <c r="BW5" s="36">
        <f>'[1]CB I'!$N5</f>
        <v>1863.6</v>
      </c>
      <c r="BX5" s="31">
        <f t="shared" ref="BX5:BX54" si="52">BW5-BY5</f>
        <v>1634.5635600000001</v>
      </c>
      <c r="BY5" s="31">
        <f t="shared" ref="BY5:BY54" si="53">+BW5*12.29%</f>
        <v>229.03643999999997</v>
      </c>
      <c r="BZ5" s="31">
        <f t="shared" ref="BZ5:BZ54" si="54">+CB5-CA5</f>
        <v>0</v>
      </c>
      <c r="CA5" s="31">
        <f t="shared" ref="CA5:CA54" si="55">+CB5*2.01%</f>
        <v>0</v>
      </c>
      <c r="CB5" s="33">
        <f>DB5*'[3]CAMBARÁ - CITROS'!$U$5</f>
        <v>0</v>
      </c>
      <c r="CC5" s="37">
        <f t="shared" si="12"/>
        <v>-1</v>
      </c>
      <c r="CD5" s="36">
        <f>'[1]CB I'!$O5</f>
        <v>1863.6</v>
      </c>
      <c r="CE5" s="31">
        <f t="shared" ref="CE5:CE54" si="56">CD5-CF5</f>
        <v>1634.5635600000001</v>
      </c>
      <c r="CF5" s="31">
        <f t="shared" ref="CF5:CF54" si="57">+CD5*12.29%</f>
        <v>229.03643999999997</v>
      </c>
      <c r="CG5" s="31">
        <f t="shared" ref="CG5:CG54" si="58">+CI5-CH5</f>
        <v>0</v>
      </c>
      <c r="CH5" s="31">
        <f t="shared" ref="CH5:CH54" si="59">+CI5*2.01%</f>
        <v>0</v>
      </c>
      <c r="CI5" s="33">
        <f>DC5*'[3]CAMBARÁ - CITROS'!$U$5</f>
        <v>0</v>
      </c>
      <c r="CJ5" s="37">
        <f t="shared" si="13"/>
        <v>-1</v>
      </c>
      <c r="CK5" s="36">
        <f>'[1]CB I'!$P5</f>
        <v>1863.6</v>
      </c>
      <c r="CL5" s="31">
        <f t="shared" ref="CL5:CL54" si="60">CK5-CM5</f>
        <v>1634.5635600000001</v>
      </c>
      <c r="CM5" s="31">
        <f t="shared" ref="CM5:CM54" si="61">+CK5*12.29%</f>
        <v>229.03643999999997</v>
      </c>
      <c r="CN5" s="31">
        <f t="shared" ref="CN5:CN54" si="62">+CP5-CO5</f>
        <v>0</v>
      </c>
      <c r="CO5" s="31">
        <f t="shared" ref="CO5:CO54" si="63">+CP5*2.01%</f>
        <v>0</v>
      </c>
      <c r="CP5" s="33">
        <f>DD5*'[3]CAMBARÁ - CITROS'!$U$5</f>
        <v>0</v>
      </c>
      <c r="CQ5" s="37">
        <f t="shared" si="14"/>
        <v>-1</v>
      </c>
      <c r="CS5" s="198">
        <f>2453.08</f>
        <v>2453.08</v>
      </c>
      <c r="CT5" s="198">
        <f>2271.01</f>
        <v>2271.0100000000002</v>
      </c>
      <c r="CU5" s="198">
        <f>1035.59</f>
        <v>1035.5899999999999</v>
      </c>
      <c r="CV5" s="198">
        <f>3574.49+1120.72</f>
        <v>4695.21</v>
      </c>
      <c r="CW5" s="198"/>
      <c r="CX5" s="198"/>
      <c r="CY5" s="33"/>
      <c r="CZ5" s="27"/>
      <c r="DA5" s="198"/>
      <c r="DB5" s="198"/>
      <c r="DC5" s="198"/>
      <c r="DD5" s="198"/>
      <c r="DE5" s="199"/>
      <c r="DF5" s="199"/>
    </row>
    <row r="6" spans="1:110" s="26" customFormat="1" ht="14.25" customHeight="1" x14ac:dyDescent="0.2">
      <c r="A6" s="29" t="s">
        <v>30</v>
      </c>
      <c r="B6" s="30">
        <f t="shared" si="0"/>
        <v>64898.555948307214</v>
      </c>
      <c r="C6" s="31">
        <f t="shared" si="0"/>
        <v>56922.52342226023</v>
      </c>
      <c r="D6" s="32">
        <f t="shared" si="0"/>
        <v>7976.0325260469554</v>
      </c>
      <c r="E6" s="30">
        <f t="shared" si="15"/>
        <v>20962.911931711998</v>
      </c>
      <c r="F6" s="33">
        <f t="shared" si="15"/>
        <v>18386.570055304594</v>
      </c>
      <c r="G6" s="34">
        <f t="shared" si="15"/>
        <v>2576.3418764074045</v>
      </c>
      <c r="H6" s="31">
        <f t="shared" si="1"/>
        <v>19591.794473111444</v>
      </c>
      <c r="I6" s="33">
        <f t="shared" si="1"/>
        <v>401.87271038834569</v>
      </c>
      <c r="J6" s="33">
        <f t="shared" si="1"/>
        <v>19993.667183499791</v>
      </c>
      <c r="K6" s="37">
        <f t="shared" si="2"/>
        <v>-4.623616944867126E-2</v>
      </c>
      <c r="L6" s="36">
        <f>'[1]CB I'!$E6</f>
        <v>5240.7279829279996</v>
      </c>
      <c r="M6" s="31">
        <f t="shared" si="16"/>
        <v>4596.6425138261484</v>
      </c>
      <c r="N6" s="31">
        <f t="shared" si="17"/>
        <v>644.08546910185112</v>
      </c>
      <c r="O6" s="31">
        <f t="shared" si="18"/>
        <v>4938.093143235692</v>
      </c>
      <c r="P6" s="31">
        <f t="shared" si="19"/>
        <v>101.29163402289763</v>
      </c>
      <c r="Q6" s="27">
        <f>CS6*'[2]CAMBARÁ - CITROS'!$U$5</f>
        <v>5039.3847772585896</v>
      </c>
      <c r="R6" s="37">
        <f t="shared" si="3"/>
        <v>-3.8418938423306459E-2</v>
      </c>
      <c r="S6" s="36">
        <f>'[1]CB I'!$F6</f>
        <v>5240.7279829279996</v>
      </c>
      <c r="T6" s="31">
        <f t="shared" si="20"/>
        <v>4596.6425138261484</v>
      </c>
      <c r="U6" s="31">
        <f t="shared" si="21"/>
        <v>644.08546910185112</v>
      </c>
      <c r="V6" s="31">
        <f t="shared" si="22"/>
        <v>4661.6431407998361</v>
      </c>
      <c r="W6" s="31">
        <f t="shared" si="23"/>
        <v>95.621009419406761</v>
      </c>
      <c r="X6" s="33">
        <f>CT6*'[2]CAMBARÁ - CITROS'!$U$5</f>
        <v>4757.2641502192428</v>
      </c>
      <c r="Y6" s="37">
        <f t="shared" si="4"/>
        <v>-9.2251273922949406E-2</v>
      </c>
      <c r="Z6" s="36">
        <f>'[1]CB I'!$G6</f>
        <v>5240.7279829279996</v>
      </c>
      <c r="AA6" s="31">
        <f t="shared" si="24"/>
        <v>4596.6425138261484</v>
      </c>
      <c r="AB6" s="31">
        <f t="shared" si="25"/>
        <v>644.08546910185112</v>
      </c>
      <c r="AC6" s="31">
        <f t="shared" si="26"/>
        <v>4957.467436692621</v>
      </c>
      <c r="AD6" s="31">
        <f t="shared" si="27"/>
        <v>101.68904528780658</v>
      </c>
      <c r="AE6" s="27">
        <f>CU6*'[2]CAMBARÁ - CITROS'!$U$5</f>
        <v>5059.156481980428</v>
      </c>
      <c r="AF6" s="37">
        <f t="shared" si="5"/>
        <v>-3.4646236465439961E-2</v>
      </c>
      <c r="AG6" s="36">
        <f>'[1]CB I'!$H6</f>
        <v>5240.7279829279996</v>
      </c>
      <c r="AH6" s="31">
        <f t="shared" si="28"/>
        <v>4596.6425138261484</v>
      </c>
      <c r="AI6" s="31">
        <f t="shared" si="29"/>
        <v>644.08546910185112</v>
      </c>
      <c r="AJ6" s="31">
        <f t="shared" si="30"/>
        <v>5034.5907523832957</v>
      </c>
      <c r="AK6" s="31">
        <f t="shared" si="31"/>
        <v>103.27102165823474</v>
      </c>
      <c r="AL6" s="33">
        <f>CV6*'[2]CAMBARÁ - CITROS'!$U$5</f>
        <v>5137.8617740415302</v>
      </c>
      <c r="AM6" s="37">
        <f t="shared" si="6"/>
        <v>-1.9628228982989104E-2</v>
      </c>
      <c r="AN6" s="36">
        <f>'[1]CB I'!$I6</f>
        <v>5240.7279829279996</v>
      </c>
      <c r="AO6" s="31">
        <f t="shared" si="32"/>
        <v>4596.6425138261484</v>
      </c>
      <c r="AP6" s="31">
        <f t="shared" si="33"/>
        <v>644.08546910185112</v>
      </c>
      <c r="AQ6" s="31">
        <f t="shared" si="34"/>
        <v>0</v>
      </c>
      <c r="AR6" s="31">
        <f t="shared" si="35"/>
        <v>0</v>
      </c>
      <c r="AS6" s="27">
        <f>CW6*'[3]CAMBARÁ - CITROS'!$U$5</f>
        <v>0</v>
      </c>
      <c r="AT6" s="37">
        <f t="shared" si="7"/>
        <v>-1</v>
      </c>
      <c r="AU6" s="36">
        <f>'[1]CB I'!$J6</f>
        <v>5240.7279829279996</v>
      </c>
      <c r="AV6" s="31">
        <f t="shared" si="36"/>
        <v>4596.6425138261484</v>
      </c>
      <c r="AW6" s="31">
        <f t="shared" si="37"/>
        <v>644.08546910185112</v>
      </c>
      <c r="AX6" s="31">
        <f t="shared" si="38"/>
        <v>0</v>
      </c>
      <c r="AY6" s="31">
        <f t="shared" si="39"/>
        <v>0</v>
      </c>
      <c r="AZ6" s="33">
        <f>CX6*'[3]CAMBARÁ - CITROS'!$U$5</f>
        <v>0</v>
      </c>
      <c r="BA6" s="37">
        <f t="shared" si="8"/>
        <v>-1</v>
      </c>
      <c r="BB6" s="36">
        <f>'[1]CB I'!$K6</f>
        <v>5240.7279829279996</v>
      </c>
      <c r="BC6" s="31">
        <f t="shared" si="40"/>
        <v>4596.6425138261484</v>
      </c>
      <c r="BD6" s="31">
        <f t="shared" si="41"/>
        <v>644.08546910185112</v>
      </c>
      <c r="BE6" s="31">
        <f t="shared" si="42"/>
        <v>0</v>
      </c>
      <c r="BF6" s="31">
        <f t="shared" si="43"/>
        <v>0</v>
      </c>
      <c r="BG6" s="33">
        <f>CY6*'[3]CAMBARÁ - CITROS'!$U$5</f>
        <v>0</v>
      </c>
      <c r="BH6" s="37">
        <f t="shared" si="9"/>
        <v>-1</v>
      </c>
      <c r="BI6" s="36">
        <f>'[1]CB I'!$L6</f>
        <v>5642.6920135622404</v>
      </c>
      <c r="BJ6" s="31">
        <f t="shared" si="44"/>
        <v>4949.2051650954409</v>
      </c>
      <c r="BK6" s="31">
        <f t="shared" si="45"/>
        <v>693.4868484667993</v>
      </c>
      <c r="BL6" s="31">
        <f t="shared" si="46"/>
        <v>0</v>
      </c>
      <c r="BM6" s="31">
        <f t="shared" si="47"/>
        <v>0</v>
      </c>
      <c r="BN6" s="33">
        <f>CZ6*'[3]CAMBARÁ - CITROS'!$U$5</f>
        <v>0</v>
      </c>
      <c r="BO6" s="37">
        <f t="shared" si="10"/>
        <v>-1</v>
      </c>
      <c r="BP6" s="36">
        <f>'[1]CB I'!$M6</f>
        <v>5642.6920135622404</v>
      </c>
      <c r="BQ6" s="31">
        <f t="shared" si="48"/>
        <v>4949.2051650954409</v>
      </c>
      <c r="BR6" s="31">
        <f t="shared" si="49"/>
        <v>693.4868484667993</v>
      </c>
      <c r="BS6" s="31">
        <f t="shared" si="50"/>
        <v>0</v>
      </c>
      <c r="BT6" s="31">
        <f t="shared" si="51"/>
        <v>0</v>
      </c>
      <c r="BU6" s="33">
        <f>DA6*'[3]CAMBARÁ - CITROS'!$U$5</f>
        <v>0</v>
      </c>
      <c r="BV6" s="37">
        <f t="shared" si="11"/>
        <v>-1</v>
      </c>
      <c r="BW6" s="36">
        <f>'[1]CB I'!$N6</f>
        <v>5642.6920135622404</v>
      </c>
      <c r="BX6" s="31">
        <f t="shared" si="52"/>
        <v>4949.2051650954409</v>
      </c>
      <c r="BY6" s="31">
        <f t="shared" si="53"/>
        <v>693.4868484667993</v>
      </c>
      <c r="BZ6" s="31">
        <f t="shared" si="54"/>
        <v>0</v>
      </c>
      <c r="CA6" s="31">
        <f t="shared" si="55"/>
        <v>0</v>
      </c>
      <c r="CB6" s="33">
        <f>DB6*'[3]CAMBARÁ - CITROS'!$U$5</f>
        <v>0</v>
      </c>
      <c r="CC6" s="37">
        <f t="shared" si="12"/>
        <v>-1</v>
      </c>
      <c r="CD6" s="36">
        <f>'[1]CB I'!$O6</f>
        <v>5642.6920135622404</v>
      </c>
      <c r="CE6" s="31">
        <f t="shared" si="56"/>
        <v>4949.2051650954409</v>
      </c>
      <c r="CF6" s="31">
        <f t="shared" si="57"/>
        <v>693.4868484667993</v>
      </c>
      <c r="CG6" s="31">
        <f t="shared" si="58"/>
        <v>0</v>
      </c>
      <c r="CH6" s="31">
        <f t="shared" si="59"/>
        <v>0</v>
      </c>
      <c r="CI6" s="33">
        <f>DC6*'[3]CAMBARÁ - CITROS'!$U$5</f>
        <v>0</v>
      </c>
      <c r="CJ6" s="37">
        <f t="shared" si="13"/>
        <v>-1</v>
      </c>
      <c r="CK6" s="36">
        <f>'[1]CB I'!$P6</f>
        <v>5642.6920135622404</v>
      </c>
      <c r="CL6" s="31">
        <f t="shared" si="60"/>
        <v>4949.2051650954409</v>
      </c>
      <c r="CM6" s="31">
        <f t="shared" si="61"/>
        <v>693.4868484667993</v>
      </c>
      <c r="CN6" s="31">
        <f t="shared" si="62"/>
        <v>0</v>
      </c>
      <c r="CO6" s="31">
        <f t="shared" si="63"/>
        <v>0</v>
      </c>
      <c r="CP6" s="33">
        <f>DD6*'[3]CAMBARÁ - CITROS'!$U$5</f>
        <v>0</v>
      </c>
      <c r="CQ6" s="37">
        <f t="shared" si="14"/>
        <v>-1</v>
      </c>
      <c r="CS6" s="198">
        <v>8189.25</v>
      </c>
      <c r="CT6" s="198">
        <v>7730.79</v>
      </c>
      <c r="CU6" s="198">
        <v>8221.3799999999992</v>
      </c>
      <c r="CV6" s="198">
        <f>8066.17+283.11</f>
        <v>8349.2800000000007</v>
      </c>
      <c r="CW6" s="198"/>
      <c r="CX6" s="198"/>
      <c r="CY6" s="198"/>
      <c r="CZ6" s="27"/>
      <c r="DA6" s="198"/>
      <c r="DB6" s="198"/>
      <c r="DC6" s="198"/>
      <c r="DD6" s="198"/>
      <c r="DE6" s="199"/>
      <c r="DF6" s="199"/>
    </row>
    <row r="7" spans="1:110" s="26" customFormat="1" ht="14.25" customHeight="1" x14ac:dyDescent="0.2">
      <c r="A7" s="29" t="s">
        <v>31</v>
      </c>
      <c r="B7" s="30">
        <f t="shared" si="0"/>
        <v>50352.327890927991</v>
      </c>
      <c r="C7" s="31">
        <f t="shared" si="0"/>
        <v>44164.026793132951</v>
      </c>
      <c r="D7" s="32">
        <f t="shared" si="0"/>
        <v>6188.3010977950507</v>
      </c>
      <c r="E7" s="30">
        <f t="shared" si="15"/>
        <v>16264.328222879998</v>
      </c>
      <c r="F7" s="33">
        <f t="shared" si="15"/>
        <v>14265.442284288047</v>
      </c>
      <c r="G7" s="34">
        <f t="shared" si="15"/>
        <v>1998.8859385919518</v>
      </c>
      <c r="H7" s="31">
        <f t="shared" si="1"/>
        <v>13733.956043012369</v>
      </c>
      <c r="I7" s="33">
        <f t="shared" si="1"/>
        <v>281.71498771767381</v>
      </c>
      <c r="J7" s="33">
        <f t="shared" si="1"/>
        <v>14015.671030730042</v>
      </c>
      <c r="K7" s="37">
        <f t="shared" si="2"/>
        <v>-0.13825699785046375</v>
      </c>
      <c r="L7" s="36">
        <f>'[1]CB I'!$E7</f>
        <v>4066.0820557199995</v>
      </c>
      <c r="M7" s="31">
        <f t="shared" si="16"/>
        <v>3566.3605710720117</v>
      </c>
      <c r="N7" s="31">
        <f t="shared" si="17"/>
        <v>499.72148464798795</v>
      </c>
      <c r="O7" s="31">
        <f t="shared" si="18"/>
        <v>3584.5156381798788</v>
      </c>
      <c r="P7" s="31">
        <f t="shared" si="19"/>
        <v>73.526649992259976</v>
      </c>
      <c r="Q7" s="27">
        <f>CS7*'[2]CAMBARÁ - CITROS'!$U$5</f>
        <v>3658.0422881721388</v>
      </c>
      <c r="R7" s="37">
        <f t="shared" si="3"/>
        <v>-0.10035207404972235</v>
      </c>
      <c r="S7" s="36">
        <f>'[1]CB I'!$F7</f>
        <v>4066.0820557199995</v>
      </c>
      <c r="T7" s="31">
        <f t="shared" si="20"/>
        <v>3566.3605710720117</v>
      </c>
      <c r="U7" s="31">
        <f t="shared" si="21"/>
        <v>499.72148464798795</v>
      </c>
      <c r="V7" s="31">
        <f t="shared" si="22"/>
        <v>3254.597892176454</v>
      </c>
      <c r="W7" s="31">
        <f t="shared" si="23"/>
        <v>66.7592791435317</v>
      </c>
      <c r="X7" s="33">
        <f>CT7*'[2]CAMBARÁ - CITROS'!$U$5</f>
        <v>3321.3571713199858</v>
      </c>
      <c r="Y7" s="37">
        <f t="shared" si="4"/>
        <v>-0.18315539976680129</v>
      </c>
      <c r="Z7" s="36">
        <f>'[1]CB I'!$G7</f>
        <v>4066.0820557199995</v>
      </c>
      <c r="AA7" s="31">
        <f t="shared" si="24"/>
        <v>3566.3605710720117</v>
      </c>
      <c r="AB7" s="31">
        <f t="shared" si="25"/>
        <v>499.72148464798795</v>
      </c>
      <c r="AC7" s="31">
        <f t="shared" si="26"/>
        <v>3405.8476284914782</v>
      </c>
      <c r="AD7" s="31">
        <f t="shared" si="27"/>
        <v>69.861758682190725</v>
      </c>
      <c r="AE7" s="27">
        <f>CU7*'[2]CAMBARÁ - CITROS'!$U$5</f>
        <v>3475.7093871736688</v>
      </c>
      <c r="AF7" s="37">
        <f t="shared" si="5"/>
        <v>-0.14519447971194244</v>
      </c>
      <c r="AG7" s="36">
        <f>'[1]CB I'!$H7</f>
        <v>4066.0820557199995</v>
      </c>
      <c r="AH7" s="31">
        <f t="shared" si="28"/>
        <v>3566.3605710720117</v>
      </c>
      <c r="AI7" s="31">
        <f t="shared" si="29"/>
        <v>499.72148464798795</v>
      </c>
      <c r="AJ7" s="31">
        <f t="shared" si="30"/>
        <v>3488.9948841645578</v>
      </c>
      <c r="AK7" s="31">
        <f t="shared" si="31"/>
        <v>71.567299899691392</v>
      </c>
      <c r="AL7" s="33">
        <f>CV7*'[2]CAMBARÁ - CITROS'!$U$5</f>
        <v>3560.5621840642493</v>
      </c>
      <c r="AM7" s="37">
        <f t="shared" si="6"/>
        <v>-0.12432603787338858</v>
      </c>
      <c r="AN7" s="36">
        <f>'[1]CB I'!$I7</f>
        <v>4066.0820557199995</v>
      </c>
      <c r="AO7" s="31">
        <f t="shared" si="32"/>
        <v>3566.3605710720117</v>
      </c>
      <c r="AP7" s="31">
        <f t="shared" si="33"/>
        <v>499.72148464798795</v>
      </c>
      <c r="AQ7" s="31">
        <f t="shared" si="34"/>
        <v>0</v>
      </c>
      <c r="AR7" s="31">
        <f t="shared" si="35"/>
        <v>0</v>
      </c>
      <c r="AS7" s="27">
        <f>CW7*'[3]CAMBARÁ - CITROS'!$U$5</f>
        <v>0</v>
      </c>
      <c r="AT7" s="37">
        <f t="shared" si="7"/>
        <v>-1</v>
      </c>
      <c r="AU7" s="36">
        <f>'[1]CB I'!$J7</f>
        <v>4066.0820557199995</v>
      </c>
      <c r="AV7" s="31">
        <f t="shared" si="36"/>
        <v>3566.3605710720117</v>
      </c>
      <c r="AW7" s="31">
        <f t="shared" si="37"/>
        <v>499.72148464798795</v>
      </c>
      <c r="AX7" s="31">
        <f t="shared" si="38"/>
        <v>0</v>
      </c>
      <c r="AY7" s="31">
        <f t="shared" si="39"/>
        <v>0</v>
      </c>
      <c r="AZ7" s="33">
        <f>CX7*'[3]CAMBARÁ - CITROS'!$U$5</f>
        <v>0</v>
      </c>
      <c r="BA7" s="37">
        <f t="shared" si="8"/>
        <v>-1</v>
      </c>
      <c r="BB7" s="36">
        <f>'[1]CB I'!$K7</f>
        <v>4066.0820557199995</v>
      </c>
      <c r="BC7" s="31">
        <f t="shared" si="40"/>
        <v>3566.3605710720117</v>
      </c>
      <c r="BD7" s="31">
        <f t="shared" si="41"/>
        <v>499.72148464798795</v>
      </c>
      <c r="BE7" s="31">
        <f t="shared" si="42"/>
        <v>0</v>
      </c>
      <c r="BF7" s="31">
        <f t="shared" si="43"/>
        <v>0</v>
      </c>
      <c r="BG7" s="33">
        <f>CY7*'[3]CAMBARÁ - CITROS'!$U$5</f>
        <v>0</v>
      </c>
      <c r="BH7" s="37">
        <f t="shared" si="9"/>
        <v>-1</v>
      </c>
      <c r="BI7" s="36">
        <f>'[1]CB I'!$L7</f>
        <v>4377.9507001775992</v>
      </c>
      <c r="BJ7" s="31">
        <f t="shared" si="44"/>
        <v>3839.9005591257724</v>
      </c>
      <c r="BK7" s="31">
        <f t="shared" si="45"/>
        <v>538.05014105182693</v>
      </c>
      <c r="BL7" s="31">
        <f t="shared" si="46"/>
        <v>0</v>
      </c>
      <c r="BM7" s="31">
        <f t="shared" si="47"/>
        <v>0</v>
      </c>
      <c r="BN7" s="33">
        <f>CZ7*'[3]CAMBARÁ - CITROS'!$U$5</f>
        <v>0</v>
      </c>
      <c r="BO7" s="37">
        <f t="shared" si="10"/>
        <v>-1</v>
      </c>
      <c r="BP7" s="36">
        <f>'[1]CB I'!$M7</f>
        <v>4377.9507001775992</v>
      </c>
      <c r="BQ7" s="31">
        <f t="shared" si="48"/>
        <v>3839.9005591257724</v>
      </c>
      <c r="BR7" s="31">
        <f t="shared" si="49"/>
        <v>538.05014105182693</v>
      </c>
      <c r="BS7" s="31">
        <f t="shared" si="50"/>
        <v>0</v>
      </c>
      <c r="BT7" s="31">
        <f t="shared" si="51"/>
        <v>0</v>
      </c>
      <c r="BU7" s="33">
        <f>DA7*'[3]CAMBARÁ - CITROS'!$U$5</f>
        <v>0</v>
      </c>
      <c r="BV7" s="37">
        <f t="shared" si="11"/>
        <v>-1</v>
      </c>
      <c r="BW7" s="36">
        <f>'[1]CB I'!$N7</f>
        <v>4377.9507001775992</v>
      </c>
      <c r="BX7" s="31">
        <f t="shared" si="52"/>
        <v>3839.9005591257724</v>
      </c>
      <c r="BY7" s="31">
        <f t="shared" si="53"/>
        <v>538.05014105182693</v>
      </c>
      <c r="BZ7" s="31">
        <f t="shared" si="54"/>
        <v>0</v>
      </c>
      <c r="CA7" s="31">
        <f t="shared" si="55"/>
        <v>0</v>
      </c>
      <c r="CB7" s="33">
        <f>DB7*'[3]CAMBARÁ - CITROS'!$U$5</f>
        <v>0</v>
      </c>
      <c r="CC7" s="37">
        <f t="shared" si="12"/>
        <v>-1</v>
      </c>
      <c r="CD7" s="36">
        <f>'[1]CB I'!$O7</f>
        <v>4377.9507001775992</v>
      </c>
      <c r="CE7" s="31">
        <f t="shared" si="56"/>
        <v>3839.9005591257724</v>
      </c>
      <c r="CF7" s="31">
        <f t="shared" si="57"/>
        <v>538.05014105182693</v>
      </c>
      <c r="CG7" s="31">
        <f t="shared" si="58"/>
        <v>0</v>
      </c>
      <c r="CH7" s="31">
        <f t="shared" si="59"/>
        <v>0</v>
      </c>
      <c r="CI7" s="33">
        <f>DC7*'[3]CAMBARÁ - CITROS'!$U$5</f>
        <v>0</v>
      </c>
      <c r="CJ7" s="37">
        <f t="shared" si="13"/>
        <v>-1</v>
      </c>
      <c r="CK7" s="36">
        <f>'[1]CB I'!$P7</f>
        <v>4377.9507001775992</v>
      </c>
      <c r="CL7" s="31">
        <f t="shared" si="60"/>
        <v>3839.9005591257724</v>
      </c>
      <c r="CM7" s="31">
        <f t="shared" si="61"/>
        <v>538.05014105182693</v>
      </c>
      <c r="CN7" s="31">
        <f t="shared" si="62"/>
        <v>0</v>
      </c>
      <c r="CO7" s="31">
        <f t="shared" si="63"/>
        <v>0</v>
      </c>
      <c r="CP7" s="33">
        <f>DD7*'[3]CAMBARÁ - CITROS'!$U$5</f>
        <v>0</v>
      </c>
      <c r="CQ7" s="37">
        <f t="shared" si="14"/>
        <v>-1</v>
      </c>
      <c r="CS7" s="198">
        <v>5944.5</v>
      </c>
      <c r="CT7" s="198">
        <v>5397.37</v>
      </c>
      <c r="CU7" s="198">
        <v>5648.2</v>
      </c>
      <c r="CV7" s="198">
        <f>5786.09</f>
        <v>5786.09</v>
      </c>
      <c r="CW7" s="198"/>
      <c r="CX7" s="198"/>
      <c r="CY7" s="198"/>
      <c r="CZ7" s="27"/>
      <c r="DA7" s="198"/>
      <c r="DB7" s="198"/>
      <c r="DC7" s="198"/>
      <c r="DD7" s="198"/>
      <c r="DE7" s="199"/>
      <c r="DF7" s="199"/>
    </row>
    <row r="8" spans="1:110" s="26" customFormat="1" ht="14.25" customHeight="1" x14ac:dyDescent="0.2">
      <c r="A8" s="38" t="s">
        <v>32</v>
      </c>
      <c r="B8" s="30">
        <f t="shared" si="0"/>
        <v>45918.263147407197</v>
      </c>
      <c r="C8" s="31">
        <f t="shared" si="0"/>
        <v>40274.908606590849</v>
      </c>
      <c r="D8" s="32">
        <f t="shared" si="0"/>
        <v>5643.3545408163445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'[1]CB I'!$E8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27">
        <f>CS8*'[2]CAMBARÁ - CITROS'!$U$5</f>
        <v>0</v>
      </c>
      <c r="R8" s="37" t="str">
        <f t="shared" si="3"/>
        <v/>
      </c>
      <c r="S8" s="36">
        <f>'[1]CB I'!$F8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>
        <f>CT8*'[2]CAMBARÁ - CITROS'!$U$5</f>
        <v>0</v>
      </c>
      <c r="Y8" s="37" t="str">
        <f t="shared" si="4"/>
        <v/>
      </c>
      <c r="Z8" s="36">
        <f>'[1]CB I'!$G8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27">
        <f>CU8*'[2]CAMBARÁ - CITROS'!$U$5</f>
        <v>0</v>
      </c>
      <c r="AF8" s="37" t="str">
        <f t="shared" si="5"/>
        <v/>
      </c>
      <c r="AG8" s="36">
        <f>'[1]CB I'!$H8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33">
        <f>CV8*'[2]CAMBARÁ - CITROS'!$U$5</f>
        <v>0</v>
      </c>
      <c r="AM8" s="37" t="str">
        <f t="shared" si="6"/>
        <v/>
      </c>
      <c r="AN8" s="36">
        <f>'[1]CB I'!$I8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27">
        <f>CW8*'[3]CAMBARÁ - CITROS'!$U$5</f>
        <v>0</v>
      </c>
      <c r="AT8" s="37" t="str">
        <f t="shared" si="7"/>
        <v/>
      </c>
      <c r="AU8" s="36">
        <f>'[1]CB I'!$J8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33">
        <f>CX8*'[3]CAMBARÁ - CITROS'!$U$5</f>
        <v>0</v>
      </c>
      <c r="BA8" s="37" t="str">
        <f t="shared" si="8"/>
        <v/>
      </c>
      <c r="BB8" s="36">
        <f>'[1]CB I'!$K8</f>
        <v>45918.263147407197</v>
      </c>
      <c r="BC8" s="31">
        <f t="shared" si="40"/>
        <v>40274.908606590849</v>
      </c>
      <c r="BD8" s="31">
        <f t="shared" si="41"/>
        <v>5643.3545408163445</v>
      </c>
      <c r="BE8" s="31">
        <f t="shared" si="42"/>
        <v>0</v>
      </c>
      <c r="BF8" s="31">
        <f t="shared" si="43"/>
        <v>0</v>
      </c>
      <c r="BG8" s="33">
        <f>CY8*'[3]CAMBARÁ - CITROS'!$U$5</f>
        <v>0</v>
      </c>
      <c r="BH8" s="37">
        <f t="shared" si="9"/>
        <v>-1</v>
      </c>
      <c r="BI8" s="36">
        <f>'[1]CB I'!$L8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>
        <f>CZ8*'[3]CAMBARÁ - CITROS'!$U$5</f>
        <v>0</v>
      </c>
      <c r="BO8" s="37" t="str">
        <f t="shared" si="10"/>
        <v/>
      </c>
      <c r="BP8" s="36">
        <f>'[1]CB I'!$M8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>
        <f>DA8*'[3]CAMBARÁ - CITROS'!$U$5</f>
        <v>0</v>
      </c>
      <c r="BV8" s="37" t="str">
        <f t="shared" si="11"/>
        <v/>
      </c>
      <c r="BW8" s="36">
        <f>'[1]CB I'!$N8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>
        <f>DB8*'[3]CAMBARÁ - CITROS'!$U$5</f>
        <v>0</v>
      </c>
      <c r="CC8" s="37" t="str">
        <f t="shared" si="12"/>
        <v/>
      </c>
      <c r="CD8" s="36">
        <f>'[1]CB I'!$O8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>
        <f>DC8*'[3]CAMBARÁ - CITROS'!$U$5</f>
        <v>0</v>
      </c>
      <c r="CJ8" s="37" t="str">
        <f t="shared" si="13"/>
        <v/>
      </c>
      <c r="CK8" s="36">
        <f>'[1]CB I'!$P8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>
        <f>DD8*'[3]CAMBARÁ - CITROS'!$U$5</f>
        <v>0</v>
      </c>
      <c r="CQ8" s="37" t="str">
        <f t="shared" si="14"/>
        <v/>
      </c>
      <c r="CS8" s="198"/>
      <c r="CT8" s="198"/>
      <c r="CU8" s="198"/>
      <c r="CV8" s="198"/>
      <c r="CW8" s="198"/>
      <c r="CX8" s="198"/>
      <c r="CY8" s="198"/>
      <c r="CZ8" s="27"/>
      <c r="DA8" s="198"/>
      <c r="DB8" s="198"/>
      <c r="DC8" s="198"/>
      <c r="DD8" s="198"/>
      <c r="DE8" s="199"/>
      <c r="DF8" s="199"/>
    </row>
    <row r="9" spans="1:110" s="26" customFormat="1" ht="14.25" customHeight="1" x14ac:dyDescent="0.2">
      <c r="A9" s="38" t="s">
        <v>33</v>
      </c>
      <c r="B9" s="30">
        <f t="shared" si="0"/>
        <v>37484.510763246391</v>
      </c>
      <c r="C9" s="31">
        <f t="shared" si="0"/>
        <v>32877.664390443417</v>
      </c>
      <c r="D9" s="32">
        <f t="shared" si="0"/>
        <v>4606.8463728029828</v>
      </c>
      <c r="E9" s="30">
        <f t="shared" si="15"/>
        <v>12107.888788144001</v>
      </c>
      <c r="F9" s="33">
        <f t="shared" si="15"/>
        <v>10619.829256081102</v>
      </c>
      <c r="G9" s="34">
        <f t="shared" si="15"/>
        <v>1488.0595320628977</v>
      </c>
      <c r="H9" s="31">
        <f t="shared" si="1"/>
        <v>12077.939365026032</v>
      </c>
      <c r="I9" s="33">
        <f t="shared" si="1"/>
        <v>247.74628149507416</v>
      </c>
      <c r="J9" s="33">
        <f t="shared" si="1"/>
        <v>12325.685646521106</v>
      </c>
      <c r="K9" s="37">
        <f t="shared" si="2"/>
        <v>1.7988012789675656E-2</v>
      </c>
      <c r="L9" s="36">
        <f>'[1]CB I'!$E9</f>
        <v>3026.9721970360001</v>
      </c>
      <c r="M9" s="31">
        <f t="shared" si="16"/>
        <v>2654.9573140202756</v>
      </c>
      <c r="N9" s="31">
        <f t="shared" si="17"/>
        <v>372.01488301572442</v>
      </c>
      <c r="O9" s="31">
        <f t="shared" si="18"/>
        <v>8175.0654332414006</v>
      </c>
      <c r="P9" s="31">
        <f t="shared" si="19"/>
        <v>167.68937157684672</v>
      </c>
      <c r="Q9" s="27">
        <f>CS9*'[2]CAMBARÁ - CITROS'!$U$5</f>
        <v>8342.7548048182471</v>
      </c>
      <c r="R9" s="37">
        <f t="shared" si="3"/>
        <v>1.7561385641359513</v>
      </c>
      <c r="S9" s="36">
        <f>'[1]CB I'!$F9</f>
        <v>3026.9721970360001</v>
      </c>
      <c r="T9" s="31">
        <f t="shared" si="20"/>
        <v>2654.9573140202756</v>
      </c>
      <c r="U9" s="31">
        <f t="shared" si="21"/>
        <v>372.01488301572442</v>
      </c>
      <c r="V9" s="31">
        <f t="shared" si="22"/>
        <v>3759.9334940639578</v>
      </c>
      <c r="W9" s="31">
        <f t="shared" si="23"/>
        <v>77.124873181636431</v>
      </c>
      <c r="X9" s="33">
        <f>CT9*'[2]CAMBARÁ - CITROS'!$U$5</f>
        <v>3837.0583672455941</v>
      </c>
      <c r="Y9" s="37">
        <f t="shared" si="4"/>
        <v>0.26762260023492357</v>
      </c>
      <c r="Z9" s="36">
        <f>'[1]CB I'!$G9</f>
        <v>3026.9721970360001</v>
      </c>
      <c r="AA9" s="31">
        <f t="shared" si="24"/>
        <v>2654.9573140202756</v>
      </c>
      <c r="AB9" s="31">
        <f t="shared" si="25"/>
        <v>372.01488301572442</v>
      </c>
      <c r="AC9" s="31">
        <f t="shared" si="26"/>
        <v>142.94043772067292</v>
      </c>
      <c r="AD9" s="31">
        <f t="shared" si="27"/>
        <v>2.9320367365910047</v>
      </c>
      <c r="AE9" s="27">
        <f>CU9*'[2]CAMBARÁ - CITROS'!$U$5</f>
        <v>145.87247445726393</v>
      </c>
      <c r="AF9" s="37">
        <f t="shared" si="5"/>
        <v>-0.95180911321217232</v>
      </c>
      <c r="AG9" s="36">
        <f>'[1]CB I'!$H9</f>
        <v>3026.9721970360001</v>
      </c>
      <c r="AH9" s="31">
        <f t="shared" si="28"/>
        <v>2654.9573140202756</v>
      </c>
      <c r="AI9" s="31">
        <f t="shared" si="29"/>
        <v>372.01488301572442</v>
      </c>
      <c r="AJ9" s="31">
        <f t="shared" si="30"/>
        <v>0</v>
      </c>
      <c r="AK9" s="31">
        <f t="shared" si="31"/>
        <v>0</v>
      </c>
      <c r="AL9" s="33">
        <f>CV9*'[2]CAMBARÁ - CITROS'!$U$5</f>
        <v>0</v>
      </c>
      <c r="AM9" s="37">
        <f t="shared" si="6"/>
        <v>-1</v>
      </c>
      <c r="AN9" s="36">
        <f>'[1]CB I'!$I9</f>
        <v>3026.9721970360001</v>
      </c>
      <c r="AO9" s="31">
        <f t="shared" si="32"/>
        <v>2654.9573140202756</v>
      </c>
      <c r="AP9" s="31">
        <f t="shared" si="33"/>
        <v>372.01488301572442</v>
      </c>
      <c r="AQ9" s="31">
        <f t="shared" si="34"/>
        <v>0</v>
      </c>
      <c r="AR9" s="31">
        <f t="shared" si="35"/>
        <v>0</v>
      </c>
      <c r="AS9" s="27">
        <f>CW9*'[3]CAMBARÁ - CITROS'!$U$5</f>
        <v>0</v>
      </c>
      <c r="AT9" s="37">
        <f t="shared" si="7"/>
        <v>-1</v>
      </c>
      <c r="AU9" s="36">
        <f>'[1]CB I'!$J9</f>
        <v>3026.9721970360001</v>
      </c>
      <c r="AV9" s="31">
        <f t="shared" si="36"/>
        <v>2654.9573140202756</v>
      </c>
      <c r="AW9" s="31">
        <f t="shared" si="37"/>
        <v>372.01488301572442</v>
      </c>
      <c r="AX9" s="31">
        <f t="shared" si="38"/>
        <v>0</v>
      </c>
      <c r="AY9" s="31">
        <f t="shared" si="39"/>
        <v>0</v>
      </c>
      <c r="AZ9" s="33">
        <f>CX9*'[3]CAMBARÁ - CITROS'!$U$5</f>
        <v>0</v>
      </c>
      <c r="BA9" s="37">
        <f t="shared" si="8"/>
        <v>-1</v>
      </c>
      <c r="BB9" s="36">
        <f>'[1]CB I'!$K9</f>
        <v>3026.9721970360001</v>
      </c>
      <c r="BC9" s="31">
        <f t="shared" si="40"/>
        <v>2654.9573140202756</v>
      </c>
      <c r="BD9" s="31">
        <f t="shared" si="41"/>
        <v>372.01488301572442</v>
      </c>
      <c r="BE9" s="31">
        <f t="shared" si="42"/>
        <v>0</v>
      </c>
      <c r="BF9" s="31">
        <f t="shared" si="43"/>
        <v>0</v>
      </c>
      <c r="BG9" s="33">
        <f>CY9*'[3]CAMBARÁ - CITROS'!$U$5</f>
        <v>0</v>
      </c>
      <c r="BH9" s="37">
        <f t="shared" si="9"/>
        <v>-1</v>
      </c>
      <c r="BI9" s="36">
        <f>'[1]CB I'!$L9</f>
        <v>3259.14107679888</v>
      </c>
      <c r="BJ9" s="31">
        <f t="shared" si="44"/>
        <v>2858.5926384602976</v>
      </c>
      <c r="BK9" s="31">
        <f t="shared" si="45"/>
        <v>400.54843833858234</v>
      </c>
      <c r="BL9" s="31">
        <f t="shared" si="46"/>
        <v>0</v>
      </c>
      <c r="BM9" s="31">
        <f t="shared" si="47"/>
        <v>0</v>
      </c>
      <c r="BN9" s="33">
        <f>CZ9*'[3]CAMBARÁ - CITROS'!$U$5</f>
        <v>0</v>
      </c>
      <c r="BO9" s="37">
        <f t="shared" si="10"/>
        <v>-1</v>
      </c>
      <c r="BP9" s="36">
        <f>'[1]CB I'!$M9</f>
        <v>3259.14107679888</v>
      </c>
      <c r="BQ9" s="31">
        <f t="shared" si="48"/>
        <v>2858.5926384602976</v>
      </c>
      <c r="BR9" s="31">
        <f t="shared" si="49"/>
        <v>400.54843833858234</v>
      </c>
      <c r="BS9" s="31">
        <f t="shared" si="50"/>
        <v>0</v>
      </c>
      <c r="BT9" s="31">
        <f t="shared" si="51"/>
        <v>0</v>
      </c>
      <c r="BU9" s="33">
        <f>DA9*'[3]CAMBARÁ - CITROS'!$U$5</f>
        <v>0</v>
      </c>
      <c r="BV9" s="37">
        <f t="shared" si="11"/>
        <v>-1</v>
      </c>
      <c r="BW9" s="36">
        <f>'[1]CB I'!$N9</f>
        <v>3259.14107679888</v>
      </c>
      <c r="BX9" s="31">
        <f t="shared" si="52"/>
        <v>2858.5926384602976</v>
      </c>
      <c r="BY9" s="31">
        <f t="shared" si="53"/>
        <v>400.54843833858234</v>
      </c>
      <c r="BZ9" s="31">
        <f t="shared" si="54"/>
        <v>0</v>
      </c>
      <c r="CA9" s="31">
        <f t="shared" si="55"/>
        <v>0</v>
      </c>
      <c r="CB9" s="33">
        <f>DB9*'[3]CAMBARÁ - CITROS'!$U$5</f>
        <v>0</v>
      </c>
      <c r="CC9" s="37">
        <f t="shared" si="12"/>
        <v>-1</v>
      </c>
      <c r="CD9" s="36">
        <f>'[1]CB I'!$O9</f>
        <v>3259.14107679888</v>
      </c>
      <c r="CE9" s="31">
        <f t="shared" si="56"/>
        <v>2858.5926384602976</v>
      </c>
      <c r="CF9" s="31">
        <f t="shared" si="57"/>
        <v>400.54843833858234</v>
      </c>
      <c r="CG9" s="31">
        <f t="shared" si="58"/>
        <v>0</v>
      </c>
      <c r="CH9" s="31">
        <f t="shared" si="59"/>
        <v>0</v>
      </c>
      <c r="CI9" s="33">
        <f>DC9*'[3]CAMBARÁ - CITROS'!$U$5</f>
        <v>0</v>
      </c>
      <c r="CJ9" s="37">
        <f t="shared" si="13"/>
        <v>-1</v>
      </c>
      <c r="CK9" s="36">
        <f>'[1]CB I'!$P9</f>
        <v>3259.14107679888</v>
      </c>
      <c r="CL9" s="31">
        <f t="shared" si="60"/>
        <v>2858.5926384602976</v>
      </c>
      <c r="CM9" s="31">
        <f t="shared" si="61"/>
        <v>400.54843833858234</v>
      </c>
      <c r="CN9" s="31">
        <f t="shared" si="62"/>
        <v>0</v>
      </c>
      <c r="CO9" s="31">
        <f t="shared" si="63"/>
        <v>0</v>
      </c>
      <c r="CP9" s="33">
        <f>DD9*'[3]CAMBARÁ - CITROS'!$U$5</f>
        <v>0</v>
      </c>
      <c r="CQ9" s="37">
        <f t="shared" si="14"/>
        <v>-1</v>
      </c>
      <c r="CS9" s="198">
        <v>13557.39</v>
      </c>
      <c r="CT9" s="198">
        <f>6235.41</f>
        <v>6235.41</v>
      </c>
      <c r="CU9" s="198">
        <f>237.05</f>
        <v>237.05</v>
      </c>
      <c r="CV9" s="198"/>
      <c r="CW9" s="198"/>
      <c r="CX9" s="198"/>
      <c r="CY9" s="198"/>
      <c r="CZ9" s="27"/>
      <c r="DA9" s="198"/>
      <c r="DB9" s="198"/>
      <c r="DC9" s="198"/>
      <c r="DD9" s="198"/>
      <c r="DE9" s="199"/>
      <c r="DF9" s="199"/>
    </row>
    <row r="10" spans="1:110" s="26" customFormat="1" ht="14.25" customHeight="1" x14ac:dyDescent="0.2">
      <c r="A10" s="38" t="s">
        <v>34</v>
      </c>
      <c r="B10" s="30">
        <f t="shared" si="0"/>
        <v>17145.12</v>
      </c>
      <c r="C10" s="31">
        <f t="shared" si="0"/>
        <v>15037.984752000002</v>
      </c>
      <c r="D10" s="32">
        <f t="shared" si="0"/>
        <v>2107.1352479999996</v>
      </c>
      <c r="E10" s="30">
        <f t="shared" si="15"/>
        <v>5715.04</v>
      </c>
      <c r="F10" s="33">
        <f t="shared" si="15"/>
        <v>5012.6615839999995</v>
      </c>
      <c r="G10" s="34">
        <f t="shared" si="15"/>
        <v>702.37841600000002</v>
      </c>
      <c r="H10" s="31">
        <f t="shared" si="1"/>
        <v>3744.6113404150137</v>
      </c>
      <c r="I10" s="33">
        <f t="shared" si="1"/>
        <v>76.810580612656153</v>
      </c>
      <c r="J10" s="33">
        <f t="shared" si="1"/>
        <v>3821.4219210276697</v>
      </c>
      <c r="K10" s="37">
        <f t="shared" si="2"/>
        <v>-0.33133942701579167</v>
      </c>
      <c r="L10" s="36">
        <f>'[1]CB I'!$E10</f>
        <v>1428.76</v>
      </c>
      <c r="M10" s="31">
        <f t="shared" si="16"/>
        <v>1253.1653959999999</v>
      </c>
      <c r="N10" s="31">
        <f t="shared" si="17"/>
        <v>175.594604</v>
      </c>
      <c r="O10" s="31">
        <f t="shared" si="18"/>
        <v>0</v>
      </c>
      <c r="P10" s="31">
        <f t="shared" si="19"/>
        <v>0</v>
      </c>
      <c r="Q10" s="27">
        <f>CS10*'[2]CAMBARÁ - CITROS'!$U$5</f>
        <v>0</v>
      </c>
      <c r="R10" s="37">
        <f t="shared" si="3"/>
        <v>-1</v>
      </c>
      <c r="S10" s="36">
        <f>'[1]CB I'!$F10</f>
        <v>1428.76</v>
      </c>
      <c r="T10" s="31">
        <f t="shared" si="20"/>
        <v>1253.1653959999999</v>
      </c>
      <c r="U10" s="31">
        <f t="shared" si="21"/>
        <v>175.594604</v>
      </c>
      <c r="V10" s="31">
        <f t="shared" si="22"/>
        <v>814.04594356848122</v>
      </c>
      <c r="W10" s="31">
        <f t="shared" si="23"/>
        <v>16.697952307099161</v>
      </c>
      <c r="X10" s="33">
        <f>CT10*'[2]CAMBARÁ - CITROS'!$U$5</f>
        <v>830.74389587558039</v>
      </c>
      <c r="Y10" s="37">
        <f t="shared" si="4"/>
        <v>-0.41855602349199272</v>
      </c>
      <c r="Z10" s="36">
        <f>'[1]CB I'!$G10</f>
        <v>1428.76</v>
      </c>
      <c r="AA10" s="31">
        <f t="shared" si="24"/>
        <v>1253.1653959999999</v>
      </c>
      <c r="AB10" s="31">
        <f t="shared" si="25"/>
        <v>175.594604</v>
      </c>
      <c r="AC10" s="31">
        <f t="shared" si="26"/>
        <v>976.85513228217746</v>
      </c>
      <c r="AD10" s="31">
        <f t="shared" si="27"/>
        <v>20.037542768518996</v>
      </c>
      <c r="AE10" s="33">
        <f>CU10*'[2]CAMBARÁ - CITROS'!$U$5</f>
        <v>996.89267505069643</v>
      </c>
      <c r="AF10" s="37">
        <f t="shared" si="5"/>
        <v>-0.30226722819039131</v>
      </c>
      <c r="AG10" s="36">
        <f>'[1]CB I'!$H10</f>
        <v>1428.76</v>
      </c>
      <c r="AH10" s="31">
        <f t="shared" si="28"/>
        <v>1253.1653959999999</v>
      </c>
      <c r="AI10" s="31">
        <f t="shared" si="29"/>
        <v>175.594604</v>
      </c>
      <c r="AJ10" s="31">
        <f t="shared" si="30"/>
        <v>1953.7102645643549</v>
      </c>
      <c r="AK10" s="31">
        <f t="shared" si="31"/>
        <v>40.075085537037992</v>
      </c>
      <c r="AL10" s="33">
        <f>CV10*'[2]CAMBARÁ - CITROS'!$U$5</f>
        <v>1993.7853501013929</v>
      </c>
      <c r="AM10" s="37">
        <f t="shared" si="6"/>
        <v>0.39546554361921737</v>
      </c>
      <c r="AN10" s="36">
        <f>'[1]CB I'!$I10</f>
        <v>1428.76</v>
      </c>
      <c r="AO10" s="31">
        <f t="shared" si="32"/>
        <v>1253.1653959999999</v>
      </c>
      <c r="AP10" s="31">
        <f t="shared" si="33"/>
        <v>175.594604</v>
      </c>
      <c r="AQ10" s="31">
        <f t="shared" si="34"/>
        <v>0</v>
      </c>
      <c r="AR10" s="31">
        <f t="shared" si="35"/>
        <v>0</v>
      </c>
      <c r="AS10" s="27">
        <f>CW10*'[3]CAMBARÁ - CITROS'!$U$5</f>
        <v>0</v>
      </c>
      <c r="AT10" s="37">
        <f t="shared" si="7"/>
        <v>-1</v>
      </c>
      <c r="AU10" s="36">
        <f>'[1]CB I'!$J10</f>
        <v>1428.76</v>
      </c>
      <c r="AV10" s="31">
        <f t="shared" si="36"/>
        <v>1253.1653959999999</v>
      </c>
      <c r="AW10" s="31">
        <f t="shared" si="37"/>
        <v>175.594604</v>
      </c>
      <c r="AX10" s="31">
        <f t="shared" si="38"/>
        <v>0</v>
      </c>
      <c r="AY10" s="31">
        <f t="shared" si="39"/>
        <v>0</v>
      </c>
      <c r="AZ10" s="33">
        <f>CX10*'[3]CAMBARÁ - CITROS'!$U$5</f>
        <v>0</v>
      </c>
      <c r="BA10" s="37">
        <f t="shared" si="8"/>
        <v>-1</v>
      </c>
      <c r="BB10" s="36">
        <f>'[1]CB I'!$K10</f>
        <v>1428.76</v>
      </c>
      <c r="BC10" s="31">
        <f t="shared" si="40"/>
        <v>1253.1653959999999</v>
      </c>
      <c r="BD10" s="31">
        <f t="shared" si="41"/>
        <v>175.594604</v>
      </c>
      <c r="BE10" s="31">
        <f t="shared" si="42"/>
        <v>0</v>
      </c>
      <c r="BF10" s="31">
        <f t="shared" si="43"/>
        <v>0</v>
      </c>
      <c r="BG10" s="33">
        <f>CY10*'[3]CAMBARÁ - CITROS'!$U$5</f>
        <v>0</v>
      </c>
      <c r="BH10" s="37">
        <f t="shared" si="9"/>
        <v>-1</v>
      </c>
      <c r="BI10" s="36">
        <f>'[1]CB I'!$L10</f>
        <v>1428.76</v>
      </c>
      <c r="BJ10" s="31">
        <f t="shared" si="44"/>
        <v>1253.1653959999999</v>
      </c>
      <c r="BK10" s="31">
        <f t="shared" si="45"/>
        <v>175.594604</v>
      </c>
      <c r="BL10" s="31">
        <f t="shared" si="46"/>
        <v>0</v>
      </c>
      <c r="BM10" s="31">
        <f t="shared" si="47"/>
        <v>0</v>
      </c>
      <c r="BN10" s="33">
        <f>CZ10*'[3]CAMBARÁ - CITROS'!$U$5</f>
        <v>0</v>
      </c>
      <c r="BO10" s="37">
        <f t="shared" si="10"/>
        <v>-1</v>
      </c>
      <c r="BP10" s="36">
        <f>'[1]CB I'!$M10</f>
        <v>1428.76</v>
      </c>
      <c r="BQ10" s="31">
        <f t="shared" si="48"/>
        <v>1253.1653959999999</v>
      </c>
      <c r="BR10" s="31">
        <f t="shared" si="49"/>
        <v>175.594604</v>
      </c>
      <c r="BS10" s="31">
        <f t="shared" si="50"/>
        <v>0</v>
      </c>
      <c r="BT10" s="31">
        <f t="shared" si="51"/>
        <v>0</v>
      </c>
      <c r="BU10" s="33">
        <f>DA10*'[3]CAMBARÁ - CITROS'!$U$5</f>
        <v>0</v>
      </c>
      <c r="BV10" s="37">
        <f t="shared" si="11"/>
        <v>-1</v>
      </c>
      <c r="BW10" s="36">
        <f>'[1]CB I'!$N10</f>
        <v>1428.76</v>
      </c>
      <c r="BX10" s="31">
        <f t="shared" si="52"/>
        <v>1253.1653959999999</v>
      </c>
      <c r="BY10" s="31">
        <f t="shared" si="53"/>
        <v>175.594604</v>
      </c>
      <c r="BZ10" s="31">
        <f t="shared" si="54"/>
        <v>0</v>
      </c>
      <c r="CA10" s="31">
        <f t="shared" si="55"/>
        <v>0</v>
      </c>
      <c r="CB10" s="33">
        <f>DB10*'[3]CAMBARÁ - CITROS'!$U$5</f>
        <v>0</v>
      </c>
      <c r="CC10" s="37">
        <f t="shared" si="12"/>
        <v>-1</v>
      </c>
      <c r="CD10" s="36">
        <f>'[1]CB I'!$O10</f>
        <v>1428.76</v>
      </c>
      <c r="CE10" s="31">
        <f t="shared" si="56"/>
        <v>1253.1653959999999</v>
      </c>
      <c r="CF10" s="31">
        <f t="shared" si="57"/>
        <v>175.594604</v>
      </c>
      <c r="CG10" s="31">
        <f t="shared" si="58"/>
        <v>0</v>
      </c>
      <c r="CH10" s="31">
        <f t="shared" si="59"/>
        <v>0</v>
      </c>
      <c r="CI10" s="33">
        <f>DC10*'[3]CAMBARÁ - CITROS'!$U$5</f>
        <v>0</v>
      </c>
      <c r="CJ10" s="37">
        <f t="shared" si="13"/>
        <v>-1</v>
      </c>
      <c r="CK10" s="36">
        <f>'[1]CB I'!$P10</f>
        <v>1428.76</v>
      </c>
      <c r="CL10" s="31">
        <f t="shared" si="60"/>
        <v>1253.1653959999999</v>
      </c>
      <c r="CM10" s="31">
        <f t="shared" si="61"/>
        <v>175.594604</v>
      </c>
      <c r="CN10" s="31">
        <f t="shared" si="62"/>
        <v>0</v>
      </c>
      <c r="CO10" s="31">
        <f t="shared" si="63"/>
        <v>0</v>
      </c>
      <c r="CP10" s="33">
        <f>DD10*'[3]CAMBARÁ - CITROS'!$U$5</f>
        <v>0</v>
      </c>
      <c r="CQ10" s="37">
        <f t="shared" si="14"/>
        <v>-1</v>
      </c>
      <c r="CS10" s="198"/>
      <c r="CT10" s="198">
        <f>1350</f>
        <v>1350</v>
      </c>
      <c r="CU10" s="198">
        <v>1620</v>
      </c>
      <c r="CV10" s="198">
        <f>1350+1620+270</f>
        <v>3240</v>
      </c>
      <c r="CW10" s="198"/>
      <c r="CX10" s="198"/>
      <c r="CY10" s="198"/>
      <c r="CZ10" s="198"/>
      <c r="DA10" s="198"/>
      <c r="DB10" s="198"/>
      <c r="DC10" s="198"/>
      <c r="DD10" s="198"/>
      <c r="DE10" s="199"/>
      <c r="DF10" s="199"/>
    </row>
    <row r="11" spans="1:110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2"/>
        <v/>
      </c>
      <c r="L11" s="36">
        <f>'[1]CB I'!$E11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27">
        <f>CS11*'[2]CAMBARÁ - CITROS'!$U$5</f>
        <v>0</v>
      </c>
      <c r="R11" s="37" t="str">
        <f t="shared" si="3"/>
        <v/>
      </c>
      <c r="S11" s="36">
        <f>'[1]CB I'!$F11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>
        <f>CT11*'[2]CAMBARÁ - CITROS'!$U$5</f>
        <v>0</v>
      </c>
      <c r="Y11" s="37" t="str">
        <f t="shared" si="4"/>
        <v/>
      </c>
      <c r="Z11" s="36">
        <f>'[1]CB I'!$G11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27">
        <f>CU11*'[2]CAMBARÁ - CITROS'!$U$5</f>
        <v>0</v>
      </c>
      <c r="AF11" s="37" t="str">
        <f t="shared" si="5"/>
        <v/>
      </c>
      <c r="AG11" s="36">
        <f>'[1]CB I'!$H11</f>
        <v>0</v>
      </c>
      <c r="AH11" s="31">
        <f t="shared" si="28"/>
        <v>0</v>
      </c>
      <c r="AI11" s="31">
        <f t="shared" si="29"/>
        <v>0</v>
      </c>
      <c r="AJ11" s="31">
        <f t="shared" si="30"/>
        <v>0</v>
      </c>
      <c r="AK11" s="31">
        <f t="shared" si="31"/>
        <v>0</v>
      </c>
      <c r="AL11" s="33">
        <f>CV11*'[2]CAMBARÁ - CITROS'!$U$5</f>
        <v>0</v>
      </c>
      <c r="AM11" s="37" t="str">
        <f t="shared" si="6"/>
        <v/>
      </c>
      <c r="AN11" s="36">
        <f>'[1]CB I'!$I11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27">
        <f>CW11*'[3]CAMBARÁ - CITROS'!$U$5</f>
        <v>0</v>
      </c>
      <c r="AT11" s="37" t="str">
        <f t="shared" si="7"/>
        <v/>
      </c>
      <c r="AU11" s="36">
        <f>'[1]CB I'!$J11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33">
        <f>CX11*'[3]CAMBARÁ - CITROS'!$U$5</f>
        <v>0</v>
      </c>
      <c r="BA11" s="37" t="str">
        <f t="shared" si="8"/>
        <v/>
      </c>
      <c r="BB11" s="36">
        <f>'[1]CB I'!$K11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33">
        <f>CY11*'[3]CAMBARÁ - CITROS'!$U$5</f>
        <v>0</v>
      </c>
      <c r="BH11" s="37" t="str">
        <f t="shared" si="9"/>
        <v/>
      </c>
      <c r="BI11" s="36">
        <f>'[1]CB I'!$L11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>
        <f>CZ11*'[3]CAMBARÁ - CITROS'!$U$5</f>
        <v>0</v>
      </c>
      <c r="BO11" s="37" t="str">
        <f t="shared" si="10"/>
        <v/>
      </c>
      <c r="BP11" s="36">
        <f>'[1]CB I'!$M11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>
        <f>DA11*'[3]CAMBARÁ - CITROS'!$U$5</f>
        <v>0</v>
      </c>
      <c r="BV11" s="37" t="str">
        <f t="shared" si="11"/>
        <v/>
      </c>
      <c r="BW11" s="36">
        <f>'[1]CB I'!$N11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>
        <f>DB11*'[3]CAMBARÁ - CITROS'!$U$5</f>
        <v>0</v>
      </c>
      <c r="CC11" s="37" t="str">
        <f t="shared" si="12"/>
        <v/>
      </c>
      <c r="CD11" s="36">
        <f>'[1]CB I'!$O11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>
        <f>DC11*'[3]CAMBARÁ - CITROS'!$U$5</f>
        <v>0</v>
      </c>
      <c r="CJ11" s="37" t="str">
        <f t="shared" si="13"/>
        <v/>
      </c>
      <c r="CK11" s="36">
        <f>'[1]CB I'!$P11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>
        <f>DD11*'[3]CAMBARÁ - CITROS'!$U$5</f>
        <v>0</v>
      </c>
      <c r="CQ11" s="37" t="str">
        <f t="shared" si="14"/>
        <v/>
      </c>
      <c r="CS11" s="198"/>
      <c r="CT11" s="198"/>
      <c r="CU11" s="198"/>
      <c r="CV11" s="198"/>
      <c r="CW11" s="198"/>
      <c r="CX11" s="198"/>
      <c r="CY11" s="198"/>
      <c r="CZ11" s="198"/>
      <c r="DA11" s="198"/>
      <c r="DB11" s="198"/>
      <c r="DC11" s="198"/>
      <c r="DD11" s="198"/>
      <c r="DE11" s="199"/>
      <c r="DF11" s="199"/>
    </row>
    <row r="12" spans="1:110" s="26" customFormat="1" ht="14.25" customHeight="1" x14ac:dyDescent="0.2">
      <c r="A12" s="29" t="s">
        <v>36</v>
      </c>
      <c r="B12" s="30">
        <f t="shared" si="0"/>
        <v>23145.912000000008</v>
      </c>
      <c r="C12" s="31">
        <f t="shared" si="0"/>
        <v>20301.279415200002</v>
      </c>
      <c r="D12" s="32">
        <f t="shared" si="0"/>
        <v>2844.6325848000001</v>
      </c>
      <c r="E12" s="30">
        <f t="shared" si="15"/>
        <v>7715.3040000000001</v>
      </c>
      <c r="F12" s="33">
        <f t="shared" si="15"/>
        <v>6767.0931384000005</v>
      </c>
      <c r="G12" s="34">
        <f t="shared" si="15"/>
        <v>948.21086159999993</v>
      </c>
      <c r="H12" s="31">
        <f t="shared" si="1"/>
        <v>5487.513855444894</v>
      </c>
      <c r="I12" s="33">
        <f t="shared" si="1"/>
        <v>112.5615149448335</v>
      </c>
      <c r="J12" s="33">
        <f t="shared" si="1"/>
        <v>5600.0753703897271</v>
      </c>
      <c r="K12" s="37">
        <f t="shared" si="2"/>
        <v>-0.27416011470322788</v>
      </c>
      <c r="L12" s="36">
        <f>'[1]CB I'!$E12</f>
        <v>1928.826</v>
      </c>
      <c r="M12" s="31">
        <f t="shared" si="16"/>
        <v>1691.7732846000001</v>
      </c>
      <c r="N12" s="31">
        <f t="shared" si="17"/>
        <v>237.05271539999998</v>
      </c>
      <c r="O12" s="31">
        <f t="shared" si="18"/>
        <v>1745.6160015084415</v>
      </c>
      <c r="P12" s="31">
        <f t="shared" si="19"/>
        <v>35.806594173201013</v>
      </c>
      <c r="Q12" s="27">
        <f>CS12*'[2]CAMBARÁ - CITROS'!$U$5</f>
        <v>1781.4225956816426</v>
      </c>
      <c r="R12" s="37">
        <f t="shared" si="3"/>
        <v>-7.6421307219187939E-2</v>
      </c>
      <c r="S12" s="36">
        <f>'[1]CB I'!$F12</f>
        <v>1928.826</v>
      </c>
      <c r="T12" s="31">
        <f t="shared" si="20"/>
        <v>1691.7732846000001</v>
      </c>
      <c r="U12" s="31">
        <f t="shared" si="21"/>
        <v>237.05271539999998</v>
      </c>
      <c r="V12" s="31">
        <f t="shared" si="22"/>
        <v>0</v>
      </c>
      <c r="W12" s="31">
        <f t="shared" si="23"/>
        <v>0</v>
      </c>
      <c r="X12" s="33">
        <f>CT12*'[2]CAMBARÁ - CITROS'!$U$5</f>
        <v>0</v>
      </c>
      <c r="Y12" s="37">
        <f t="shared" si="4"/>
        <v>-1</v>
      </c>
      <c r="Z12" s="36">
        <f>'[1]CB I'!$G12</f>
        <v>1928.826</v>
      </c>
      <c r="AA12" s="31">
        <f t="shared" si="24"/>
        <v>1691.7732846000001</v>
      </c>
      <c r="AB12" s="31">
        <f t="shared" si="25"/>
        <v>237.05271539999998</v>
      </c>
      <c r="AC12" s="31">
        <f t="shared" si="26"/>
        <v>1870.948926968226</v>
      </c>
      <c r="AD12" s="31">
        <f t="shared" si="27"/>
        <v>38.377460385816242</v>
      </c>
      <c r="AE12" s="33">
        <f>CU12*'[2]CAMBARÁ - CITROS'!$U$5</f>
        <v>1909.3263873540423</v>
      </c>
      <c r="AF12" s="37">
        <f t="shared" si="5"/>
        <v>-1.0109575796861781E-2</v>
      </c>
      <c r="AG12" s="36">
        <f>'[1]CB I'!$H12</f>
        <v>1928.826</v>
      </c>
      <c r="AH12" s="31">
        <f t="shared" si="28"/>
        <v>1691.7732846000001</v>
      </c>
      <c r="AI12" s="31">
        <f t="shared" si="29"/>
        <v>237.05271539999998</v>
      </c>
      <c r="AJ12" s="31">
        <f t="shared" si="30"/>
        <v>1870.948926968226</v>
      </c>
      <c r="AK12" s="31">
        <f t="shared" si="31"/>
        <v>38.377460385816242</v>
      </c>
      <c r="AL12" s="33">
        <f>CV12*'[2]CAMBARÁ - CITROS'!$U$5</f>
        <v>1909.3263873540423</v>
      </c>
      <c r="AM12" s="37">
        <f t="shared" si="6"/>
        <v>-1.0109575796861781E-2</v>
      </c>
      <c r="AN12" s="36">
        <f>'[1]CB I'!$I12</f>
        <v>1928.826</v>
      </c>
      <c r="AO12" s="31">
        <f t="shared" si="32"/>
        <v>1691.7732846000001</v>
      </c>
      <c r="AP12" s="31">
        <f t="shared" si="33"/>
        <v>237.05271539999998</v>
      </c>
      <c r="AQ12" s="31">
        <f t="shared" si="34"/>
        <v>0</v>
      </c>
      <c r="AR12" s="31">
        <f t="shared" si="35"/>
        <v>0</v>
      </c>
      <c r="AS12" s="33">
        <f>CW12*'[3]CAMBARÁ - CITROS'!$U$5</f>
        <v>0</v>
      </c>
      <c r="AT12" s="37">
        <f t="shared" si="7"/>
        <v>-1</v>
      </c>
      <c r="AU12" s="36">
        <f>'[1]CB I'!$J12</f>
        <v>1928.826</v>
      </c>
      <c r="AV12" s="31">
        <f t="shared" si="36"/>
        <v>1691.7732846000001</v>
      </c>
      <c r="AW12" s="31">
        <f t="shared" si="37"/>
        <v>237.05271539999998</v>
      </c>
      <c r="AX12" s="31">
        <f t="shared" si="38"/>
        <v>0</v>
      </c>
      <c r="AY12" s="31">
        <f t="shared" si="39"/>
        <v>0</v>
      </c>
      <c r="AZ12" s="33">
        <f>CX12*'[3]CAMBARÁ - CITROS'!$U$5</f>
        <v>0</v>
      </c>
      <c r="BA12" s="37">
        <f t="shared" si="8"/>
        <v>-1</v>
      </c>
      <c r="BB12" s="36">
        <f>'[1]CB I'!$K12</f>
        <v>1928.826</v>
      </c>
      <c r="BC12" s="31">
        <f t="shared" si="40"/>
        <v>1691.7732846000001</v>
      </c>
      <c r="BD12" s="31">
        <f t="shared" si="41"/>
        <v>237.05271539999998</v>
      </c>
      <c r="BE12" s="31">
        <f t="shared" si="42"/>
        <v>0</v>
      </c>
      <c r="BF12" s="31">
        <f t="shared" si="43"/>
        <v>0</v>
      </c>
      <c r="BG12" s="33">
        <f>CY12*'[3]CAMBARÁ - CITROS'!$U$5</f>
        <v>0</v>
      </c>
      <c r="BH12" s="37">
        <f t="shared" si="9"/>
        <v>-1</v>
      </c>
      <c r="BI12" s="36">
        <f>'[1]CB I'!$L12</f>
        <v>1928.826</v>
      </c>
      <c r="BJ12" s="31">
        <f t="shared" si="44"/>
        <v>1691.7732846000001</v>
      </c>
      <c r="BK12" s="31">
        <f t="shared" si="45"/>
        <v>237.05271539999998</v>
      </c>
      <c r="BL12" s="31">
        <f t="shared" si="46"/>
        <v>0</v>
      </c>
      <c r="BM12" s="31">
        <f t="shared" si="47"/>
        <v>0</v>
      </c>
      <c r="BN12" s="33">
        <f>CZ12*'[3]CAMBARÁ - CITROS'!$U$5</f>
        <v>0</v>
      </c>
      <c r="BO12" s="37">
        <f t="shared" si="10"/>
        <v>-1</v>
      </c>
      <c r="BP12" s="36">
        <f>'[1]CB I'!$M12</f>
        <v>1928.826</v>
      </c>
      <c r="BQ12" s="31">
        <f t="shared" si="48"/>
        <v>1691.7732846000001</v>
      </c>
      <c r="BR12" s="31">
        <f t="shared" si="49"/>
        <v>237.05271539999998</v>
      </c>
      <c r="BS12" s="31">
        <f t="shared" si="50"/>
        <v>0</v>
      </c>
      <c r="BT12" s="31">
        <f t="shared" si="51"/>
        <v>0</v>
      </c>
      <c r="BU12" s="33">
        <f>DA12*'[3]CAMBARÁ - CITROS'!$U$5</f>
        <v>0</v>
      </c>
      <c r="BV12" s="37">
        <f t="shared" si="11"/>
        <v>-1</v>
      </c>
      <c r="BW12" s="36">
        <f>'[1]CB I'!$N12</f>
        <v>1928.826</v>
      </c>
      <c r="BX12" s="31">
        <f t="shared" si="52"/>
        <v>1691.7732846000001</v>
      </c>
      <c r="BY12" s="31">
        <f t="shared" si="53"/>
        <v>237.05271539999998</v>
      </c>
      <c r="BZ12" s="31">
        <f t="shared" si="54"/>
        <v>0</v>
      </c>
      <c r="CA12" s="31">
        <f t="shared" si="55"/>
        <v>0</v>
      </c>
      <c r="CB12" s="33">
        <f>DB12*'[3]CAMBARÁ - CITROS'!$U$5</f>
        <v>0</v>
      </c>
      <c r="CC12" s="37">
        <f t="shared" si="12"/>
        <v>-1</v>
      </c>
      <c r="CD12" s="36">
        <f>'[1]CB I'!$O12</f>
        <v>1928.826</v>
      </c>
      <c r="CE12" s="31">
        <f t="shared" si="56"/>
        <v>1691.7732846000001</v>
      </c>
      <c r="CF12" s="31">
        <f t="shared" si="57"/>
        <v>237.05271539999998</v>
      </c>
      <c r="CG12" s="31">
        <f t="shared" si="58"/>
        <v>0</v>
      </c>
      <c r="CH12" s="31">
        <f t="shared" si="59"/>
        <v>0</v>
      </c>
      <c r="CI12" s="33">
        <f>DC12*'[3]CAMBARÁ - CITROS'!$U$5</f>
        <v>0</v>
      </c>
      <c r="CJ12" s="37">
        <f t="shared" si="13"/>
        <v>-1</v>
      </c>
      <c r="CK12" s="36">
        <f>'[1]CB I'!$P12</f>
        <v>1928.826</v>
      </c>
      <c r="CL12" s="31">
        <f t="shared" si="60"/>
        <v>1691.7732846000001</v>
      </c>
      <c r="CM12" s="31">
        <f t="shared" si="61"/>
        <v>237.05271539999998</v>
      </c>
      <c r="CN12" s="31">
        <f t="shared" si="62"/>
        <v>0</v>
      </c>
      <c r="CO12" s="31">
        <f t="shared" si="63"/>
        <v>0</v>
      </c>
      <c r="CP12" s="33">
        <f>DD12*'[3]CAMBARÁ - CITROS'!$U$5</f>
        <v>0</v>
      </c>
      <c r="CQ12" s="37">
        <f t="shared" si="14"/>
        <v>-1</v>
      </c>
      <c r="CS12" s="198">
        <f>2894.9</f>
        <v>2894.9</v>
      </c>
      <c r="CT12" s="198"/>
      <c r="CU12" s="198">
        <f>3102.75</f>
        <v>3102.75</v>
      </c>
      <c r="CV12" s="198">
        <f>3102.75</f>
        <v>3102.75</v>
      </c>
      <c r="CW12" s="198"/>
      <c r="CX12" s="198"/>
      <c r="CY12" s="198"/>
      <c r="CZ12" s="198"/>
      <c r="DA12" s="198"/>
      <c r="DB12" s="198"/>
      <c r="DC12" s="198"/>
      <c r="DD12" s="198"/>
      <c r="DE12" s="199"/>
      <c r="DF12" s="199"/>
    </row>
    <row r="13" spans="1:110" s="26" customFormat="1" ht="16" customHeight="1" x14ac:dyDescent="0.2">
      <c r="A13" s="38" t="s">
        <v>37</v>
      </c>
      <c r="B13" s="30">
        <f t="shared" si="0"/>
        <v>0</v>
      </c>
      <c r="C13" s="31">
        <f t="shared" si="0"/>
        <v>0</v>
      </c>
      <c r="D13" s="32">
        <f t="shared" si="0"/>
        <v>0</v>
      </c>
      <c r="E13" s="30">
        <f t="shared" si="15"/>
        <v>0</v>
      </c>
      <c r="F13" s="33">
        <f t="shared" si="15"/>
        <v>0</v>
      </c>
      <c r="G13" s="34">
        <f t="shared" si="15"/>
        <v>0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 t="str">
        <f t="shared" si="2"/>
        <v/>
      </c>
      <c r="L13" s="36">
        <f>'[1]CB I'!$E13</f>
        <v>0</v>
      </c>
      <c r="M13" s="31">
        <f t="shared" si="16"/>
        <v>0</v>
      </c>
      <c r="N13" s="31">
        <f t="shared" si="17"/>
        <v>0</v>
      </c>
      <c r="O13" s="31">
        <f t="shared" si="18"/>
        <v>0</v>
      </c>
      <c r="P13" s="31">
        <f t="shared" si="19"/>
        <v>0</v>
      </c>
      <c r="Q13" s="27">
        <f>CS13*'[2]CAMBARÁ - CITROS'!$U$5</f>
        <v>0</v>
      </c>
      <c r="R13" s="37" t="str">
        <f t="shared" si="3"/>
        <v/>
      </c>
      <c r="S13" s="36">
        <f>'[1]CB I'!$F13</f>
        <v>0</v>
      </c>
      <c r="T13" s="31">
        <f t="shared" si="20"/>
        <v>0</v>
      </c>
      <c r="U13" s="31">
        <f t="shared" si="21"/>
        <v>0</v>
      </c>
      <c r="V13" s="31">
        <f t="shared" si="22"/>
        <v>0</v>
      </c>
      <c r="W13" s="31">
        <f t="shared" si="23"/>
        <v>0</v>
      </c>
      <c r="X13" s="33">
        <f>CT13*'[2]CAMBARÁ - CITROS'!$U$5</f>
        <v>0</v>
      </c>
      <c r="Y13" s="37" t="str">
        <f t="shared" si="4"/>
        <v/>
      </c>
      <c r="Z13" s="36">
        <f>'[1]CB I'!$G13</f>
        <v>0</v>
      </c>
      <c r="AA13" s="31">
        <f t="shared" si="24"/>
        <v>0</v>
      </c>
      <c r="AB13" s="31">
        <f t="shared" si="25"/>
        <v>0</v>
      </c>
      <c r="AC13" s="31">
        <f t="shared" si="26"/>
        <v>0</v>
      </c>
      <c r="AD13" s="31">
        <f t="shared" si="27"/>
        <v>0</v>
      </c>
      <c r="AE13" s="27">
        <f>CU13*'[2]CAMBARÁ - CITROS'!$U$5</f>
        <v>0</v>
      </c>
      <c r="AF13" s="37" t="str">
        <f t="shared" si="5"/>
        <v/>
      </c>
      <c r="AG13" s="36">
        <f>'[1]CB I'!$H13</f>
        <v>0</v>
      </c>
      <c r="AH13" s="31">
        <f t="shared" si="28"/>
        <v>0</v>
      </c>
      <c r="AI13" s="31">
        <f t="shared" si="29"/>
        <v>0</v>
      </c>
      <c r="AJ13" s="31">
        <f t="shared" si="30"/>
        <v>0</v>
      </c>
      <c r="AK13" s="31">
        <f t="shared" si="31"/>
        <v>0</v>
      </c>
      <c r="AL13" s="33">
        <f>CV13*'[2]CAMBARÁ - CITROS'!$U$5</f>
        <v>0</v>
      </c>
      <c r="AM13" s="37" t="str">
        <f t="shared" si="6"/>
        <v/>
      </c>
      <c r="AN13" s="36">
        <f>'[1]CB I'!$I13</f>
        <v>0</v>
      </c>
      <c r="AO13" s="31">
        <f t="shared" si="32"/>
        <v>0</v>
      </c>
      <c r="AP13" s="31">
        <f t="shared" si="33"/>
        <v>0</v>
      </c>
      <c r="AQ13" s="31">
        <f t="shared" si="34"/>
        <v>0</v>
      </c>
      <c r="AR13" s="31">
        <f t="shared" si="35"/>
        <v>0</v>
      </c>
      <c r="AS13" s="27">
        <f>CW13*'[3]CAMBARÁ - CITROS'!$U$5</f>
        <v>0</v>
      </c>
      <c r="AT13" s="37" t="str">
        <f t="shared" si="7"/>
        <v/>
      </c>
      <c r="AU13" s="36">
        <f>'[1]CB I'!$J13</f>
        <v>0</v>
      </c>
      <c r="AV13" s="31">
        <f t="shared" si="36"/>
        <v>0</v>
      </c>
      <c r="AW13" s="31">
        <f t="shared" si="37"/>
        <v>0</v>
      </c>
      <c r="AX13" s="31">
        <f t="shared" si="38"/>
        <v>0</v>
      </c>
      <c r="AY13" s="31">
        <f t="shared" si="39"/>
        <v>0</v>
      </c>
      <c r="AZ13" s="33">
        <f>CX13*'[3]CAMBARÁ - CITROS'!$U$5</f>
        <v>0</v>
      </c>
      <c r="BA13" s="37" t="str">
        <f t="shared" si="8"/>
        <v/>
      </c>
      <c r="BB13" s="36">
        <f>'[1]CB I'!$K13</f>
        <v>0</v>
      </c>
      <c r="BC13" s="31">
        <f t="shared" si="40"/>
        <v>0</v>
      </c>
      <c r="BD13" s="31">
        <f t="shared" si="41"/>
        <v>0</v>
      </c>
      <c r="BE13" s="31">
        <f t="shared" si="42"/>
        <v>0</v>
      </c>
      <c r="BF13" s="31">
        <f t="shared" si="43"/>
        <v>0</v>
      </c>
      <c r="BG13" s="33">
        <f>CY13*'[3]CAMBARÁ - CITROS'!$U$5</f>
        <v>0</v>
      </c>
      <c r="BH13" s="37" t="str">
        <f t="shared" si="9"/>
        <v/>
      </c>
      <c r="BI13" s="36">
        <f>'[1]CB I'!$L13</f>
        <v>0</v>
      </c>
      <c r="BJ13" s="31">
        <f t="shared" si="44"/>
        <v>0</v>
      </c>
      <c r="BK13" s="31">
        <f t="shared" si="45"/>
        <v>0</v>
      </c>
      <c r="BL13" s="31">
        <f t="shared" si="46"/>
        <v>0</v>
      </c>
      <c r="BM13" s="31">
        <f t="shared" si="47"/>
        <v>0</v>
      </c>
      <c r="BN13" s="33">
        <f>CZ13*'[3]CAMBARÁ - CITROS'!$U$5</f>
        <v>0</v>
      </c>
      <c r="BO13" s="37" t="str">
        <f t="shared" si="10"/>
        <v/>
      </c>
      <c r="BP13" s="36">
        <f>'[1]CB I'!$M13</f>
        <v>0</v>
      </c>
      <c r="BQ13" s="31">
        <f t="shared" si="48"/>
        <v>0</v>
      </c>
      <c r="BR13" s="31">
        <f t="shared" si="49"/>
        <v>0</v>
      </c>
      <c r="BS13" s="31">
        <f t="shared" si="50"/>
        <v>0</v>
      </c>
      <c r="BT13" s="31">
        <f t="shared" si="51"/>
        <v>0</v>
      </c>
      <c r="BU13" s="33">
        <f>DA13*'[3]CAMBARÁ - CITROS'!$U$5</f>
        <v>0</v>
      </c>
      <c r="BV13" s="37" t="str">
        <f t="shared" si="11"/>
        <v/>
      </c>
      <c r="BW13" s="36">
        <f>'[1]CB I'!$N13</f>
        <v>0</v>
      </c>
      <c r="BX13" s="31">
        <f t="shared" si="52"/>
        <v>0</v>
      </c>
      <c r="BY13" s="31">
        <f t="shared" si="53"/>
        <v>0</v>
      </c>
      <c r="BZ13" s="31">
        <f t="shared" si="54"/>
        <v>0</v>
      </c>
      <c r="CA13" s="31">
        <f t="shared" si="55"/>
        <v>0</v>
      </c>
      <c r="CB13" s="33">
        <f>DB13*'[3]CAMBARÁ - CITROS'!$U$5</f>
        <v>0</v>
      </c>
      <c r="CC13" s="37" t="str">
        <f t="shared" si="12"/>
        <v/>
      </c>
      <c r="CD13" s="36">
        <f>'[1]CB I'!$O13</f>
        <v>0</v>
      </c>
      <c r="CE13" s="31">
        <f t="shared" si="56"/>
        <v>0</v>
      </c>
      <c r="CF13" s="31">
        <f t="shared" si="57"/>
        <v>0</v>
      </c>
      <c r="CG13" s="31">
        <f t="shared" si="58"/>
        <v>0</v>
      </c>
      <c r="CH13" s="31">
        <f t="shared" si="59"/>
        <v>0</v>
      </c>
      <c r="CI13" s="33">
        <f>DC13*'[3]CAMBARÁ - CITROS'!$U$5</f>
        <v>0</v>
      </c>
      <c r="CJ13" s="37" t="str">
        <f t="shared" si="13"/>
        <v/>
      </c>
      <c r="CK13" s="36">
        <f>'[1]CB I'!$P13</f>
        <v>0</v>
      </c>
      <c r="CL13" s="31">
        <f t="shared" si="60"/>
        <v>0</v>
      </c>
      <c r="CM13" s="31">
        <f t="shared" si="61"/>
        <v>0</v>
      </c>
      <c r="CN13" s="31">
        <f t="shared" si="62"/>
        <v>0</v>
      </c>
      <c r="CO13" s="31">
        <f t="shared" si="63"/>
        <v>0</v>
      </c>
      <c r="CP13" s="33">
        <f>DD13*'[3]CAMBARÁ - CITROS'!$U$5</f>
        <v>0</v>
      </c>
      <c r="CQ13" s="37" t="str">
        <f t="shared" si="14"/>
        <v/>
      </c>
      <c r="CS13" s="198"/>
      <c r="CT13" s="198"/>
      <c r="CU13" s="198"/>
      <c r="CV13" s="198"/>
      <c r="CW13" s="198"/>
      <c r="CX13" s="198"/>
      <c r="CY13" s="198"/>
      <c r="CZ13" s="198"/>
      <c r="DA13" s="198"/>
      <c r="DB13" s="198"/>
      <c r="DC13" s="198"/>
      <c r="DD13" s="198"/>
      <c r="DE13" s="199"/>
      <c r="DF13" s="199"/>
    </row>
    <row r="14" spans="1:110" s="26" customFormat="1" ht="16" customHeight="1" x14ac:dyDescent="0.2">
      <c r="A14" s="39" t="s">
        <v>38</v>
      </c>
      <c r="B14" s="30">
        <f t="shared" si="0"/>
        <v>24702.316175999997</v>
      </c>
      <c r="C14" s="31">
        <f t="shared" si="0"/>
        <v>21666.4015179696</v>
      </c>
      <c r="D14" s="32">
        <f t="shared" si="0"/>
        <v>3035.9146580303991</v>
      </c>
      <c r="E14" s="30">
        <f t="shared" si="15"/>
        <v>8234.1053919999995</v>
      </c>
      <c r="F14" s="33">
        <f t="shared" si="15"/>
        <v>7222.1338393231999</v>
      </c>
      <c r="G14" s="34">
        <f t="shared" si="15"/>
        <v>1011.9715526767999</v>
      </c>
      <c r="H14" s="31">
        <f t="shared" si="1"/>
        <v>13021.9251310979</v>
      </c>
      <c r="I14" s="33">
        <f t="shared" si="1"/>
        <v>267.10959805599316</v>
      </c>
      <c r="J14" s="33">
        <f t="shared" si="1"/>
        <v>13289.034729153893</v>
      </c>
      <c r="K14" s="37">
        <f t="shared" si="2"/>
        <v>0.61390146184734351</v>
      </c>
      <c r="L14" s="36">
        <f>'[1]CB I'!$E14</f>
        <v>2058.5263479999999</v>
      </c>
      <c r="M14" s="31">
        <f t="shared" si="16"/>
        <v>1805.5334598308</v>
      </c>
      <c r="N14" s="31">
        <f t="shared" si="17"/>
        <v>252.99288816919997</v>
      </c>
      <c r="O14" s="31">
        <f t="shared" si="18"/>
        <v>2076.8844607811948</v>
      </c>
      <c r="P14" s="31">
        <f t="shared" si="19"/>
        <v>42.601671253905508</v>
      </c>
      <c r="Q14" s="27">
        <f>CS14*'[2]CAMBARÁ - CITROS'!$U$5</f>
        <v>2119.4861320351001</v>
      </c>
      <c r="R14" s="37">
        <f t="shared" si="3"/>
        <v>2.9613312501113764E-2</v>
      </c>
      <c r="S14" s="36">
        <f>'[1]CB I'!$F14</f>
        <v>2058.5263479999999</v>
      </c>
      <c r="T14" s="31">
        <f t="shared" si="20"/>
        <v>1805.5334598308</v>
      </c>
      <c r="U14" s="31">
        <f t="shared" si="21"/>
        <v>252.99288816919997</v>
      </c>
      <c r="V14" s="31">
        <f t="shared" si="22"/>
        <v>6170.8843201758</v>
      </c>
      <c r="W14" s="31">
        <f t="shared" si="23"/>
        <v>126.57901299676861</v>
      </c>
      <c r="X14" s="33">
        <f>CT14*'[2]CAMBARÁ - CITROS'!$U$5</f>
        <v>6297.463333172569</v>
      </c>
      <c r="Y14" s="37">
        <f t="shared" si="4"/>
        <v>2.0592094870638835</v>
      </c>
      <c r="Z14" s="36">
        <f>'[1]CB I'!$G14</f>
        <v>2058.5263479999999</v>
      </c>
      <c r="AA14" s="31">
        <f t="shared" si="24"/>
        <v>1805.5334598308</v>
      </c>
      <c r="AB14" s="31">
        <f t="shared" si="25"/>
        <v>252.99288816919997</v>
      </c>
      <c r="AC14" s="31">
        <f t="shared" si="26"/>
        <v>2393.1081450228116</v>
      </c>
      <c r="AD14" s="31">
        <f t="shared" si="27"/>
        <v>49.088145438267681</v>
      </c>
      <c r="AE14" s="33">
        <f>CU14*'[2]CAMBARÁ - CITROS'!$U$5</f>
        <v>2442.1962904610791</v>
      </c>
      <c r="AF14" s="37">
        <f t="shared" si="5"/>
        <v>0.18638087524788838</v>
      </c>
      <c r="AG14" s="36">
        <f>'[1]CB I'!$H14</f>
        <v>2058.5263479999999</v>
      </c>
      <c r="AH14" s="31">
        <f t="shared" si="28"/>
        <v>1805.5334598308</v>
      </c>
      <c r="AI14" s="31">
        <f t="shared" si="29"/>
        <v>252.99288816919997</v>
      </c>
      <c r="AJ14" s="31">
        <f t="shared" si="30"/>
        <v>2381.0482051180934</v>
      </c>
      <c r="AK14" s="31">
        <f t="shared" si="31"/>
        <v>48.840768367051396</v>
      </c>
      <c r="AL14" s="33">
        <f>CV14*'[2]CAMBARÁ - CITROS'!$U$5</f>
        <v>2429.8889734851446</v>
      </c>
      <c r="AM14" s="37">
        <f t="shared" si="6"/>
        <v>0.18040217257648861</v>
      </c>
      <c r="AN14" s="36">
        <f>'[1]CB I'!$I14</f>
        <v>2058.5263479999999</v>
      </c>
      <c r="AO14" s="31">
        <f t="shared" si="32"/>
        <v>1805.5334598308</v>
      </c>
      <c r="AP14" s="31">
        <f t="shared" si="33"/>
        <v>252.99288816919997</v>
      </c>
      <c r="AQ14" s="31">
        <f t="shared" si="34"/>
        <v>0</v>
      </c>
      <c r="AR14" s="31">
        <f t="shared" si="35"/>
        <v>0</v>
      </c>
      <c r="AS14" s="33">
        <f>CW14*'[3]CAMBARÁ - CITROS'!$U$5</f>
        <v>0</v>
      </c>
      <c r="AT14" s="37">
        <f t="shared" si="7"/>
        <v>-1</v>
      </c>
      <c r="AU14" s="36">
        <f>'[1]CB I'!$J14</f>
        <v>2058.5263479999999</v>
      </c>
      <c r="AV14" s="31">
        <f t="shared" si="36"/>
        <v>1805.5334598308</v>
      </c>
      <c r="AW14" s="31">
        <f t="shared" si="37"/>
        <v>252.99288816919997</v>
      </c>
      <c r="AX14" s="31">
        <f t="shared" si="38"/>
        <v>0</v>
      </c>
      <c r="AY14" s="31">
        <f t="shared" si="39"/>
        <v>0</v>
      </c>
      <c r="AZ14" s="33">
        <f>CX14*'[3]CAMBARÁ - CITROS'!$U$5</f>
        <v>0</v>
      </c>
      <c r="BA14" s="37">
        <f t="shared" si="8"/>
        <v>-1</v>
      </c>
      <c r="BB14" s="36">
        <f>'[1]CB I'!$K14</f>
        <v>2058.5263479999999</v>
      </c>
      <c r="BC14" s="31">
        <f t="shared" si="40"/>
        <v>1805.5334598308</v>
      </c>
      <c r="BD14" s="31">
        <f t="shared" si="41"/>
        <v>252.99288816919997</v>
      </c>
      <c r="BE14" s="31">
        <f t="shared" si="42"/>
        <v>0</v>
      </c>
      <c r="BF14" s="31">
        <f t="shared" si="43"/>
        <v>0</v>
      </c>
      <c r="BG14" s="33">
        <f>CY14*'[3]CAMBARÁ - CITROS'!$U$5</f>
        <v>0</v>
      </c>
      <c r="BH14" s="37">
        <f t="shared" si="9"/>
        <v>-1</v>
      </c>
      <c r="BI14" s="36">
        <f>'[1]CB I'!$L14</f>
        <v>2058.5263479999999</v>
      </c>
      <c r="BJ14" s="31">
        <f t="shared" si="44"/>
        <v>1805.5334598308</v>
      </c>
      <c r="BK14" s="31">
        <f t="shared" si="45"/>
        <v>252.99288816919997</v>
      </c>
      <c r="BL14" s="31">
        <f t="shared" si="46"/>
        <v>0</v>
      </c>
      <c r="BM14" s="31">
        <f t="shared" si="47"/>
        <v>0</v>
      </c>
      <c r="BN14" s="33">
        <f>CZ14*'[3]CAMBARÁ - CITROS'!$U$5</f>
        <v>0</v>
      </c>
      <c r="BO14" s="37">
        <f t="shared" si="10"/>
        <v>-1</v>
      </c>
      <c r="BP14" s="36">
        <f>'[1]CB I'!$M14</f>
        <v>2058.5263479999999</v>
      </c>
      <c r="BQ14" s="31">
        <f t="shared" si="48"/>
        <v>1805.5334598308</v>
      </c>
      <c r="BR14" s="31">
        <f t="shared" si="49"/>
        <v>252.99288816919997</v>
      </c>
      <c r="BS14" s="31">
        <f t="shared" si="50"/>
        <v>0</v>
      </c>
      <c r="BT14" s="31">
        <f t="shared" si="51"/>
        <v>0</v>
      </c>
      <c r="BU14" s="33">
        <f>DA14*'[3]CAMBARÁ - CITROS'!$U$5</f>
        <v>0</v>
      </c>
      <c r="BV14" s="37">
        <f t="shared" si="11"/>
        <v>-1</v>
      </c>
      <c r="BW14" s="36">
        <f>'[1]CB I'!$N14</f>
        <v>2058.5263479999999</v>
      </c>
      <c r="BX14" s="31">
        <f t="shared" si="52"/>
        <v>1805.5334598308</v>
      </c>
      <c r="BY14" s="31">
        <f t="shared" si="53"/>
        <v>252.99288816919997</v>
      </c>
      <c r="BZ14" s="31">
        <f t="shared" si="54"/>
        <v>0</v>
      </c>
      <c r="CA14" s="31">
        <f t="shared" si="55"/>
        <v>0</v>
      </c>
      <c r="CB14" s="33">
        <f>DB14*'[3]CAMBARÁ - CITROS'!$U$5</f>
        <v>0</v>
      </c>
      <c r="CC14" s="37">
        <f t="shared" si="12"/>
        <v>-1</v>
      </c>
      <c r="CD14" s="36">
        <f>'[1]CB I'!$O14</f>
        <v>2058.5263479999999</v>
      </c>
      <c r="CE14" s="31">
        <f t="shared" si="56"/>
        <v>1805.5334598308</v>
      </c>
      <c r="CF14" s="31">
        <f t="shared" si="57"/>
        <v>252.99288816919997</v>
      </c>
      <c r="CG14" s="31">
        <f t="shared" si="58"/>
        <v>0</v>
      </c>
      <c r="CH14" s="31">
        <f t="shared" si="59"/>
        <v>0</v>
      </c>
      <c r="CI14" s="33">
        <f>DC14*'[3]CAMBARÁ - CITROS'!$U$5</f>
        <v>0</v>
      </c>
      <c r="CJ14" s="37">
        <f t="shared" si="13"/>
        <v>-1</v>
      </c>
      <c r="CK14" s="36">
        <f>'[1]CB I'!$P14</f>
        <v>2058.5263479999999</v>
      </c>
      <c r="CL14" s="31">
        <f t="shared" si="60"/>
        <v>1805.5334598308</v>
      </c>
      <c r="CM14" s="31">
        <f t="shared" si="61"/>
        <v>252.99288816919997</v>
      </c>
      <c r="CN14" s="31">
        <f t="shared" si="62"/>
        <v>0</v>
      </c>
      <c r="CO14" s="31">
        <f t="shared" si="63"/>
        <v>0</v>
      </c>
      <c r="CP14" s="33">
        <f>DD14*'[3]CAMBARÁ - CITROS'!$U$5</f>
        <v>0</v>
      </c>
      <c r="CQ14" s="37">
        <f t="shared" si="14"/>
        <v>-1</v>
      </c>
      <c r="CS14" s="198">
        <f>3444.27</f>
        <v>3444.27</v>
      </c>
      <c r="CT14" s="198">
        <f>10233.69</f>
        <v>10233.69</v>
      </c>
      <c r="CU14" s="198">
        <f>3968.69</f>
        <v>3968.69</v>
      </c>
      <c r="CV14" s="198">
        <f>3948.69</f>
        <v>3948.69</v>
      </c>
      <c r="CW14" s="198"/>
      <c r="CX14" s="198"/>
      <c r="CY14" s="198"/>
      <c r="CZ14" s="198"/>
      <c r="DA14" s="198"/>
      <c r="DB14" s="198"/>
      <c r="DC14" s="198"/>
      <c r="DD14" s="198"/>
      <c r="DE14" s="199"/>
      <c r="DF14" s="199"/>
    </row>
    <row r="15" spans="1:110" s="26" customFormat="1" ht="16" customHeight="1" x14ac:dyDescent="0.2">
      <c r="A15" s="38" t="s">
        <v>39</v>
      </c>
      <c r="B15" s="30">
        <f t="shared" si="0"/>
        <v>57867.326920000007</v>
      </c>
      <c r="C15" s="31">
        <f t="shared" si="0"/>
        <v>50755.432441531986</v>
      </c>
      <c r="D15" s="32">
        <f t="shared" si="0"/>
        <v>7111.8944784679998</v>
      </c>
      <c r="E15" s="30">
        <f t="shared" si="15"/>
        <v>19164.516959999997</v>
      </c>
      <c r="F15" s="33">
        <f t="shared" si="15"/>
        <v>16809.197825615996</v>
      </c>
      <c r="G15" s="34">
        <f t="shared" si="15"/>
        <v>2355.3191343839994</v>
      </c>
      <c r="H15" s="31">
        <f t="shared" si="1"/>
        <v>21952.979957206466</v>
      </c>
      <c r="I15" s="33">
        <f t="shared" si="1"/>
        <v>450.30604871910384</v>
      </c>
      <c r="J15" s="33">
        <f t="shared" si="1"/>
        <v>22403.286005925565</v>
      </c>
      <c r="K15" s="37">
        <f t="shared" si="2"/>
        <v>0.16899820917404274</v>
      </c>
      <c r="L15" s="36">
        <f>'[1]CB I'!$E15</f>
        <v>4791.1292399999993</v>
      </c>
      <c r="M15" s="40">
        <f t="shared" si="16"/>
        <v>4202.2994564039991</v>
      </c>
      <c r="N15" s="40">
        <f t="shared" si="17"/>
        <v>588.82978359599986</v>
      </c>
      <c r="O15" s="40">
        <f t="shared" si="18"/>
        <v>4238.6528085817481</v>
      </c>
      <c r="P15" s="40">
        <f t="shared" si="19"/>
        <v>86.944506023566817</v>
      </c>
      <c r="Q15" s="116">
        <f>CS15*'[2]CAMBARÁ - CITROS'!$U$5</f>
        <v>4325.5973146053148</v>
      </c>
      <c r="R15" s="37">
        <f t="shared" si="3"/>
        <v>-9.7165386712608215E-2</v>
      </c>
      <c r="S15" s="36">
        <f>'[1]CB I'!$F15</f>
        <v>4791.1292399999993</v>
      </c>
      <c r="T15" s="40">
        <f t="shared" si="20"/>
        <v>4202.2994564039991</v>
      </c>
      <c r="U15" s="40">
        <f t="shared" si="21"/>
        <v>588.82978359599986</v>
      </c>
      <c r="V15" s="40">
        <f t="shared" si="22"/>
        <v>4152.16494955506</v>
      </c>
      <c r="W15" s="40">
        <f t="shared" si="23"/>
        <v>85.1704413573392</v>
      </c>
      <c r="X15" s="115">
        <f>CT15*'[2]CAMBARÁ - CITROS'!$U$5</f>
        <v>4237.3353909123989</v>
      </c>
      <c r="Y15" s="37">
        <f t="shared" si="4"/>
        <v>-0.11558733261964782</v>
      </c>
      <c r="Z15" s="36">
        <f>'[1]CB I'!$G15</f>
        <v>4791.1292399999993</v>
      </c>
      <c r="AA15" s="40">
        <f t="shared" si="24"/>
        <v>4202.2994564039991</v>
      </c>
      <c r="AB15" s="40">
        <f t="shared" si="25"/>
        <v>588.82978359599986</v>
      </c>
      <c r="AC15" s="40">
        <f t="shared" si="26"/>
        <v>6220.2456542058117</v>
      </c>
      <c r="AD15" s="40">
        <f t="shared" si="27"/>
        <v>127.59152734925685</v>
      </c>
      <c r="AE15" s="115">
        <f>CU15*'[2]CAMBARÁ - CITROS'!$U$5</f>
        <v>6347.8371815550681</v>
      </c>
      <c r="AF15" s="37">
        <f t="shared" si="5"/>
        <v>0.32491462107898994</v>
      </c>
      <c r="AG15" s="36">
        <f>'[1]CB I'!$H15</f>
        <v>4791.1292399999993</v>
      </c>
      <c r="AH15" s="40">
        <f t="shared" si="28"/>
        <v>4202.2994564039991</v>
      </c>
      <c r="AI15" s="40">
        <f t="shared" si="29"/>
        <v>588.82978359599986</v>
      </c>
      <c r="AJ15" s="40">
        <f t="shared" si="30"/>
        <v>7341.916544863845</v>
      </c>
      <c r="AK15" s="40">
        <f t="shared" si="31"/>
        <v>150.59957398894099</v>
      </c>
      <c r="AL15" s="115">
        <f>CV15*'[2]CAMBARÁ - CITROS'!$U$5</f>
        <v>7492.5161188527863</v>
      </c>
      <c r="AM15" s="37">
        <f t="shared" si="6"/>
        <v>0.56383093494943748</v>
      </c>
      <c r="AN15" s="36">
        <f>'[1]CB I'!$I15</f>
        <v>4791.1292399999993</v>
      </c>
      <c r="AO15" s="40">
        <f t="shared" si="32"/>
        <v>4202.2994564039991</v>
      </c>
      <c r="AP15" s="40">
        <f t="shared" si="33"/>
        <v>588.82978359599986</v>
      </c>
      <c r="AQ15" s="40">
        <f t="shared" si="34"/>
        <v>0</v>
      </c>
      <c r="AR15" s="40">
        <f t="shared" si="35"/>
        <v>0</v>
      </c>
      <c r="AS15" s="115">
        <f>CW15*'[3]CAMBARÁ - CITROS'!$U$5</f>
        <v>0</v>
      </c>
      <c r="AT15" s="37">
        <f t="shared" si="7"/>
        <v>-1</v>
      </c>
      <c r="AU15" s="36">
        <f>'[1]CB I'!$J15</f>
        <v>4791.1292399999993</v>
      </c>
      <c r="AV15" s="40">
        <f t="shared" si="36"/>
        <v>4202.2994564039991</v>
      </c>
      <c r="AW15" s="40">
        <f t="shared" si="37"/>
        <v>588.82978359599986</v>
      </c>
      <c r="AX15" s="40">
        <f t="shared" si="38"/>
        <v>0</v>
      </c>
      <c r="AY15" s="40">
        <f t="shared" si="39"/>
        <v>0</v>
      </c>
      <c r="AZ15" s="115">
        <f>CX15*'[3]CAMBARÁ - CITROS'!$U$5</f>
        <v>0</v>
      </c>
      <c r="BA15" s="37">
        <f t="shared" si="8"/>
        <v>-1</v>
      </c>
      <c r="BB15" s="36">
        <f>'[1]CB I'!$K15</f>
        <v>5164.9052799999999</v>
      </c>
      <c r="BC15" s="40">
        <f t="shared" si="40"/>
        <v>4530.1384210879996</v>
      </c>
      <c r="BD15" s="40">
        <f t="shared" si="41"/>
        <v>634.76685891199998</v>
      </c>
      <c r="BE15" s="40">
        <f t="shared" si="42"/>
        <v>0</v>
      </c>
      <c r="BF15" s="40">
        <f t="shared" si="43"/>
        <v>0</v>
      </c>
      <c r="BG15" s="115">
        <f>CY15*'[3]CAMBARÁ - CITROS'!$U$5</f>
        <v>0</v>
      </c>
      <c r="BH15" s="37">
        <f t="shared" si="9"/>
        <v>-1</v>
      </c>
      <c r="BI15" s="36">
        <f>'[1]CB I'!$L15</f>
        <v>4791.1292399999993</v>
      </c>
      <c r="BJ15" s="40">
        <f t="shared" si="44"/>
        <v>4202.2994564039991</v>
      </c>
      <c r="BK15" s="40">
        <f t="shared" si="45"/>
        <v>588.82978359599986</v>
      </c>
      <c r="BL15" s="40">
        <f t="shared" si="46"/>
        <v>0</v>
      </c>
      <c r="BM15" s="40">
        <f t="shared" si="47"/>
        <v>0</v>
      </c>
      <c r="BN15" s="115">
        <f>CZ15*'[3]CAMBARÁ - CITROS'!$U$5</f>
        <v>0</v>
      </c>
      <c r="BO15" s="37">
        <f t="shared" si="10"/>
        <v>-1</v>
      </c>
      <c r="BP15" s="36">
        <f>'[1]CB I'!$M15</f>
        <v>4791.1292399999993</v>
      </c>
      <c r="BQ15" s="40">
        <f t="shared" si="48"/>
        <v>4202.2994564039991</v>
      </c>
      <c r="BR15" s="40">
        <f t="shared" si="49"/>
        <v>588.82978359599986</v>
      </c>
      <c r="BS15" s="40">
        <f t="shared" si="50"/>
        <v>0</v>
      </c>
      <c r="BT15" s="40">
        <f t="shared" si="51"/>
        <v>0</v>
      </c>
      <c r="BU15" s="115">
        <f>DA15*'[3]CAMBARÁ - CITROS'!$U$5</f>
        <v>0</v>
      </c>
      <c r="BV15" s="37">
        <f t="shared" si="11"/>
        <v>-1</v>
      </c>
      <c r="BW15" s="36">
        <f>'[1]CB I'!$N15</f>
        <v>4791.1292399999993</v>
      </c>
      <c r="BX15" s="40">
        <f t="shared" si="52"/>
        <v>4202.2994564039991</v>
      </c>
      <c r="BY15" s="40">
        <f t="shared" si="53"/>
        <v>588.82978359599986</v>
      </c>
      <c r="BZ15" s="40">
        <f t="shared" si="54"/>
        <v>0</v>
      </c>
      <c r="CA15" s="40">
        <f t="shared" si="55"/>
        <v>0</v>
      </c>
      <c r="CB15" s="115">
        <f>DB15*'[3]CAMBARÁ - CITROS'!$U$5</f>
        <v>0</v>
      </c>
      <c r="CC15" s="37">
        <f t="shared" si="12"/>
        <v>-1</v>
      </c>
      <c r="CD15" s="36">
        <f>'[1]CB I'!$O15</f>
        <v>4791.1292399999993</v>
      </c>
      <c r="CE15" s="40">
        <f t="shared" si="56"/>
        <v>4202.2994564039991</v>
      </c>
      <c r="CF15" s="40">
        <f t="shared" si="57"/>
        <v>588.82978359599986</v>
      </c>
      <c r="CG15" s="40">
        <f t="shared" si="58"/>
        <v>0</v>
      </c>
      <c r="CH15" s="40">
        <f t="shared" si="59"/>
        <v>0</v>
      </c>
      <c r="CI15" s="115">
        <f>DC15*'[3]CAMBARÁ - CITROS'!$U$5</f>
        <v>0</v>
      </c>
      <c r="CJ15" s="37">
        <f t="shared" si="13"/>
        <v>-1</v>
      </c>
      <c r="CK15" s="36">
        <f>'[1]CB I'!$P15</f>
        <v>4791.1292399999993</v>
      </c>
      <c r="CL15" s="40">
        <f t="shared" si="60"/>
        <v>4202.2994564039991</v>
      </c>
      <c r="CM15" s="40">
        <f t="shared" si="61"/>
        <v>588.82978359599986</v>
      </c>
      <c r="CN15" s="40">
        <f t="shared" si="62"/>
        <v>0</v>
      </c>
      <c r="CO15" s="40">
        <f t="shared" si="63"/>
        <v>0</v>
      </c>
      <c r="CP15" s="115">
        <f>DD15*'[3]CAMBARÁ - CITROS'!$U$5</f>
        <v>0</v>
      </c>
      <c r="CQ15" s="37">
        <f t="shared" si="14"/>
        <v>-1</v>
      </c>
      <c r="CS15" s="198">
        <f>529.64+11524.89-(8.13+5017.09)</f>
        <v>7029.3099999999986</v>
      </c>
      <c r="CT15" s="198">
        <f>535.78+67287.4-(18245.78+42691.52)</f>
        <v>6885.8799999999974</v>
      </c>
      <c r="CU15" s="198">
        <f>529.64+9785.91</f>
        <v>10315.549999999999</v>
      </c>
      <c r="CV15" s="198">
        <f>533.56+11642.15</f>
        <v>12175.71</v>
      </c>
      <c r="CW15" s="198"/>
      <c r="CX15" s="198"/>
      <c r="CY15" s="198"/>
      <c r="CZ15" s="198"/>
      <c r="DA15" s="198"/>
      <c r="DB15" s="198"/>
      <c r="DC15" s="198"/>
      <c r="DD15" s="198"/>
      <c r="DE15" s="199"/>
      <c r="DF15" s="199"/>
    </row>
    <row r="16" spans="1:110" s="26" customFormat="1" ht="16" customHeight="1" x14ac:dyDescent="0.2">
      <c r="A16" s="29" t="s">
        <v>40</v>
      </c>
      <c r="B16" s="30">
        <f t="shared" si="0"/>
        <v>11181.599999999999</v>
      </c>
      <c r="C16" s="31">
        <f t="shared" si="0"/>
        <v>9807.3813600000012</v>
      </c>
      <c r="D16" s="32">
        <f t="shared" si="0"/>
        <v>1374.2186399999994</v>
      </c>
      <c r="E16" s="30">
        <f t="shared" si="15"/>
        <v>3727.2</v>
      </c>
      <c r="F16" s="33">
        <f t="shared" si="15"/>
        <v>3269.1271200000001</v>
      </c>
      <c r="G16" s="34">
        <f t="shared" si="15"/>
        <v>458.07287999999994</v>
      </c>
      <c r="H16" s="31">
        <f t="shared" si="1"/>
        <v>4103.7744406873799</v>
      </c>
      <c r="I16" s="33">
        <f t="shared" si="1"/>
        <v>84.177840859083915</v>
      </c>
      <c r="J16" s="33">
        <f t="shared" si="1"/>
        <v>4187.9522815464634</v>
      </c>
      <c r="K16" s="37">
        <f t="shared" si="2"/>
        <v>0.123618877856424</v>
      </c>
      <c r="L16" s="36">
        <f>'[1]CB I'!$E16</f>
        <v>931.8</v>
      </c>
      <c r="M16" s="31">
        <f t="shared" si="16"/>
        <v>817.28178000000003</v>
      </c>
      <c r="N16" s="31">
        <f t="shared" si="17"/>
        <v>114.51821999999999</v>
      </c>
      <c r="O16" s="31">
        <f t="shared" si="18"/>
        <v>1007.728578438256</v>
      </c>
      <c r="P16" s="31">
        <f t="shared" si="19"/>
        <v>20.67082807083268</v>
      </c>
      <c r="Q16" s="27">
        <f>CS16*'[2]CAMBARÁ - CITROS'!$U$5</f>
        <v>1028.3994065090887</v>
      </c>
      <c r="R16" s="37">
        <f t="shared" si="3"/>
        <v>0.10366967858884824</v>
      </c>
      <c r="S16" s="36">
        <f>'[1]CB I'!$F16</f>
        <v>931.8</v>
      </c>
      <c r="T16" s="31">
        <f t="shared" si="20"/>
        <v>817.28178000000003</v>
      </c>
      <c r="U16" s="31">
        <f t="shared" si="21"/>
        <v>114.51821999999999</v>
      </c>
      <c r="V16" s="31">
        <f t="shared" si="22"/>
        <v>949.99161614441755</v>
      </c>
      <c r="W16" s="31">
        <f t="shared" si="23"/>
        <v>19.486510342384722</v>
      </c>
      <c r="X16" s="33">
        <f>CT16*'[2]CAMBARÁ - CITROS'!$U$5</f>
        <v>969.47812648680224</v>
      </c>
      <c r="Y16" s="37">
        <f t="shared" si="4"/>
        <v>4.0435851563427994E-2</v>
      </c>
      <c r="Z16" s="36">
        <f>'[1]CB I'!$G16</f>
        <v>931.8</v>
      </c>
      <c r="AA16" s="31">
        <f t="shared" si="24"/>
        <v>817.28178000000003</v>
      </c>
      <c r="AB16" s="31">
        <f t="shared" si="25"/>
        <v>114.51821999999999</v>
      </c>
      <c r="AC16" s="31">
        <f t="shared" si="26"/>
        <v>1188.1030696231744</v>
      </c>
      <c r="AD16" s="31">
        <f t="shared" si="27"/>
        <v>24.37072323647903</v>
      </c>
      <c r="AE16" s="33">
        <f>CU16*'[2]CAMBARÁ - CITROS'!$U$5</f>
        <v>1212.4737928596535</v>
      </c>
      <c r="AF16" s="37">
        <f t="shared" si="5"/>
        <v>0.30121677705479022</v>
      </c>
      <c r="AG16" s="36">
        <f>'[1]CB I'!$H16</f>
        <v>931.8</v>
      </c>
      <c r="AH16" s="31">
        <f t="shared" si="28"/>
        <v>817.28178000000003</v>
      </c>
      <c r="AI16" s="31">
        <f t="shared" si="29"/>
        <v>114.51821999999999</v>
      </c>
      <c r="AJ16" s="31">
        <f t="shared" si="30"/>
        <v>957.95117648153166</v>
      </c>
      <c r="AK16" s="31">
        <f t="shared" si="31"/>
        <v>19.649779209387471</v>
      </c>
      <c r="AL16" s="33">
        <f>CV16*'[2]CAMBARÁ - CITROS'!$U$5</f>
        <v>977.60095569091914</v>
      </c>
      <c r="AM16" s="37">
        <f t="shared" si="6"/>
        <v>4.9153204218629787E-2</v>
      </c>
      <c r="AN16" s="36">
        <f>'[1]CB I'!$I16</f>
        <v>931.8</v>
      </c>
      <c r="AO16" s="31">
        <f t="shared" si="32"/>
        <v>817.28178000000003</v>
      </c>
      <c r="AP16" s="31">
        <f t="shared" si="33"/>
        <v>114.51821999999999</v>
      </c>
      <c r="AQ16" s="31">
        <f t="shared" si="34"/>
        <v>0</v>
      </c>
      <c r="AR16" s="31">
        <f t="shared" si="35"/>
        <v>0</v>
      </c>
      <c r="AS16" s="33">
        <f>CW16*'[3]CAMBARÁ - CITROS'!$U$5</f>
        <v>0</v>
      </c>
      <c r="AT16" s="37">
        <f t="shared" si="7"/>
        <v>-1</v>
      </c>
      <c r="AU16" s="36">
        <f>'[1]CB I'!$J16</f>
        <v>931.8</v>
      </c>
      <c r="AV16" s="31">
        <f t="shared" si="36"/>
        <v>817.28178000000003</v>
      </c>
      <c r="AW16" s="31">
        <f t="shared" si="37"/>
        <v>114.51821999999999</v>
      </c>
      <c r="AX16" s="31">
        <f t="shared" si="38"/>
        <v>0</v>
      </c>
      <c r="AY16" s="31">
        <f t="shared" si="39"/>
        <v>0</v>
      </c>
      <c r="AZ16" s="33">
        <f>CX16*'[3]CAMBARÁ - CITROS'!$U$5</f>
        <v>0</v>
      </c>
      <c r="BA16" s="37">
        <f t="shared" si="8"/>
        <v>-1</v>
      </c>
      <c r="BB16" s="36">
        <f>'[1]CB I'!$K16</f>
        <v>931.8</v>
      </c>
      <c r="BC16" s="31">
        <f t="shared" si="40"/>
        <v>817.28178000000003</v>
      </c>
      <c r="BD16" s="31">
        <f t="shared" si="41"/>
        <v>114.51821999999999</v>
      </c>
      <c r="BE16" s="31">
        <f t="shared" si="42"/>
        <v>0</v>
      </c>
      <c r="BF16" s="31">
        <f t="shared" si="43"/>
        <v>0</v>
      </c>
      <c r="BG16" s="33">
        <f>CY16*'[3]CAMBARÁ - CITROS'!$U$5</f>
        <v>0</v>
      </c>
      <c r="BH16" s="37">
        <f t="shared" si="9"/>
        <v>-1</v>
      </c>
      <c r="BI16" s="36">
        <f>'[1]CB I'!$L16</f>
        <v>931.8</v>
      </c>
      <c r="BJ16" s="31">
        <f t="shared" si="44"/>
        <v>817.28178000000003</v>
      </c>
      <c r="BK16" s="31">
        <f t="shared" si="45"/>
        <v>114.51821999999999</v>
      </c>
      <c r="BL16" s="31">
        <f t="shared" si="46"/>
        <v>0</v>
      </c>
      <c r="BM16" s="31">
        <f t="shared" si="47"/>
        <v>0</v>
      </c>
      <c r="BN16" s="33">
        <f>CZ16*'[3]CAMBARÁ - CITROS'!$U$5</f>
        <v>0</v>
      </c>
      <c r="BO16" s="37">
        <f t="shared" si="10"/>
        <v>-1</v>
      </c>
      <c r="BP16" s="36">
        <f>'[1]CB I'!$M16</f>
        <v>931.8</v>
      </c>
      <c r="BQ16" s="31">
        <f t="shared" si="48"/>
        <v>817.28178000000003</v>
      </c>
      <c r="BR16" s="31">
        <f t="shared" si="49"/>
        <v>114.51821999999999</v>
      </c>
      <c r="BS16" s="31">
        <f t="shared" si="50"/>
        <v>0</v>
      </c>
      <c r="BT16" s="31">
        <f t="shared" si="51"/>
        <v>0</v>
      </c>
      <c r="BU16" s="33">
        <f>DA16*'[3]CAMBARÁ - CITROS'!$U$5</f>
        <v>0</v>
      </c>
      <c r="BV16" s="37">
        <f t="shared" si="11"/>
        <v>-1</v>
      </c>
      <c r="BW16" s="36">
        <f>'[1]CB I'!$N16</f>
        <v>931.8</v>
      </c>
      <c r="BX16" s="31">
        <f t="shared" si="52"/>
        <v>817.28178000000003</v>
      </c>
      <c r="BY16" s="31">
        <f t="shared" si="53"/>
        <v>114.51821999999999</v>
      </c>
      <c r="BZ16" s="31">
        <f t="shared" si="54"/>
        <v>0</v>
      </c>
      <c r="CA16" s="31">
        <f t="shared" si="55"/>
        <v>0</v>
      </c>
      <c r="CB16" s="33">
        <f>DB16*'[3]CAMBARÁ - CITROS'!$U$5</f>
        <v>0</v>
      </c>
      <c r="CC16" s="37">
        <f t="shared" si="12"/>
        <v>-1</v>
      </c>
      <c r="CD16" s="36">
        <f>'[1]CB I'!$O16</f>
        <v>931.8</v>
      </c>
      <c r="CE16" s="31">
        <f t="shared" si="56"/>
        <v>817.28178000000003</v>
      </c>
      <c r="CF16" s="31">
        <f t="shared" si="57"/>
        <v>114.51821999999999</v>
      </c>
      <c r="CG16" s="31">
        <f t="shared" si="58"/>
        <v>0</v>
      </c>
      <c r="CH16" s="31">
        <f t="shared" si="59"/>
        <v>0</v>
      </c>
      <c r="CI16" s="33">
        <f>DC16*'[3]CAMBARÁ - CITROS'!$U$5</f>
        <v>0</v>
      </c>
      <c r="CJ16" s="37">
        <f t="shared" si="13"/>
        <v>-1</v>
      </c>
      <c r="CK16" s="36">
        <f>'[1]CB I'!$P16</f>
        <v>931.8</v>
      </c>
      <c r="CL16" s="31">
        <f t="shared" si="60"/>
        <v>817.28178000000003</v>
      </c>
      <c r="CM16" s="31">
        <f t="shared" si="61"/>
        <v>114.51821999999999</v>
      </c>
      <c r="CN16" s="31">
        <f t="shared" si="62"/>
        <v>0</v>
      </c>
      <c r="CO16" s="31">
        <f t="shared" si="63"/>
        <v>0</v>
      </c>
      <c r="CP16" s="33">
        <f>DD16*'[3]CAMBARÁ - CITROS'!$U$5</f>
        <v>0</v>
      </c>
      <c r="CQ16" s="37">
        <f t="shared" si="14"/>
        <v>-1</v>
      </c>
      <c r="CS16" s="198">
        <f>1671.2</f>
        <v>1671.2</v>
      </c>
      <c r="CT16" s="198">
        <f>1575.45</f>
        <v>1575.45</v>
      </c>
      <c r="CU16" s="198">
        <v>1970.33</v>
      </c>
      <c r="CV16" s="198">
        <f>1588.65</f>
        <v>1588.65</v>
      </c>
      <c r="CW16" s="198"/>
      <c r="CX16" s="198"/>
      <c r="CY16" s="198"/>
      <c r="CZ16" s="198"/>
      <c r="DA16" s="198"/>
      <c r="DB16" s="198"/>
      <c r="DC16" s="198"/>
      <c r="DD16" s="198"/>
      <c r="DE16" s="199"/>
      <c r="DF16" s="199"/>
    </row>
    <row r="17" spans="1:110" s="26" customFormat="1" ht="16" customHeight="1" x14ac:dyDescent="0.2">
      <c r="A17" s="38" t="s">
        <v>41</v>
      </c>
      <c r="B17" s="30">
        <f t="shared" si="0"/>
        <v>331869.88800000004</v>
      </c>
      <c r="C17" s="31">
        <f t="shared" si="0"/>
        <v>291083.07876479998</v>
      </c>
      <c r="D17" s="32">
        <f t="shared" si="0"/>
        <v>40786.809235199995</v>
      </c>
      <c r="E17" s="30">
        <f t="shared" si="15"/>
        <v>110623.296</v>
      </c>
      <c r="F17" s="33">
        <f t="shared" si="15"/>
        <v>97027.692921599999</v>
      </c>
      <c r="G17" s="34">
        <f t="shared" si="15"/>
        <v>13595.6030784</v>
      </c>
      <c r="H17" s="31">
        <f t="shared" si="1"/>
        <v>152779.63698189321</v>
      </c>
      <c r="I17" s="33">
        <f t="shared" si="1"/>
        <v>3133.8613157832979</v>
      </c>
      <c r="J17" s="33">
        <f t="shared" si="1"/>
        <v>155913.49829767653</v>
      </c>
      <c r="K17" s="37">
        <f t="shared" si="2"/>
        <v>0.40940926491357232</v>
      </c>
      <c r="L17" s="36">
        <f>'[1]CB I'!$E17</f>
        <v>27655.824000000001</v>
      </c>
      <c r="M17" s="31">
        <f t="shared" si="16"/>
        <v>24256.9232304</v>
      </c>
      <c r="N17" s="31">
        <f t="shared" si="17"/>
        <v>3398.9007695999999</v>
      </c>
      <c r="O17" s="31">
        <f t="shared" si="18"/>
        <v>24548.661084726409</v>
      </c>
      <c r="P17" s="31">
        <f t="shared" si="19"/>
        <v>503.54943137361028</v>
      </c>
      <c r="Q17" s="27">
        <v>25052.210516100018</v>
      </c>
      <c r="R17" s="37">
        <f t="shared" si="3"/>
        <v>-9.4143406607591351E-2</v>
      </c>
      <c r="S17" s="36">
        <f>'[1]CB I'!$F17</f>
        <v>27655.824000000001</v>
      </c>
      <c r="T17" s="31">
        <f t="shared" si="20"/>
        <v>24256.9232304</v>
      </c>
      <c r="U17" s="31">
        <f t="shared" si="21"/>
        <v>3398.9007695999999</v>
      </c>
      <c r="V17" s="31">
        <f t="shared" si="22"/>
        <v>69476.625970512046</v>
      </c>
      <c r="W17" s="31">
        <f t="shared" si="23"/>
        <v>1425.1251984970834</v>
      </c>
      <c r="X17" s="33">
        <v>70901.751169009134</v>
      </c>
      <c r="Y17" s="37">
        <f t="shared" si="4"/>
        <v>1.5637186282719013</v>
      </c>
      <c r="Z17" s="36">
        <f>'[1]CB I'!$G17</f>
        <v>27655.824000000001</v>
      </c>
      <c r="AA17" s="31">
        <f t="shared" si="24"/>
        <v>24256.9232304</v>
      </c>
      <c r="AB17" s="31">
        <f t="shared" si="25"/>
        <v>3398.9007695999999</v>
      </c>
      <c r="AC17" s="31">
        <f t="shared" si="26"/>
        <v>28885.241455528925</v>
      </c>
      <c r="AD17" s="31">
        <f t="shared" si="27"/>
        <v>592.50265665489462</v>
      </c>
      <c r="AE17" s="27">
        <v>29477.74411218382</v>
      </c>
      <c r="AF17" s="37">
        <f t="shared" si="5"/>
        <v>6.5878352139636887E-2</v>
      </c>
      <c r="AG17" s="36">
        <f>'[1]CB I'!$H17</f>
        <v>27655.824000000001</v>
      </c>
      <c r="AH17" s="31">
        <f t="shared" si="28"/>
        <v>24256.9232304</v>
      </c>
      <c r="AI17" s="31">
        <f t="shared" si="29"/>
        <v>3398.9007695999999</v>
      </c>
      <c r="AJ17" s="31">
        <f t="shared" si="30"/>
        <v>29869.108471125845</v>
      </c>
      <c r="AK17" s="31">
        <f t="shared" si="31"/>
        <v>612.68402925770931</v>
      </c>
      <c r="AL17" s="33">
        <v>30481.792500383555</v>
      </c>
      <c r="AM17" s="37">
        <f t="shared" si="6"/>
        <v>0.10218348585034231</v>
      </c>
      <c r="AN17" s="36">
        <f>'[1]CB I'!$I17</f>
        <v>27655.824000000001</v>
      </c>
      <c r="AO17" s="31">
        <f t="shared" si="32"/>
        <v>24256.9232304</v>
      </c>
      <c r="AP17" s="31">
        <f t="shared" si="33"/>
        <v>3398.9007695999999</v>
      </c>
      <c r="AQ17" s="31">
        <f t="shared" si="34"/>
        <v>0</v>
      </c>
      <c r="AR17" s="31">
        <f t="shared" si="35"/>
        <v>0</v>
      </c>
      <c r="AS17" s="27"/>
      <c r="AT17" s="37">
        <f t="shared" si="7"/>
        <v>-1</v>
      </c>
      <c r="AU17" s="36">
        <f>'[1]CB I'!$J17</f>
        <v>27655.824000000001</v>
      </c>
      <c r="AV17" s="31">
        <f t="shared" si="36"/>
        <v>24256.9232304</v>
      </c>
      <c r="AW17" s="31">
        <f t="shared" si="37"/>
        <v>3398.9007695999999</v>
      </c>
      <c r="AX17" s="31">
        <f t="shared" si="38"/>
        <v>0</v>
      </c>
      <c r="AY17" s="31">
        <f t="shared" si="39"/>
        <v>0</v>
      </c>
      <c r="AZ17" s="33"/>
      <c r="BA17" s="37">
        <f t="shared" si="8"/>
        <v>-1</v>
      </c>
      <c r="BB17" s="36">
        <f>'[1]CB I'!$K17</f>
        <v>27655.824000000001</v>
      </c>
      <c r="BC17" s="31">
        <f t="shared" si="40"/>
        <v>24256.9232304</v>
      </c>
      <c r="BD17" s="31">
        <f t="shared" si="41"/>
        <v>3398.9007695999999</v>
      </c>
      <c r="BE17" s="31">
        <f t="shared" si="42"/>
        <v>0</v>
      </c>
      <c r="BF17" s="31">
        <f t="shared" si="43"/>
        <v>0</v>
      </c>
      <c r="BG17" s="33"/>
      <c r="BH17" s="37">
        <f t="shared" si="9"/>
        <v>-1</v>
      </c>
      <c r="BI17" s="36">
        <f>'[1]CB I'!$L17</f>
        <v>27655.824000000001</v>
      </c>
      <c r="BJ17" s="31">
        <f t="shared" si="44"/>
        <v>24256.9232304</v>
      </c>
      <c r="BK17" s="31">
        <f t="shared" si="45"/>
        <v>3398.9007695999999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'[1]CB I'!$M17</f>
        <v>27655.824000000001</v>
      </c>
      <c r="BQ17" s="31">
        <f t="shared" si="48"/>
        <v>24256.9232304</v>
      </c>
      <c r="BR17" s="31">
        <f t="shared" si="49"/>
        <v>3398.9007695999999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'[1]CB I'!$N17</f>
        <v>27655.824000000001</v>
      </c>
      <c r="BX17" s="31">
        <f t="shared" si="52"/>
        <v>24256.9232304</v>
      </c>
      <c r="BY17" s="31">
        <f t="shared" si="53"/>
        <v>3398.9007695999999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'[1]CB I'!$O17</f>
        <v>27655.824000000001</v>
      </c>
      <c r="CE17" s="31">
        <f t="shared" si="56"/>
        <v>24256.9232304</v>
      </c>
      <c r="CF17" s="31">
        <f t="shared" si="57"/>
        <v>3398.9007695999999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'[1]CB I'!$P17</f>
        <v>27655.824000000001</v>
      </c>
      <c r="CL17" s="31">
        <f t="shared" si="60"/>
        <v>24256.9232304</v>
      </c>
      <c r="CM17" s="31">
        <f t="shared" si="61"/>
        <v>3398.9007695999999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  <c r="CS17" s="198"/>
      <c r="CT17" s="198"/>
      <c r="CU17" s="198"/>
      <c r="CV17" s="198"/>
      <c r="CW17" s="198"/>
      <c r="CX17" s="198"/>
      <c r="CY17" s="198"/>
      <c r="CZ17" s="198"/>
      <c r="DA17" s="198"/>
      <c r="DB17" s="198"/>
      <c r="DC17" s="198"/>
      <c r="DD17" s="198"/>
      <c r="DE17" s="199"/>
      <c r="DF17" s="199"/>
    </row>
    <row r="18" spans="1:110" s="26" customFormat="1" ht="16" customHeight="1" x14ac:dyDescent="0.2">
      <c r="A18" s="38" t="s">
        <v>42</v>
      </c>
      <c r="B18" s="30">
        <f t="shared" si="0"/>
        <v>50889.847008000004</v>
      </c>
      <c r="C18" s="31">
        <f t="shared" si="0"/>
        <v>44635.4848107168</v>
      </c>
      <c r="D18" s="32">
        <f t="shared" si="0"/>
        <v>6254.3621972831979</v>
      </c>
      <c r="E18" s="30">
        <f t="shared" si="15"/>
        <v>16963.282336</v>
      </c>
      <c r="F18" s="33">
        <f t="shared" si="15"/>
        <v>14878.494936905601</v>
      </c>
      <c r="G18" s="34">
        <f t="shared" si="15"/>
        <v>2084.7873990943999</v>
      </c>
      <c r="H18" s="31">
        <f t="shared" si="1"/>
        <v>24530.2531106483</v>
      </c>
      <c r="I18" s="33">
        <f t="shared" si="1"/>
        <v>503.17184153896386</v>
      </c>
      <c r="J18" s="33">
        <f t="shared" si="1"/>
        <v>25033.424952187263</v>
      </c>
      <c r="K18" s="37">
        <f t="shared" si="2"/>
        <v>0.47574180847420999</v>
      </c>
      <c r="L18" s="36">
        <f>'[1]CB I'!$E18</f>
        <v>4240.8205840000001</v>
      </c>
      <c r="M18" s="31">
        <f t="shared" si="16"/>
        <v>3719.6237342264003</v>
      </c>
      <c r="N18" s="31">
        <f t="shared" si="17"/>
        <v>521.19684977359998</v>
      </c>
      <c r="O18" s="31">
        <f t="shared" si="18"/>
        <v>8277.7791727734566</v>
      </c>
      <c r="P18" s="31">
        <f t="shared" si="19"/>
        <v>169.79626632589697</v>
      </c>
      <c r="Q18" s="27">
        <v>8447.5754390993534</v>
      </c>
      <c r="R18" s="37">
        <f t="shared" si="3"/>
        <v>0.99196718459885536</v>
      </c>
      <c r="S18" s="36">
        <f>'[1]CB I'!$F18</f>
        <v>4240.8205840000001</v>
      </c>
      <c r="T18" s="31">
        <f t="shared" si="20"/>
        <v>3719.6237342264003</v>
      </c>
      <c r="U18" s="31">
        <f t="shared" si="21"/>
        <v>521.19684977359998</v>
      </c>
      <c r="V18" s="31">
        <f t="shared" si="22"/>
        <v>0</v>
      </c>
      <c r="W18" s="31">
        <f t="shared" si="23"/>
        <v>0</v>
      </c>
      <c r="X18" s="33">
        <v>0</v>
      </c>
      <c r="Y18" s="37">
        <f t="shared" si="4"/>
        <v>-1</v>
      </c>
      <c r="Z18" s="36">
        <f>'[1]CB I'!$G18</f>
        <v>4240.8205840000001</v>
      </c>
      <c r="AA18" s="31">
        <f t="shared" si="24"/>
        <v>3719.6237342264003</v>
      </c>
      <c r="AB18" s="31">
        <f t="shared" si="25"/>
        <v>521.19684977359998</v>
      </c>
      <c r="AC18" s="31">
        <f t="shared" si="26"/>
        <v>16252.473937874842</v>
      </c>
      <c r="AD18" s="31">
        <f t="shared" si="27"/>
        <v>333.3755752130669</v>
      </c>
      <c r="AE18" s="27">
        <v>16585.849513087909</v>
      </c>
      <c r="AF18" s="37">
        <f t="shared" si="5"/>
        <v>2.9110000492979848</v>
      </c>
      <c r="AG18" s="36">
        <f>'[1]CB I'!$H18</f>
        <v>4240.8205840000001</v>
      </c>
      <c r="AH18" s="31">
        <f t="shared" si="28"/>
        <v>3719.6237342264003</v>
      </c>
      <c r="AI18" s="31">
        <f t="shared" si="29"/>
        <v>521.19684977359998</v>
      </c>
      <c r="AJ18" s="31">
        <f t="shared" si="30"/>
        <v>0</v>
      </c>
      <c r="AK18" s="31">
        <f t="shared" si="31"/>
        <v>0</v>
      </c>
      <c r="AL18" s="33">
        <v>0</v>
      </c>
      <c r="AM18" s="37">
        <f t="shared" si="6"/>
        <v>-1</v>
      </c>
      <c r="AN18" s="36">
        <f>'[1]CB I'!$I18</f>
        <v>4240.8205840000001</v>
      </c>
      <c r="AO18" s="31">
        <f t="shared" si="32"/>
        <v>3719.6237342264003</v>
      </c>
      <c r="AP18" s="31">
        <f t="shared" si="33"/>
        <v>521.19684977359998</v>
      </c>
      <c r="AQ18" s="31">
        <f t="shared" si="34"/>
        <v>0</v>
      </c>
      <c r="AR18" s="31">
        <f t="shared" si="35"/>
        <v>0</v>
      </c>
      <c r="AS18" s="27"/>
      <c r="AT18" s="37">
        <f t="shared" si="7"/>
        <v>-1</v>
      </c>
      <c r="AU18" s="36">
        <f>'[1]CB I'!$J18</f>
        <v>4240.8205840000001</v>
      </c>
      <c r="AV18" s="31">
        <f t="shared" si="36"/>
        <v>3719.6237342264003</v>
      </c>
      <c r="AW18" s="31">
        <f t="shared" si="37"/>
        <v>521.19684977359998</v>
      </c>
      <c r="AX18" s="31">
        <f t="shared" si="38"/>
        <v>0</v>
      </c>
      <c r="AY18" s="31">
        <f t="shared" si="39"/>
        <v>0</v>
      </c>
      <c r="AZ18" s="33"/>
      <c r="BA18" s="37">
        <f t="shared" si="8"/>
        <v>-1</v>
      </c>
      <c r="BB18" s="36">
        <f>'[1]CB I'!$K18</f>
        <v>4240.8205840000001</v>
      </c>
      <c r="BC18" s="31">
        <f t="shared" si="40"/>
        <v>3719.6237342264003</v>
      </c>
      <c r="BD18" s="31">
        <f t="shared" si="41"/>
        <v>521.19684977359998</v>
      </c>
      <c r="BE18" s="31">
        <f t="shared" si="42"/>
        <v>0</v>
      </c>
      <c r="BF18" s="31">
        <f t="shared" si="43"/>
        <v>0</v>
      </c>
      <c r="BG18" s="33"/>
      <c r="BH18" s="37">
        <f t="shared" si="9"/>
        <v>-1</v>
      </c>
      <c r="BI18" s="36">
        <f>'[1]CB I'!$L18</f>
        <v>4240.8205840000001</v>
      </c>
      <c r="BJ18" s="31">
        <f t="shared" si="44"/>
        <v>3719.6237342264003</v>
      </c>
      <c r="BK18" s="31">
        <f t="shared" si="45"/>
        <v>521.19684977359998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'[1]CB I'!$M18</f>
        <v>4240.8205840000001</v>
      </c>
      <c r="BQ18" s="31">
        <f t="shared" si="48"/>
        <v>3719.6237342264003</v>
      </c>
      <c r="BR18" s="31">
        <f t="shared" si="49"/>
        <v>521.19684977359998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'[1]CB I'!$N18</f>
        <v>4240.8205840000001</v>
      </c>
      <c r="BX18" s="31">
        <f t="shared" si="52"/>
        <v>3719.6237342264003</v>
      </c>
      <c r="BY18" s="31">
        <f t="shared" si="53"/>
        <v>521.19684977359998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'[1]CB I'!$O18</f>
        <v>4240.8205840000001</v>
      </c>
      <c r="CE18" s="31">
        <f t="shared" si="56"/>
        <v>3719.6237342264003</v>
      </c>
      <c r="CF18" s="31">
        <f t="shared" si="57"/>
        <v>521.19684977359998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'[1]CB I'!$P18</f>
        <v>4240.8205840000001</v>
      </c>
      <c r="CL18" s="31">
        <f t="shared" si="60"/>
        <v>3719.6237342264003</v>
      </c>
      <c r="CM18" s="31">
        <f t="shared" si="61"/>
        <v>521.19684977359998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  <c r="CS18" s="198"/>
      <c r="CT18" s="198"/>
      <c r="CU18" s="198"/>
      <c r="CV18" s="198"/>
      <c r="CW18" s="198"/>
      <c r="CX18" s="198"/>
      <c r="CY18" s="198"/>
      <c r="CZ18" s="198"/>
      <c r="DA18" s="198"/>
      <c r="DB18" s="198"/>
      <c r="DC18" s="198"/>
      <c r="DD18" s="198"/>
      <c r="DE18" s="199"/>
      <c r="DF18" s="199"/>
    </row>
    <row r="19" spans="1:110" s="26" customFormat="1" ht="16" customHeight="1" x14ac:dyDescent="0.2">
      <c r="A19" s="38" t="s">
        <v>43</v>
      </c>
      <c r="B19" s="30">
        <f t="shared" si="0"/>
        <v>21742</v>
      </c>
      <c r="C19" s="31">
        <f t="shared" si="0"/>
        <v>19069.908199999998</v>
      </c>
      <c r="D19" s="32">
        <f t="shared" si="0"/>
        <v>2672.0917999999988</v>
      </c>
      <c r="E19" s="30">
        <f t="shared" si="15"/>
        <v>7247.333333333333</v>
      </c>
      <c r="F19" s="33">
        <f t="shared" si="15"/>
        <v>6356.636066666666</v>
      </c>
      <c r="G19" s="34">
        <f t="shared" si="15"/>
        <v>890.69726666666656</v>
      </c>
      <c r="H19" s="31">
        <f t="shared" si="1"/>
        <v>7984.3734281011584</v>
      </c>
      <c r="I19" s="33">
        <f t="shared" si="1"/>
        <v>163.77784049886037</v>
      </c>
      <c r="J19" s="33">
        <f t="shared" si="1"/>
        <v>8148.1512686000187</v>
      </c>
      <c r="K19" s="37">
        <f t="shared" si="2"/>
        <v>0.12429646793303539</v>
      </c>
      <c r="L19" s="36">
        <f>'[1]CB I'!$E19</f>
        <v>1811.8333333333333</v>
      </c>
      <c r="M19" s="31">
        <f t="shared" si="16"/>
        <v>1589.1590166666665</v>
      </c>
      <c r="N19" s="31">
        <f t="shared" si="17"/>
        <v>222.67431666666664</v>
      </c>
      <c r="O19" s="31">
        <f t="shared" si="18"/>
        <v>2657.521481542472</v>
      </c>
      <c r="P19" s="31">
        <f t="shared" si="19"/>
        <v>54.51187037351125</v>
      </c>
      <c r="Q19" s="27">
        <v>2712.0333519159831</v>
      </c>
      <c r="R19" s="37">
        <f t="shared" si="3"/>
        <v>0.49684482674049302</v>
      </c>
      <c r="S19" s="36">
        <f>'[1]CB I'!$F19</f>
        <v>1811.8333333333333</v>
      </c>
      <c r="T19" s="31">
        <f t="shared" si="20"/>
        <v>1589.1590166666665</v>
      </c>
      <c r="U19" s="31">
        <f t="shared" si="21"/>
        <v>222.67431666666664</v>
      </c>
      <c r="V19" s="31">
        <f t="shared" si="22"/>
        <v>1680.5638040131378</v>
      </c>
      <c r="W19" s="31">
        <f t="shared" si="23"/>
        <v>34.472224166408886</v>
      </c>
      <c r="X19" s="33">
        <v>1715.0360281795467</v>
      </c>
      <c r="Y19" s="37">
        <f t="shared" si="4"/>
        <v>-5.3425060336925734E-2</v>
      </c>
      <c r="Z19" s="36">
        <f>'[1]CB I'!$G19</f>
        <v>1811.8333333333333</v>
      </c>
      <c r="AA19" s="31">
        <f t="shared" si="24"/>
        <v>1589.1590166666665</v>
      </c>
      <c r="AB19" s="31">
        <f t="shared" si="25"/>
        <v>222.67431666666664</v>
      </c>
      <c r="AC19" s="31">
        <f t="shared" si="26"/>
        <v>2004.7676415898511</v>
      </c>
      <c r="AD19" s="31">
        <f t="shared" si="27"/>
        <v>41.12238962746811</v>
      </c>
      <c r="AE19" s="27">
        <v>2045.8900312173191</v>
      </c>
      <c r="AF19" s="37">
        <f t="shared" si="5"/>
        <v>0.12918224517559707</v>
      </c>
      <c r="AG19" s="36">
        <f>'[1]CB I'!$H19</f>
        <v>1811.8333333333333</v>
      </c>
      <c r="AH19" s="31">
        <f t="shared" si="28"/>
        <v>1589.1590166666665</v>
      </c>
      <c r="AI19" s="31">
        <f t="shared" si="29"/>
        <v>222.67431666666664</v>
      </c>
      <c r="AJ19" s="31">
        <f t="shared" si="30"/>
        <v>1641.520500955698</v>
      </c>
      <c r="AK19" s="31">
        <f t="shared" si="31"/>
        <v>33.671356331472118</v>
      </c>
      <c r="AL19" s="33">
        <v>1675.1918572871703</v>
      </c>
      <c r="AM19" s="37">
        <f t="shared" si="6"/>
        <v>-7.5416139847022223E-2</v>
      </c>
      <c r="AN19" s="36">
        <f>'[1]CB I'!$I19</f>
        <v>1811.8333333333333</v>
      </c>
      <c r="AO19" s="31">
        <f t="shared" si="32"/>
        <v>1589.1590166666665</v>
      </c>
      <c r="AP19" s="31">
        <f t="shared" si="33"/>
        <v>222.67431666666664</v>
      </c>
      <c r="AQ19" s="31">
        <f t="shared" si="34"/>
        <v>0</v>
      </c>
      <c r="AR19" s="31">
        <f t="shared" si="35"/>
        <v>0</v>
      </c>
      <c r="AS19" s="27"/>
      <c r="AT19" s="37">
        <f t="shared" si="7"/>
        <v>-1</v>
      </c>
      <c r="AU19" s="36">
        <f>'[1]CB I'!$J19</f>
        <v>1811.8333333333333</v>
      </c>
      <c r="AV19" s="31">
        <f t="shared" si="36"/>
        <v>1589.1590166666665</v>
      </c>
      <c r="AW19" s="31">
        <f t="shared" si="37"/>
        <v>222.67431666666664</v>
      </c>
      <c r="AX19" s="31">
        <f t="shared" si="38"/>
        <v>0</v>
      </c>
      <c r="AY19" s="31">
        <f t="shared" si="39"/>
        <v>0</v>
      </c>
      <c r="AZ19" s="33"/>
      <c r="BA19" s="37">
        <f t="shared" si="8"/>
        <v>-1</v>
      </c>
      <c r="BB19" s="36">
        <f>'[1]CB I'!$K19</f>
        <v>1811.8333333333333</v>
      </c>
      <c r="BC19" s="31">
        <f t="shared" si="40"/>
        <v>1589.1590166666665</v>
      </c>
      <c r="BD19" s="31">
        <f t="shared" si="41"/>
        <v>222.67431666666664</v>
      </c>
      <c r="BE19" s="31">
        <f t="shared" si="42"/>
        <v>0</v>
      </c>
      <c r="BF19" s="31">
        <f t="shared" si="43"/>
        <v>0</v>
      </c>
      <c r="BG19" s="33"/>
      <c r="BH19" s="37">
        <f t="shared" si="9"/>
        <v>-1</v>
      </c>
      <c r="BI19" s="36">
        <f>'[1]CB I'!$L19</f>
        <v>1811.8333333333333</v>
      </c>
      <c r="BJ19" s="31">
        <f t="shared" si="44"/>
        <v>1589.1590166666665</v>
      </c>
      <c r="BK19" s="31">
        <f t="shared" si="45"/>
        <v>222.67431666666664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'[1]CB I'!$M19</f>
        <v>1811.8333333333333</v>
      </c>
      <c r="BQ19" s="31">
        <f t="shared" si="48"/>
        <v>1589.1590166666665</v>
      </c>
      <c r="BR19" s="31">
        <f t="shared" si="49"/>
        <v>222.67431666666664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'[1]CB I'!$N19</f>
        <v>1811.8333333333333</v>
      </c>
      <c r="BX19" s="31">
        <f t="shared" si="52"/>
        <v>1589.1590166666665</v>
      </c>
      <c r="BY19" s="31">
        <f t="shared" si="53"/>
        <v>222.67431666666664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'[1]CB I'!$O19</f>
        <v>1811.8333333333333</v>
      </c>
      <c r="CE19" s="31">
        <f t="shared" si="56"/>
        <v>1589.1590166666665</v>
      </c>
      <c r="CF19" s="31">
        <f t="shared" si="57"/>
        <v>222.67431666666664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'[1]CB I'!$P19</f>
        <v>1811.8333333333333</v>
      </c>
      <c r="CL19" s="31">
        <f t="shared" si="60"/>
        <v>1589.1590166666665</v>
      </c>
      <c r="CM19" s="31">
        <f t="shared" si="61"/>
        <v>222.67431666666664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  <c r="CS19" s="198"/>
      <c r="CT19" s="198"/>
      <c r="CU19" s="198"/>
      <c r="CV19" s="198"/>
      <c r="CW19" s="198"/>
      <c r="CX19" s="198"/>
      <c r="CY19" s="198"/>
      <c r="CZ19" s="198"/>
      <c r="DA19" s="198"/>
      <c r="DB19" s="198"/>
      <c r="DC19" s="198"/>
      <c r="DD19" s="198"/>
      <c r="DE19" s="199"/>
      <c r="DF19" s="199"/>
    </row>
    <row r="20" spans="1:110" s="26" customFormat="1" ht="16" customHeight="1" x14ac:dyDescent="0.2">
      <c r="A20" s="29" t="s">
        <v>44</v>
      </c>
      <c r="B20" s="30">
        <f t="shared" si="0"/>
        <v>399926.67632281478</v>
      </c>
      <c r="C20" s="31">
        <f t="shared" si="0"/>
        <v>350775.68780274084</v>
      </c>
      <c r="D20" s="32">
        <f t="shared" si="0"/>
        <v>49150.988520073923</v>
      </c>
      <c r="E20" s="30">
        <f t="shared" si="15"/>
        <v>187758.39127135999</v>
      </c>
      <c r="F20" s="33">
        <f t="shared" si="15"/>
        <v>164682.88498410984</v>
      </c>
      <c r="G20" s="34">
        <f t="shared" si="15"/>
        <v>23075.50628725014</v>
      </c>
      <c r="H20" s="31">
        <f t="shared" si="1"/>
        <v>132739.282393</v>
      </c>
      <c r="I20" s="33">
        <f t="shared" si="1"/>
        <v>2722.7876069999993</v>
      </c>
      <c r="J20" s="33">
        <f t="shared" si="1"/>
        <v>135462.07</v>
      </c>
      <c r="K20" s="37">
        <f t="shared" si="2"/>
        <v>-0.27852987510836791</v>
      </c>
      <c r="L20" s="36">
        <f>'[1]CB I'!$E20</f>
        <v>0</v>
      </c>
      <c r="M20" s="31">
        <f t="shared" si="16"/>
        <v>0</v>
      </c>
      <c r="N20" s="31">
        <f t="shared" si="17"/>
        <v>0</v>
      </c>
      <c r="O20" s="31">
        <f t="shared" si="18"/>
        <v>0</v>
      </c>
      <c r="P20" s="31">
        <f t="shared" si="19"/>
        <v>0</v>
      </c>
      <c r="Q20" s="27">
        <v>0</v>
      </c>
      <c r="R20" s="37" t="str">
        <f t="shared" si="3"/>
        <v/>
      </c>
      <c r="S20" s="36">
        <f>'[1]CB I'!$F20</f>
        <v>0</v>
      </c>
      <c r="T20" s="31">
        <f t="shared" si="20"/>
        <v>0</v>
      </c>
      <c r="U20" s="31">
        <f t="shared" si="21"/>
        <v>0</v>
      </c>
      <c r="V20" s="31">
        <f t="shared" si="22"/>
        <v>880.155979</v>
      </c>
      <c r="W20" s="31">
        <f t="shared" si="23"/>
        <v>18.054020999999999</v>
      </c>
      <c r="X20" s="33">
        <v>898.21</v>
      </c>
      <c r="Y20" s="37" t="str">
        <f t="shared" si="4"/>
        <v/>
      </c>
      <c r="Z20" s="36">
        <f>'[1]CB I'!$G20</f>
        <v>187758.39127135999</v>
      </c>
      <c r="AA20" s="31">
        <f t="shared" si="24"/>
        <v>164682.88498410984</v>
      </c>
      <c r="AB20" s="31">
        <f t="shared" si="25"/>
        <v>23075.50628725014</v>
      </c>
      <c r="AC20" s="31">
        <f t="shared" si="26"/>
        <v>63268.076414999996</v>
      </c>
      <c r="AD20" s="31">
        <f t="shared" si="27"/>
        <v>1297.7735849999997</v>
      </c>
      <c r="AE20" s="27">
        <v>64565.85</v>
      </c>
      <c r="AF20" s="37">
        <f t="shared" si="5"/>
        <v>-0.65612269277123569</v>
      </c>
      <c r="AG20" s="36">
        <f>'[1]CB I'!$H20</f>
        <v>0</v>
      </c>
      <c r="AH20" s="31">
        <f t="shared" si="28"/>
        <v>0</v>
      </c>
      <c r="AI20" s="31">
        <f t="shared" si="29"/>
        <v>0</v>
      </c>
      <c r="AJ20" s="31">
        <f t="shared" si="30"/>
        <v>68591.049998999995</v>
      </c>
      <c r="AK20" s="31">
        <f t="shared" si="31"/>
        <v>1406.9600009999997</v>
      </c>
      <c r="AL20" s="33">
        <v>69998.009999999995</v>
      </c>
      <c r="AM20" s="37" t="str">
        <f t="shared" si="6"/>
        <v/>
      </c>
      <c r="AN20" s="36">
        <f>'[1]CB I'!$I20</f>
        <v>4637.3932725120003</v>
      </c>
      <c r="AO20" s="31">
        <f t="shared" si="32"/>
        <v>4067.4576393202756</v>
      </c>
      <c r="AP20" s="31">
        <f t="shared" si="33"/>
        <v>569.93563319172483</v>
      </c>
      <c r="AQ20" s="31">
        <f t="shared" si="34"/>
        <v>0</v>
      </c>
      <c r="AR20" s="31">
        <f t="shared" si="35"/>
        <v>0</v>
      </c>
      <c r="AS20" s="27"/>
      <c r="AT20" s="37">
        <f t="shared" si="7"/>
        <v>-1</v>
      </c>
      <c r="AU20" s="36">
        <f>'[1]CB I'!$J20</f>
        <v>4637.3932725120003</v>
      </c>
      <c r="AV20" s="31">
        <f t="shared" si="36"/>
        <v>4067.4576393202756</v>
      </c>
      <c r="AW20" s="31">
        <f t="shared" si="37"/>
        <v>569.93563319172483</v>
      </c>
      <c r="AX20" s="31">
        <f t="shared" si="38"/>
        <v>0</v>
      </c>
      <c r="AY20" s="31">
        <f t="shared" si="39"/>
        <v>0</v>
      </c>
      <c r="AZ20" s="33"/>
      <c r="BA20" s="37">
        <f t="shared" si="8"/>
        <v>-1</v>
      </c>
      <c r="BB20" s="36">
        <f>'[1]CB I'!$K20</f>
        <v>88405.592072511383</v>
      </c>
      <c r="BC20" s="31">
        <f t="shared" si="40"/>
        <v>77540.544806799735</v>
      </c>
      <c r="BD20" s="31">
        <f t="shared" si="41"/>
        <v>10865.047265711648</v>
      </c>
      <c r="BE20" s="31">
        <f t="shared" si="42"/>
        <v>0</v>
      </c>
      <c r="BF20" s="31">
        <f t="shared" si="43"/>
        <v>0</v>
      </c>
      <c r="BG20" s="33"/>
      <c r="BH20" s="37">
        <f t="shared" si="9"/>
        <v>-1</v>
      </c>
      <c r="BI20" s="36">
        <f>'[1]CB I'!$L20</f>
        <v>12170.134543871998</v>
      </c>
      <c r="BJ20" s="31">
        <f t="shared" si="44"/>
        <v>10674.425008430129</v>
      </c>
      <c r="BK20" s="31">
        <f t="shared" si="45"/>
        <v>1495.7095354418684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'[1]CB I'!$M20</f>
        <v>88405.592072511383</v>
      </c>
      <c r="BQ20" s="31">
        <f t="shared" si="48"/>
        <v>77540.544806799735</v>
      </c>
      <c r="BR20" s="31">
        <f t="shared" si="49"/>
        <v>10865.047265711648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'[1]CB I'!$N20</f>
        <v>4637.3932725120003</v>
      </c>
      <c r="BX20" s="31">
        <f t="shared" si="52"/>
        <v>4067.4576393202756</v>
      </c>
      <c r="BY20" s="31">
        <f t="shared" si="53"/>
        <v>569.93563319172483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'[1]CB I'!$O20</f>
        <v>4637.3932725120003</v>
      </c>
      <c r="CE20" s="31">
        <f t="shared" si="56"/>
        <v>4067.4576393202756</v>
      </c>
      <c r="CF20" s="31">
        <f t="shared" si="57"/>
        <v>569.93563319172483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'[1]CB I'!$P20</f>
        <v>4637.3932725120003</v>
      </c>
      <c r="CL20" s="31">
        <f t="shared" si="60"/>
        <v>4067.4576393202756</v>
      </c>
      <c r="CM20" s="31">
        <f t="shared" si="61"/>
        <v>569.93563319172483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  <c r="CS20" s="198"/>
      <c r="CT20" s="198"/>
      <c r="CU20" s="198"/>
      <c r="CV20" s="198"/>
      <c r="CW20" s="198"/>
      <c r="CX20" s="198"/>
      <c r="CY20" s="198"/>
      <c r="CZ20" s="198"/>
      <c r="DA20" s="198"/>
      <c r="DB20" s="198"/>
      <c r="DC20" s="198"/>
      <c r="DD20" s="198"/>
      <c r="DE20" s="199"/>
      <c r="DF20" s="199"/>
    </row>
    <row r="21" spans="1:110" s="26" customFormat="1" ht="16" customHeight="1" x14ac:dyDescent="0.2">
      <c r="A21" s="38" t="s">
        <v>45</v>
      </c>
      <c r="B21" s="30">
        <f t="shared" si="0"/>
        <v>20436.083853</v>
      </c>
      <c r="C21" s="31">
        <f t="shared" si="0"/>
        <v>17924.489147466302</v>
      </c>
      <c r="D21" s="32">
        <f t="shared" si="0"/>
        <v>2511.5947055337001</v>
      </c>
      <c r="E21" s="30">
        <f t="shared" si="15"/>
        <v>20436.083853</v>
      </c>
      <c r="F21" s="33">
        <f t="shared" si="15"/>
        <v>17924.489147466302</v>
      </c>
      <c r="G21" s="34">
        <f t="shared" si="15"/>
        <v>2511.5947055337001</v>
      </c>
      <c r="H21" s="31">
        <f t="shared" si="1"/>
        <v>7643.22</v>
      </c>
      <c r="I21" s="33">
        <f t="shared" si="1"/>
        <v>156.77999999999997</v>
      </c>
      <c r="J21" s="33">
        <f t="shared" si="1"/>
        <v>7800</v>
      </c>
      <c r="K21" s="37">
        <f t="shared" si="2"/>
        <v>-0.61832217678755674</v>
      </c>
      <c r="L21" s="36">
        <f>'[1]CB I'!$E21</f>
        <v>20436.083853</v>
      </c>
      <c r="M21" s="31">
        <f t="shared" si="16"/>
        <v>17924.489147466302</v>
      </c>
      <c r="N21" s="31">
        <f t="shared" si="17"/>
        <v>2511.5947055337001</v>
      </c>
      <c r="O21" s="31">
        <f t="shared" si="18"/>
        <v>6993.5463</v>
      </c>
      <c r="P21" s="31">
        <f t="shared" si="19"/>
        <v>143.45369999999997</v>
      </c>
      <c r="Q21" s="27">
        <v>7137</v>
      </c>
      <c r="R21" s="37">
        <f t="shared" si="3"/>
        <v>-0.65076479176061441</v>
      </c>
      <c r="S21" s="36">
        <f>'[1]CB I'!$F21</f>
        <v>0</v>
      </c>
      <c r="T21" s="31">
        <f t="shared" si="20"/>
        <v>0</v>
      </c>
      <c r="U21" s="31">
        <f t="shared" si="21"/>
        <v>0</v>
      </c>
      <c r="V21" s="31">
        <f t="shared" si="22"/>
        <v>649.67370000000005</v>
      </c>
      <c r="W21" s="31">
        <f t="shared" si="23"/>
        <v>13.326299999999998</v>
      </c>
      <c r="X21" s="33">
        <v>663</v>
      </c>
      <c r="Y21" s="37" t="str">
        <f t="shared" si="4"/>
        <v/>
      </c>
      <c r="Z21" s="36">
        <f>'[1]CB I'!$G21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27">
        <v>0</v>
      </c>
      <c r="AF21" s="37" t="str">
        <f t="shared" si="5"/>
        <v/>
      </c>
      <c r="AG21" s="36">
        <f>'[1]CB I'!$H21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33">
        <v>0</v>
      </c>
      <c r="AM21" s="37" t="str">
        <f t="shared" si="6"/>
        <v/>
      </c>
      <c r="AN21" s="36">
        <f>'[1]CB I'!$I21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27"/>
      <c r="AT21" s="37" t="str">
        <f t="shared" si="7"/>
        <v/>
      </c>
      <c r="AU21" s="36">
        <f>'[1]CB I'!$J21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33"/>
      <c r="BA21" s="37" t="str">
        <f t="shared" si="8"/>
        <v/>
      </c>
      <c r="BB21" s="36">
        <f>'[1]CB I'!$K21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33"/>
      <c r="BH21" s="37" t="str">
        <f t="shared" si="9"/>
        <v/>
      </c>
      <c r="BI21" s="36">
        <f>'[1]CB I'!$L21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'[1]CB I'!$M21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'[1]CB I'!$N21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'[1]CB I'!$O21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'[1]CB I'!$P21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  <c r="CS21" s="198"/>
      <c r="CT21" s="198"/>
      <c r="CU21" s="198"/>
      <c r="CV21" s="198"/>
      <c r="CW21" s="198"/>
      <c r="CX21" s="198"/>
      <c r="CY21" s="198"/>
      <c r="CZ21" s="198"/>
      <c r="DA21" s="198"/>
      <c r="DB21" s="198"/>
      <c r="DC21" s="198"/>
      <c r="DD21" s="198"/>
      <c r="DE21" s="199"/>
      <c r="DF21" s="199"/>
    </row>
    <row r="22" spans="1:110" s="26" customFormat="1" ht="16" customHeight="1" x14ac:dyDescent="0.2">
      <c r="A22" s="38" t="s">
        <v>46</v>
      </c>
      <c r="B22" s="30">
        <f t="shared" si="0"/>
        <v>117441.59713919922</v>
      </c>
      <c r="C22" s="31">
        <f t="shared" si="0"/>
        <v>103008.02485079168</v>
      </c>
      <c r="D22" s="32">
        <f t="shared" si="0"/>
        <v>14433.572288407588</v>
      </c>
      <c r="E22" s="30">
        <f t="shared" si="15"/>
        <v>39147.19904639975</v>
      </c>
      <c r="F22" s="33">
        <f t="shared" si="15"/>
        <v>34336.008283597221</v>
      </c>
      <c r="G22" s="34">
        <f t="shared" si="15"/>
        <v>4811.1907628025292</v>
      </c>
      <c r="H22" s="31">
        <f t="shared" si="1"/>
        <v>218466.32424459548</v>
      </c>
      <c r="I22" s="33">
        <f t="shared" si="1"/>
        <v>4481.2461652376451</v>
      </c>
      <c r="J22" s="33">
        <f t="shared" si="1"/>
        <v>222947.5704098331</v>
      </c>
      <c r="K22" s="37">
        <f t="shared" si="2"/>
        <v>4.6951091225091597</v>
      </c>
      <c r="L22" s="36">
        <f>'[1]CB I'!$E22</f>
        <v>9786.7997615999375</v>
      </c>
      <c r="M22" s="31">
        <f t="shared" si="16"/>
        <v>8584.0020708993052</v>
      </c>
      <c r="N22" s="31">
        <f t="shared" si="17"/>
        <v>1202.7976907006323</v>
      </c>
      <c r="O22" s="31">
        <f t="shared" si="18"/>
        <v>161686.7682472509</v>
      </c>
      <c r="P22" s="31">
        <f t="shared" si="19"/>
        <v>3316.5670392588454</v>
      </c>
      <c r="Q22" s="27">
        <v>165003.33528650974</v>
      </c>
      <c r="R22" s="37">
        <f t="shared" si="3"/>
        <v>15.859784536915377</v>
      </c>
      <c r="S22" s="36">
        <f>'[1]CB I'!$F22</f>
        <v>9786.7997615999375</v>
      </c>
      <c r="T22" s="31">
        <f t="shared" si="20"/>
        <v>8584.0020708993052</v>
      </c>
      <c r="U22" s="31">
        <f t="shared" si="21"/>
        <v>1202.7976907006323</v>
      </c>
      <c r="V22" s="31">
        <f t="shared" si="22"/>
        <v>31006.2535213421</v>
      </c>
      <c r="W22" s="31">
        <f t="shared" si="23"/>
        <v>636.00948645675692</v>
      </c>
      <c r="X22" s="33">
        <v>31642.263007798858</v>
      </c>
      <c r="Y22" s="37">
        <f t="shared" si="4"/>
        <v>2.2331572913090856</v>
      </c>
      <c r="Z22" s="36">
        <f>'[1]CB I'!$G22</f>
        <v>9786.7997615999375</v>
      </c>
      <c r="AA22" s="31">
        <f t="shared" si="24"/>
        <v>8584.0020708993052</v>
      </c>
      <c r="AB22" s="31">
        <f t="shared" si="25"/>
        <v>1202.7976907006323</v>
      </c>
      <c r="AC22" s="31">
        <f t="shared" si="26"/>
        <v>22588.617977280173</v>
      </c>
      <c r="AD22" s="31">
        <f t="shared" si="27"/>
        <v>463.34444468142812</v>
      </c>
      <c r="AE22" s="27">
        <v>23051.962421961602</v>
      </c>
      <c r="AF22" s="37">
        <f t="shared" si="5"/>
        <v>1.3554137188347957</v>
      </c>
      <c r="AG22" s="36">
        <f>'[1]CB I'!$H22</f>
        <v>9786.7997615999375</v>
      </c>
      <c r="AH22" s="31">
        <f t="shared" si="28"/>
        <v>8584.0020708993052</v>
      </c>
      <c r="AI22" s="31">
        <f t="shared" si="29"/>
        <v>1202.7976907006323</v>
      </c>
      <c r="AJ22" s="31">
        <f t="shared" si="30"/>
        <v>3184.6844987223258</v>
      </c>
      <c r="AK22" s="31">
        <f t="shared" si="31"/>
        <v>65.325194840615097</v>
      </c>
      <c r="AL22" s="33">
        <v>3250.0096935629408</v>
      </c>
      <c r="AM22" s="37">
        <f t="shared" si="6"/>
        <v>-0.66791905702261634</v>
      </c>
      <c r="AN22" s="36">
        <f>'[1]CB I'!$I22</f>
        <v>9786.7997615999375</v>
      </c>
      <c r="AO22" s="31">
        <f t="shared" si="32"/>
        <v>8584.0020708993052</v>
      </c>
      <c r="AP22" s="31">
        <f t="shared" si="33"/>
        <v>1202.7976907006323</v>
      </c>
      <c r="AQ22" s="31">
        <f t="shared" si="34"/>
        <v>0</v>
      </c>
      <c r="AR22" s="31">
        <f t="shared" si="35"/>
        <v>0</v>
      </c>
      <c r="AS22" s="27"/>
      <c r="AT22" s="37">
        <f t="shared" si="7"/>
        <v>-1</v>
      </c>
      <c r="AU22" s="36">
        <f>'[1]CB I'!$J22</f>
        <v>9786.7997615999375</v>
      </c>
      <c r="AV22" s="31">
        <f t="shared" si="36"/>
        <v>8584.0020708993052</v>
      </c>
      <c r="AW22" s="31">
        <f t="shared" si="37"/>
        <v>1202.7976907006323</v>
      </c>
      <c r="AX22" s="31">
        <f t="shared" si="38"/>
        <v>0</v>
      </c>
      <c r="AY22" s="31">
        <f t="shared" si="39"/>
        <v>0</v>
      </c>
      <c r="AZ22" s="33"/>
      <c r="BA22" s="37">
        <f t="shared" si="8"/>
        <v>-1</v>
      </c>
      <c r="BB22" s="36">
        <f>'[1]CB I'!$K22</f>
        <v>9786.7997615999375</v>
      </c>
      <c r="BC22" s="31">
        <f t="shared" si="40"/>
        <v>8584.0020708993052</v>
      </c>
      <c r="BD22" s="31">
        <f t="shared" si="41"/>
        <v>1202.7976907006323</v>
      </c>
      <c r="BE22" s="31">
        <f t="shared" si="42"/>
        <v>0</v>
      </c>
      <c r="BF22" s="31">
        <f t="shared" si="43"/>
        <v>0</v>
      </c>
      <c r="BG22" s="33"/>
      <c r="BH22" s="37">
        <f t="shared" si="9"/>
        <v>-1</v>
      </c>
      <c r="BI22" s="36">
        <f>'[1]CB I'!$L22</f>
        <v>9786.7997615999375</v>
      </c>
      <c r="BJ22" s="31">
        <f t="shared" si="44"/>
        <v>8584.0020708993052</v>
      </c>
      <c r="BK22" s="31">
        <f t="shared" si="45"/>
        <v>1202.7976907006323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'[1]CB I'!$M22</f>
        <v>9786.7997615999375</v>
      </c>
      <c r="BQ22" s="31">
        <f t="shared" si="48"/>
        <v>8584.0020708993052</v>
      </c>
      <c r="BR22" s="31">
        <f t="shared" si="49"/>
        <v>1202.7976907006323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'[1]CB I'!$N22</f>
        <v>9786.7997615999375</v>
      </c>
      <c r="BX22" s="31">
        <f t="shared" si="52"/>
        <v>8584.0020708993052</v>
      </c>
      <c r="BY22" s="31">
        <f t="shared" si="53"/>
        <v>1202.7976907006323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'[1]CB I'!$O22</f>
        <v>9786.7997615999375</v>
      </c>
      <c r="CE22" s="31">
        <f t="shared" si="56"/>
        <v>8584.0020708993052</v>
      </c>
      <c r="CF22" s="31">
        <f t="shared" si="57"/>
        <v>1202.7976907006323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'[1]CB I'!$P22</f>
        <v>9786.7997615999375</v>
      </c>
      <c r="CL22" s="31">
        <f t="shared" si="60"/>
        <v>8584.0020708993052</v>
      </c>
      <c r="CM22" s="31">
        <f t="shared" si="61"/>
        <v>1202.7976907006323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  <c r="CS22" s="198"/>
      <c r="CT22" s="198"/>
      <c r="CU22" s="198"/>
      <c r="CV22" s="198"/>
      <c r="CW22" s="198"/>
      <c r="CX22" s="198"/>
      <c r="CY22" s="198"/>
      <c r="CZ22" s="198"/>
      <c r="DA22" s="198"/>
      <c r="DB22" s="198"/>
      <c r="DC22" s="198"/>
      <c r="DD22" s="198"/>
      <c r="DE22" s="199"/>
      <c r="DF22" s="199"/>
    </row>
    <row r="23" spans="1:110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'[1]CB I'!$E23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27"/>
      <c r="R23" s="37" t="str">
        <f t="shared" si="3"/>
        <v/>
      </c>
      <c r="S23" s="36">
        <f>'[1]CB I'!$F23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'[1]CB I'!$G23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27"/>
      <c r="AF23" s="37" t="str">
        <f t="shared" si="5"/>
        <v/>
      </c>
      <c r="AG23" s="36">
        <f>'[1]CB I'!$H23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33"/>
      <c r="AM23" s="37" t="str">
        <f t="shared" si="6"/>
        <v/>
      </c>
      <c r="AN23" s="36">
        <f>'[1]CB I'!$I23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27"/>
      <c r="AT23" s="37" t="str">
        <f t="shared" si="7"/>
        <v/>
      </c>
      <c r="AU23" s="36">
        <f>'[1]CB I'!$J23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33"/>
      <c r="BA23" s="37" t="str">
        <f t="shared" si="8"/>
        <v/>
      </c>
      <c r="BB23" s="36">
        <f>'[1]CB I'!$K23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33"/>
      <c r="BH23" s="37" t="str">
        <f t="shared" si="9"/>
        <v/>
      </c>
      <c r="BI23" s="36">
        <f>'[1]CB I'!$L23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'[1]CB I'!$M23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'[1]CB I'!$N23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'[1]CB I'!$O23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'[1]CB I'!$P23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  <c r="CS23" s="198"/>
      <c r="CT23" s="198"/>
      <c r="CU23" s="198"/>
      <c r="CV23" s="198"/>
      <c r="CW23" s="198"/>
      <c r="CX23" s="198"/>
      <c r="CY23" s="198"/>
      <c r="CZ23" s="198"/>
      <c r="DA23" s="198"/>
      <c r="DB23" s="198"/>
      <c r="DC23" s="198"/>
      <c r="DD23" s="198"/>
      <c r="DE23" s="199"/>
      <c r="DF23" s="199"/>
    </row>
    <row r="24" spans="1:110" s="26" customFormat="1" ht="16" customHeight="1" x14ac:dyDescent="0.2">
      <c r="A24" s="29" t="s">
        <v>48</v>
      </c>
      <c r="B24" s="30">
        <f t="shared" si="0"/>
        <v>100866.97472598938</v>
      </c>
      <c r="C24" s="31">
        <f t="shared" si="0"/>
        <v>88470.423532165281</v>
      </c>
      <c r="D24" s="32">
        <f t="shared" si="0"/>
        <v>12396.551193824096</v>
      </c>
      <c r="E24" s="30">
        <f t="shared" si="15"/>
        <v>34116.285393276245</v>
      </c>
      <c r="F24" s="33">
        <f t="shared" si="15"/>
        <v>29923.393918442594</v>
      </c>
      <c r="G24" s="34">
        <f t="shared" si="15"/>
        <v>4192.8914748336501</v>
      </c>
      <c r="H24" s="31">
        <f t="shared" si="1"/>
        <v>38337.196042000003</v>
      </c>
      <c r="I24" s="33">
        <f t="shared" si="1"/>
        <v>786.38395799999989</v>
      </c>
      <c r="J24" s="33">
        <f t="shared" si="1"/>
        <v>39123.58</v>
      </c>
      <c r="K24" s="37">
        <f t="shared" si="2"/>
        <v>0.14677138935268186</v>
      </c>
      <c r="L24" s="36">
        <f>'[1]CB I'!$E24</f>
        <v>8529.0713483190611</v>
      </c>
      <c r="M24" s="31">
        <f t="shared" si="16"/>
        <v>7480.8484796106486</v>
      </c>
      <c r="N24" s="31">
        <f t="shared" si="17"/>
        <v>1048.2228687084125</v>
      </c>
      <c r="O24" s="31">
        <f t="shared" si="18"/>
        <v>3146.0669399999997</v>
      </c>
      <c r="P24" s="31">
        <f t="shared" si="19"/>
        <v>64.533059999999992</v>
      </c>
      <c r="Q24" s="27">
        <v>3210.6</v>
      </c>
      <c r="R24" s="37">
        <f t="shared" si="3"/>
        <v>-0.62356980392328931</v>
      </c>
      <c r="S24" s="36">
        <f>'[1]CB I'!$F24</f>
        <v>8529.0713483190611</v>
      </c>
      <c r="T24" s="31">
        <f t="shared" si="20"/>
        <v>7480.8484796106486</v>
      </c>
      <c r="U24" s="31">
        <f t="shared" si="21"/>
        <v>1048.2228687084125</v>
      </c>
      <c r="V24" s="31">
        <f t="shared" si="22"/>
        <v>7227.7913950000002</v>
      </c>
      <c r="W24" s="31">
        <f t="shared" si="23"/>
        <v>148.25860499999999</v>
      </c>
      <c r="X24" s="33">
        <v>7376.05</v>
      </c>
      <c r="Y24" s="37">
        <f t="shared" si="4"/>
        <v>-0.13518720869257383</v>
      </c>
      <c r="Z24" s="36">
        <f>'[1]CB I'!$G24</f>
        <v>8529.0713483190611</v>
      </c>
      <c r="AA24" s="31">
        <f t="shared" si="24"/>
        <v>7480.8484796106486</v>
      </c>
      <c r="AB24" s="31">
        <f t="shared" si="25"/>
        <v>1048.2228687084125</v>
      </c>
      <c r="AC24" s="31">
        <f t="shared" si="26"/>
        <v>19454.650429000001</v>
      </c>
      <c r="AD24" s="31">
        <f t="shared" si="27"/>
        <v>399.05957100000001</v>
      </c>
      <c r="AE24" s="27">
        <v>19853.710000000003</v>
      </c>
      <c r="AF24" s="37">
        <f t="shared" si="5"/>
        <v>1.3277692481623853</v>
      </c>
      <c r="AG24" s="36">
        <f>'[1]CB I'!$H24</f>
        <v>8529.0713483190611</v>
      </c>
      <c r="AH24" s="31">
        <f t="shared" si="28"/>
        <v>7480.8484796106486</v>
      </c>
      <c r="AI24" s="31">
        <f t="shared" si="29"/>
        <v>1048.2228687084125</v>
      </c>
      <c r="AJ24" s="31">
        <f t="shared" si="30"/>
        <v>8508.6872779999994</v>
      </c>
      <c r="AK24" s="31">
        <f t="shared" si="31"/>
        <v>174.53272199999995</v>
      </c>
      <c r="AL24" s="33">
        <v>8683.2199999999993</v>
      </c>
      <c r="AM24" s="37">
        <f t="shared" si="6"/>
        <v>1.807332186420485E-2</v>
      </c>
      <c r="AN24" s="36">
        <f>'[1]CB I'!$I24</f>
        <v>8529.0713483190611</v>
      </c>
      <c r="AO24" s="31">
        <f t="shared" si="32"/>
        <v>7480.8484796106486</v>
      </c>
      <c r="AP24" s="31">
        <f t="shared" si="33"/>
        <v>1048.2228687084125</v>
      </c>
      <c r="AQ24" s="31">
        <f t="shared" si="34"/>
        <v>0</v>
      </c>
      <c r="AR24" s="31">
        <f t="shared" si="35"/>
        <v>0</v>
      </c>
      <c r="AS24" s="27"/>
      <c r="AT24" s="37">
        <f t="shared" si="7"/>
        <v>-1</v>
      </c>
      <c r="AU24" s="36">
        <f>'[1]CB I'!$J24</f>
        <v>8529.0713483190611</v>
      </c>
      <c r="AV24" s="31">
        <f t="shared" si="36"/>
        <v>7480.8484796106486</v>
      </c>
      <c r="AW24" s="31">
        <f t="shared" si="37"/>
        <v>1048.2228687084125</v>
      </c>
      <c r="AX24" s="31">
        <f t="shared" si="38"/>
        <v>0</v>
      </c>
      <c r="AY24" s="31">
        <f t="shared" si="39"/>
        <v>0</v>
      </c>
      <c r="AZ24" s="33"/>
      <c r="BA24" s="37">
        <f t="shared" si="8"/>
        <v>-1</v>
      </c>
      <c r="BB24" s="36">
        <f>'[1]CB I'!$K24</f>
        <v>7047.1898944797013</v>
      </c>
      <c r="BC24" s="31">
        <f t="shared" si="40"/>
        <v>6181.0902564481457</v>
      </c>
      <c r="BD24" s="31">
        <f t="shared" si="41"/>
        <v>866.09963803155529</v>
      </c>
      <c r="BE24" s="31">
        <f t="shared" si="42"/>
        <v>0</v>
      </c>
      <c r="BF24" s="31">
        <f t="shared" si="43"/>
        <v>0</v>
      </c>
      <c r="BG24" s="33"/>
      <c r="BH24" s="37">
        <f t="shared" si="9"/>
        <v>-1</v>
      </c>
      <c r="BI24" s="36">
        <f>'[1]CB I'!$L24</f>
        <v>8529.0713483190611</v>
      </c>
      <c r="BJ24" s="31">
        <f t="shared" si="44"/>
        <v>7480.8484796106486</v>
      </c>
      <c r="BK24" s="31">
        <f t="shared" si="45"/>
        <v>1048.2228687084125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'[1]CB I'!$M24</f>
        <v>8529.0713483190611</v>
      </c>
      <c r="BQ24" s="31">
        <f t="shared" si="48"/>
        <v>7480.8484796106486</v>
      </c>
      <c r="BR24" s="31">
        <f t="shared" si="49"/>
        <v>1048.2228687084125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'[1]CB I'!$N24</f>
        <v>8529.0713483190611</v>
      </c>
      <c r="BX24" s="31">
        <f t="shared" si="52"/>
        <v>7480.8484796106486</v>
      </c>
      <c r="BY24" s="31">
        <f t="shared" si="53"/>
        <v>1048.2228687084125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'[1]CB I'!$O24</f>
        <v>8529.0713483190611</v>
      </c>
      <c r="CE24" s="31">
        <f t="shared" si="56"/>
        <v>7480.8484796106486</v>
      </c>
      <c r="CF24" s="31">
        <f t="shared" si="57"/>
        <v>1048.2228687084125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'[1]CB I'!$P24</f>
        <v>8529.0713483190611</v>
      </c>
      <c r="CL24" s="31">
        <f t="shared" si="60"/>
        <v>7480.8484796106486</v>
      </c>
      <c r="CM24" s="31">
        <f t="shared" si="61"/>
        <v>1048.2228687084125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  <c r="CS24" s="198"/>
      <c r="CT24" s="198"/>
      <c r="CU24" s="198"/>
      <c r="CV24" s="198"/>
      <c r="CW24" s="198"/>
      <c r="CX24" s="198"/>
      <c r="CY24" s="198"/>
      <c r="CZ24" s="198"/>
      <c r="DA24" s="198"/>
      <c r="DB24" s="198"/>
      <c r="DC24" s="198"/>
      <c r="DD24" s="198"/>
      <c r="DE24" s="199"/>
      <c r="DF24" s="199"/>
    </row>
    <row r="25" spans="1:110" s="26" customFormat="1" ht="16" customHeight="1" x14ac:dyDescent="0.2">
      <c r="A25" s="29" t="s">
        <v>49</v>
      </c>
      <c r="B25" s="30">
        <f t="shared" si="0"/>
        <v>176843.125767594</v>
      </c>
      <c r="C25" s="31">
        <f t="shared" si="0"/>
        <v>155109.10561075667</v>
      </c>
      <c r="D25" s="32">
        <f t="shared" si="0"/>
        <v>21734.020156837294</v>
      </c>
      <c r="E25" s="30">
        <f t="shared" si="15"/>
        <v>63702.6195838032</v>
      </c>
      <c r="F25" s="33">
        <f t="shared" si="15"/>
        <v>55873.567636953783</v>
      </c>
      <c r="G25" s="34">
        <f t="shared" si="15"/>
        <v>7829.0519468494122</v>
      </c>
      <c r="H25" s="31">
        <f t="shared" si="1"/>
        <v>83072.192089839809</v>
      </c>
      <c r="I25" s="33">
        <f t="shared" si="1"/>
        <v>1704.0014909743645</v>
      </c>
      <c r="J25" s="33">
        <f t="shared" si="1"/>
        <v>84776.193580814172</v>
      </c>
      <c r="K25" s="37">
        <f t="shared" si="2"/>
        <v>0.33081173324886404</v>
      </c>
      <c r="L25" s="36">
        <f>'[1]CB I'!$E25</f>
        <v>0</v>
      </c>
      <c r="M25" s="31">
        <f t="shared" si="16"/>
        <v>0</v>
      </c>
      <c r="N25" s="31">
        <f t="shared" si="17"/>
        <v>0</v>
      </c>
      <c r="O25" s="31">
        <f t="shared" si="18"/>
        <v>3460.0268999999998</v>
      </c>
      <c r="P25" s="31">
        <f t="shared" si="19"/>
        <v>70.973099999999988</v>
      </c>
      <c r="Q25" s="27">
        <v>3531</v>
      </c>
      <c r="R25" s="37" t="str">
        <f t="shared" si="3"/>
        <v/>
      </c>
      <c r="S25" s="36">
        <f>'[1]CB I'!$F25</f>
        <v>0</v>
      </c>
      <c r="T25" s="31">
        <f t="shared" si="20"/>
        <v>0</v>
      </c>
      <c r="U25" s="31">
        <f t="shared" si="21"/>
        <v>0</v>
      </c>
      <c r="V25" s="31">
        <f t="shared" si="22"/>
        <v>6230.0999198398058</v>
      </c>
      <c r="W25" s="31">
        <f t="shared" si="23"/>
        <v>127.7936609743648</v>
      </c>
      <c r="X25" s="33">
        <v>6357.8935808141705</v>
      </c>
      <c r="Y25" s="37" t="str">
        <f t="shared" si="4"/>
        <v/>
      </c>
      <c r="Z25" s="36">
        <f>'[1]CB I'!$G25</f>
        <v>28158.799949279997</v>
      </c>
      <c r="AA25" s="31">
        <f t="shared" si="24"/>
        <v>24698.083435513487</v>
      </c>
      <c r="AB25" s="31">
        <f t="shared" si="25"/>
        <v>3460.7165137665115</v>
      </c>
      <c r="AC25" s="31">
        <f t="shared" si="26"/>
        <v>30091.739300999998</v>
      </c>
      <c r="AD25" s="31">
        <f t="shared" si="27"/>
        <v>617.25069899999983</v>
      </c>
      <c r="AE25" s="27">
        <v>30708.989999999998</v>
      </c>
      <c r="AF25" s="37">
        <f t="shared" si="5"/>
        <v>9.0564585682395338E-2</v>
      </c>
      <c r="AG25" s="36">
        <f>'[1]CB I'!$H25</f>
        <v>35543.819634523199</v>
      </c>
      <c r="AH25" s="31">
        <f t="shared" si="28"/>
        <v>31175.484201440297</v>
      </c>
      <c r="AI25" s="31">
        <f t="shared" si="29"/>
        <v>4368.3354330829006</v>
      </c>
      <c r="AJ25" s="31">
        <f t="shared" si="30"/>
        <v>43290.325968999998</v>
      </c>
      <c r="AK25" s="31">
        <f t="shared" si="31"/>
        <v>887.98403099999985</v>
      </c>
      <c r="AL25" s="33">
        <v>44178.31</v>
      </c>
      <c r="AM25" s="37">
        <f t="shared" si="6"/>
        <v>0.24292522453299426</v>
      </c>
      <c r="AN25" s="36">
        <f>'[1]CB I'!$I25</f>
        <v>35543.819634523199</v>
      </c>
      <c r="AO25" s="31">
        <f t="shared" si="32"/>
        <v>31175.484201440297</v>
      </c>
      <c r="AP25" s="31">
        <f t="shared" si="33"/>
        <v>4368.3354330829006</v>
      </c>
      <c r="AQ25" s="31">
        <f t="shared" si="34"/>
        <v>0</v>
      </c>
      <c r="AR25" s="31">
        <f t="shared" si="35"/>
        <v>0</v>
      </c>
      <c r="AS25" s="27"/>
      <c r="AT25" s="37">
        <f t="shared" si="7"/>
        <v>-1</v>
      </c>
      <c r="AU25" s="36">
        <f>'[1]CB I'!$J25</f>
        <v>37250.539744017595</v>
      </c>
      <c r="AV25" s="31">
        <f t="shared" si="36"/>
        <v>32672.448409477831</v>
      </c>
      <c r="AW25" s="31">
        <f t="shared" si="37"/>
        <v>4578.0913345397621</v>
      </c>
      <c r="AX25" s="31">
        <f t="shared" si="38"/>
        <v>0</v>
      </c>
      <c r="AY25" s="31">
        <f t="shared" si="39"/>
        <v>0</v>
      </c>
      <c r="AZ25" s="33"/>
      <c r="BA25" s="37">
        <f t="shared" si="8"/>
        <v>-1</v>
      </c>
      <c r="BB25" s="36">
        <f>'[1]CB I'!$K25</f>
        <v>9091.7397947375994</v>
      </c>
      <c r="BC25" s="31">
        <f t="shared" si="40"/>
        <v>7974.3649739643479</v>
      </c>
      <c r="BD25" s="31">
        <f t="shared" si="41"/>
        <v>1117.374820773251</v>
      </c>
      <c r="BE25" s="31">
        <f t="shared" si="42"/>
        <v>0</v>
      </c>
      <c r="BF25" s="31">
        <f t="shared" si="43"/>
        <v>0</v>
      </c>
      <c r="BG25" s="33"/>
      <c r="BH25" s="37">
        <f t="shared" si="9"/>
        <v>-1</v>
      </c>
      <c r="BI25" s="36">
        <f>'[1]CB I'!$L25</f>
        <v>9091.7397947375994</v>
      </c>
      <c r="BJ25" s="31">
        <f t="shared" si="44"/>
        <v>7974.3649739643479</v>
      </c>
      <c r="BK25" s="31">
        <f t="shared" si="45"/>
        <v>1117.374820773251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'[1]CB I'!$M25</f>
        <v>9091.7397947375994</v>
      </c>
      <c r="BQ25" s="31">
        <f t="shared" si="48"/>
        <v>7974.3649739643479</v>
      </c>
      <c r="BR25" s="31">
        <f t="shared" si="49"/>
        <v>1117.374820773251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'[1]CB I'!$N25</f>
        <v>5161.6852817243998</v>
      </c>
      <c r="BX25" s="31">
        <f t="shared" si="52"/>
        <v>4527.314160600471</v>
      </c>
      <c r="BY25" s="31">
        <f t="shared" si="53"/>
        <v>634.37112112392867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'[1]CB I'!$O25</f>
        <v>3954.621069656394</v>
      </c>
      <c r="CE25" s="31">
        <f t="shared" si="56"/>
        <v>3468.5981401956233</v>
      </c>
      <c r="CF25" s="31">
        <f t="shared" si="57"/>
        <v>486.0229294607708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'[1]CB I'!$P25</f>
        <v>3954.621069656394</v>
      </c>
      <c r="CL25" s="31">
        <f t="shared" si="60"/>
        <v>3468.5981401956233</v>
      </c>
      <c r="CM25" s="31">
        <f t="shared" si="61"/>
        <v>486.0229294607708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  <c r="CS25" s="198"/>
      <c r="CT25" s="198"/>
      <c r="CU25" s="198"/>
      <c r="CV25" s="198"/>
      <c r="CW25" s="198"/>
      <c r="CX25" s="198"/>
      <c r="CY25" s="198"/>
      <c r="CZ25" s="198"/>
      <c r="DA25" s="198"/>
      <c r="DB25" s="198"/>
      <c r="DC25" s="198"/>
      <c r="DD25" s="198"/>
      <c r="DE25" s="199"/>
      <c r="DF25" s="199"/>
    </row>
    <row r="26" spans="1:110" s="26" customFormat="1" ht="16" customHeight="1" x14ac:dyDescent="0.2">
      <c r="A26" s="29" t="s">
        <v>50</v>
      </c>
      <c r="B26" s="30">
        <f t="shared" si="0"/>
        <v>1234150.0094390428</v>
      </c>
      <c r="C26" s="31">
        <f t="shared" si="0"/>
        <v>1082472.9732789844</v>
      </c>
      <c r="D26" s="32">
        <f t="shared" si="0"/>
        <v>151677.03616005837</v>
      </c>
      <c r="E26" s="30">
        <f t="shared" si="15"/>
        <v>337063.85033116495</v>
      </c>
      <c r="F26" s="33">
        <f t="shared" si="15"/>
        <v>295638.70312546479</v>
      </c>
      <c r="G26" s="34">
        <f t="shared" si="15"/>
        <v>41425.147205700167</v>
      </c>
      <c r="H26" s="31">
        <f t="shared" si="1"/>
        <v>343513.88312767749</v>
      </c>
      <c r="I26" s="33">
        <f t="shared" si="1"/>
        <v>7046.2588538282653</v>
      </c>
      <c r="J26" s="33">
        <f t="shared" si="1"/>
        <v>350560.14198150573</v>
      </c>
      <c r="K26" s="37">
        <f t="shared" si="2"/>
        <v>4.004075677970409E-2</v>
      </c>
      <c r="L26" s="36">
        <f>'[1]CB I'!$E26</f>
        <v>36115.9770027493</v>
      </c>
      <c r="M26" s="31">
        <f t="shared" si="16"/>
        <v>31677.323429111409</v>
      </c>
      <c r="N26" s="31">
        <f t="shared" si="17"/>
        <v>4438.6535736378892</v>
      </c>
      <c r="O26" s="31">
        <f t="shared" si="18"/>
        <v>48191.076929717536</v>
      </c>
      <c r="P26" s="31">
        <f t="shared" si="19"/>
        <v>988.50969107798994</v>
      </c>
      <c r="Q26" s="27">
        <v>49179.586620795526</v>
      </c>
      <c r="R26" s="37">
        <f t="shared" si="3"/>
        <v>0.3617127571282861</v>
      </c>
      <c r="S26" s="36">
        <f>'[1]CB I'!$F26</f>
        <v>73672.505010147695</v>
      </c>
      <c r="T26" s="31">
        <f t="shared" si="20"/>
        <v>64618.154144400542</v>
      </c>
      <c r="U26" s="31">
        <f t="shared" si="21"/>
        <v>9054.3508657471521</v>
      </c>
      <c r="V26" s="31">
        <f t="shared" si="22"/>
        <v>60051.134725653981</v>
      </c>
      <c r="W26" s="31">
        <f t="shared" si="23"/>
        <v>1231.7867210793395</v>
      </c>
      <c r="X26" s="33">
        <v>61282.921446733322</v>
      </c>
      <c r="Y26" s="37">
        <f t="shared" si="4"/>
        <v>-0.16817106411283045</v>
      </c>
      <c r="Z26" s="36">
        <f>'[1]CB I'!$G26</f>
        <v>113637.68415913398</v>
      </c>
      <c r="AA26" s="31">
        <f t="shared" si="24"/>
        <v>99671.612775976406</v>
      </c>
      <c r="AB26" s="31">
        <f t="shared" si="25"/>
        <v>13966.071383157565</v>
      </c>
      <c r="AC26" s="31">
        <f t="shared" si="26"/>
        <v>115124.85382032175</v>
      </c>
      <c r="AD26" s="31">
        <f t="shared" si="27"/>
        <v>2361.4752135814538</v>
      </c>
      <c r="AE26" s="27">
        <v>117486.3290339032</v>
      </c>
      <c r="AF26" s="37">
        <f t="shared" si="5"/>
        <v>3.386768133517859E-2</v>
      </c>
      <c r="AG26" s="36">
        <f>'[1]CB I'!$H26</f>
        <v>113637.68415913398</v>
      </c>
      <c r="AH26" s="31">
        <f t="shared" si="28"/>
        <v>99671.612775976406</v>
      </c>
      <c r="AI26" s="31">
        <f t="shared" si="29"/>
        <v>13966.071383157565</v>
      </c>
      <c r="AJ26" s="31">
        <f t="shared" si="30"/>
        <v>120146.81765198422</v>
      </c>
      <c r="AK26" s="31">
        <f t="shared" si="31"/>
        <v>2464.4872280894811</v>
      </c>
      <c r="AL26" s="33">
        <v>122611.3048800737</v>
      </c>
      <c r="AM26" s="37">
        <f t="shared" si="6"/>
        <v>7.8966944700961994E-2</v>
      </c>
      <c r="AN26" s="36">
        <f>'[1]CB I'!$I26</f>
        <v>127393.82728877167</v>
      </c>
      <c r="AO26" s="31">
        <f t="shared" si="32"/>
        <v>111737.12591498163</v>
      </c>
      <c r="AP26" s="31">
        <f t="shared" si="33"/>
        <v>15656.701373790038</v>
      </c>
      <c r="AQ26" s="31">
        <f t="shared" si="34"/>
        <v>0</v>
      </c>
      <c r="AR26" s="31">
        <f t="shared" si="35"/>
        <v>0</v>
      </c>
      <c r="AS26" s="27"/>
      <c r="AT26" s="37">
        <f t="shared" si="7"/>
        <v>-1</v>
      </c>
      <c r="AU26" s="36">
        <f>'[1]CB I'!$J26</f>
        <v>98489.239228314778</v>
      </c>
      <c r="AV26" s="31">
        <f t="shared" si="36"/>
        <v>86384.911727154889</v>
      </c>
      <c r="AW26" s="31">
        <f t="shared" si="37"/>
        <v>12104.327501159885</v>
      </c>
      <c r="AX26" s="31">
        <f t="shared" si="38"/>
        <v>0</v>
      </c>
      <c r="AY26" s="31">
        <f t="shared" si="39"/>
        <v>0</v>
      </c>
      <c r="AZ26" s="33"/>
      <c r="BA26" s="37">
        <f t="shared" si="8"/>
        <v>-1</v>
      </c>
      <c r="BB26" s="36">
        <f>'[1]CB I'!$K26</f>
        <v>84733.096098677066</v>
      </c>
      <c r="BC26" s="31">
        <f t="shared" si="40"/>
        <v>74319.398588149663</v>
      </c>
      <c r="BD26" s="31">
        <f t="shared" si="41"/>
        <v>10413.69751052741</v>
      </c>
      <c r="BE26" s="31">
        <f t="shared" si="42"/>
        <v>0</v>
      </c>
      <c r="BF26" s="31">
        <f t="shared" si="43"/>
        <v>0</v>
      </c>
      <c r="BG26" s="33"/>
      <c r="BH26" s="37">
        <f t="shared" si="9"/>
        <v>-1</v>
      </c>
      <c r="BI26" s="36">
        <f>'[1]CB I'!$L26</f>
        <v>113637.68415913398</v>
      </c>
      <c r="BJ26" s="31">
        <f t="shared" si="44"/>
        <v>99671.612775976406</v>
      </c>
      <c r="BK26" s="31">
        <f t="shared" si="45"/>
        <v>13966.071383157565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'[1]CB I'!$M26</f>
        <v>142581.20323908722</v>
      </c>
      <c r="BQ26" s="31">
        <f t="shared" si="48"/>
        <v>125057.9733610034</v>
      </c>
      <c r="BR26" s="31">
        <f t="shared" si="49"/>
        <v>17523.229878083817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'[1]CB I'!$N26</f>
        <v>135874.23093684734</v>
      </c>
      <c r="BX26" s="31">
        <f t="shared" si="52"/>
        <v>119175.28795470879</v>
      </c>
      <c r="BY26" s="31">
        <f t="shared" si="53"/>
        <v>16698.942982138538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'[1]CB I'!$O26</f>
        <v>98392.764649316829</v>
      </c>
      <c r="CE26" s="31">
        <f t="shared" si="56"/>
        <v>86300.293873915798</v>
      </c>
      <c r="CF26" s="31">
        <f t="shared" si="57"/>
        <v>12092.470775401038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'[1]CB I'!$P26</f>
        <v>95984.113507728922</v>
      </c>
      <c r="CL26" s="31">
        <f t="shared" si="60"/>
        <v>84187.66595762904</v>
      </c>
      <c r="CM26" s="31">
        <f t="shared" si="61"/>
        <v>11796.447550099883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  <c r="CS26" s="198"/>
      <c r="CT26" s="198"/>
      <c r="CU26" s="198"/>
      <c r="CV26" s="198"/>
      <c r="CW26" s="198"/>
      <c r="CX26" s="198"/>
      <c r="CY26" s="198"/>
      <c r="CZ26" s="198"/>
      <c r="DA26" s="198"/>
      <c r="DB26" s="198"/>
      <c r="DC26" s="198"/>
      <c r="DD26" s="198"/>
      <c r="DE26" s="199"/>
      <c r="DF26" s="199"/>
    </row>
    <row r="27" spans="1:110" s="26" customFormat="1" ht="16" customHeight="1" x14ac:dyDescent="0.2">
      <c r="A27" s="29" t="s">
        <v>51</v>
      </c>
      <c r="B27" s="30">
        <f t="shared" si="0"/>
        <v>65091.290390740542</v>
      </c>
      <c r="C27" s="31">
        <f t="shared" si="0"/>
        <v>57091.570801718524</v>
      </c>
      <c r="D27" s="32">
        <f t="shared" si="0"/>
        <v>7999.7195890220119</v>
      </c>
      <c r="E27" s="30">
        <f t="shared" si="15"/>
        <v>19940.562425972159</v>
      </c>
      <c r="F27" s="33">
        <f t="shared" si="15"/>
        <v>17489.867303820181</v>
      </c>
      <c r="G27" s="34">
        <f t="shared" si="15"/>
        <v>2450.695122151978</v>
      </c>
      <c r="H27" s="31">
        <f t="shared" si="1"/>
        <v>30737.510794635276</v>
      </c>
      <c r="I27" s="33">
        <f t="shared" si="1"/>
        <v>630.49695578341561</v>
      </c>
      <c r="J27" s="33">
        <f t="shared" si="1"/>
        <v>31368.007750418692</v>
      </c>
      <c r="K27" s="37">
        <f t="shared" si="2"/>
        <v>0.57307537672871889</v>
      </c>
      <c r="L27" s="36">
        <f>'[1]CB I'!$E27</f>
        <v>1663.83720646848</v>
      </c>
      <c r="M27" s="31">
        <f t="shared" si="16"/>
        <v>1459.3516137935037</v>
      </c>
      <c r="N27" s="31">
        <f t="shared" si="17"/>
        <v>204.48559267497617</v>
      </c>
      <c r="O27" s="31">
        <f t="shared" si="18"/>
        <v>6389.6023286352802</v>
      </c>
      <c r="P27" s="31">
        <f t="shared" si="19"/>
        <v>131.06542178341576</v>
      </c>
      <c r="Q27" s="27">
        <v>6520.6677504186955</v>
      </c>
      <c r="R27" s="37">
        <f t="shared" si="3"/>
        <v>2.9190539345245878</v>
      </c>
      <c r="S27" s="36">
        <f>'[1]CB I'!$F27</f>
        <v>6006.5663541638396</v>
      </c>
      <c r="T27" s="31">
        <f t="shared" si="20"/>
        <v>5268.3593492371037</v>
      </c>
      <c r="U27" s="31">
        <f t="shared" si="21"/>
        <v>738.20700492673586</v>
      </c>
      <c r="V27" s="31">
        <f t="shared" si="22"/>
        <v>5576.9048699999985</v>
      </c>
      <c r="W27" s="31">
        <f t="shared" si="23"/>
        <v>114.39512999999995</v>
      </c>
      <c r="X27" s="33">
        <v>5691.2999999999984</v>
      </c>
      <c r="Y27" s="37">
        <f t="shared" si="4"/>
        <v>-5.2486951042386099E-2</v>
      </c>
      <c r="Z27" s="36">
        <f>'[1]CB I'!$G27</f>
        <v>6006.5663541638396</v>
      </c>
      <c r="AA27" s="31">
        <f t="shared" si="24"/>
        <v>5268.3593492371037</v>
      </c>
      <c r="AB27" s="31">
        <f t="shared" si="25"/>
        <v>738.20700492673586</v>
      </c>
      <c r="AC27" s="31">
        <f t="shared" si="26"/>
        <v>12384.191777999997</v>
      </c>
      <c r="AD27" s="31">
        <f t="shared" si="27"/>
        <v>254.02822199999991</v>
      </c>
      <c r="AE27" s="27">
        <v>12638.219999999998</v>
      </c>
      <c r="AF27" s="37">
        <f t="shared" si="5"/>
        <v>1.1040673247934736</v>
      </c>
      <c r="AG27" s="36">
        <f>'[1]CB I'!$H27</f>
        <v>6263.5925111759998</v>
      </c>
      <c r="AH27" s="31">
        <f t="shared" si="28"/>
        <v>5493.7969915524691</v>
      </c>
      <c r="AI27" s="31">
        <f t="shared" si="29"/>
        <v>769.79551962353037</v>
      </c>
      <c r="AJ27" s="31">
        <f t="shared" si="30"/>
        <v>6386.811818000001</v>
      </c>
      <c r="AK27" s="31">
        <f t="shared" si="31"/>
        <v>131.00818199999998</v>
      </c>
      <c r="AL27" s="33">
        <v>6517.8200000000006</v>
      </c>
      <c r="AM27" s="37">
        <f t="shared" si="6"/>
        <v>4.0588127080487535E-2</v>
      </c>
      <c r="AN27" s="36">
        <f>'[1]CB I'!$I27</f>
        <v>2453.5696545360001</v>
      </c>
      <c r="AO27" s="31">
        <f t="shared" si="32"/>
        <v>2152.0259439935257</v>
      </c>
      <c r="AP27" s="31">
        <f t="shared" si="33"/>
        <v>301.5437105424744</v>
      </c>
      <c r="AQ27" s="31">
        <f t="shared" si="34"/>
        <v>0</v>
      </c>
      <c r="AR27" s="31">
        <f t="shared" si="35"/>
        <v>0</v>
      </c>
      <c r="AS27" s="27"/>
      <c r="AT27" s="37">
        <f t="shared" si="7"/>
        <v>-1</v>
      </c>
      <c r="AU27" s="36">
        <f>'[1]CB I'!$J27</f>
        <v>7927.4297176444788</v>
      </c>
      <c r="AV27" s="31">
        <f t="shared" si="36"/>
        <v>6953.1486053459721</v>
      </c>
      <c r="AW27" s="31">
        <f t="shared" si="37"/>
        <v>974.2811122985064</v>
      </c>
      <c r="AX27" s="31">
        <f t="shared" si="38"/>
        <v>0</v>
      </c>
      <c r="AY27" s="31">
        <f t="shared" si="39"/>
        <v>0</v>
      </c>
      <c r="AZ27" s="33"/>
      <c r="BA27" s="37">
        <f t="shared" si="8"/>
        <v>-1</v>
      </c>
      <c r="BB27" s="36">
        <f>'[1]CB I'!$K27</f>
        <v>4117.4068610044797</v>
      </c>
      <c r="BC27" s="31">
        <f t="shared" si="40"/>
        <v>3611.3775577870292</v>
      </c>
      <c r="BD27" s="31">
        <f t="shared" si="41"/>
        <v>506.02930321745055</v>
      </c>
      <c r="BE27" s="31">
        <f t="shared" si="42"/>
        <v>0</v>
      </c>
      <c r="BF27" s="31">
        <f t="shared" si="43"/>
        <v>0</v>
      </c>
      <c r="BG27" s="33"/>
      <c r="BH27" s="37">
        <f t="shared" si="9"/>
        <v>-1</v>
      </c>
      <c r="BI27" s="36">
        <f>'[1]CB I'!$L27</f>
        <v>7927.4297176444788</v>
      </c>
      <c r="BJ27" s="31">
        <f t="shared" si="44"/>
        <v>6953.1486053459721</v>
      </c>
      <c r="BK27" s="31">
        <f t="shared" si="45"/>
        <v>974.2811122985064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'[1]CB I'!$M27</f>
        <v>7927.4297176444788</v>
      </c>
      <c r="BQ27" s="31">
        <f t="shared" si="48"/>
        <v>6953.1486053459721</v>
      </c>
      <c r="BR27" s="31">
        <f t="shared" si="49"/>
        <v>974.2811122985064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'[1]CB I'!$N27</f>
        <v>6041.7122364104798</v>
      </c>
      <c r="BX27" s="31">
        <f t="shared" si="52"/>
        <v>5299.1858025556321</v>
      </c>
      <c r="BY27" s="31">
        <f t="shared" si="53"/>
        <v>742.52643385484794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'[1]CB I'!$O27</f>
        <v>4377.8750299419935</v>
      </c>
      <c r="CE27" s="31">
        <f t="shared" si="56"/>
        <v>3839.8341887621227</v>
      </c>
      <c r="CF27" s="31">
        <f t="shared" si="57"/>
        <v>538.04084117987099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'[1]CB I'!$P27</f>
        <v>4377.8750299419935</v>
      </c>
      <c r="CL27" s="31">
        <f t="shared" si="60"/>
        <v>3839.8341887621227</v>
      </c>
      <c r="CM27" s="31">
        <f t="shared" si="61"/>
        <v>538.04084117987099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  <c r="CS27" s="198"/>
      <c r="CT27" s="198"/>
      <c r="CU27" s="198"/>
      <c r="CV27" s="198"/>
      <c r="CW27" s="198"/>
      <c r="CX27" s="198"/>
      <c r="CY27" s="198"/>
      <c r="CZ27" s="198"/>
      <c r="DA27" s="198"/>
      <c r="DB27" s="198"/>
      <c r="DC27" s="198"/>
      <c r="DD27" s="198"/>
      <c r="DE27" s="199"/>
      <c r="DF27" s="199"/>
    </row>
    <row r="28" spans="1:110" s="26" customFormat="1" ht="16" customHeight="1" x14ac:dyDescent="0.2">
      <c r="A28" s="29" t="s">
        <v>52</v>
      </c>
      <c r="B28" s="30">
        <f t="shared" si="0"/>
        <v>70044.906635945983</v>
      </c>
      <c r="C28" s="31">
        <f t="shared" si="0"/>
        <v>61436.387610388236</v>
      </c>
      <c r="D28" s="32">
        <f t="shared" si="0"/>
        <v>8608.5190255577618</v>
      </c>
      <c r="E28" s="30">
        <f t="shared" si="15"/>
        <v>24279.269918903999</v>
      </c>
      <c r="F28" s="33">
        <f t="shared" si="15"/>
        <v>21295.347645870697</v>
      </c>
      <c r="G28" s="34">
        <f t="shared" si="15"/>
        <v>2983.9222730333013</v>
      </c>
      <c r="H28" s="31">
        <f t="shared" si="1"/>
        <v>32846.848275694843</v>
      </c>
      <c r="I28" s="33">
        <f t="shared" si="1"/>
        <v>673.76431303343838</v>
      </c>
      <c r="J28" s="33">
        <f t="shared" si="1"/>
        <v>33520.612588728283</v>
      </c>
      <c r="K28" s="37">
        <f t="shared" si="2"/>
        <v>0.38062687637196668</v>
      </c>
      <c r="L28" s="36">
        <f>'[1]CB I'!$E28</f>
        <v>5169.0503985119994</v>
      </c>
      <c r="M28" s="31">
        <f t="shared" si="16"/>
        <v>4533.7741045348748</v>
      </c>
      <c r="N28" s="31">
        <f t="shared" si="17"/>
        <v>635.27629397712474</v>
      </c>
      <c r="O28" s="31">
        <f t="shared" si="18"/>
        <v>9486.5614216948507</v>
      </c>
      <c r="P28" s="31">
        <f t="shared" si="19"/>
        <v>194.59116703343858</v>
      </c>
      <c r="Q28" s="27">
        <v>9681.1525887282896</v>
      </c>
      <c r="R28" s="37">
        <f t="shared" si="3"/>
        <v>0.8729073702812371</v>
      </c>
      <c r="S28" s="36">
        <f>'[1]CB I'!$F28</f>
        <v>5169.0503985119994</v>
      </c>
      <c r="T28" s="31">
        <f t="shared" si="20"/>
        <v>4533.7741045348748</v>
      </c>
      <c r="U28" s="31">
        <f t="shared" si="21"/>
        <v>635.27629397712474</v>
      </c>
      <c r="V28" s="31">
        <f t="shared" si="22"/>
        <v>11557.949896999995</v>
      </c>
      <c r="W28" s="31">
        <f t="shared" si="23"/>
        <v>237.08010299999987</v>
      </c>
      <c r="X28" s="33">
        <v>11795.029999999995</v>
      </c>
      <c r="Y28" s="37">
        <f t="shared" si="4"/>
        <v>1.2818562580460422</v>
      </c>
      <c r="Z28" s="36">
        <f>'[1]CB I'!$G28</f>
        <v>6892.0671980159996</v>
      </c>
      <c r="AA28" s="31">
        <f t="shared" si="24"/>
        <v>6045.0321393798331</v>
      </c>
      <c r="AB28" s="31">
        <f t="shared" si="25"/>
        <v>847.03505863616635</v>
      </c>
      <c r="AC28" s="31">
        <f t="shared" si="26"/>
        <v>10075.077025999997</v>
      </c>
      <c r="AD28" s="31">
        <f t="shared" si="27"/>
        <v>206.66297399999993</v>
      </c>
      <c r="AE28" s="27">
        <v>10281.739999999998</v>
      </c>
      <c r="AF28" s="37">
        <f t="shared" si="5"/>
        <v>0.49182236687416148</v>
      </c>
      <c r="AG28" s="36">
        <f>'[1]CB I'!$H28</f>
        <v>7049.1019238640001</v>
      </c>
      <c r="AH28" s="31">
        <f t="shared" si="28"/>
        <v>6182.7672974211146</v>
      </c>
      <c r="AI28" s="31">
        <f t="shared" si="29"/>
        <v>866.33462644288556</v>
      </c>
      <c r="AJ28" s="31">
        <f t="shared" si="30"/>
        <v>1727.2599310000001</v>
      </c>
      <c r="AK28" s="31">
        <f t="shared" si="31"/>
        <v>35.430068999999996</v>
      </c>
      <c r="AL28" s="33">
        <v>1762.69</v>
      </c>
      <c r="AM28" s="37">
        <f t="shared" si="6"/>
        <v>-0.74994119548298821</v>
      </c>
      <c r="AN28" s="36">
        <f>'[1]CB I'!$I28</f>
        <v>6030.5587982639991</v>
      </c>
      <c r="AO28" s="31">
        <f t="shared" si="32"/>
        <v>5289.4031219573535</v>
      </c>
      <c r="AP28" s="31">
        <f t="shared" si="33"/>
        <v>741.15567630664543</v>
      </c>
      <c r="AQ28" s="31">
        <f t="shared" si="34"/>
        <v>0</v>
      </c>
      <c r="AR28" s="31">
        <f t="shared" si="35"/>
        <v>0</v>
      </c>
      <c r="AS28" s="27"/>
      <c r="AT28" s="37">
        <f t="shared" si="7"/>
        <v>-1</v>
      </c>
      <c r="AU28" s="36">
        <f>'[1]CB I'!$J28</f>
        <v>5326.0851243599991</v>
      </c>
      <c r="AV28" s="31">
        <f t="shared" si="36"/>
        <v>4671.5092625761554</v>
      </c>
      <c r="AW28" s="31">
        <f t="shared" si="37"/>
        <v>654.57586178384383</v>
      </c>
      <c r="AX28" s="31">
        <f t="shared" si="38"/>
        <v>0</v>
      </c>
      <c r="AY28" s="31">
        <f t="shared" si="39"/>
        <v>0</v>
      </c>
      <c r="AZ28" s="33"/>
      <c r="BA28" s="37">
        <f t="shared" si="8"/>
        <v>-1</v>
      </c>
      <c r="BB28" s="36">
        <f>'[1]CB I'!$K28</f>
        <v>4307.5419987599998</v>
      </c>
      <c r="BC28" s="31">
        <f t="shared" si="40"/>
        <v>3778.1450871123961</v>
      </c>
      <c r="BD28" s="31">
        <f t="shared" si="41"/>
        <v>529.39691164760393</v>
      </c>
      <c r="BE28" s="31">
        <f t="shared" si="42"/>
        <v>0</v>
      </c>
      <c r="BF28" s="31">
        <f t="shared" si="43"/>
        <v>0</v>
      </c>
      <c r="BG28" s="33"/>
      <c r="BH28" s="37">
        <f t="shared" si="9"/>
        <v>-1</v>
      </c>
      <c r="BI28" s="36">
        <f>'[1]CB I'!$L28</f>
        <v>7049.1019238640001</v>
      </c>
      <c r="BJ28" s="31">
        <f t="shared" si="44"/>
        <v>6182.7672974211146</v>
      </c>
      <c r="BK28" s="31">
        <f t="shared" si="45"/>
        <v>866.33462644288556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'[1]CB I'!$M28</f>
        <v>7049.1019238640001</v>
      </c>
      <c r="BQ28" s="31">
        <f t="shared" si="48"/>
        <v>6182.7672974211146</v>
      </c>
      <c r="BR28" s="31">
        <f t="shared" si="49"/>
        <v>866.33462644288556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'[1]CB I'!$N28</f>
        <v>6483.0935156459991</v>
      </c>
      <c r="BX28" s="31">
        <f t="shared" si="52"/>
        <v>5686.321322573106</v>
      </c>
      <c r="BY28" s="31">
        <f t="shared" si="53"/>
        <v>796.77219307289329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'[1]CB I'!$O28</f>
        <v>4760.0767161419999</v>
      </c>
      <c r="CE28" s="31">
        <f t="shared" si="56"/>
        <v>4175.0632877281478</v>
      </c>
      <c r="CF28" s="31">
        <f t="shared" si="57"/>
        <v>585.01342841385178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'[1]CB I'!$P28</f>
        <v>4760.0767161419999</v>
      </c>
      <c r="CL28" s="31">
        <f t="shared" si="60"/>
        <v>4175.0632877281478</v>
      </c>
      <c r="CM28" s="31">
        <f t="shared" si="61"/>
        <v>585.01342841385178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  <c r="CS28" s="198"/>
      <c r="CT28" s="198"/>
      <c r="CU28" s="198"/>
      <c r="CV28" s="198"/>
      <c r="CW28" s="198"/>
      <c r="CX28" s="198"/>
      <c r="CY28" s="198"/>
      <c r="CZ28" s="198"/>
      <c r="DA28" s="198"/>
      <c r="DB28" s="198"/>
      <c r="DC28" s="198"/>
      <c r="DD28" s="198"/>
      <c r="DE28" s="199"/>
      <c r="DF28" s="199"/>
    </row>
    <row r="29" spans="1:110" s="26" customFormat="1" ht="16" customHeight="1" x14ac:dyDescent="0.2">
      <c r="A29" s="29" t="s">
        <v>53</v>
      </c>
      <c r="B29" s="30">
        <f t="shared" si="0"/>
        <v>124917.40617600002</v>
      </c>
      <c r="C29" s="31">
        <f t="shared" si="0"/>
        <v>109565.05695696958</v>
      </c>
      <c r="D29" s="32">
        <f t="shared" si="0"/>
        <v>15352.349219030399</v>
      </c>
      <c r="E29" s="30">
        <f t="shared" si="15"/>
        <v>41639.135391999997</v>
      </c>
      <c r="F29" s="33">
        <f t="shared" si="15"/>
        <v>36521.685652323198</v>
      </c>
      <c r="G29" s="34">
        <f t="shared" si="15"/>
        <v>5117.4497396768002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'[1]CB I'!$E29</f>
        <v>9165.7407739999999</v>
      </c>
      <c r="M29" s="31">
        <f t="shared" si="16"/>
        <v>8039.2712328753996</v>
      </c>
      <c r="N29" s="31">
        <f t="shared" si="17"/>
        <v>1126.4695411246</v>
      </c>
      <c r="O29" s="31">
        <f t="shared" si="18"/>
        <v>0</v>
      </c>
      <c r="P29" s="31">
        <f t="shared" si="19"/>
        <v>0</v>
      </c>
      <c r="Q29" s="27">
        <v>0</v>
      </c>
      <c r="R29" s="37">
        <f t="shared" si="3"/>
        <v>-1</v>
      </c>
      <c r="S29" s="36">
        <f>'[1]CB I'!$F29</f>
        <v>11653.826922</v>
      </c>
      <c r="T29" s="31">
        <f t="shared" si="20"/>
        <v>10221.5715932862</v>
      </c>
      <c r="U29" s="31">
        <f t="shared" si="21"/>
        <v>1432.2553287138001</v>
      </c>
      <c r="V29" s="31">
        <f t="shared" si="22"/>
        <v>0</v>
      </c>
      <c r="W29" s="31">
        <f t="shared" si="23"/>
        <v>0</v>
      </c>
      <c r="X29" s="33">
        <v>0</v>
      </c>
      <c r="Y29" s="37">
        <f t="shared" si="4"/>
        <v>-1</v>
      </c>
      <c r="Z29" s="36">
        <f>'[1]CB I'!$G29</f>
        <v>9165.7407739999999</v>
      </c>
      <c r="AA29" s="31">
        <f t="shared" si="24"/>
        <v>8039.2712328753996</v>
      </c>
      <c r="AB29" s="31">
        <f t="shared" si="25"/>
        <v>1126.4695411246</v>
      </c>
      <c r="AC29" s="31">
        <f t="shared" si="26"/>
        <v>0</v>
      </c>
      <c r="AD29" s="31">
        <f t="shared" si="27"/>
        <v>0</v>
      </c>
      <c r="AE29" s="27">
        <v>0</v>
      </c>
      <c r="AF29" s="37">
        <f t="shared" si="5"/>
        <v>-1</v>
      </c>
      <c r="AG29" s="36">
        <f>'[1]CB I'!$H29</f>
        <v>11653.826922</v>
      </c>
      <c r="AH29" s="31">
        <f t="shared" si="28"/>
        <v>10221.5715932862</v>
      </c>
      <c r="AI29" s="31">
        <f t="shared" si="29"/>
        <v>1432.2553287138001</v>
      </c>
      <c r="AJ29" s="31">
        <f t="shared" si="30"/>
        <v>0</v>
      </c>
      <c r="AK29" s="31">
        <f t="shared" si="31"/>
        <v>0</v>
      </c>
      <c r="AL29" s="33">
        <v>0</v>
      </c>
      <c r="AM29" s="37">
        <f t="shared" si="6"/>
        <v>-1</v>
      </c>
      <c r="AN29" s="36">
        <f>'[1]CB I'!$I29</f>
        <v>9165.7407739999999</v>
      </c>
      <c r="AO29" s="31">
        <f t="shared" si="32"/>
        <v>8039.2712328753996</v>
      </c>
      <c r="AP29" s="31">
        <f t="shared" si="33"/>
        <v>1126.4695411246</v>
      </c>
      <c r="AQ29" s="31">
        <f t="shared" si="34"/>
        <v>0</v>
      </c>
      <c r="AR29" s="31">
        <f t="shared" si="35"/>
        <v>0</v>
      </c>
      <c r="AS29" s="27"/>
      <c r="AT29" s="37">
        <f t="shared" si="7"/>
        <v>-1</v>
      </c>
      <c r="AU29" s="36">
        <f>'[1]CB I'!$J29</f>
        <v>11653.826922</v>
      </c>
      <c r="AV29" s="31">
        <f t="shared" si="36"/>
        <v>10221.5715932862</v>
      </c>
      <c r="AW29" s="31">
        <f t="shared" si="37"/>
        <v>1432.2553287138001</v>
      </c>
      <c r="AX29" s="31">
        <f t="shared" si="38"/>
        <v>0</v>
      </c>
      <c r="AY29" s="31">
        <f t="shared" si="39"/>
        <v>0</v>
      </c>
      <c r="AZ29" s="33"/>
      <c r="BA29" s="37">
        <f t="shared" si="8"/>
        <v>-1</v>
      </c>
      <c r="BB29" s="36">
        <f>'[1]CB I'!$K29</f>
        <v>9165.7407739999999</v>
      </c>
      <c r="BC29" s="31">
        <f t="shared" si="40"/>
        <v>8039.2712328753996</v>
      </c>
      <c r="BD29" s="31">
        <f t="shared" si="41"/>
        <v>1126.4695411246</v>
      </c>
      <c r="BE29" s="31">
        <f t="shared" si="42"/>
        <v>0</v>
      </c>
      <c r="BF29" s="31">
        <f t="shared" si="43"/>
        <v>0</v>
      </c>
      <c r="BG29" s="33"/>
      <c r="BH29" s="37">
        <f t="shared" si="9"/>
        <v>-1</v>
      </c>
      <c r="BI29" s="36">
        <f>'[1]CB I'!$L29</f>
        <v>11653.826922</v>
      </c>
      <c r="BJ29" s="31">
        <f t="shared" si="44"/>
        <v>10221.5715932862</v>
      </c>
      <c r="BK29" s="31">
        <f t="shared" si="45"/>
        <v>1432.2553287138001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'[1]CB I'!$M29</f>
        <v>9165.7407739999999</v>
      </c>
      <c r="BQ29" s="31">
        <f t="shared" si="48"/>
        <v>8039.2712328753996</v>
      </c>
      <c r="BR29" s="31">
        <f t="shared" si="49"/>
        <v>1126.4695411246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'[1]CB I'!$N29</f>
        <v>11653.826922</v>
      </c>
      <c r="BX29" s="31">
        <f t="shared" si="52"/>
        <v>10221.5715932862</v>
      </c>
      <c r="BY29" s="31">
        <f t="shared" si="53"/>
        <v>1432.2553287138001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'[1]CB I'!$O29</f>
        <v>9165.7407739999999</v>
      </c>
      <c r="CE29" s="31">
        <f t="shared" si="56"/>
        <v>8039.2712328753996</v>
      </c>
      <c r="CF29" s="31">
        <f t="shared" si="57"/>
        <v>1126.4695411246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'[1]CB I'!$P29</f>
        <v>11653.826922</v>
      </c>
      <c r="CL29" s="31">
        <f t="shared" si="60"/>
        <v>10221.5715932862</v>
      </c>
      <c r="CM29" s="31">
        <f t="shared" si="61"/>
        <v>1432.2553287138001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  <c r="CS29" s="198"/>
      <c r="CT29" s="198"/>
      <c r="CU29" s="198"/>
      <c r="CV29" s="198"/>
      <c r="CW29" s="198"/>
      <c r="CX29" s="198"/>
      <c r="CY29" s="198"/>
      <c r="CZ29" s="198"/>
      <c r="DA29" s="198"/>
      <c r="DB29" s="198"/>
      <c r="DC29" s="198"/>
      <c r="DD29" s="198"/>
      <c r="DE29" s="199"/>
      <c r="DF29" s="199"/>
    </row>
    <row r="30" spans="1:110" s="26" customFormat="1" ht="16" customHeight="1" x14ac:dyDescent="0.2">
      <c r="A30" s="29" t="s">
        <v>54</v>
      </c>
      <c r="B30" s="30">
        <f t="shared" si="0"/>
        <v>49696.000000000007</v>
      </c>
      <c r="C30" s="31">
        <f t="shared" si="0"/>
        <v>43588.361600000004</v>
      </c>
      <c r="D30" s="32">
        <f t="shared" si="0"/>
        <v>6107.6383999999989</v>
      </c>
      <c r="E30" s="30">
        <f t="shared" si="15"/>
        <v>16565.333333333332</v>
      </c>
      <c r="F30" s="33">
        <f t="shared" si="15"/>
        <v>14529.453866666665</v>
      </c>
      <c r="G30" s="34">
        <f t="shared" si="15"/>
        <v>2035.8794666666665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7">
        <f t="shared" si="2"/>
        <v>-1</v>
      </c>
      <c r="L30" s="36">
        <f>'[1]CB I'!$E30</f>
        <v>4141.333333333333</v>
      </c>
      <c r="M30" s="31">
        <f t="shared" si="16"/>
        <v>3632.3634666666662</v>
      </c>
      <c r="N30" s="31">
        <f t="shared" si="17"/>
        <v>508.96986666666663</v>
      </c>
      <c r="O30" s="31">
        <f t="shared" si="18"/>
        <v>0</v>
      </c>
      <c r="P30" s="31">
        <f t="shared" si="19"/>
        <v>0</v>
      </c>
      <c r="Q30" s="27">
        <f>CS30*'[2]CAMBARÁ - CITROS'!$U$5</f>
        <v>0</v>
      </c>
      <c r="R30" s="37">
        <f t="shared" si="3"/>
        <v>-1</v>
      </c>
      <c r="S30" s="36">
        <f>'[1]CB I'!$F30</f>
        <v>4141.333333333333</v>
      </c>
      <c r="T30" s="31">
        <f t="shared" si="20"/>
        <v>3632.3634666666662</v>
      </c>
      <c r="U30" s="31">
        <f t="shared" si="21"/>
        <v>508.96986666666663</v>
      </c>
      <c r="V30" s="31">
        <f t="shared" si="22"/>
        <v>0</v>
      </c>
      <c r="W30" s="31">
        <f t="shared" si="23"/>
        <v>0</v>
      </c>
      <c r="X30" s="33">
        <f>CT30*'[2]CAMBARÁ - CITROS'!$U$5</f>
        <v>0</v>
      </c>
      <c r="Y30" s="37">
        <f t="shared" si="4"/>
        <v>-1</v>
      </c>
      <c r="Z30" s="36">
        <f>'[1]CB I'!$G30</f>
        <v>4141.333333333333</v>
      </c>
      <c r="AA30" s="31">
        <f t="shared" si="24"/>
        <v>3632.3634666666662</v>
      </c>
      <c r="AB30" s="31">
        <f t="shared" si="25"/>
        <v>508.96986666666663</v>
      </c>
      <c r="AC30" s="31">
        <f t="shared" si="26"/>
        <v>0</v>
      </c>
      <c r="AD30" s="31">
        <f t="shared" si="27"/>
        <v>0</v>
      </c>
      <c r="AE30" s="27">
        <f>CU30*'[2]CAMBARÁ - CITROS'!$U$5</f>
        <v>0</v>
      </c>
      <c r="AF30" s="37">
        <f t="shared" si="5"/>
        <v>-1</v>
      </c>
      <c r="AG30" s="36">
        <f>'[1]CB I'!$H30</f>
        <v>4141.333333333333</v>
      </c>
      <c r="AH30" s="31">
        <f t="shared" si="28"/>
        <v>3632.3634666666662</v>
      </c>
      <c r="AI30" s="31">
        <f t="shared" si="29"/>
        <v>508.96986666666663</v>
      </c>
      <c r="AJ30" s="31">
        <f t="shared" si="30"/>
        <v>0</v>
      </c>
      <c r="AK30" s="31">
        <f t="shared" si="31"/>
        <v>0</v>
      </c>
      <c r="AL30" s="33">
        <f>CV30*'[2]CAMBARÁ - CITROS'!$U$5</f>
        <v>0</v>
      </c>
      <c r="AM30" s="37">
        <f t="shared" si="6"/>
        <v>-1</v>
      </c>
      <c r="AN30" s="36">
        <f>'[1]CB I'!$I30</f>
        <v>4141.333333333333</v>
      </c>
      <c r="AO30" s="31">
        <f t="shared" si="32"/>
        <v>3632.3634666666662</v>
      </c>
      <c r="AP30" s="31">
        <f t="shared" si="33"/>
        <v>508.96986666666663</v>
      </c>
      <c r="AQ30" s="31">
        <f t="shared" si="34"/>
        <v>0</v>
      </c>
      <c r="AR30" s="31">
        <f t="shared" si="35"/>
        <v>0</v>
      </c>
      <c r="AS30" s="33">
        <f>CW30*'[3]CAMBARÁ - CITROS'!$U$5</f>
        <v>0</v>
      </c>
      <c r="AT30" s="37">
        <f t="shared" si="7"/>
        <v>-1</v>
      </c>
      <c r="AU30" s="36">
        <f>'[1]CB I'!$J30</f>
        <v>4141.333333333333</v>
      </c>
      <c r="AV30" s="31">
        <f t="shared" si="36"/>
        <v>3632.3634666666662</v>
      </c>
      <c r="AW30" s="31">
        <f t="shared" si="37"/>
        <v>508.96986666666663</v>
      </c>
      <c r="AX30" s="31">
        <f t="shared" si="38"/>
        <v>0</v>
      </c>
      <c r="AY30" s="31">
        <f t="shared" si="39"/>
        <v>0</v>
      </c>
      <c r="AZ30" s="33">
        <f>CX30*'[3]CAMBARÁ - CITROS'!$U$5</f>
        <v>0</v>
      </c>
      <c r="BA30" s="37">
        <f t="shared" si="8"/>
        <v>-1</v>
      </c>
      <c r="BB30" s="36">
        <f>'[1]CB I'!$K30</f>
        <v>4141.333333333333</v>
      </c>
      <c r="BC30" s="31">
        <f t="shared" si="40"/>
        <v>3632.3634666666662</v>
      </c>
      <c r="BD30" s="31">
        <f t="shared" si="41"/>
        <v>508.96986666666663</v>
      </c>
      <c r="BE30" s="31">
        <f t="shared" si="42"/>
        <v>0</v>
      </c>
      <c r="BF30" s="31">
        <f t="shared" si="43"/>
        <v>0</v>
      </c>
      <c r="BG30" s="33">
        <f>CY30*'[3]CAMBARÁ - CITROS'!$U$5</f>
        <v>0</v>
      </c>
      <c r="BH30" s="37">
        <f t="shared" si="9"/>
        <v>-1</v>
      </c>
      <c r="BI30" s="36">
        <f>'[1]CB I'!$L30</f>
        <v>4141.333333333333</v>
      </c>
      <c r="BJ30" s="31">
        <f t="shared" si="44"/>
        <v>3632.3634666666662</v>
      </c>
      <c r="BK30" s="31">
        <f t="shared" si="45"/>
        <v>508.96986666666663</v>
      </c>
      <c r="BL30" s="31">
        <f t="shared" si="46"/>
        <v>0</v>
      </c>
      <c r="BM30" s="31">
        <f t="shared" si="47"/>
        <v>0</v>
      </c>
      <c r="BN30" s="33">
        <f>CZ30*'[3]CAMBARÁ - CITROS'!$U$5</f>
        <v>0</v>
      </c>
      <c r="BO30" s="37">
        <f t="shared" si="10"/>
        <v>-1</v>
      </c>
      <c r="BP30" s="36">
        <f>'[1]CB I'!$M30</f>
        <v>4141.333333333333</v>
      </c>
      <c r="BQ30" s="31">
        <f t="shared" si="48"/>
        <v>3632.3634666666662</v>
      </c>
      <c r="BR30" s="31">
        <f t="shared" si="49"/>
        <v>508.96986666666663</v>
      </c>
      <c r="BS30" s="31">
        <f t="shared" si="50"/>
        <v>0</v>
      </c>
      <c r="BT30" s="31">
        <f t="shared" si="51"/>
        <v>0</v>
      </c>
      <c r="BU30" s="33">
        <f>DA30*'[3]CAMBARÁ - CITROS'!$U$5</f>
        <v>0</v>
      </c>
      <c r="BV30" s="37">
        <f t="shared" si="11"/>
        <v>-1</v>
      </c>
      <c r="BW30" s="36">
        <f>'[1]CB I'!$N30</f>
        <v>4141.333333333333</v>
      </c>
      <c r="BX30" s="31">
        <f t="shared" si="52"/>
        <v>3632.3634666666662</v>
      </c>
      <c r="BY30" s="31">
        <f t="shared" si="53"/>
        <v>508.96986666666663</v>
      </c>
      <c r="BZ30" s="31">
        <f t="shared" si="54"/>
        <v>0</v>
      </c>
      <c r="CA30" s="31">
        <f t="shared" si="55"/>
        <v>0</v>
      </c>
      <c r="CB30" s="33">
        <f>DB30*'[3]CAMBARÁ - CITROS'!$U$5</f>
        <v>0</v>
      </c>
      <c r="CC30" s="37">
        <f t="shared" si="12"/>
        <v>-1</v>
      </c>
      <c r="CD30" s="36">
        <f>'[1]CB I'!$O30</f>
        <v>4141.333333333333</v>
      </c>
      <c r="CE30" s="31">
        <f t="shared" si="56"/>
        <v>3632.3634666666662</v>
      </c>
      <c r="CF30" s="31">
        <f t="shared" si="57"/>
        <v>508.96986666666663</v>
      </c>
      <c r="CG30" s="31">
        <f t="shared" si="58"/>
        <v>0</v>
      </c>
      <c r="CH30" s="31">
        <f t="shared" si="59"/>
        <v>0</v>
      </c>
      <c r="CI30" s="33">
        <f>DC30*'[3]CAMBARÁ - CITROS'!$U$5</f>
        <v>0</v>
      </c>
      <c r="CJ30" s="37">
        <f t="shared" si="13"/>
        <v>-1</v>
      </c>
      <c r="CK30" s="36">
        <f>'[1]CB I'!$P30</f>
        <v>4141.333333333333</v>
      </c>
      <c r="CL30" s="31">
        <f t="shared" si="60"/>
        <v>3632.3634666666662</v>
      </c>
      <c r="CM30" s="31">
        <f t="shared" si="61"/>
        <v>508.96986666666663</v>
      </c>
      <c r="CN30" s="31">
        <f t="shared" si="62"/>
        <v>0</v>
      </c>
      <c r="CO30" s="31">
        <f t="shared" si="63"/>
        <v>0</v>
      </c>
      <c r="CP30" s="33">
        <f>DD30*'[3]CAMBARÁ - CITROS'!$U$5</f>
        <v>0</v>
      </c>
      <c r="CQ30" s="37">
        <f t="shared" si="14"/>
        <v>-1</v>
      </c>
      <c r="CS30" s="198"/>
      <c r="CT30" s="198"/>
      <c r="CU30" s="198"/>
      <c r="CV30" s="198"/>
      <c r="CW30" s="198"/>
      <c r="CX30" s="198"/>
      <c r="CY30" s="198"/>
      <c r="CZ30" s="198"/>
      <c r="DA30" s="198"/>
      <c r="DB30" s="198"/>
      <c r="DC30" s="198"/>
      <c r="DD30" s="198"/>
      <c r="DE30" s="199"/>
      <c r="DF30" s="199"/>
    </row>
    <row r="31" spans="1:110" s="26" customFormat="1" ht="16" customHeight="1" x14ac:dyDescent="0.2">
      <c r="A31" s="38" t="s">
        <v>55</v>
      </c>
      <c r="B31" s="30">
        <f t="shared" si="0"/>
        <v>21742</v>
      </c>
      <c r="C31" s="31">
        <f t="shared" si="0"/>
        <v>19069.908199999998</v>
      </c>
      <c r="D31" s="32">
        <f t="shared" si="0"/>
        <v>2672.0917999999988</v>
      </c>
      <c r="E31" s="30">
        <f t="shared" si="15"/>
        <v>7247.333333333333</v>
      </c>
      <c r="F31" s="33">
        <f t="shared" si="15"/>
        <v>6356.636066666666</v>
      </c>
      <c r="G31" s="34">
        <f t="shared" si="15"/>
        <v>890.69726666666656</v>
      </c>
      <c r="H31" s="31">
        <f t="shared" si="1"/>
        <v>616.89004600614749</v>
      </c>
      <c r="I31" s="33">
        <f t="shared" si="1"/>
        <v>12.653831946855354</v>
      </c>
      <c r="J31" s="33">
        <f t="shared" si="1"/>
        <v>629.54387795300272</v>
      </c>
      <c r="K31" s="37">
        <f t="shared" si="2"/>
        <v>-0.91313441110022042</v>
      </c>
      <c r="L31" s="36">
        <f>'[1]CB I'!$E31</f>
        <v>1811.8333333333333</v>
      </c>
      <c r="M31" s="31">
        <f t="shared" si="16"/>
        <v>1589.1590166666665</v>
      </c>
      <c r="N31" s="31">
        <f t="shared" si="17"/>
        <v>222.67431666666664</v>
      </c>
      <c r="O31" s="31">
        <f t="shared" si="18"/>
        <v>133.14173654808937</v>
      </c>
      <c r="P31" s="31">
        <f t="shared" si="19"/>
        <v>2.7310428662277739</v>
      </c>
      <c r="Q31" s="27">
        <f>CS31*'[2]CAMBARÁ - CITROS'!$U$5</f>
        <v>135.87277941431714</v>
      </c>
      <c r="R31" s="37">
        <f t="shared" si="3"/>
        <v>-0.92500812469083771</v>
      </c>
      <c r="S31" s="36">
        <f>'[1]CB I'!$F31</f>
        <v>1811.8333333333333</v>
      </c>
      <c r="T31" s="31">
        <f t="shared" si="20"/>
        <v>1589.1590166666665</v>
      </c>
      <c r="U31" s="31">
        <f t="shared" si="21"/>
        <v>222.67431666666664</v>
      </c>
      <c r="V31" s="31">
        <f t="shared" si="22"/>
        <v>133.14173654808937</v>
      </c>
      <c r="W31" s="31">
        <f t="shared" si="23"/>
        <v>2.7310428662277739</v>
      </c>
      <c r="X31" s="33">
        <f>CT31*'[2]CAMBARÁ - CITROS'!$U$5</f>
        <v>135.87277941431714</v>
      </c>
      <c r="Y31" s="37">
        <f t="shared" si="4"/>
        <v>-0.92500812469083771</v>
      </c>
      <c r="Z31" s="36">
        <f>'[1]CB I'!$G31</f>
        <v>1811.8333333333333</v>
      </c>
      <c r="AA31" s="31">
        <f t="shared" si="24"/>
        <v>1589.1590166666665</v>
      </c>
      <c r="AB31" s="31">
        <f t="shared" si="25"/>
        <v>222.67431666666664</v>
      </c>
      <c r="AC31" s="31">
        <f t="shared" si="26"/>
        <v>0</v>
      </c>
      <c r="AD31" s="31">
        <f t="shared" si="27"/>
        <v>0</v>
      </c>
      <c r="AE31" s="27">
        <f>CU31*'[2]CAMBARÁ - CITROS'!$U$5</f>
        <v>0</v>
      </c>
      <c r="AF31" s="37">
        <f t="shared" si="5"/>
        <v>-1</v>
      </c>
      <c r="AG31" s="36">
        <f>'[1]CB I'!$H31</f>
        <v>1811.8333333333333</v>
      </c>
      <c r="AH31" s="31">
        <f t="shared" si="28"/>
        <v>1589.1590166666665</v>
      </c>
      <c r="AI31" s="31">
        <f t="shared" si="29"/>
        <v>222.67431666666664</v>
      </c>
      <c r="AJ31" s="31">
        <f t="shared" si="30"/>
        <v>350.60657290996869</v>
      </c>
      <c r="AK31" s="31">
        <f t="shared" si="31"/>
        <v>7.1917462143998057</v>
      </c>
      <c r="AL31" s="33">
        <f>CV31*'[2]CAMBARÁ - CITROS'!$U$5</f>
        <v>357.7983191243685</v>
      </c>
      <c r="AM31" s="37">
        <f t="shared" si="6"/>
        <v>-0.80252139501920605</v>
      </c>
      <c r="AN31" s="36">
        <f>'[1]CB I'!$I31</f>
        <v>1811.8333333333333</v>
      </c>
      <c r="AO31" s="31">
        <f t="shared" si="32"/>
        <v>1589.1590166666665</v>
      </c>
      <c r="AP31" s="31">
        <f t="shared" si="33"/>
        <v>222.67431666666664</v>
      </c>
      <c r="AQ31" s="31">
        <f t="shared" si="34"/>
        <v>0</v>
      </c>
      <c r="AR31" s="31">
        <f t="shared" si="35"/>
        <v>0</v>
      </c>
      <c r="AS31" s="33">
        <f>CW31*'[3]CAMBARÁ - CITROS'!$U$5</f>
        <v>0</v>
      </c>
      <c r="AT31" s="37">
        <f t="shared" si="7"/>
        <v>-1</v>
      </c>
      <c r="AU31" s="36">
        <f>'[1]CB I'!$J31</f>
        <v>1811.8333333333333</v>
      </c>
      <c r="AV31" s="31">
        <f t="shared" si="36"/>
        <v>1589.1590166666665</v>
      </c>
      <c r="AW31" s="31">
        <f t="shared" si="37"/>
        <v>222.67431666666664</v>
      </c>
      <c r="AX31" s="31">
        <f t="shared" si="38"/>
        <v>0</v>
      </c>
      <c r="AY31" s="31">
        <f t="shared" si="39"/>
        <v>0</v>
      </c>
      <c r="AZ31" s="33">
        <f>CX31*'[3]CAMBARÁ - CITROS'!$U$5</f>
        <v>0</v>
      </c>
      <c r="BA31" s="37">
        <f t="shared" si="8"/>
        <v>-1</v>
      </c>
      <c r="BB31" s="36">
        <f>'[1]CB I'!$K31</f>
        <v>1811.8333333333333</v>
      </c>
      <c r="BC31" s="31">
        <f t="shared" si="40"/>
        <v>1589.1590166666665</v>
      </c>
      <c r="BD31" s="31">
        <f t="shared" si="41"/>
        <v>222.67431666666664</v>
      </c>
      <c r="BE31" s="31">
        <f t="shared" si="42"/>
        <v>0</v>
      </c>
      <c r="BF31" s="31">
        <f t="shared" si="43"/>
        <v>0</v>
      </c>
      <c r="BG31" s="33">
        <f>CY31*'[3]CAMBARÁ - CITROS'!$U$5</f>
        <v>0</v>
      </c>
      <c r="BH31" s="37">
        <f t="shared" si="9"/>
        <v>-1</v>
      </c>
      <c r="BI31" s="36">
        <f>'[1]CB I'!$L31</f>
        <v>1811.8333333333333</v>
      </c>
      <c r="BJ31" s="31">
        <f t="shared" si="44"/>
        <v>1589.1590166666665</v>
      </c>
      <c r="BK31" s="31">
        <f t="shared" si="45"/>
        <v>222.67431666666664</v>
      </c>
      <c r="BL31" s="31">
        <f t="shared" si="46"/>
        <v>0</v>
      </c>
      <c r="BM31" s="31">
        <f t="shared" si="47"/>
        <v>0</v>
      </c>
      <c r="BN31" s="33">
        <f>CZ31*'[3]CAMBARÁ - CITROS'!$U$5</f>
        <v>0</v>
      </c>
      <c r="BO31" s="37">
        <f t="shared" si="10"/>
        <v>-1</v>
      </c>
      <c r="BP31" s="36">
        <f>'[1]CB I'!$M31</f>
        <v>1811.8333333333333</v>
      </c>
      <c r="BQ31" s="31">
        <f t="shared" si="48"/>
        <v>1589.1590166666665</v>
      </c>
      <c r="BR31" s="31">
        <f t="shared" si="49"/>
        <v>222.67431666666664</v>
      </c>
      <c r="BS31" s="31">
        <f t="shared" si="50"/>
        <v>0</v>
      </c>
      <c r="BT31" s="31">
        <f t="shared" si="51"/>
        <v>0</v>
      </c>
      <c r="BU31" s="33">
        <f>DA31*'[3]CAMBARÁ - CITROS'!$U$5</f>
        <v>0</v>
      </c>
      <c r="BV31" s="37">
        <f t="shared" si="11"/>
        <v>-1</v>
      </c>
      <c r="BW31" s="36">
        <f>'[1]CB I'!$N31</f>
        <v>1811.8333333333333</v>
      </c>
      <c r="BX31" s="31">
        <f t="shared" si="52"/>
        <v>1589.1590166666665</v>
      </c>
      <c r="BY31" s="31">
        <f t="shared" si="53"/>
        <v>222.67431666666664</v>
      </c>
      <c r="BZ31" s="31">
        <f t="shared" si="54"/>
        <v>0</v>
      </c>
      <c r="CA31" s="31">
        <f t="shared" si="55"/>
        <v>0</v>
      </c>
      <c r="CB31" s="33">
        <f>DB31*'[3]CAMBARÁ - CITROS'!$U$5</f>
        <v>0</v>
      </c>
      <c r="CC31" s="37">
        <f t="shared" si="12"/>
        <v>-1</v>
      </c>
      <c r="CD31" s="36">
        <f>'[1]CB I'!$O31</f>
        <v>1811.8333333333333</v>
      </c>
      <c r="CE31" s="31">
        <f t="shared" si="56"/>
        <v>1589.1590166666665</v>
      </c>
      <c r="CF31" s="31">
        <f t="shared" si="57"/>
        <v>222.67431666666664</v>
      </c>
      <c r="CG31" s="31">
        <f t="shared" si="58"/>
        <v>0</v>
      </c>
      <c r="CH31" s="31">
        <f t="shared" si="59"/>
        <v>0</v>
      </c>
      <c r="CI31" s="33">
        <f>DC31*'[3]CAMBARÁ - CITROS'!$U$5</f>
        <v>0</v>
      </c>
      <c r="CJ31" s="37">
        <f t="shared" si="13"/>
        <v>-1</v>
      </c>
      <c r="CK31" s="36">
        <f>'[1]CB I'!$P31</f>
        <v>1811.8333333333333</v>
      </c>
      <c r="CL31" s="31">
        <f t="shared" si="60"/>
        <v>1589.1590166666665</v>
      </c>
      <c r="CM31" s="31">
        <f t="shared" si="61"/>
        <v>222.67431666666664</v>
      </c>
      <c r="CN31" s="31">
        <f t="shared" si="62"/>
        <v>0</v>
      </c>
      <c r="CO31" s="31">
        <f t="shared" si="63"/>
        <v>0</v>
      </c>
      <c r="CP31" s="33">
        <f>DD31*'[3]CAMBARÁ - CITROS'!$U$5</f>
        <v>0</v>
      </c>
      <c r="CQ31" s="37">
        <f t="shared" si="14"/>
        <v>-1</v>
      </c>
      <c r="CS31" s="198">
        <f>220.8</f>
        <v>220.8</v>
      </c>
      <c r="CT31" s="198">
        <f>220.8</f>
        <v>220.8</v>
      </c>
      <c r="CU31" s="198"/>
      <c r="CV31" s="198">
        <f>581.44</f>
        <v>581.44000000000005</v>
      </c>
      <c r="CW31" s="198"/>
      <c r="CX31" s="198"/>
      <c r="CY31" s="198"/>
      <c r="CZ31" s="198"/>
      <c r="DA31" s="198"/>
      <c r="DB31" s="198"/>
      <c r="DC31" s="198"/>
      <c r="DD31" s="198"/>
      <c r="DE31" s="199"/>
      <c r="DF31" s="199"/>
    </row>
    <row r="32" spans="1:110" s="26" customFormat="1" ht="16" customHeight="1" x14ac:dyDescent="0.2">
      <c r="A32" s="29" t="s">
        <v>191</v>
      </c>
      <c r="B32" s="30">
        <f t="shared" si="0"/>
        <v>1361031.8996735995</v>
      </c>
      <c r="C32" s="31">
        <f t="shared" si="0"/>
        <v>1193761.0792037144</v>
      </c>
      <c r="D32" s="32">
        <f t="shared" si="0"/>
        <v>167270.82046988545</v>
      </c>
      <c r="E32" s="30">
        <f t="shared" si="15"/>
        <v>728455.11021359987</v>
      </c>
      <c r="F32" s="33">
        <f t="shared" si="15"/>
        <v>638927.97716834839</v>
      </c>
      <c r="G32" s="34">
        <f t="shared" si="15"/>
        <v>89527.133045251423</v>
      </c>
      <c r="H32" s="31">
        <f t="shared" si="1"/>
        <v>962585.72554299992</v>
      </c>
      <c r="I32" s="33">
        <f t="shared" si="1"/>
        <v>19744.844456999999</v>
      </c>
      <c r="J32" s="33">
        <f t="shared" si="1"/>
        <v>982330.57</v>
      </c>
      <c r="K32" s="37">
        <f t="shared" si="2"/>
        <v>0.34851215432061133</v>
      </c>
      <c r="L32" s="36">
        <f>'[1]CB I'!$E32</f>
        <v>228168.21590639997</v>
      </c>
      <c r="M32" s="31">
        <f t="shared" si="16"/>
        <v>200126.34217150341</v>
      </c>
      <c r="N32" s="31">
        <f t="shared" si="17"/>
        <v>28041.873734896555</v>
      </c>
      <c r="O32" s="31">
        <f t="shared" si="18"/>
        <v>208148.85875299998</v>
      </c>
      <c r="P32" s="31">
        <f t="shared" si="19"/>
        <v>4269.6112469999989</v>
      </c>
      <c r="Q32" s="27">
        <f>(234424.89)+(126309.88)+5007.52+220.92+6596.04+1299.22-(161440)</f>
        <v>212418.46999999997</v>
      </c>
      <c r="R32" s="37">
        <f t="shared" si="3"/>
        <v>-6.9026905626771939E-2</v>
      </c>
      <c r="S32" s="36">
        <f>'[1]CB I'!$F32</f>
        <v>162171.75134159994</v>
      </c>
      <c r="T32" s="31">
        <f t="shared" si="20"/>
        <v>142240.8431017173</v>
      </c>
      <c r="U32" s="31">
        <f t="shared" si="21"/>
        <v>19930.908239882632</v>
      </c>
      <c r="V32" s="31">
        <f t="shared" si="22"/>
        <v>206292.71257500001</v>
      </c>
      <c r="W32" s="31">
        <f t="shared" si="23"/>
        <v>4231.5374249999995</v>
      </c>
      <c r="X32" s="33">
        <f>195282.1+9175.25+6066.9</f>
        <v>210524.25</v>
      </c>
      <c r="Y32" s="37">
        <f t="shared" si="4"/>
        <v>0.29815611078004545</v>
      </c>
      <c r="Z32" s="36">
        <f>'[1]CB I'!$G32</f>
        <v>162171.75134159994</v>
      </c>
      <c r="AA32" s="31">
        <f t="shared" si="24"/>
        <v>142240.8431017173</v>
      </c>
      <c r="AB32" s="31">
        <f t="shared" si="25"/>
        <v>19930.908239882632</v>
      </c>
      <c r="AC32" s="31">
        <f t="shared" si="26"/>
        <v>300195.66726299998</v>
      </c>
      <c r="AD32" s="31">
        <f t="shared" si="27"/>
        <v>6157.7027369999987</v>
      </c>
      <c r="AE32" s="27">
        <f>291054.29+8414.49+6884.59</f>
        <v>306353.37</v>
      </c>
      <c r="AF32" s="37">
        <f t="shared" si="5"/>
        <v>0.88906740826085473</v>
      </c>
      <c r="AG32" s="36">
        <f>'[1]CB I'!$H32</f>
        <v>175943.39162399998</v>
      </c>
      <c r="AH32" s="31">
        <f t="shared" si="28"/>
        <v>154319.94879341038</v>
      </c>
      <c r="AI32" s="31">
        <f t="shared" si="29"/>
        <v>21623.442830589596</v>
      </c>
      <c r="AJ32" s="31">
        <f t="shared" si="30"/>
        <v>247948.48695199998</v>
      </c>
      <c r="AK32" s="31">
        <f t="shared" si="31"/>
        <v>5085.9930479999985</v>
      </c>
      <c r="AL32" s="33">
        <f>245091.08+3866.4+4077</f>
        <v>253034.47999999998</v>
      </c>
      <c r="AM32" s="37">
        <f t="shared" si="6"/>
        <v>0.43815847622596471</v>
      </c>
      <c r="AN32" s="36">
        <f>'[1]CB I'!$I32</f>
        <v>175943.39162399998</v>
      </c>
      <c r="AO32" s="31">
        <f t="shared" si="32"/>
        <v>154319.94879341038</v>
      </c>
      <c r="AP32" s="31">
        <f t="shared" si="33"/>
        <v>21623.442830589596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'[1]CB I'!$J32</f>
        <v>219485.96762399998</v>
      </c>
      <c r="AV32" s="31">
        <f t="shared" si="36"/>
        <v>192511.14220301039</v>
      </c>
      <c r="AW32" s="31">
        <f t="shared" si="37"/>
        <v>26974.825420989597</v>
      </c>
      <c r="AX32" s="31">
        <f t="shared" si="38"/>
        <v>0</v>
      </c>
      <c r="AY32" s="31">
        <f t="shared" si="39"/>
        <v>0</v>
      </c>
      <c r="AZ32" s="33"/>
      <c r="BA32" s="37">
        <f t="shared" si="8"/>
        <v>-1</v>
      </c>
      <c r="BB32" s="36">
        <f>'[1]CB I'!$K32</f>
        <v>191908.39021199997</v>
      </c>
      <c r="BC32" s="31">
        <f t="shared" si="40"/>
        <v>168322.84905494517</v>
      </c>
      <c r="BD32" s="31">
        <f t="shared" si="41"/>
        <v>23585.541157054795</v>
      </c>
      <c r="BE32" s="31">
        <f t="shared" si="42"/>
        <v>0</v>
      </c>
      <c r="BF32" s="31">
        <f t="shared" si="43"/>
        <v>0</v>
      </c>
      <c r="BG32" s="33"/>
      <c r="BH32" s="37">
        <f t="shared" si="9"/>
        <v>-1</v>
      </c>
      <c r="BI32" s="36">
        <f>'[1]CB I'!$L32</f>
        <v>39584.159999999996</v>
      </c>
      <c r="BJ32" s="31">
        <f t="shared" si="44"/>
        <v>34719.266735999998</v>
      </c>
      <c r="BK32" s="31">
        <f t="shared" si="45"/>
        <v>4864.8932639999994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'[1]CB I'!$M32</f>
        <v>2827.4399999999996</v>
      </c>
      <c r="BQ32" s="31">
        <f t="shared" si="48"/>
        <v>2479.9476239999995</v>
      </c>
      <c r="BR32" s="31">
        <f t="shared" si="49"/>
        <v>347.49237599999992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'[1]CB I'!$N32</f>
        <v>2827.4399999999996</v>
      </c>
      <c r="BX32" s="31">
        <f t="shared" si="52"/>
        <v>2479.9476239999995</v>
      </c>
      <c r="BY32" s="31">
        <f t="shared" si="53"/>
        <v>347.49237599999992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'[1]CB I'!$O32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'[1]CB I'!$P32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  <c r="CS32" s="198"/>
      <c r="CT32" s="198"/>
      <c r="CU32" s="198"/>
      <c r="CV32" s="198"/>
      <c r="CW32" s="198"/>
      <c r="CX32" s="198"/>
      <c r="CY32" s="198"/>
      <c r="CZ32" s="198"/>
      <c r="DA32" s="198"/>
      <c r="DB32" s="198"/>
      <c r="DC32" s="198"/>
      <c r="DD32" s="198"/>
      <c r="DE32" s="199"/>
      <c r="DF32" s="199"/>
    </row>
    <row r="33" spans="1:110" s="26" customFormat="1" ht="16" customHeight="1" x14ac:dyDescent="0.2">
      <c r="A33" s="29" t="s">
        <v>57</v>
      </c>
      <c r="B33" s="30">
        <f t="shared" si="0"/>
        <v>839314.28571428568</v>
      </c>
      <c r="C33" s="31">
        <f t="shared" si="0"/>
        <v>736162.55999999994</v>
      </c>
      <c r="D33" s="32">
        <f t="shared" si="0"/>
        <v>103151.72571428568</v>
      </c>
      <c r="E33" s="30">
        <f t="shared" si="15"/>
        <v>511457.14285714284</v>
      </c>
      <c r="F33" s="33">
        <f t="shared" si="15"/>
        <v>448599.05999999994</v>
      </c>
      <c r="G33" s="34">
        <f t="shared" si="15"/>
        <v>62858.082857142843</v>
      </c>
      <c r="H33" s="31">
        <f t="shared" si="1"/>
        <v>633734.45062000002</v>
      </c>
      <c r="I33" s="33">
        <f t="shared" si="1"/>
        <v>12999.349379999998</v>
      </c>
      <c r="J33" s="33">
        <f t="shared" si="1"/>
        <v>646733.80000000005</v>
      </c>
      <c r="K33" s="37">
        <f t="shared" si="2"/>
        <v>0.26449265404167388</v>
      </c>
      <c r="L33" s="36">
        <f>'[1]CB I'!$E33</f>
        <v>144257.14285714284</v>
      </c>
      <c r="M33" s="31">
        <f t="shared" si="16"/>
        <v>126527.93999999999</v>
      </c>
      <c r="N33" s="31">
        <f t="shared" si="17"/>
        <v>17729.202857142853</v>
      </c>
      <c r="O33" s="31">
        <f t="shared" si="18"/>
        <v>195599.926187</v>
      </c>
      <c r="P33" s="31">
        <f t="shared" si="19"/>
        <v>4012.2038129999992</v>
      </c>
      <c r="Q33" s="27">
        <f>(94201.89)+(105410.24)</f>
        <v>199612.13</v>
      </c>
      <c r="R33" s="37">
        <f t="shared" si="3"/>
        <v>0.38372441077441088</v>
      </c>
      <c r="S33" s="36">
        <f>'[1]CB I'!$F33</f>
        <v>118028.57142857143</v>
      </c>
      <c r="T33" s="31">
        <f t="shared" si="20"/>
        <v>103522.86</v>
      </c>
      <c r="U33" s="31">
        <f t="shared" si="21"/>
        <v>14505.711428571429</v>
      </c>
      <c r="V33" s="31">
        <f t="shared" si="22"/>
        <v>148175.59809799999</v>
      </c>
      <c r="W33" s="31">
        <f t="shared" si="23"/>
        <v>3039.4219019999991</v>
      </c>
      <c r="X33" s="33">
        <v>151215.01999999999</v>
      </c>
      <c r="Y33" s="37">
        <f t="shared" si="4"/>
        <v>0.28117300895666886</v>
      </c>
      <c r="Z33" s="36">
        <f>'[1]CB I'!$G33</f>
        <v>118028.57142857143</v>
      </c>
      <c r="AA33" s="31">
        <f t="shared" si="24"/>
        <v>103522.86</v>
      </c>
      <c r="AB33" s="31">
        <f t="shared" si="25"/>
        <v>14505.711428571429</v>
      </c>
      <c r="AC33" s="31">
        <f t="shared" si="26"/>
        <v>186057.08184600002</v>
      </c>
      <c r="AD33" s="31">
        <f t="shared" si="27"/>
        <v>3816.4581539999995</v>
      </c>
      <c r="AE33" s="27">
        <v>189873.54</v>
      </c>
      <c r="AF33" s="37">
        <f t="shared" si="5"/>
        <v>0.60870827886710233</v>
      </c>
      <c r="AG33" s="36">
        <f>'[1]CB I'!$H33</f>
        <v>131142.85714285713</v>
      </c>
      <c r="AH33" s="31">
        <f t="shared" si="28"/>
        <v>115025.4</v>
      </c>
      <c r="AI33" s="31">
        <f t="shared" si="29"/>
        <v>16117.45714285714</v>
      </c>
      <c r="AJ33" s="31">
        <f t="shared" si="30"/>
        <v>103901.844489</v>
      </c>
      <c r="AK33" s="31">
        <f t="shared" si="31"/>
        <v>2131.2655109999996</v>
      </c>
      <c r="AL33" s="33">
        <v>106033.11</v>
      </c>
      <c r="AM33" s="37">
        <f t="shared" si="6"/>
        <v>-0.19146866013071884</v>
      </c>
      <c r="AN33" s="36">
        <f>'[1]CB I'!$I33</f>
        <v>131142.85714285713</v>
      </c>
      <c r="AO33" s="31">
        <f t="shared" si="32"/>
        <v>115025.4</v>
      </c>
      <c r="AP33" s="31">
        <f t="shared" si="33"/>
        <v>16117.45714285714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'[1]CB I'!$J33</f>
        <v>131142.85714285713</v>
      </c>
      <c r="AV33" s="31">
        <f t="shared" si="36"/>
        <v>115025.4</v>
      </c>
      <c r="AW33" s="31">
        <f t="shared" si="37"/>
        <v>16117.45714285714</v>
      </c>
      <c r="AX33" s="31">
        <f t="shared" si="38"/>
        <v>0</v>
      </c>
      <c r="AY33" s="31">
        <f t="shared" si="39"/>
        <v>0</v>
      </c>
      <c r="AZ33" s="33"/>
      <c r="BA33" s="37">
        <f t="shared" si="8"/>
        <v>-1</v>
      </c>
      <c r="BB33" s="36">
        <f>'[1]CB I'!$K33</f>
        <v>65571.428571428565</v>
      </c>
      <c r="BC33" s="31">
        <f t="shared" si="40"/>
        <v>57512.7</v>
      </c>
      <c r="BD33" s="31">
        <f t="shared" si="41"/>
        <v>8058.7285714285699</v>
      </c>
      <c r="BE33" s="31">
        <f t="shared" si="42"/>
        <v>0</v>
      </c>
      <c r="BF33" s="31">
        <f t="shared" si="43"/>
        <v>0</v>
      </c>
      <c r="BG33" s="33"/>
      <c r="BH33" s="37">
        <f t="shared" si="9"/>
        <v>-1</v>
      </c>
      <c r="BI33" s="36">
        <f>'[1]CB I'!$L33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'[1]CB I'!$M33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'[1]CB I'!$N33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'[1]CB I'!$O33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'[1]CB I'!$P33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  <c r="CS33" s="198"/>
      <c r="CT33" s="198"/>
      <c r="CU33" s="198"/>
      <c r="CV33" s="198"/>
      <c r="CW33" s="198"/>
      <c r="CX33" s="198"/>
      <c r="CY33" s="198"/>
      <c r="CZ33" s="198"/>
      <c r="DA33" s="198"/>
      <c r="DB33" s="198"/>
      <c r="DC33" s="198"/>
      <c r="DD33" s="198"/>
      <c r="DE33" s="199"/>
      <c r="DF33" s="199"/>
    </row>
    <row r="34" spans="1:110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'[1]CB I'!$E34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27"/>
      <c r="R34" s="37" t="str">
        <f t="shared" si="3"/>
        <v/>
      </c>
      <c r="S34" s="36">
        <f>'[1]CB I'!$F34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'[1]CB I'!$G34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27"/>
      <c r="AF34" s="37" t="str">
        <f t="shared" si="5"/>
        <v/>
      </c>
      <c r="AG34" s="36">
        <f>'[1]CB I'!$H34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33"/>
      <c r="AM34" s="37" t="str">
        <f t="shared" si="6"/>
        <v/>
      </c>
      <c r="AN34" s="36">
        <f>'[1]CB I'!$I34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27"/>
      <c r="AT34" s="37" t="str">
        <f t="shared" si="7"/>
        <v/>
      </c>
      <c r="AU34" s="36">
        <f>'[1]CB I'!$J34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33"/>
      <c r="BA34" s="37" t="str">
        <f t="shared" si="8"/>
        <v/>
      </c>
      <c r="BB34" s="36">
        <f>'[1]CB I'!$K34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33"/>
      <c r="BH34" s="37" t="str">
        <f t="shared" si="9"/>
        <v/>
      </c>
      <c r="BI34" s="36">
        <f>'[1]CB I'!$L34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'[1]CB I'!$M34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'[1]CB I'!$N34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'[1]CB I'!$O34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'[1]CB I'!$P34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  <c r="CS34" s="198"/>
      <c r="CT34" s="198"/>
      <c r="CU34" s="198"/>
      <c r="CV34" s="198"/>
      <c r="CW34" s="198"/>
      <c r="CX34" s="198"/>
      <c r="CY34" s="198"/>
      <c r="CZ34" s="198"/>
      <c r="DA34" s="198"/>
      <c r="DB34" s="198"/>
      <c r="DC34" s="198"/>
      <c r="DD34" s="198"/>
      <c r="DE34" s="199"/>
      <c r="DF34" s="199"/>
    </row>
    <row r="35" spans="1:110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'[1]CB I'!$E35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27"/>
      <c r="R35" s="37" t="str">
        <f t="shared" si="3"/>
        <v/>
      </c>
      <c r="S35" s="36">
        <f>'[1]CB I'!$F35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'[1]CB I'!$G35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27"/>
      <c r="AF35" s="37" t="str">
        <f t="shared" si="5"/>
        <v/>
      </c>
      <c r="AG35" s="36">
        <f>'[1]CB I'!$H35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33"/>
      <c r="AM35" s="37" t="str">
        <f t="shared" si="6"/>
        <v/>
      </c>
      <c r="AN35" s="36">
        <f>'[1]CB I'!$I35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27"/>
      <c r="AT35" s="37" t="str">
        <f t="shared" si="7"/>
        <v/>
      </c>
      <c r="AU35" s="36">
        <f>'[1]CB I'!$J35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33"/>
      <c r="BA35" s="37" t="str">
        <f t="shared" si="8"/>
        <v/>
      </c>
      <c r="BB35" s="36">
        <f>'[1]CB I'!$K35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33"/>
      <c r="BH35" s="37" t="str">
        <f t="shared" si="9"/>
        <v/>
      </c>
      <c r="BI35" s="36">
        <f>'[1]CB I'!$L35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'[1]CB I'!$M35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'[1]CB I'!$N35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'[1]CB I'!$O35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'[1]CB I'!$P35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  <c r="CS35" s="198"/>
      <c r="CT35" s="198"/>
      <c r="CU35" s="198"/>
      <c r="CV35" s="198"/>
      <c r="CW35" s="198"/>
      <c r="CX35" s="198"/>
      <c r="CY35" s="198"/>
      <c r="CZ35" s="198"/>
      <c r="DA35" s="198"/>
      <c r="DB35" s="198"/>
      <c r="DC35" s="198"/>
      <c r="DD35" s="198"/>
      <c r="DE35" s="199"/>
      <c r="DF35" s="199"/>
    </row>
    <row r="36" spans="1:110" s="26" customFormat="1" ht="16" customHeight="1" x14ac:dyDescent="0.2">
      <c r="A36" s="38" t="s">
        <v>60</v>
      </c>
      <c r="B36" s="30">
        <f t="shared" ref="B36:D54" si="64">+L36+S36+Z36+AG36+AN36+AU36+BB36+BI36+BP36+BW36+CD36+CK36</f>
        <v>93180</v>
      </c>
      <c r="C36" s="31">
        <f t="shared" si="64"/>
        <v>81728.178000000014</v>
      </c>
      <c r="D36" s="32">
        <f t="shared" si="64"/>
        <v>11451.821999999998</v>
      </c>
      <c r="E36" s="30">
        <f t="shared" si="15"/>
        <v>31060</v>
      </c>
      <c r="F36" s="33">
        <f t="shared" si="15"/>
        <v>27242.725999999999</v>
      </c>
      <c r="G36" s="34">
        <f t="shared" si="15"/>
        <v>3817.2739999999999</v>
      </c>
      <c r="H36" s="31">
        <f t="shared" ref="H36:J54" si="65">+O36+V36+AC36+AJ36+AQ36+AX36+BE36+BL36+BS36+BZ36+CG36+CN36</f>
        <v>49129.90378324021</v>
      </c>
      <c r="I36" s="33">
        <f t="shared" si="65"/>
        <v>1007.7671864916093</v>
      </c>
      <c r="J36" s="33">
        <f t="shared" si="65"/>
        <v>50137.670969731815</v>
      </c>
      <c r="K36" s="37">
        <f t="shared" si="2"/>
        <v>0.61421992819484261</v>
      </c>
      <c r="L36" s="36">
        <f>'[1]CB I'!$E36</f>
        <v>7765</v>
      </c>
      <c r="M36" s="31">
        <f t="shared" si="16"/>
        <v>6810.6814999999997</v>
      </c>
      <c r="N36" s="31">
        <f t="shared" si="17"/>
        <v>954.31849999999997</v>
      </c>
      <c r="O36" s="31">
        <f t="shared" si="18"/>
        <v>23309.01166003288</v>
      </c>
      <c r="P36" s="31">
        <f t="shared" si="19"/>
        <v>478.12137398373386</v>
      </c>
      <c r="Q36" s="27">
        <f>CS36*'[2]CAMBARÁ - CITROS'!$U$5</f>
        <v>23787.133034016613</v>
      </c>
      <c r="R36" s="37">
        <f t="shared" si="3"/>
        <v>2.0633783688366534</v>
      </c>
      <c r="S36" s="36">
        <f>'[1]CB I'!$F36</f>
        <v>7765</v>
      </c>
      <c r="T36" s="31">
        <f t="shared" si="20"/>
        <v>6810.6814999999997</v>
      </c>
      <c r="U36" s="31">
        <f t="shared" si="21"/>
        <v>954.31849999999997</v>
      </c>
      <c r="V36" s="31">
        <f t="shared" si="22"/>
        <v>7067.0524245254601</v>
      </c>
      <c r="W36" s="31">
        <f t="shared" si="23"/>
        <v>144.96147947031506</v>
      </c>
      <c r="X36" s="33">
        <f>CT36*'[2]CAMBARÁ - CITROS'!$U$5</f>
        <v>7212.0139039957749</v>
      </c>
      <c r="Y36" s="37">
        <f t="shared" si="4"/>
        <v>-7.1215208757788195E-2</v>
      </c>
      <c r="Z36" s="36">
        <f>'[1]CB I'!$G36</f>
        <v>7765</v>
      </c>
      <c r="AA36" s="31">
        <f t="shared" si="24"/>
        <v>6810.6814999999997</v>
      </c>
      <c r="AB36" s="31">
        <f t="shared" si="25"/>
        <v>954.31849999999997</v>
      </c>
      <c r="AC36" s="31">
        <f t="shared" si="26"/>
        <v>10250.478581354224</v>
      </c>
      <c r="AD36" s="31">
        <f t="shared" si="27"/>
        <v>210.26086282806392</v>
      </c>
      <c r="AE36" s="33">
        <f>CU36*'[2]CAMBARÁ - CITROS'!$U$5</f>
        <v>10460.739444182287</v>
      </c>
      <c r="AF36" s="37">
        <f t="shared" si="5"/>
        <v>0.34716541457595462</v>
      </c>
      <c r="AG36" s="36">
        <f>'[1]CB I'!$H36</f>
        <v>7765</v>
      </c>
      <c r="AH36" s="31">
        <f t="shared" si="28"/>
        <v>6810.6814999999997</v>
      </c>
      <c r="AI36" s="31">
        <f t="shared" si="29"/>
        <v>954.31849999999997</v>
      </c>
      <c r="AJ36" s="31">
        <f t="shared" si="30"/>
        <v>8503.3611173276422</v>
      </c>
      <c r="AK36" s="31">
        <f t="shared" si="31"/>
        <v>174.42347020949646</v>
      </c>
      <c r="AL36" s="33">
        <f>CV36*'[2]CAMBARÁ - CITROS'!$U$5</f>
        <v>8677.7845875371386</v>
      </c>
      <c r="AM36" s="37">
        <f t="shared" si="6"/>
        <v>0.11755113812455109</v>
      </c>
      <c r="AN36" s="36">
        <f>'[1]CB I'!$I36</f>
        <v>7765</v>
      </c>
      <c r="AO36" s="31">
        <f t="shared" si="32"/>
        <v>6810.6814999999997</v>
      </c>
      <c r="AP36" s="31">
        <f t="shared" si="33"/>
        <v>954.31849999999997</v>
      </c>
      <c r="AQ36" s="31">
        <f t="shared" si="34"/>
        <v>0</v>
      </c>
      <c r="AR36" s="31">
        <f t="shared" si="35"/>
        <v>0</v>
      </c>
      <c r="AS36" s="33">
        <f>CW36*'[3]CAMBARÁ - CITROS'!$U$5</f>
        <v>0</v>
      </c>
      <c r="AT36" s="37">
        <f t="shared" si="7"/>
        <v>-1</v>
      </c>
      <c r="AU36" s="36">
        <f>'[1]CB I'!$J36</f>
        <v>7765</v>
      </c>
      <c r="AV36" s="31">
        <f t="shared" si="36"/>
        <v>6810.6814999999997</v>
      </c>
      <c r="AW36" s="31">
        <f t="shared" si="37"/>
        <v>954.31849999999997</v>
      </c>
      <c r="AX36" s="31">
        <f t="shared" si="38"/>
        <v>0</v>
      </c>
      <c r="AY36" s="31">
        <f t="shared" si="39"/>
        <v>0</v>
      </c>
      <c r="AZ36" s="33">
        <f>CX36*'[3]CAMBARÁ - CITROS'!$U$5</f>
        <v>0</v>
      </c>
      <c r="BA36" s="37">
        <f t="shared" si="8"/>
        <v>-1</v>
      </c>
      <c r="BB36" s="36">
        <f>'[1]CB I'!$K36</f>
        <v>7765</v>
      </c>
      <c r="BC36" s="31">
        <f t="shared" si="40"/>
        <v>6810.6814999999997</v>
      </c>
      <c r="BD36" s="31">
        <f t="shared" si="41"/>
        <v>954.31849999999997</v>
      </c>
      <c r="BE36" s="31">
        <f t="shared" si="42"/>
        <v>0</v>
      </c>
      <c r="BF36" s="31">
        <f t="shared" si="43"/>
        <v>0</v>
      </c>
      <c r="BG36" s="33">
        <f>CY36*'[3]CAMBARÁ - CITROS'!$U$5</f>
        <v>0</v>
      </c>
      <c r="BH36" s="37">
        <f t="shared" si="9"/>
        <v>-1</v>
      </c>
      <c r="BI36" s="36">
        <f>'[1]CB I'!$L36</f>
        <v>7765</v>
      </c>
      <c r="BJ36" s="31">
        <f t="shared" si="44"/>
        <v>6810.6814999999997</v>
      </c>
      <c r="BK36" s="31">
        <f t="shared" si="45"/>
        <v>954.31849999999997</v>
      </c>
      <c r="BL36" s="31">
        <f t="shared" si="46"/>
        <v>0</v>
      </c>
      <c r="BM36" s="31">
        <f t="shared" si="47"/>
        <v>0</v>
      </c>
      <c r="BN36" s="33">
        <f>CZ36*'[3]CAMBARÁ - CITROS'!$U$5</f>
        <v>0</v>
      </c>
      <c r="BO36" s="37">
        <f t="shared" si="10"/>
        <v>-1</v>
      </c>
      <c r="BP36" s="36">
        <f>'[1]CB I'!$M36</f>
        <v>7765</v>
      </c>
      <c r="BQ36" s="31">
        <f t="shared" si="48"/>
        <v>6810.6814999999997</v>
      </c>
      <c r="BR36" s="31">
        <f t="shared" si="49"/>
        <v>954.31849999999997</v>
      </c>
      <c r="BS36" s="31">
        <f t="shared" si="50"/>
        <v>0</v>
      </c>
      <c r="BT36" s="31">
        <f t="shared" si="51"/>
        <v>0</v>
      </c>
      <c r="BU36" s="33">
        <f>DA36*'[3]CAMBARÁ - CITROS'!$U$5</f>
        <v>0</v>
      </c>
      <c r="BV36" s="37">
        <f t="shared" si="11"/>
        <v>-1</v>
      </c>
      <c r="BW36" s="36">
        <f>'[1]CB I'!$N36</f>
        <v>7765</v>
      </c>
      <c r="BX36" s="31">
        <f t="shared" si="52"/>
        <v>6810.6814999999997</v>
      </c>
      <c r="BY36" s="31">
        <f t="shared" si="53"/>
        <v>954.31849999999997</v>
      </c>
      <c r="BZ36" s="31">
        <f t="shared" si="54"/>
        <v>0</v>
      </c>
      <c r="CA36" s="31">
        <f t="shared" si="55"/>
        <v>0</v>
      </c>
      <c r="CB36" s="33">
        <f>DB36*'[3]CAMBARÁ - CITROS'!$U$5</f>
        <v>0</v>
      </c>
      <c r="CC36" s="37">
        <f t="shared" si="12"/>
        <v>-1</v>
      </c>
      <c r="CD36" s="36">
        <f>'[1]CB I'!$O36</f>
        <v>7765</v>
      </c>
      <c r="CE36" s="31">
        <f t="shared" si="56"/>
        <v>6810.6814999999997</v>
      </c>
      <c r="CF36" s="31">
        <f t="shared" si="57"/>
        <v>954.31849999999997</v>
      </c>
      <c r="CG36" s="31">
        <f t="shared" si="58"/>
        <v>0</v>
      </c>
      <c r="CH36" s="31">
        <f t="shared" si="59"/>
        <v>0</v>
      </c>
      <c r="CI36" s="33">
        <f>DC36*'[3]CAMBARÁ - CITROS'!$U$5</f>
        <v>0</v>
      </c>
      <c r="CJ36" s="37">
        <f t="shared" si="13"/>
        <v>-1</v>
      </c>
      <c r="CK36" s="36">
        <f>'[1]CB I'!$P36</f>
        <v>7765</v>
      </c>
      <c r="CL36" s="31">
        <f t="shared" si="60"/>
        <v>6810.6814999999997</v>
      </c>
      <c r="CM36" s="31">
        <f t="shared" si="61"/>
        <v>954.31849999999997</v>
      </c>
      <c r="CN36" s="31">
        <f t="shared" si="62"/>
        <v>0</v>
      </c>
      <c r="CO36" s="31">
        <f t="shared" si="63"/>
        <v>0</v>
      </c>
      <c r="CP36" s="33">
        <f>DD36*'[3]CAMBARÁ - CITROS'!$U$5</f>
        <v>0</v>
      </c>
      <c r="CQ36" s="37">
        <f t="shared" si="14"/>
        <v>-1</v>
      </c>
      <c r="CS36" s="198">
        <f>915+56.35+456.9+2100+6082.4+6.6+76.6+1640+49.93+24.14+2240+48.01+20.18+89.31+214.94+944+2333.33+800.36+500+27.28+1200+56.1+455+5.76+54.71+900+219.83+8432.65+314+200+99.01+100+620.51+322.36+415+425.44+751.68+90+1366.9+939.77+125+47.34+54.03+737.48+505.52+55.02+418.45+304.54+428.04+385.8</f>
        <v>38655.269999999982</v>
      </c>
      <c r="CT36" s="198">
        <f>60.86+41.88+557.1+34.2+629.3+946.05+1304.52+85.47+448.51+2333.34+176.28+130.5+400+1290+1627.04+784.78+550+304.55+15.5</f>
        <v>11719.88</v>
      </c>
      <c r="CU36" s="198">
        <f>2110.54+1575.96+2000+380+520+718.87+43.34+1834+57.52+44.84+4.77+4.92+33.51+50.61+26.33+24.62+6.61+27.36+360+313.5+588+552+450+540+2020+150.45+61.5+21.52+41.72+1304.52+448.51+42.11+45.59+596</f>
        <v>16999.220000000005</v>
      </c>
      <c r="CV36" s="198">
        <f>1542.3+21.07+800+38.82+38.28+16.5+8.16+39.6+35.64+63.36+368.83+105+770+416.93+390+224+3053.53+1680.7+31.11+1150+14.4+47.52+530.05+1304.53+448.5+390+573</f>
        <v>14101.830000000002</v>
      </c>
      <c r="CW36" s="198"/>
      <c r="CX36" s="198"/>
      <c r="CY36" s="27"/>
      <c r="CZ36" s="198"/>
      <c r="DA36" s="198"/>
      <c r="DB36" s="198"/>
      <c r="DC36" s="198"/>
      <c r="DD36" s="198"/>
      <c r="DE36" s="199"/>
      <c r="DF36" s="199"/>
    </row>
    <row r="37" spans="1:110" s="26" customFormat="1" ht="16" customHeight="1" x14ac:dyDescent="0.2">
      <c r="A37" s="38" t="s">
        <v>61</v>
      </c>
      <c r="B37" s="30">
        <f t="shared" si="64"/>
        <v>86968</v>
      </c>
      <c r="C37" s="31">
        <f t="shared" si="64"/>
        <v>76279.632799999992</v>
      </c>
      <c r="D37" s="32">
        <f t="shared" si="64"/>
        <v>10688.367199999995</v>
      </c>
      <c r="E37" s="30">
        <f t="shared" ref="E37:G54" si="66">+L37+S37+Z37+AG37</f>
        <v>28989.333333333332</v>
      </c>
      <c r="F37" s="33">
        <f t="shared" si="66"/>
        <v>25426.544266666664</v>
      </c>
      <c r="G37" s="34">
        <f t="shared" si="66"/>
        <v>3562.7890666666663</v>
      </c>
      <c r="H37" s="31">
        <f t="shared" si="65"/>
        <v>34403.818694056346</v>
      </c>
      <c r="I37" s="33">
        <f t="shared" si="65"/>
        <v>705.70135294472129</v>
      </c>
      <c r="J37" s="33">
        <f t="shared" si="65"/>
        <v>35109.520047001068</v>
      </c>
      <c r="K37" s="37">
        <f t="shared" si="2"/>
        <v>0.21111857396977296</v>
      </c>
      <c r="L37" s="36">
        <f>'[1]CB I'!$E37</f>
        <v>7247.333333333333</v>
      </c>
      <c r="M37" s="31">
        <f t="shared" si="16"/>
        <v>6356.636066666666</v>
      </c>
      <c r="N37" s="31">
        <f t="shared" si="17"/>
        <v>890.69726666666656</v>
      </c>
      <c r="O37" s="31">
        <f t="shared" si="18"/>
        <v>696.40725976791794</v>
      </c>
      <c r="P37" s="31">
        <f t="shared" si="19"/>
        <v>14.284912665920142</v>
      </c>
      <c r="Q37" s="27">
        <f>CS37*'[2]CAMBARÁ - CITROS'!$U$5</f>
        <v>710.6921724338381</v>
      </c>
      <c r="R37" s="37">
        <f t="shared" si="3"/>
        <v>-0.90193742446410108</v>
      </c>
      <c r="S37" s="36">
        <f>'[1]CB I'!$F37</f>
        <v>7247.333333333333</v>
      </c>
      <c r="T37" s="31">
        <f t="shared" si="20"/>
        <v>6356.636066666666</v>
      </c>
      <c r="U37" s="31">
        <f t="shared" si="21"/>
        <v>890.69726666666656</v>
      </c>
      <c r="V37" s="31">
        <f t="shared" si="22"/>
        <v>4184.0634906030418</v>
      </c>
      <c r="W37" s="31">
        <f t="shared" si="23"/>
        <v>85.824753710706318</v>
      </c>
      <c r="X37" s="33">
        <f>CT37*'[2]CAMBARÁ - CITROS'!$U$5</f>
        <v>4269.8882443137481</v>
      </c>
      <c r="Y37" s="37">
        <f t="shared" si="4"/>
        <v>-0.41083319230331872</v>
      </c>
      <c r="Z37" s="36">
        <f>'[1]CB I'!$G37</f>
        <v>7247.333333333333</v>
      </c>
      <c r="AA37" s="31">
        <f t="shared" si="24"/>
        <v>6356.636066666666</v>
      </c>
      <c r="AB37" s="31">
        <f t="shared" si="25"/>
        <v>890.69726666666656</v>
      </c>
      <c r="AC37" s="31">
        <f t="shared" si="26"/>
        <v>8652.0782662626716</v>
      </c>
      <c r="AD37" s="31">
        <f t="shared" si="27"/>
        <v>177.47400056319998</v>
      </c>
      <c r="AE37" s="33">
        <f>CU37*'[2]CAMBARÁ - CITROS'!$U$5</f>
        <v>8829.5522668258709</v>
      </c>
      <c r="AF37" s="37">
        <f t="shared" si="5"/>
        <v>0.21831739492584012</v>
      </c>
      <c r="AG37" s="36">
        <f>'[1]CB I'!$H37</f>
        <v>7247.333333333333</v>
      </c>
      <c r="AH37" s="31">
        <f t="shared" si="28"/>
        <v>6356.636066666666</v>
      </c>
      <c r="AI37" s="31">
        <f t="shared" si="29"/>
        <v>890.69726666666656</v>
      </c>
      <c r="AJ37" s="31">
        <f t="shared" si="30"/>
        <v>20871.269677422715</v>
      </c>
      <c r="AK37" s="31">
        <f t="shared" si="31"/>
        <v>428.11768600489489</v>
      </c>
      <c r="AL37" s="33">
        <f>CV37*'[2]CAMBARÁ - CITROS'!$U$5</f>
        <v>21299.38736342761</v>
      </c>
      <c r="AM37" s="37">
        <f t="shared" si="6"/>
        <v>1.9389275177206713</v>
      </c>
      <c r="AN37" s="36">
        <f>'[1]CB I'!$I37</f>
        <v>7247.333333333333</v>
      </c>
      <c r="AO37" s="31">
        <f t="shared" si="32"/>
        <v>6356.636066666666</v>
      </c>
      <c r="AP37" s="31">
        <f t="shared" si="33"/>
        <v>890.69726666666656</v>
      </c>
      <c r="AQ37" s="31">
        <f t="shared" si="34"/>
        <v>0</v>
      </c>
      <c r="AR37" s="31">
        <f t="shared" si="35"/>
        <v>0</v>
      </c>
      <c r="AS37" s="33">
        <f>CW37*'[3]CAMBARÁ - CITROS'!$U$5</f>
        <v>0</v>
      </c>
      <c r="AT37" s="37">
        <f t="shared" si="7"/>
        <v>-1</v>
      </c>
      <c r="AU37" s="36">
        <f>'[1]CB I'!$J37</f>
        <v>7247.333333333333</v>
      </c>
      <c r="AV37" s="31">
        <f t="shared" si="36"/>
        <v>6356.636066666666</v>
      </c>
      <c r="AW37" s="31">
        <f t="shared" si="37"/>
        <v>890.69726666666656</v>
      </c>
      <c r="AX37" s="31">
        <f t="shared" si="38"/>
        <v>0</v>
      </c>
      <c r="AY37" s="31">
        <f t="shared" si="39"/>
        <v>0</v>
      </c>
      <c r="AZ37" s="33">
        <f>CX37*'[3]CAMBARÁ - CITROS'!$U$5</f>
        <v>0</v>
      </c>
      <c r="BA37" s="37">
        <f t="shared" si="8"/>
        <v>-1</v>
      </c>
      <c r="BB37" s="36">
        <f>'[1]CB I'!$K37</f>
        <v>7247.333333333333</v>
      </c>
      <c r="BC37" s="31">
        <f t="shared" si="40"/>
        <v>6356.636066666666</v>
      </c>
      <c r="BD37" s="31">
        <f t="shared" si="41"/>
        <v>890.69726666666656</v>
      </c>
      <c r="BE37" s="31">
        <f t="shared" si="42"/>
        <v>0</v>
      </c>
      <c r="BF37" s="31">
        <f t="shared" si="43"/>
        <v>0</v>
      </c>
      <c r="BG37" s="33">
        <f>CY37*'[3]CAMBARÁ - CITROS'!$U$5</f>
        <v>0</v>
      </c>
      <c r="BH37" s="37">
        <f t="shared" si="9"/>
        <v>-1</v>
      </c>
      <c r="BI37" s="36">
        <f>'[1]CB I'!$L37</f>
        <v>7247.333333333333</v>
      </c>
      <c r="BJ37" s="31">
        <f t="shared" si="44"/>
        <v>6356.636066666666</v>
      </c>
      <c r="BK37" s="31">
        <f t="shared" si="45"/>
        <v>890.69726666666656</v>
      </c>
      <c r="BL37" s="31">
        <f t="shared" si="46"/>
        <v>0</v>
      </c>
      <c r="BM37" s="31">
        <f t="shared" si="47"/>
        <v>0</v>
      </c>
      <c r="BN37" s="33">
        <f>CZ37*'[3]CAMBARÁ - CITROS'!$U$5</f>
        <v>0</v>
      </c>
      <c r="BO37" s="37">
        <f t="shared" si="10"/>
        <v>-1</v>
      </c>
      <c r="BP37" s="36">
        <f>'[1]CB I'!$M37</f>
        <v>7247.333333333333</v>
      </c>
      <c r="BQ37" s="31">
        <f t="shared" si="48"/>
        <v>6356.636066666666</v>
      </c>
      <c r="BR37" s="31">
        <f t="shared" si="49"/>
        <v>890.69726666666656</v>
      </c>
      <c r="BS37" s="31">
        <f t="shared" si="50"/>
        <v>0</v>
      </c>
      <c r="BT37" s="31">
        <f t="shared" si="51"/>
        <v>0</v>
      </c>
      <c r="BU37" s="33">
        <f>DA37*'[3]CAMBARÁ - CITROS'!$U$5</f>
        <v>0</v>
      </c>
      <c r="BV37" s="37">
        <f t="shared" si="11"/>
        <v>-1</v>
      </c>
      <c r="BW37" s="36">
        <f>'[1]CB I'!$N37</f>
        <v>7247.333333333333</v>
      </c>
      <c r="BX37" s="31">
        <f t="shared" si="52"/>
        <v>6356.636066666666</v>
      </c>
      <c r="BY37" s="31">
        <f t="shared" si="53"/>
        <v>890.69726666666656</v>
      </c>
      <c r="BZ37" s="31">
        <f t="shared" si="54"/>
        <v>0</v>
      </c>
      <c r="CA37" s="31">
        <f t="shared" si="55"/>
        <v>0</v>
      </c>
      <c r="CB37" s="33">
        <f>DB37*'[3]CAMBARÁ - CITROS'!$U$5</f>
        <v>0</v>
      </c>
      <c r="CC37" s="37">
        <f t="shared" si="12"/>
        <v>-1</v>
      </c>
      <c r="CD37" s="36">
        <f>'[1]CB I'!$O37</f>
        <v>7247.333333333333</v>
      </c>
      <c r="CE37" s="31">
        <f t="shared" si="56"/>
        <v>6356.636066666666</v>
      </c>
      <c r="CF37" s="31">
        <f t="shared" si="57"/>
        <v>890.69726666666656</v>
      </c>
      <c r="CG37" s="31">
        <f t="shared" si="58"/>
        <v>0</v>
      </c>
      <c r="CH37" s="31">
        <f t="shared" si="59"/>
        <v>0</v>
      </c>
      <c r="CI37" s="33">
        <f>DC37*'[3]CAMBARÁ - CITROS'!$U$5</f>
        <v>0</v>
      </c>
      <c r="CJ37" s="37">
        <f t="shared" si="13"/>
        <v>-1</v>
      </c>
      <c r="CK37" s="36">
        <f>'[1]CB I'!$P37</f>
        <v>7247.333333333333</v>
      </c>
      <c r="CL37" s="31">
        <f t="shared" si="60"/>
        <v>6356.636066666666</v>
      </c>
      <c r="CM37" s="31">
        <f t="shared" si="61"/>
        <v>890.69726666666656</v>
      </c>
      <c r="CN37" s="31">
        <f t="shared" si="62"/>
        <v>0</v>
      </c>
      <c r="CO37" s="31">
        <f t="shared" si="63"/>
        <v>0</v>
      </c>
      <c r="CP37" s="33">
        <f>DD37*'[3]CAMBARÁ - CITROS'!$U$5</f>
        <v>0</v>
      </c>
      <c r="CQ37" s="37">
        <f t="shared" si="14"/>
        <v>-1</v>
      </c>
      <c r="CS37" s="198">
        <f>39810.18-CS36</f>
        <v>1154.910000000018</v>
      </c>
      <c r="CT37" s="198">
        <f>(18643.16+15.5)-CT36</f>
        <v>6938.7800000000007</v>
      </c>
      <c r="CU37" s="198">
        <f>31347.68-CU36</f>
        <v>14348.459999999995</v>
      </c>
      <c r="CV37" s="198">
        <f>48714.39-CV36</f>
        <v>34612.559999999998</v>
      </c>
      <c r="CW37" s="198"/>
      <c r="CX37" s="198"/>
      <c r="CY37" s="27"/>
      <c r="CZ37" s="198"/>
      <c r="DA37" s="198"/>
      <c r="DB37" s="200"/>
      <c r="DC37" s="198"/>
      <c r="DD37" s="198"/>
      <c r="DE37" s="199"/>
      <c r="DF37" s="199"/>
    </row>
    <row r="38" spans="1:110" s="26" customFormat="1" ht="16" customHeight="1" x14ac:dyDescent="0.2">
      <c r="A38" s="38" t="s">
        <v>62</v>
      </c>
      <c r="B38" s="30">
        <f t="shared" si="64"/>
        <v>16772.400000000005</v>
      </c>
      <c r="C38" s="31">
        <f t="shared" si="64"/>
        <v>14711.072039999999</v>
      </c>
      <c r="D38" s="32">
        <f t="shared" si="64"/>
        <v>2061.3279599999996</v>
      </c>
      <c r="E38" s="30">
        <f t="shared" si="66"/>
        <v>5590.8</v>
      </c>
      <c r="F38" s="33">
        <f t="shared" si="66"/>
        <v>4903.6906799999997</v>
      </c>
      <c r="G38" s="34">
        <f t="shared" si="66"/>
        <v>687.10932000000003</v>
      </c>
      <c r="H38" s="31">
        <f t="shared" si="65"/>
        <v>13102.72069848956</v>
      </c>
      <c r="I38" s="33">
        <f t="shared" si="65"/>
        <v>268.76690074460669</v>
      </c>
      <c r="J38" s="33">
        <f t="shared" si="65"/>
        <v>13371.487599234166</v>
      </c>
      <c r="K38" s="37">
        <f t="shared" si="2"/>
        <v>1.3916948556976041</v>
      </c>
      <c r="L38" s="36">
        <f>'[1]CB I'!$E38</f>
        <v>1397.7</v>
      </c>
      <c r="M38" s="31">
        <f t="shared" si="16"/>
        <v>1225.9226699999999</v>
      </c>
      <c r="N38" s="31">
        <f t="shared" si="17"/>
        <v>171.77733000000001</v>
      </c>
      <c r="O38" s="31">
        <f t="shared" si="18"/>
        <v>808.06421337574091</v>
      </c>
      <c r="P38" s="31">
        <f t="shared" si="19"/>
        <v>16.575253279775886</v>
      </c>
      <c r="Q38" s="27">
        <f>CS38*'[2]CAMBARÁ - CITROS'!$U$5</f>
        <v>824.6394666555168</v>
      </c>
      <c r="R38" s="37">
        <f t="shared" si="3"/>
        <v>-0.41000252797058256</v>
      </c>
      <c r="S38" s="36">
        <f>'[1]CB I'!$F38</f>
        <v>1397.7</v>
      </c>
      <c r="T38" s="31">
        <f t="shared" si="20"/>
        <v>1225.9226699999999</v>
      </c>
      <c r="U38" s="31">
        <f t="shared" si="21"/>
        <v>171.77733000000001</v>
      </c>
      <c r="V38" s="31">
        <f t="shared" si="22"/>
        <v>0</v>
      </c>
      <c r="W38" s="31">
        <f t="shared" si="23"/>
        <v>0</v>
      </c>
      <c r="X38" s="33">
        <f>CT38*'[2]CAMBARÁ - CITROS'!$U$5</f>
        <v>0</v>
      </c>
      <c r="Y38" s="37">
        <f t="shared" si="4"/>
        <v>-1</v>
      </c>
      <c r="Z38" s="36">
        <f>'[1]CB I'!$G38</f>
        <v>1397.7</v>
      </c>
      <c r="AA38" s="31">
        <f t="shared" si="24"/>
        <v>1225.9226699999999</v>
      </c>
      <c r="AB38" s="31">
        <f t="shared" si="25"/>
        <v>171.77733000000001</v>
      </c>
      <c r="AC38" s="31">
        <f t="shared" si="26"/>
        <v>5817.5099910576982</v>
      </c>
      <c r="AD38" s="31">
        <f t="shared" si="27"/>
        <v>119.33049374452466</v>
      </c>
      <c r="AE38" s="33">
        <f>CU38*'[2]CAMBARÁ - CITROS'!$U$5</f>
        <v>5936.8404848022228</v>
      </c>
      <c r="AF38" s="37">
        <f t="shared" si="5"/>
        <v>3.2475785109839181</v>
      </c>
      <c r="AG38" s="36">
        <f>'[1]CB I'!$H38</f>
        <v>1397.7</v>
      </c>
      <c r="AH38" s="31">
        <f t="shared" si="28"/>
        <v>1225.9226699999999</v>
      </c>
      <c r="AI38" s="31">
        <f t="shared" si="29"/>
        <v>171.77733000000001</v>
      </c>
      <c r="AJ38" s="31">
        <f t="shared" si="30"/>
        <v>6477.14649405612</v>
      </c>
      <c r="AK38" s="31">
        <f t="shared" si="31"/>
        <v>132.86115372030613</v>
      </c>
      <c r="AL38" s="33">
        <f>CV38*'[2]CAMBARÁ - CITROS'!$U$5</f>
        <v>6610.007647776426</v>
      </c>
      <c r="AM38" s="37">
        <f t="shared" si="6"/>
        <v>3.7292034397770806</v>
      </c>
      <c r="AN38" s="36">
        <f>'[1]CB I'!$I38</f>
        <v>1397.7</v>
      </c>
      <c r="AO38" s="31">
        <f t="shared" si="32"/>
        <v>1225.9226699999999</v>
      </c>
      <c r="AP38" s="31">
        <f t="shared" si="33"/>
        <v>171.77733000000001</v>
      </c>
      <c r="AQ38" s="31">
        <f t="shared" si="34"/>
        <v>0</v>
      </c>
      <c r="AR38" s="31">
        <f t="shared" si="35"/>
        <v>0</v>
      </c>
      <c r="AS38" s="33">
        <f>CW38*'[3]CAMBARÁ - CITROS'!$U$5</f>
        <v>0</v>
      </c>
      <c r="AT38" s="37">
        <f t="shared" si="7"/>
        <v>-1</v>
      </c>
      <c r="AU38" s="36">
        <f>'[1]CB I'!$J38</f>
        <v>1397.7</v>
      </c>
      <c r="AV38" s="31">
        <f t="shared" si="36"/>
        <v>1225.9226699999999</v>
      </c>
      <c r="AW38" s="31">
        <f t="shared" si="37"/>
        <v>171.77733000000001</v>
      </c>
      <c r="AX38" s="31">
        <f t="shared" si="38"/>
        <v>0</v>
      </c>
      <c r="AY38" s="31">
        <f t="shared" si="39"/>
        <v>0</v>
      </c>
      <c r="AZ38" s="33">
        <f>CX38*'[3]CAMBARÁ - CITROS'!$U$5</f>
        <v>0</v>
      </c>
      <c r="BA38" s="37">
        <f t="shared" si="8"/>
        <v>-1</v>
      </c>
      <c r="BB38" s="36">
        <f>'[1]CB I'!$K38</f>
        <v>1397.7</v>
      </c>
      <c r="BC38" s="31">
        <f t="shared" si="40"/>
        <v>1225.9226699999999</v>
      </c>
      <c r="BD38" s="31">
        <f t="shared" si="41"/>
        <v>171.77733000000001</v>
      </c>
      <c r="BE38" s="31">
        <f t="shared" si="42"/>
        <v>0</v>
      </c>
      <c r="BF38" s="31">
        <f t="shared" si="43"/>
        <v>0</v>
      </c>
      <c r="BG38" s="33">
        <f>CY38*'[3]CAMBARÁ - CITROS'!$U$5</f>
        <v>0</v>
      </c>
      <c r="BH38" s="37">
        <f t="shared" si="9"/>
        <v>-1</v>
      </c>
      <c r="BI38" s="36">
        <f>'[1]CB I'!$L38</f>
        <v>1397.7</v>
      </c>
      <c r="BJ38" s="31">
        <f t="shared" si="44"/>
        <v>1225.9226699999999</v>
      </c>
      <c r="BK38" s="31">
        <f t="shared" si="45"/>
        <v>171.77733000000001</v>
      </c>
      <c r="BL38" s="31">
        <f t="shared" si="46"/>
        <v>0</v>
      </c>
      <c r="BM38" s="31">
        <f t="shared" si="47"/>
        <v>0</v>
      </c>
      <c r="BN38" s="33">
        <f>CZ38*'[3]CAMBARÁ - CITROS'!$U$5</f>
        <v>0</v>
      </c>
      <c r="BO38" s="37">
        <f t="shared" si="10"/>
        <v>-1</v>
      </c>
      <c r="BP38" s="36">
        <f>'[1]CB I'!$M38</f>
        <v>1397.7</v>
      </c>
      <c r="BQ38" s="31">
        <f t="shared" si="48"/>
        <v>1225.9226699999999</v>
      </c>
      <c r="BR38" s="31">
        <f t="shared" si="49"/>
        <v>171.77733000000001</v>
      </c>
      <c r="BS38" s="31">
        <f t="shared" si="50"/>
        <v>0</v>
      </c>
      <c r="BT38" s="31">
        <f t="shared" si="51"/>
        <v>0</v>
      </c>
      <c r="BU38" s="33">
        <f>DA38*'[3]CAMBARÁ - CITROS'!$U$5</f>
        <v>0</v>
      </c>
      <c r="BV38" s="37">
        <f t="shared" si="11"/>
        <v>-1</v>
      </c>
      <c r="BW38" s="36">
        <f>'[1]CB I'!$N38</f>
        <v>1397.7</v>
      </c>
      <c r="BX38" s="31">
        <f t="shared" si="52"/>
        <v>1225.9226699999999</v>
      </c>
      <c r="BY38" s="31">
        <f t="shared" si="53"/>
        <v>171.77733000000001</v>
      </c>
      <c r="BZ38" s="31">
        <f t="shared" si="54"/>
        <v>0</v>
      </c>
      <c r="CA38" s="31">
        <f t="shared" si="55"/>
        <v>0</v>
      </c>
      <c r="CB38" s="33">
        <f>DB38*'[3]CAMBARÁ - CITROS'!$U$5</f>
        <v>0</v>
      </c>
      <c r="CC38" s="37">
        <f t="shared" si="12"/>
        <v>-1</v>
      </c>
      <c r="CD38" s="36">
        <f>'[1]CB I'!$O38</f>
        <v>1397.7</v>
      </c>
      <c r="CE38" s="31">
        <f t="shared" si="56"/>
        <v>1225.9226699999999</v>
      </c>
      <c r="CF38" s="31">
        <f t="shared" si="57"/>
        <v>171.77733000000001</v>
      </c>
      <c r="CG38" s="31">
        <f t="shared" si="58"/>
        <v>0</v>
      </c>
      <c r="CH38" s="31">
        <f t="shared" si="59"/>
        <v>0</v>
      </c>
      <c r="CI38" s="33">
        <f>DC38*'[3]CAMBARÁ - CITROS'!$U$5</f>
        <v>0</v>
      </c>
      <c r="CJ38" s="37">
        <f t="shared" si="13"/>
        <v>-1</v>
      </c>
      <c r="CK38" s="36">
        <f>'[1]CB I'!$P38</f>
        <v>1397.7</v>
      </c>
      <c r="CL38" s="31">
        <f t="shared" si="60"/>
        <v>1225.9226699999999</v>
      </c>
      <c r="CM38" s="31">
        <f t="shared" si="61"/>
        <v>171.77733000000001</v>
      </c>
      <c r="CN38" s="31">
        <f t="shared" si="62"/>
        <v>0</v>
      </c>
      <c r="CO38" s="31">
        <f t="shared" si="63"/>
        <v>0</v>
      </c>
      <c r="CP38" s="33">
        <f>DD38*'[3]CAMBARÁ - CITROS'!$U$5</f>
        <v>0</v>
      </c>
      <c r="CQ38" s="37">
        <f t="shared" si="14"/>
        <v>-1</v>
      </c>
      <c r="CS38" s="198">
        <f>1340.08</f>
        <v>1340.08</v>
      </c>
      <c r="CT38" s="198"/>
      <c r="CU38" s="198">
        <v>9647.66</v>
      </c>
      <c r="CV38" s="198">
        <f>10741.59</f>
        <v>10741.59</v>
      </c>
      <c r="CW38" s="198"/>
      <c r="CX38" s="198"/>
      <c r="CY38" s="27"/>
      <c r="CZ38" s="198"/>
      <c r="DA38" s="198"/>
      <c r="DB38" s="200"/>
      <c r="DC38" s="198"/>
      <c r="DD38" s="198"/>
      <c r="DE38" s="199"/>
      <c r="DF38" s="199"/>
    </row>
    <row r="39" spans="1:110" s="26" customFormat="1" ht="16" customHeight="1" x14ac:dyDescent="0.2">
      <c r="A39" s="38" t="s">
        <v>63</v>
      </c>
      <c r="B39" s="30">
        <f t="shared" si="64"/>
        <v>6212.0000000000009</v>
      </c>
      <c r="C39" s="31">
        <f t="shared" si="64"/>
        <v>5448.5452000000005</v>
      </c>
      <c r="D39" s="32">
        <f t="shared" si="64"/>
        <v>763.45479999999986</v>
      </c>
      <c r="E39" s="30">
        <f t="shared" si="66"/>
        <v>2070.6666666666665</v>
      </c>
      <c r="F39" s="33">
        <f t="shared" si="66"/>
        <v>1816.1817333333331</v>
      </c>
      <c r="G39" s="34">
        <f t="shared" si="66"/>
        <v>254.48493333333332</v>
      </c>
      <c r="H39" s="31">
        <f t="shared" si="65"/>
        <v>7430.4847435240972</v>
      </c>
      <c r="I39" s="33">
        <f t="shared" si="65"/>
        <v>152.41631119995338</v>
      </c>
      <c r="J39" s="33">
        <f t="shared" si="65"/>
        <v>7582.9010547240505</v>
      </c>
      <c r="K39" s="37">
        <f t="shared" si="2"/>
        <v>2.6620578177997669</v>
      </c>
      <c r="L39" s="36">
        <f>'[1]CB I'!$E39</f>
        <v>517.66666666666663</v>
      </c>
      <c r="M39" s="31">
        <f t="shared" si="16"/>
        <v>454.04543333333328</v>
      </c>
      <c r="N39" s="31">
        <f t="shared" si="17"/>
        <v>63.621233333333329</v>
      </c>
      <c r="O39" s="31">
        <f t="shared" si="18"/>
        <v>1262.6395282042856</v>
      </c>
      <c r="P39" s="31">
        <f t="shared" si="19"/>
        <v>25.899637225131276</v>
      </c>
      <c r="Q39" s="27">
        <f>CS39*'[2]CAMBARÁ - CITROS'!$U$5</f>
        <v>1288.5391654294169</v>
      </c>
      <c r="R39" s="37">
        <f t="shared" si="3"/>
        <v>1.4891291025680946</v>
      </c>
      <c r="S39" s="36">
        <f>'[1]CB I'!$F39</f>
        <v>517.66666666666663</v>
      </c>
      <c r="T39" s="31">
        <f t="shared" si="20"/>
        <v>454.04543333333328</v>
      </c>
      <c r="U39" s="31">
        <f t="shared" si="21"/>
        <v>63.621233333333329</v>
      </c>
      <c r="V39" s="31">
        <f t="shared" si="22"/>
        <v>848.92931974287865</v>
      </c>
      <c r="W39" s="31">
        <f t="shared" si="23"/>
        <v>17.413490485592259</v>
      </c>
      <c r="X39" s="33">
        <f>CT39*'[2]CAMBARÁ - CITROS'!$U$5</f>
        <v>866.34281022847085</v>
      </c>
      <c r="Y39" s="37">
        <f t="shared" si="4"/>
        <v>0.6735534003125645</v>
      </c>
      <c r="Z39" s="36">
        <f>'[1]CB I'!$G39</f>
        <v>517.66666666666663</v>
      </c>
      <c r="AA39" s="31">
        <f t="shared" si="24"/>
        <v>454.04543333333328</v>
      </c>
      <c r="AB39" s="31">
        <f t="shared" si="25"/>
        <v>63.621233333333329</v>
      </c>
      <c r="AC39" s="31">
        <f t="shared" si="26"/>
        <v>451.34325093408017</v>
      </c>
      <c r="AD39" s="31">
        <f t="shared" si="27"/>
        <v>9.2580868902694249</v>
      </c>
      <c r="AE39" s="33">
        <f>CU39*'[2]CAMBARÁ - CITROS'!$U$5</f>
        <v>460.60133782434957</v>
      </c>
      <c r="AF39" s="37">
        <f t="shared" si="5"/>
        <v>-0.1102356642156801</v>
      </c>
      <c r="AG39" s="36">
        <f>'[1]CB I'!$H39</f>
        <v>517.66666666666663</v>
      </c>
      <c r="AH39" s="31">
        <f t="shared" si="28"/>
        <v>454.04543333333328</v>
      </c>
      <c r="AI39" s="31">
        <f t="shared" si="29"/>
        <v>63.621233333333329</v>
      </c>
      <c r="AJ39" s="31">
        <f t="shared" si="30"/>
        <v>4867.5726446428525</v>
      </c>
      <c r="AK39" s="31">
        <f t="shared" si="31"/>
        <v>99.845096598960424</v>
      </c>
      <c r="AL39" s="33">
        <f>CV39*'[2]CAMBARÁ - CITROS'!$U$5</f>
        <v>4967.417741241813</v>
      </c>
      <c r="AM39" s="37">
        <f t="shared" si="6"/>
        <v>8.5957844325340886</v>
      </c>
      <c r="AN39" s="36">
        <f>'[1]CB I'!$I39</f>
        <v>517.66666666666663</v>
      </c>
      <c r="AO39" s="31">
        <f t="shared" si="32"/>
        <v>454.04543333333328</v>
      </c>
      <c r="AP39" s="31">
        <f t="shared" si="33"/>
        <v>63.621233333333329</v>
      </c>
      <c r="AQ39" s="31">
        <f t="shared" si="34"/>
        <v>0</v>
      </c>
      <c r="AR39" s="31">
        <f t="shared" si="35"/>
        <v>0</v>
      </c>
      <c r="AS39" s="33">
        <f>CW39*'[3]CAMBARÁ - CITROS'!$U$5</f>
        <v>0</v>
      </c>
      <c r="AT39" s="37">
        <f t="shared" si="7"/>
        <v>-1</v>
      </c>
      <c r="AU39" s="36">
        <f>'[1]CB I'!$J39</f>
        <v>517.66666666666663</v>
      </c>
      <c r="AV39" s="31">
        <f t="shared" si="36"/>
        <v>454.04543333333328</v>
      </c>
      <c r="AW39" s="31">
        <f t="shared" si="37"/>
        <v>63.621233333333329</v>
      </c>
      <c r="AX39" s="31">
        <f t="shared" si="38"/>
        <v>0</v>
      </c>
      <c r="AY39" s="31">
        <f t="shared" si="39"/>
        <v>0</v>
      </c>
      <c r="AZ39" s="33">
        <f>CX39*'[3]CAMBARÁ - CITROS'!$U$5</f>
        <v>0</v>
      </c>
      <c r="BA39" s="37">
        <f t="shared" si="8"/>
        <v>-1</v>
      </c>
      <c r="BB39" s="36">
        <f>'[1]CB I'!$K39</f>
        <v>517.66666666666663</v>
      </c>
      <c r="BC39" s="31">
        <f t="shared" si="40"/>
        <v>454.04543333333328</v>
      </c>
      <c r="BD39" s="31">
        <f t="shared" si="41"/>
        <v>63.621233333333329</v>
      </c>
      <c r="BE39" s="31">
        <f t="shared" si="42"/>
        <v>0</v>
      </c>
      <c r="BF39" s="31">
        <f t="shared" si="43"/>
        <v>0</v>
      </c>
      <c r="BG39" s="33">
        <f>CY39*'[3]CAMBARÁ - CITROS'!$U$5</f>
        <v>0</v>
      </c>
      <c r="BH39" s="37">
        <f t="shared" si="9"/>
        <v>-1</v>
      </c>
      <c r="BI39" s="36">
        <f>'[1]CB I'!$L39</f>
        <v>517.66666666666663</v>
      </c>
      <c r="BJ39" s="31">
        <f t="shared" si="44"/>
        <v>454.04543333333328</v>
      </c>
      <c r="BK39" s="31">
        <f t="shared" si="45"/>
        <v>63.621233333333329</v>
      </c>
      <c r="BL39" s="31">
        <f t="shared" si="46"/>
        <v>0</v>
      </c>
      <c r="BM39" s="31">
        <f t="shared" si="47"/>
        <v>0</v>
      </c>
      <c r="BN39" s="33">
        <f>CZ39*'[3]CAMBARÁ - CITROS'!$U$5</f>
        <v>0</v>
      </c>
      <c r="BO39" s="37">
        <f t="shared" si="10"/>
        <v>-1</v>
      </c>
      <c r="BP39" s="36">
        <f>'[1]CB I'!$M39</f>
        <v>517.66666666666663</v>
      </c>
      <c r="BQ39" s="31">
        <f t="shared" si="48"/>
        <v>454.04543333333328</v>
      </c>
      <c r="BR39" s="31">
        <f t="shared" si="49"/>
        <v>63.621233333333329</v>
      </c>
      <c r="BS39" s="31">
        <f t="shared" si="50"/>
        <v>0</v>
      </c>
      <c r="BT39" s="31">
        <f t="shared" si="51"/>
        <v>0</v>
      </c>
      <c r="BU39" s="33">
        <f>DA39*'[3]CAMBARÁ - CITROS'!$U$5</f>
        <v>0</v>
      </c>
      <c r="BV39" s="37">
        <f t="shared" si="11"/>
        <v>-1</v>
      </c>
      <c r="BW39" s="36">
        <f>'[1]CB I'!$N39</f>
        <v>517.66666666666663</v>
      </c>
      <c r="BX39" s="31">
        <f t="shared" si="52"/>
        <v>454.04543333333328</v>
      </c>
      <c r="BY39" s="31">
        <f t="shared" si="53"/>
        <v>63.621233333333329</v>
      </c>
      <c r="BZ39" s="31">
        <f t="shared" si="54"/>
        <v>0</v>
      </c>
      <c r="CA39" s="31">
        <f t="shared" si="55"/>
        <v>0</v>
      </c>
      <c r="CB39" s="33">
        <f>DB39*'[3]CAMBARÁ - CITROS'!$U$5</f>
        <v>0</v>
      </c>
      <c r="CC39" s="37">
        <f t="shared" si="12"/>
        <v>-1</v>
      </c>
      <c r="CD39" s="36">
        <f>'[1]CB I'!$O39</f>
        <v>517.66666666666663</v>
      </c>
      <c r="CE39" s="31">
        <f t="shared" si="56"/>
        <v>454.04543333333328</v>
      </c>
      <c r="CF39" s="31">
        <f t="shared" si="57"/>
        <v>63.621233333333329</v>
      </c>
      <c r="CG39" s="31">
        <f t="shared" si="58"/>
        <v>0</v>
      </c>
      <c r="CH39" s="31">
        <f t="shared" si="59"/>
        <v>0</v>
      </c>
      <c r="CI39" s="33">
        <f>DC39*'[3]CAMBARÁ - CITROS'!$U$5</f>
        <v>0</v>
      </c>
      <c r="CJ39" s="37">
        <f t="shared" si="13"/>
        <v>-1</v>
      </c>
      <c r="CK39" s="36">
        <f>'[1]CB I'!$P39</f>
        <v>517.66666666666663</v>
      </c>
      <c r="CL39" s="31">
        <f t="shared" si="60"/>
        <v>454.04543333333328</v>
      </c>
      <c r="CM39" s="31">
        <f t="shared" si="61"/>
        <v>63.621233333333329</v>
      </c>
      <c r="CN39" s="31">
        <f t="shared" si="62"/>
        <v>0</v>
      </c>
      <c r="CO39" s="31">
        <f t="shared" si="63"/>
        <v>0</v>
      </c>
      <c r="CP39" s="33">
        <f>DD39*'[3]CAMBARÁ - CITROS'!$U$5</f>
        <v>0</v>
      </c>
      <c r="CQ39" s="37">
        <f t="shared" si="14"/>
        <v>-1</v>
      </c>
      <c r="CS39" s="198">
        <f>2093.94</f>
        <v>2093.94</v>
      </c>
      <c r="CT39" s="198">
        <f>1407.85</f>
        <v>1407.85</v>
      </c>
      <c r="CU39" s="198">
        <f>748.5</f>
        <v>748.5</v>
      </c>
      <c r="CV39" s="198">
        <f>6784.1+1288.2</f>
        <v>8072.3</v>
      </c>
      <c r="CW39" s="198"/>
      <c r="CX39" s="198"/>
      <c r="CY39" s="27"/>
      <c r="CZ39" s="198"/>
      <c r="DA39" s="198"/>
      <c r="DB39" s="200"/>
      <c r="DC39" s="198"/>
      <c r="DD39" s="198"/>
      <c r="DE39" s="199"/>
      <c r="DF39" s="199"/>
    </row>
    <row r="40" spans="1:110" s="26" customFormat="1" ht="16" customHeight="1" x14ac:dyDescent="0.2">
      <c r="A40" s="38" t="s">
        <v>64</v>
      </c>
      <c r="B40" s="30">
        <f t="shared" si="64"/>
        <v>18636</v>
      </c>
      <c r="C40" s="31">
        <f t="shared" si="64"/>
        <v>16345.635600000001</v>
      </c>
      <c r="D40" s="32">
        <f t="shared" si="64"/>
        <v>2290.3643999999995</v>
      </c>
      <c r="E40" s="30">
        <f t="shared" si="66"/>
        <v>6212</v>
      </c>
      <c r="F40" s="33">
        <f t="shared" si="66"/>
        <v>5448.5452000000005</v>
      </c>
      <c r="G40" s="34">
        <f t="shared" si="66"/>
        <v>763.45479999999998</v>
      </c>
      <c r="H40" s="31">
        <f t="shared" si="65"/>
        <v>9658.4440714916964</v>
      </c>
      <c r="I40" s="33">
        <f t="shared" si="65"/>
        <v>198.11687502498526</v>
      </c>
      <c r="J40" s="33">
        <f t="shared" si="65"/>
        <v>9856.5609465166817</v>
      </c>
      <c r="K40" s="37">
        <f t="shared" si="2"/>
        <v>0.58669686840255664</v>
      </c>
      <c r="L40" s="36">
        <f>'[1]CB I'!$E40</f>
        <v>1553</v>
      </c>
      <c r="M40" s="31">
        <f t="shared" si="16"/>
        <v>1362.1363000000001</v>
      </c>
      <c r="N40" s="31">
        <f t="shared" si="17"/>
        <v>190.86369999999999</v>
      </c>
      <c r="O40" s="31">
        <f t="shared" si="18"/>
        <v>1012.7937531982377</v>
      </c>
      <c r="P40" s="31">
        <f t="shared" si="19"/>
        <v>20.774726440743517</v>
      </c>
      <c r="Q40" s="27">
        <f>CS40*'[2]CAMBARÁ - CITROS'!$U$5</f>
        <v>1033.5684796389812</v>
      </c>
      <c r="R40" s="37">
        <f t="shared" si="3"/>
        <v>-0.33446974910561411</v>
      </c>
      <c r="S40" s="36">
        <f>'[1]CB I'!$F40</f>
        <v>1553</v>
      </c>
      <c r="T40" s="31">
        <f t="shared" si="20"/>
        <v>1362.1363000000001</v>
      </c>
      <c r="U40" s="31">
        <f t="shared" si="21"/>
        <v>190.86369999999999</v>
      </c>
      <c r="V40" s="31">
        <f t="shared" si="22"/>
        <v>1012.7937531982377</v>
      </c>
      <c r="W40" s="31">
        <f t="shared" si="23"/>
        <v>20.774726440743517</v>
      </c>
      <c r="X40" s="33">
        <f>CT40*'[2]CAMBARÁ - CITROS'!$U$5</f>
        <v>1033.5684796389812</v>
      </c>
      <c r="Y40" s="37">
        <f t="shared" si="4"/>
        <v>-0.33446974910561411</v>
      </c>
      <c r="Z40" s="36">
        <f>'[1]CB I'!$G40</f>
        <v>1553</v>
      </c>
      <c r="AA40" s="31">
        <f t="shared" si="24"/>
        <v>1362.1363000000001</v>
      </c>
      <c r="AB40" s="31">
        <f t="shared" si="25"/>
        <v>190.86369999999999</v>
      </c>
      <c r="AC40" s="31">
        <f t="shared" si="26"/>
        <v>5233.7727198496214</v>
      </c>
      <c r="AD40" s="31">
        <f t="shared" si="27"/>
        <v>107.35670136644288</v>
      </c>
      <c r="AE40" s="33">
        <f>CU40*'[2]CAMBARÁ - CITROS'!$U$5</f>
        <v>5341.1294212160647</v>
      </c>
      <c r="AF40" s="37">
        <f t="shared" si="5"/>
        <v>2.4392333684585092</v>
      </c>
      <c r="AG40" s="36">
        <f>'[1]CB I'!$H40</f>
        <v>1553</v>
      </c>
      <c r="AH40" s="31">
        <f t="shared" si="28"/>
        <v>1362.1363000000001</v>
      </c>
      <c r="AI40" s="31">
        <f t="shared" si="29"/>
        <v>190.86369999999999</v>
      </c>
      <c r="AJ40" s="31">
        <f t="shared" si="30"/>
        <v>2399.0838452455992</v>
      </c>
      <c r="AK40" s="31">
        <f t="shared" si="31"/>
        <v>49.21072077705535</v>
      </c>
      <c r="AL40" s="33">
        <f>CV40*'[2]CAMBARÁ - CITROS'!$U$5</f>
        <v>2448.2945660226546</v>
      </c>
      <c r="AM40" s="37">
        <f t="shared" si="6"/>
        <v>0.57649360336294575</v>
      </c>
      <c r="AN40" s="36">
        <f>'[1]CB I'!$I40</f>
        <v>1553</v>
      </c>
      <c r="AO40" s="31">
        <f t="shared" si="32"/>
        <v>1362.1363000000001</v>
      </c>
      <c r="AP40" s="31">
        <f t="shared" si="33"/>
        <v>190.86369999999999</v>
      </c>
      <c r="AQ40" s="31">
        <f t="shared" si="34"/>
        <v>0</v>
      </c>
      <c r="AR40" s="31">
        <f t="shared" si="35"/>
        <v>0</v>
      </c>
      <c r="AS40" s="33">
        <f>CW40*'[3]CAMBARÁ - CITROS'!$U$5</f>
        <v>0</v>
      </c>
      <c r="AT40" s="37">
        <f t="shared" si="7"/>
        <v>-1</v>
      </c>
      <c r="AU40" s="36">
        <f>'[1]CB I'!$J40</f>
        <v>1553</v>
      </c>
      <c r="AV40" s="31">
        <f t="shared" si="36"/>
        <v>1362.1363000000001</v>
      </c>
      <c r="AW40" s="31">
        <f t="shared" si="37"/>
        <v>190.86369999999999</v>
      </c>
      <c r="AX40" s="31">
        <f t="shared" si="38"/>
        <v>0</v>
      </c>
      <c r="AY40" s="31">
        <f t="shared" si="39"/>
        <v>0</v>
      </c>
      <c r="AZ40" s="33">
        <f>CX40*'[3]CAMBARÁ - CITROS'!$U$5</f>
        <v>0</v>
      </c>
      <c r="BA40" s="37">
        <f t="shared" si="8"/>
        <v>-1</v>
      </c>
      <c r="BB40" s="36">
        <f>'[1]CB I'!$K40</f>
        <v>1553</v>
      </c>
      <c r="BC40" s="31">
        <f t="shared" si="40"/>
        <v>1362.1363000000001</v>
      </c>
      <c r="BD40" s="31">
        <f t="shared" si="41"/>
        <v>190.86369999999999</v>
      </c>
      <c r="BE40" s="31">
        <f t="shared" si="42"/>
        <v>0</v>
      </c>
      <c r="BF40" s="31">
        <f t="shared" si="43"/>
        <v>0</v>
      </c>
      <c r="BG40" s="33">
        <f>CY40*'[3]CAMBARÁ - CITROS'!$U$5</f>
        <v>0</v>
      </c>
      <c r="BH40" s="37">
        <f t="shared" si="9"/>
        <v>-1</v>
      </c>
      <c r="BI40" s="36">
        <f>'[1]CB I'!$L40</f>
        <v>1553</v>
      </c>
      <c r="BJ40" s="31">
        <f t="shared" si="44"/>
        <v>1362.1363000000001</v>
      </c>
      <c r="BK40" s="31">
        <f t="shared" si="45"/>
        <v>190.86369999999999</v>
      </c>
      <c r="BL40" s="31">
        <f t="shared" si="46"/>
        <v>0</v>
      </c>
      <c r="BM40" s="31">
        <f t="shared" si="47"/>
        <v>0</v>
      </c>
      <c r="BN40" s="33">
        <f>CZ40*'[3]CAMBARÁ - CITROS'!$U$5</f>
        <v>0</v>
      </c>
      <c r="BO40" s="37">
        <f t="shared" si="10"/>
        <v>-1</v>
      </c>
      <c r="BP40" s="36">
        <f>'[1]CB I'!$M40</f>
        <v>1553</v>
      </c>
      <c r="BQ40" s="31">
        <f t="shared" si="48"/>
        <v>1362.1363000000001</v>
      </c>
      <c r="BR40" s="31">
        <f t="shared" si="49"/>
        <v>190.86369999999999</v>
      </c>
      <c r="BS40" s="31">
        <f t="shared" si="50"/>
        <v>0</v>
      </c>
      <c r="BT40" s="31">
        <f t="shared" si="51"/>
        <v>0</v>
      </c>
      <c r="BU40" s="33">
        <f>DA40*'[3]CAMBARÁ - CITROS'!$U$5</f>
        <v>0</v>
      </c>
      <c r="BV40" s="37">
        <f t="shared" si="11"/>
        <v>-1</v>
      </c>
      <c r="BW40" s="36">
        <f>'[1]CB I'!$N40</f>
        <v>1553</v>
      </c>
      <c r="BX40" s="31">
        <f t="shared" si="52"/>
        <v>1362.1363000000001</v>
      </c>
      <c r="BY40" s="31">
        <f t="shared" si="53"/>
        <v>190.86369999999999</v>
      </c>
      <c r="BZ40" s="31">
        <f t="shared" si="54"/>
        <v>0</v>
      </c>
      <c r="CA40" s="31">
        <f t="shared" si="55"/>
        <v>0</v>
      </c>
      <c r="CB40" s="33">
        <f>DB40*'[3]CAMBARÁ - CITROS'!$U$5</f>
        <v>0</v>
      </c>
      <c r="CC40" s="37">
        <f t="shared" si="12"/>
        <v>-1</v>
      </c>
      <c r="CD40" s="36">
        <f>'[1]CB I'!$O40</f>
        <v>1553</v>
      </c>
      <c r="CE40" s="31">
        <f t="shared" si="56"/>
        <v>1362.1363000000001</v>
      </c>
      <c r="CF40" s="31">
        <f t="shared" si="57"/>
        <v>190.86369999999999</v>
      </c>
      <c r="CG40" s="31">
        <f t="shared" si="58"/>
        <v>0</v>
      </c>
      <c r="CH40" s="31">
        <f t="shared" si="59"/>
        <v>0</v>
      </c>
      <c r="CI40" s="33">
        <f>DC40*'[3]CAMBARÁ - CITROS'!$U$5</f>
        <v>0</v>
      </c>
      <c r="CJ40" s="37">
        <f t="shared" si="13"/>
        <v>-1</v>
      </c>
      <c r="CK40" s="36">
        <f>'[1]CB I'!$P40</f>
        <v>1553</v>
      </c>
      <c r="CL40" s="31">
        <f t="shared" si="60"/>
        <v>1362.1363000000001</v>
      </c>
      <c r="CM40" s="31">
        <f t="shared" si="61"/>
        <v>190.86369999999999</v>
      </c>
      <c r="CN40" s="31">
        <f t="shared" si="62"/>
        <v>0</v>
      </c>
      <c r="CO40" s="31">
        <f t="shared" si="63"/>
        <v>0</v>
      </c>
      <c r="CP40" s="33">
        <f>DD40*'[3]CAMBARÁ - CITROS'!$U$5</f>
        <v>0</v>
      </c>
      <c r="CQ40" s="37">
        <f t="shared" si="14"/>
        <v>-1</v>
      </c>
      <c r="CS40" s="198">
        <f>1679.6</f>
        <v>1679.6</v>
      </c>
      <c r="CT40" s="198">
        <f>1679.6</f>
        <v>1679.6</v>
      </c>
      <c r="CU40" s="198">
        <f>8679.6</f>
        <v>8679.6</v>
      </c>
      <c r="CV40" s="198">
        <f>3978.6</f>
        <v>3978.6</v>
      </c>
      <c r="CW40" s="198"/>
      <c r="CX40" s="198"/>
      <c r="CY40" s="198"/>
      <c r="CZ40" s="198"/>
      <c r="DA40" s="198"/>
      <c r="DB40" s="198"/>
      <c r="DC40" s="198"/>
      <c r="DD40" s="198"/>
      <c r="DE40" s="199"/>
      <c r="DF40" s="199"/>
    </row>
    <row r="41" spans="1:110" s="26" customFormat="1" ht="16" customHeight="1" x14ac:dyDescent="0.2">
      <c r="A41" s="29" t="s">
        <v>65</v>
      </c>
      <c r="B41" s="30">
        <f t="shared" si="64"/>
        <v>545413.59999999986</v>
      </c>
      <c r="C41" s="31">
        <f t="shared" si="64"/>
        <v>478382.26856</v>
      </c>
      <c r="D41" s="32">
        <f t="shared" si="64"/>
        <v>67031.331439999994</v>
      </c>
      <c r="E41" s="30">
        <f t="shared" si="66"/>
        <v>181804.53333333333</v>
      </c>
      <c r="F41" s="33">
        <f t="shared" si="66"/>
        <v>159460.75618666667</v>
      </c>
      <c r="G41" s="34">
        <f t="shared" si="66"/>
        <v>22343.777146666664</v>
      </c>
      <c r="H41" s="31">
        <f t="shared" si="65"/>
        <v>178150.26221333334</v>
      </c>
      <c r="I41" s="33">
        <f t="shared" si="65"/>
        <v>3654.271119999999</v>
      </c>
      <c r="J41" s="33">
        <f t="shared" si="65"/>
        <v>181804.53333333333</v>
      </c>
      <c r="K41" s="37">
        <f t="shared" si="2"/>
        <v>0</v>
      </c>
      <c r="L41" s="46">
        <f>'[1]CB I'!$E41</f>
        <v>45451.133333333331</v>
      </c>
      <c r="M41" s="47">
        <f t="shared" si="16"/>
        <v>39865.189046666666</v>
      </c>
      <c r="N41" s="47">
        <f t="shared" si="17"/>
        <v>5585.9442866666659</v>
      </c>
      <c r="O41" s="47">
        <f t="shared" si="18"/>
        <v>44537.565553333334</v>
      </c>
      <c r="P41" s="47">
        <f t="shared" si="19"/>
        <v>913.56777999999974</v>
      </c>
      <c r="Q41" s="48">
        <v>45451.133333333331</v>
      </c>
      <c r="R41" s="37">
        <f t="shared" si="3"/>
        <v>0</v>
      </c>
      <c r="S41" s="46">
        <f>'[1]CB I'!$F41</f>
        <v>45451.133333333331</v>
      </c>
      <c r="T41" s="47">
        <f t="shared" si="20"/>
        <v>39865.189046666666</v>
      </c>
      <c r="U41" s="47">
        <f t="shared" si="21"/>
        <v>5585.9442866666659</v>
      </c>
      <c r="V41" s="47">
        <f t="shared" si="22"/>
        <v>44537.565553333334</v>
      </c>
      <c r="W41" s="47">
        <f t="shared" si="23"/>
        <v>913.56777999999974</v>
      </c>
      <c r="X41" s="45">
        <v>45451.133333333331</v>
      </c>
      <c r="Y41" s="37">
        <f t="shared" si="4"/>
        <v>0</v>
      </c>
      <c r="Z41" s="46">
        <f>'[1]CB I'!$G41</f>
        <v>45451.133333333331</v>
      </c>
      <c r="AA41" s="47">
        <f t="shared" si="24"/>
        <v>39865.189046666666</v>
      </c>
      <c r="AB41" s="47">
        <f t="shared" si="25"/>
        <v>5585.9442866666659</v>
      </c>
      <c r="AC41" s="47">
        <f t="shared" si="26"/>
        <v>44537.565553333334</v>
      </c>
      <c r="AD41" s="47">
        <f t="shared" si="27"/>
        <v>913.56777999999974</v>
      </c>
      <c r="AE41" s="45">
        <v>45451.133333333331</v>
      </c>
      <c r="AF41" s="37">
        <f t="shared" si="5"/>
        <v>0</v>
      </c>
      <c r="AG41" s="46">
        <f>'[1]CB I'!$H41</f>
        <v>45451.133333333331</v>
      </c>
      <c r="AH41" s="47">
        <f t="shared" si="28"/>
        <v>39865.189046666666</v>
      </c>
      <c r="AI41" s="47">
        <f t="shared" si="29"/>
        <v>5585.9442866666659</v>
      </c>
      <c r="AJ41" s="47">
        <f t="shared" si="30"/>
        <v>44537.565553333334</v>
      </c>
      <c r="AK41" s="47">
        <f t="shared" si="31"/>
        <v>913.56777999999974</v>
      </c>
      <c r="AL41" s="45">
        <v>45451.133333333331</v>
      </c>
      <c r="AM41" s="37">
        <f t="shared" si="6"/>
        <v>0</v>
      </c>
      <c r="AN41" s="46">
        <f>'[1]CB I'!$I41</f>
        <v>45451.133333333331</v>
      </c>
      <c r="AO41" s="47">
        <f t="shared" si="32"/>
        <v>39865.189046666666</v>
      </c>
      <c r="AP41" s="47">
        <f t="shared" si="33"/>
        <v>5585.9442866666659</v>
      </c>
      <c r="AQ41" s="47">
        <f t="shared" si="34"/>
        <v>0</v>
      </c>
      <c r="AR41" s="47">
        <f t="shared" si="35"/>
        <v>0</v>
      </c>
      <c r="AS41" s="48"/>
      <c r="AT41" s="37">
        <f t="shared" si="7"/>
        <v>-1</v>
      </c>
      <c r="AU41" s="46">
        <f>'[1]CB I'!$J41</f>
        <v>45451.133333333331</v>
      </c>
      <c r="AV41" s="47">
        <f t="shared" si="36"/>
        <v>39865.189046666666</v>
      </c>
      <c r="AW41" s="47">
        <f t="shared" si="37"/>
        <v>5585.9442866666659</v>
      </c>
      <c r="AX41" s="47">
        <f t="shared" si="38"/>
        <v>0</v>
      </c>
      <c r="AY41" s="47">
        <f t="shared" si="39"/>
        <v>0</v>
      </c>
      <c r="AZ41" s="45"/>
      <c r="BA41" s="37">
        <f t="shared" si="8"/>
        <v>-1</v>
      </c>
      <c r="BB41" s="46">
        <f>'[1]CB I'!$K41</f>
        <v>45451.133333333331</v>
      </c>
      <c r="BC41" s="47">
        <f t="shared" si="40"/>
        <v>39865.189046666666</v>
      </c>
      <c r="BD41" s="47">
        <f t="shared" si="41"/>
        <v>5585.9442866666659</v>
      </c>
      <c r="BE41" s="47">
        <f t="shared" si="42"/>
        <v>0</v>
      </c>
      <c r="BF41" s="47">
        <f t="shared" si="43"/>
        <v>0</v>
      </c>
      <c r="BG41" s="45"/>
      <c r="BH41" s="37">
        <f t="shared" si="9"/>
        <v>-1</v>
      </c>
      <c r="BI41" s="46">
        <f>'[1]CB I'!$L41</f>
        <v>45451.133333333331</v>
      </c>
      <c r="BJ41" s="47">
        <f t="shared" si="44"/>
        <v>39865.189046666666</v>
      </c>
      <c r="BK41" s="47">
        <f t="shared" si="45"/>
        <v>5585.9442866666659</v>
      </c>
      <c r="BL41" s="47">
        <f t="shared" si="46"/>
        <v>0</v>
      </c>
      <c r="BM41" s="47">
        <f t="shared" si="47"/>
        <v>0</v>
      </c>
      <c r="BN41" s="45"/>
      <c r="BO41" s="37">
        <f t="shared" si="10"/>
        <v>-1</v>
      </c>
      <c r="BP41" s="46">
        <f>'[1]CB I'!$M41</f>
        <v>45451.133333333331</v>
      </c>
      <c r="BQ41" s="47">
        <f t="shared" si="48"/>
        <v>39865.189046666666</v>
      </c>
      <c r="BR41" s="47">
        <f t="shared" si="49"/>
        <v>5585.9442866666659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'[1]CB I'!$N41</f>
        <v>45451.133333333331</v>
      </c>
      <c r="BX41" s="47">
        <f t="shared" si="52"/>
        <v>39865.189046666666</v>
      </c>
      <c r="BY41" s="47">
        <f t="shared" si="53"/>
        <v>5585.9442866666659</v>
      </c>
      <c r="BZ41" s="47">
        <f t="shared" si="54"/>
        <v>0</v>
      </c>
      <c r="CA41" s="47">
        <f t="shared" si="55"/>
        <v>0</v>
      </c>
      <c r="CB41" s="45"/>
      <c r="CC41" s="37">
        <f t="shared" si="12"/>
        <v>-1</v>
      </c>
      <c r="CD41" s="46">
        <f>'[1]CB I'!$O41</f>
        <v>45451.133333333331</v>
      </c>
      <c r="CE41" s="47">
        <f t="shared" si="56"/>
        <v>39865.189046666666</v>
      </c>
      <c r="CF41" s="47">
        <f t="shared" si="57"/>
        <v>5585.9442866666659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'[1]CB I'!$P41</f>
        <v>45451.133333333331</v>
      </c>
      <c r="CL41" s="47">
        <f t="shared" si="60"/>
        <v>39865.189046666666</v>
      </c>
      <c r="CM41" s="47">
        <f t="shared" si="61"/>
        <v>5585.9442866666659</v>
      </c>
      <c r="CN41" s="47">
        <f t="shared" si="62"/>
        <v>0</v>
      </c>
      <c r="CO41" s="47">
        <f t="shared" si="63"/>
        <v>0</v>
      </c>
      <c r="CP41" s="45"/>
      <c r="CQ41" s="37">
        <f t="shared" si="14"/>
        <v>-1</v>
      </c>
      <c r="CS41" s="198"/>
      <c r="CT41" s="198"/>
      <c r="CU41" s="198"/>
      <c r="CV41" s="198"/>
      <c r="CW41" s="198"/>
      <c r="CX41" s="198"/>
      <c r="CY41" s="198"/>
      <c r="CZ41" s="198"/>
      <c r="DA41" s="198"/>
      <c r="DB41" s="198"/>
      <c r="DC41" s="198"/>
      <c r="DD41" s="198"/>
      <c r="DE41" s="199"/>
      <c r="DF41" s="199"/>
    </row>
    <row r="42" spans="1:110" s="26" customFormat="1" ht="16" customHeight="1" x14ac:dyDescent="0.2">
      <c r="A42" s="29" t="s">
        <v>66</v>
      </c>
      <c r="B42" s="30">
        <f t="shared" si="64"/>
        <v>0</v>
      </c>
      <c r="C42" s="31">
        <f t="shared" si="64"/>
        <v>0</v>
      </c>
      <c r="D42" s="32">
        <f t="shared" si="64"/>
        <v>0</v>
      </c>
      <c r="E42" s="30">
        <f t="shared" si="66"/>
        <v>0</v>
      </c>
      <c r="F42" s="33">
        <f t="shared" si="66"/>
        <v>0</v>
      </c>
      <c r="G42" s="34">
        <f t="shared" si="66"/>
        <v>0</v>
      </c>
      <c r="H42" s="31">
        <f t="shared" si="65"/>
        <v>0</v>
      </c>
      <c r="I42" s="33">
        <f t="shared" si="65"/>
        <v>0</v>
      </c>
      <c r="J42" s="33">
        <f t="shared" si="65"/>
        <v>0</v>
      </c>
      <c r="K42" s="37" t="str">
        <f t="shared" si="2"/>
        <v/>
      </c>
      <c r="L42" s="36">
        <f>'[1]CB I'!$E42</f>
        <v>0</v>
      </c>
      <c r="M42" s="31">
        <f t="shared" si="16"/>
        <v>0</v>
      </c>
      <c r="N42" s="31">
        <f t="shared" si="17"/>
        <v>0</v>
      </c>
      <c r="O42" s="31">
        <f t="shared" si="18"/>
        <v>0</v>
      </c>
      <c r="P42" s="31">
        <f t="shared" si="19"/>
        <v>0</v>
      </c>
      <c r="Q42" s="27"/>
      <c r="R42" s="37" t="str">
        <f t="shared" si="3"/>
        <v/>
      </c>
      <c r="S42" s="36">
        <f>'[1]CB I'!$F42</f>
        <v>0</v>
      </c>
      <c r="T42" s="31">
        <f t="shared" si="20"/>
        <v>0</v>
      </c>
      <c r="U42" s="31">
        <f t="shared" si="21"/>
        <v>0</v>
      </c>
      <c r="V42" s="31">
        <f t="shared" si="22"/>
        <v>0</v>
      </c>
      <c r="W42" s="31">
        <f t="shared" si="23"/>
        <v>0</v>
      </c>
      <c r="X42" s="33"/>
      <c r="Y42" s="37" t="str">
        <f t="shared" si="4"/>
        <v/>
      </c>
      <c r="Z42" s="36">
        <f>'[1]CB I'!$G42</f>
        <v>0</v>
      </c>
      <c r="AA42" s="31">
        <f t="shared" si="24"/>
        <v>0</v>
      </c>
      <c r="AB42" s="31">
        <f t="shared" si="25"/>
        <v>0</v>
      </c>
      <c r="AC42" s="31">
        <f t="shared" si="26"/>
        <v>0</v>
      </c>
      <c r="AD42" s="31">
        <f t="shared" si="27"/>
        <v>0</v>
      </c>
      <c r="AE42" s="27"/>
      <c r="AF42" s="37" t="str">
        <f t="shared" si="5"/>
        <v/>
      </c>
      <c r="AG42" s="36">
        <f>'[1]CB I'!$H42</f>
        <v>0</v>
      </c>
      <c r="AH42" s="31">
        <f t="shared" si="28"/>
        <v>0</v>
      </c>
      <c r="AI42" s="31">
        <f t="shared" si="29"/>
        <v>0</v>
      </c>
      <c r="AJ42" s="31">
        <f t="shared" si="30"/>
        <v>0</v>
      </c>
      <c r="AK42" s="31">
        <f t="shared" si="31"/>
        <v>0</v>
      </c>
      <c r="AL42" s="33"/>
      <c r="AM42" s="37" t="str">
        <f t="shared" si="6"/>
        <v/>
      </c>
      <c r="AN42" s="36">
        <f>'[1]CB I'!$I42</f>
        <v>0</v>
      </c>
      <c r="AO42" s="31">
        <f t="shared" si="32"/>
        <v>0</v>
      </c>
      <c r="AP42" s="31">
        <f t="shared" si="33"/>
        <v>0</v>
      </c>
      <c r="AQ42" s="31">
        <f t="shared" si="34"/>
        <v>0</v>
      </c>
      <c r="AR42" s="31">
        <f t="shared" si="35"/>
        <v>0</v>
      </c>
      <c r="AS42" s="27"/>
      <c r="AT42" s="37" t="str">
        <f t="shared" si="7"/>
        <v/>
      </c>
      <c r="AU42" s="36">
        <f>'[1]CB I'!$J42</f>
        <v>0</v>
      </c>
      <c r="AV42" s="31">
        <f t="shared" si="36"/>
        <v>0</v>
      </c>
      <c r="AW42" s="31">
        <f t="shared" si="37"/>
        <v>0</v>
      </c>
      <c r="AX42" s="31">
        <f t="shared" si="38"/>
        <v>0</v>
      </c>
      <c r="AY42" s="31">
        <f t="shared" si="39"/>
        <v>0</v>
      </c>
      <c r="AZ42" s="33"/>
      <c r="BA42" s="37" t="str">
        <f t="shared" si="8"/>
        <v/>
      </c>
      <c r="BB42" s="36">
        <f>'[1]CB I'!$K42</f>
        <v>0</v>
      </c>
      <c r="BC42" s="31">
        <f t="shared" si="40"/>
        <v>0</v>
      </c>
      <c r="BD42" s="31">
        <f t="shared" si="41"/>
        <v>0</v>
      </c>
      <c r="BE42" s="31">
        <f t="shared" si="42"/>
        <v>0</v>
      </c>
      <c r="BF42" s="31">
        <f t="shared" si="43"/>
        <v>0</v>
      </c>
      <c r="BG42" s="33"/>
      <c r="BH42" s="37" t="str">
        <f t="shared" si="9"/>
        <v/>
      </c>
      <c r="BI42" s="36">
        <f>'[1]CB I'!$L42</f>
        <v>0</v>
      </c>
      <c r="BJ42" s="31">
        <f t="shared" si="44"/>
        <v>0</v>
      </c>
      <c r="BK42" s="31">
        <f t="shared" si="45"/>
        <v>0</v>
      </c>
      <c r="BL42" s="31">
        <f t="shared" si="46"/>
        <v>0</v>
      </c>
      <c r="BM42" s="31">
        <f t="shared" si="47"/>
        <v>0</v>
      </c>
      <c r="BN42" s="33"/>
      <c r="BO42" s="37" t="str">
        <f t="shared" si="10"/>
        <v/>
      </c>
      <c r="BP42" s="36">
        <f>'[1]CB I'!$M42</f>
        <v>0</v>
      </c>
      <c r="BQ42" s="31">
        <f t="shared" si="48"/>
        <v>0</v>
      </c>
      <c r="BR42" s="31">
        <f t="shared" si="49"/>
        <v>0</v>
      </c>
      <c r="BS42" s="31">
        <f t="shared" si="50"/>
        <v>0</v>
      </c>
      <c r="BT42" s="31">
        <f t="shared" si="51"/>
        <v>0</v>
      </c>
      <c r="BU42" s="33"/>
      <c r="BV42" s="37" t="str">
        <f t="shared" si="11"/>
        <v/>
      </c>
      <c r="BW42" s="36">
        <f>'[1]CB I'!$N42</f>
        <v>0</v>
      </c>
      <c r="BX42" s="31">
        <f t="shared" si="52"/>
        <v>0</v>
      </c>
      <c r="BY42" s="31">
        <f t="shared" si="53"/>
        <v>0</v>
      </c>
      <c r="BZ42" s="31">
        <f t="shared" si="54"/>
        <v>0</v>
      </c>
      <c r="CA42" s="31">
        <f t="shared" si="55"/>
        <v>0</v>
      </c>
      <c r="CB42" s="33"/>
      <c r="CC42" s="37" t="str">
        <f t="shared" si="12"/>
        <v/>
      </c>
      <c r="CD42" s="36">
        <f>'[1]CB I'!$O42</f>
        <v>0</v>
      </c>
      <c r="CE42" s="31">
        <f t="shared" si="56"/>
        <v>0</v>
      </c>
      <c r="CF42" s="31">
        <f t="shared" si="57"/>
        <v>0</v>
      </c>
      <c r="CG42" s="31">
        <f t="shared" si="58"/>
        <v>0</v>
      </c>
      <c r="CH42" s="31">
        <f t="shared" si="59"/>
        <v>0</v>
      </c>
      <c r="CI42" s="33"/>
      <c r="CJ42" s="37" t="str">
        <f t="shared" si="13"/>
        <v/>
      </c>
      <c r="CK42" s="36">
        <f>'[1]CB I'!$P42</f>
        <v>0</v>
      </c>
      <c r="CL42" s="31">
        <f t="shared" si="60"/>
        <v>0</v>
      </c>
      <c r="CM42" s="31">
        <f t="shared" si="61"/>
        <v>0</v>
      </c>
      <c r="CN42" s="31">
        <f t="shared" si="62"/>
        <v>0</v>
      </c>
      <c r="CO42" s="31">
        <f t="shared" si="63"/>
        <v>0</v>
      </c>
      <c r="CP42" s="33"/>
      <c r="CQ42" s="37" t="str">
        <f t="shared" si="14"/>
        <v/>
      </c>
      <c r="CS42" s="198"/>
      <c r="CT42" s="198"/>
      <c r="CU42" s="198"/>
      <c r="CV42" s="198"/>
      <c r="CW42" s="198"/>
      <c r="CX42" s="198"/>
      <c r="CY42" s="198"/>
      <c r="CZ42" s="198"/>
      <c r="DA42" s="198"/>
      <c r="DB42" s="198"/>
      <c r="DC42" s="198"/>
      <c r="DD42" s="198"/>
      <c r="DE42" s="199"/>
      <c r="DF42" s="199"/>
    </row>
    <row r="43" spans="1:110" s="26" customFormat="1" ht="16" customHeight="1" x14ac:dyDescent="0.2">
      <c r="A43" s="38" t="s">
        <v>67</v>
      </c>
      <c r="B43" s="30">
        <f t="shared" si="64"/>
        <v>35991.7068</v>
      </c>
      <c r="C43" s="31">
        <f t="shared" si="64"/>
        <v>31568.326034279995</v>
      </c>
      <c r="D43" s="32">
        <f t="shared" si="64"/>
        <v>4423.3807657199986</v>
      </c>
      <c r="E43" s="30">
        <f t="shared" si="66"/>
        <v>11997.2356</v>
      </c>
      <c r="F43" s="33">
        <f t="shared" si="66"/>
        <v>10522.775344760001</v>
      </c>
      <c r="G43" s="34">
        <f t="shared" si="66"/>
        <v>1474.4602552399999</v>
      </c>
      <c r="H43" s="31">
        <f t="shared" si="65"/>
        <v>15106.901811555163</v>
      </c>
      <c r="I43" s="33">
        <f t="shared" si="65"/>
        <v>309.87725932468481</v>
      </c>
      <c r="J43" s="33">
        <f t="shared" si="65"/>
        <v>15416.779070879844</v>
      </c>
      <c r="K43" s="37">
        <f t="shared" si="2"/>
        <v>0.28502761676863653</v>
      </c>
      <c r="L43" s="36">
        <f>'[1]CB I'!$E43</f>
        <v>2999.3089</v>
      </c>
      <c r="M43" s="31">
        <f t="shared" si="16"/>
        <v>2630.6938361900002</v>
      </c>
      <c r="N43" s="31">
        <f t="shared" si="17"/>
        <v>368.61506380999998</v>
      </c>
      <c r="O43" s="31">
        <f t="shared" si="18"/>
        <v>3506.4275272968284</v>
      </c>
      <c r="P43" s="31">
        <f t="shared" si="19"/>
        <v>71.924883456134538</v>
      </c>
      <c r="Q43" s="27">
        <f>CS43*'[2]CAMBARÁ - CITROS'!$U$5</f>
        <v>3578.3524107529629</v>
      </c>
      <c r="R43" s="37">
        <f t="shared" si="3"/>
        <v>0.19305897793753846</v>
      </c>
      <c r="S43" s="36">
        <f>'[1]CB I'!$F43</f>
        <v>2999.3089</v>
      </c>
      <c r="T43" s="31">
        <f t="shared" si="20"/>
        <v>2630.6938361900002</v>
      </c>
      <c r="U43" s="31">
        <f t="shared" si="21"/>
        <v>368.61506380999998</v>
      </c>
      <c r="V43" s="31">
        <f t="shared" si="22"/>
        <v>5062.8110117603364</v>
      </c>
      <c r="W43" s="31">
        <f t="shared" si="23"/>
        <v>103.84988400488085</v>
      </c>
      <c r="X43" s="33">
        <f>CT43*'[2]CAMBARÁ - CITROS'!$U$5</f>
        <v>5166.660895765217</v>
      </c>
      <c r="Y43" s="37">
        <f t="shared" si="4"/>
        <v>0.72261713215508316</v>
      </c>
      <c r="Z43" s="36">
        <f>'[1]CB I'!$G43</f>
        <v>2999.3089</v>
      </c>
      <c r="AA43" s="31">
        <f t="shared" si="24"/>
        <v>2630.6938361900002</v>
      </c>
      <c r="AB43" s="31">
        <f t="shared" si="25"/>
        <v>368.61506380999998</v>
      </c>
      <c r="AC43" s="31">
        <f t="shared" si="26"/>
        <v>3135.379356248362</v>
      </c>
      <c r="AD43" s="31">
        <f t="shared" si="27"/>
        <v>64.313833106023125</v>
      </c>
      <c r="AE43" s="33">
        <f>CU43*'[2]CAMBARÁ - CITROS'!$U$5</f>
        <v>3199.6931893543851</v>
      </c>
      <c r="AF43" s="37">
        <f t="shared" si="5"/>
        <v>6.6810153950593421E-2</v>
      </c>
      <c r="AG43" s="36">
        <f>'[1]CB I'!$H43</f>
        <v>2999.3089</v>
      </c>
      <c r="AH43" s="31">
        <f t="shared" si="28"/>
        <v>2630.6938361900002</v>
      </c>
      <c r="AI43" s="31">
        <f t="shared" si="29"/>
        <v>368.61506380999998</v>
      </c>
      <c r="AJ43" s="31">
        <f t="shared" si="30"/>
        <v>3402.2839162496339</v>
      </c>
      <c r="AK43" s="31">
        <f t="shared" si="31"/>
        <v>69.788658757646317</v>
      </c>
      <c r="AL43" s="33">
        <f>CV43*'[2]CAMBARÁ - CITROS'!$U$5</f>
        <v>3472.0725750072802</v>
      </c>
      <c r="AM43" s="37">
        <f t="shared" si="6"/>
        <v>0.15762420303133173</v>
      </c>
      <c r="AN43" s="36">
        <f>'[1]CB I'!$I43</f>
        <v>2999.3089</v>
      </c>
      <c r="AO43" s="31">
        <f t="shared" si="32"/>
        <v>2630.6938361900002</v>
      </c>
      <c r="AP43" s="31">
        <f t="shared" si="33"/>
        <v>368.61506380999998</v>
      </c>
      <c r="AQ43" s="31">
        <f t="shared" si="34"/>
        <v>0</v>
      </c>
      <c r="AR43" s="31">
        <f t="shared" si="35"/>
        <v>0</v>
      </c>
      <c r="AS43" s="33">
        <f>CW43*'[3]CAMBARÁ - CITROS'!$U$5</f>
        <v>0</v>
      </c>
      <c r="AT43" s="37">
        <f t="shared" si="7"/>
        <v>-1</v>
      </c>
      <c r="AU43" s="36">
        <f>'[1]CB I'!$J43</f>
        <v>2999.3089</v>
      </c>
      <c r="AV43" s="31">
        <f t="shared" si="36"/>
        <v>2630.6938361900002</v>
      </c>
      <c r="AW43" s="31">
        <f t="shared" si="37"/>
        <v>368.61506380999998</v>
      </c>
      <c r="AX43" s="31">
        <f t="shared" si="38"/>
        <v>0</v>
      </c>
      <c r="AY43" s="31">
        <f t="shared" si="39"/>
        <v>0</v>
      </c>
      <c r="AZ43" s="33">
        <f>CX43*'[3]CAMBARÁ - CITROS'!$U$5</f>
        <v>0</v>
      </c>
      <c r="BA43" s="37">
        <f t="shared" si="8"/>
        <v>-1</v>
      </c>
      <c r="BB43" s="36">
        <f>'[1]CB I'!$K43</f>
        <v>2999.3089</v>
      </c>
      <c r="BC43" s="31">
        <f t="shared" si="40"/>
        <v>2630.6938361900002</v>
      </c>
      <c r="BD43" s="31">
        <f t="shared" si="41"/>
        <v>368.61506380999998</v>
      </c>
      <c r="BE43" s="31">
        <f t="shared" si="42"/>
        <v>0</v>
      </c>
      <c r="BF43" s="31">
        <f t="shared" si="43"/>
        <v>0</v>
      </c>
      <c r="BG43" s="33">
        <f>CY43*'[3]CAMBARÁ - CITROS'!$U$5</f>
        <v>0</v>
      </c>
      <c r="BH43" s="37">
        <f t="shared" si="9"/>
        <v>-1</v>
      </c>
      <c r="BI43" s="36">
        <f>'[1]CB I'!$L43</f>
        <v>2999.3089</v>
      </c>
      <c r="BJ43" s="31">
        <f t="shared" si="44"/>
        <v>2630.6938361900002</v>
      </c>
      <c r="BK43" s="31">
        <f t="shared" si="45"/>
        <v>368.61506380999998</v>
      </c>
      <c r="BL43" s="31">
        <f t="shared" si="46"/>
        <v>0</v>
      </c>
      <c r="BM43" s="31">
        <f t="shared" si="47"/>
        <v>0</v>
      </c>
      <c r="BN43" s="33">
        <f>CZ43*'[3]CAMBARÁ - CITROS'!$U$5</f>
        <v>0</v>
      </c>
      <c r="BO43" s="37">
        <f t="shared" si="10"/>
        <v>-1</v>
      </c>
      <c r="BP43" s="36">
        <f>'[1]CB I'!$M43</f>
        <v>2999.3089</v>
      </c>
      <c r="BQ43" s="31">
        <f t="shared" si="48"/>
        <v>2630.6938361900002</v>
      </c>
      <c r="BR43" s="31">
        <f t="shared" si="49"/>
        <v>368.61506380999998</v>
      </c>
      <c r="BS43" s="31">
        <f t="shared" si="50"/>
        <v>0</v>
      </c>
      <c r="BT43" s="31">
        <f t="shared" si="51"/>
        <v>0</v>
      </c>
      <c r="BU43" s="33">
        <f>DA43*'[3]CAMBARÁ - CITROS'!$U$5</f>
        <v>0</v>
      </c>
      <c r="BV43" s="37">
        <f t="shared" si="11"/>
        <v>-1</v>
      </c>
      <c r="BW43" s="36">
        <f>'[1]CB I'!$N43</f>
        <v>2999.3089</v>
      </c>
      <c r="BX43" s="31">
        <f t="shared" si="52"/>
        <v>2630.6938361900002</v>
      </c>
      <c r="BY43" s="31">
        <f t="shared" si="53"/>
        <v>368.61506380999998</v>
      </c>
      <c r="BZ43" s="31">
        <f t="shared" si="54"/>
        <v>0</v>
      </c>
      <c r="CA43" s="31">
        <f t="shared" si="55"/>
        <v>0</v>
      </c>
      <c r="CB43" s="33">
        <f>DB43*'[3]CAMBARÁ - CITROS'!$U$5</f>
        <v>0</v>
      </c>
      <c r="CC43" s="37">
        <f t="shared" si="12"/>
        <v>-1</v>
      </c>
      <c r="CD43" s="36">
        <f>'[1]CB I'!$O43</f>
        <v>2999.3089</v>
      </c>
      <c r="CE43" s="31">
        <f t="shared" si="56"/>
        <v>2630.6938361900002</v>
      </c>
      <c r="CF43" s="31">
        <f t="shared" si="57"/>
        <v>368.61506380999998</v>
      </c>
      <c r="CG43" s="31">
        <f t="shared" si="58"/>
        <v>0</v>
      </c>
      <c r="CH43" s="31">
        <f t="shared" si="59"/>
        <v>0</v>
      </c>
      <c r="CI43" s="33">
        <f>DC43*'[3]CAMBARÁ - CITROS'!$U$5</f>
        <v>0</v>
      </c>
      <c r="CJ43" s="37">
        <f t="shared" si="13"/>
        <v>-1</v>
      </c>
      <c r="CK43" s="36">
        <f>'[1]CB I'!$P43</f>
        <v>2999.3089</v>
      </c>
      <c r="CL43" s="31">
        <f t="shared" si="60"/>
        <v>2630.6938361900002</v>
      </c>
      <c r="CM43" s="31">
        <f t="shared" si="61"/>
        <v>368.61506380999998</v>
      </c>
      <c r="CN43" s="31">
        <f t="shared" si="62"/>
        <v>0</v>
      </c>
      <c r="CO43" s="31">
        <f t="shared" si="63"/>
        <v>0</v>
      </c>
      <c r="CP43" s="33">
        <f>DD43*'[3]CAMBARÁ - CITROS'!$U$5</f>
        <v>0</v>
      </c>
      <c r="CQ43" s="37">
        <f t="shared" si="14"/>
        <v>-1</v>
      </c>
      <c r="CS43" s="198">
        <f>5815</f>
        <v>5815</v>
      </c>
      <c r="CT43" s="198">
        <f>8396.08</f>
        <v>8396.08</v>
      </c>
      <c r="CU43" s="198">
        <f>5199.66</f>
        <v>5199.66</v>
      </c>
      <c r="CV43" s="198">
        <f>5642.29</f>
        <v>5642.29</v>
      </c>
      <c r="CW43" s="198"/>
      <c r="CX43" s="198"/>
      <c r="CY43" s="198"/>
      <c r="CZ43" s="198"/>
      <c r="DA43" s="198"/>
      <c r="DB43" s="198"/>
      <c r="DC43" s="198"/>
      <c r="DD43" s="198"/>
      <c r="DE43" s="199"/>
      <c r="DF43" s="199"/>
    </row>
    <row r="44" spans="1:110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'[1]CB I'!$E44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27">
        <f>CS44*'[2]CAMBARÁ - CITROS'!$U$5</f>
        <v>0</v>
      </c>
      <c r="R44" s="37" t="str">
        <f t="shared" si="3"/>
        <v/>
      </c>
      <c r="S44" s="36">
        <f>'[1]CB I'!$F44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>
        <f>CT44*'[2]CAMBARÁ - CITROS'!$U$5</f>
        <v>0</v>
      </c>
      <c r="Y44" s="37" t="str">
        <f t="shared" si="4"/>
        <v/>
      </c>
      <c r="Z44" s="36">
        <f>'[1]CB I'!$G44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27">
        <f>CU44*'[2]CAMBARÁ - CITROS'!$U$5</f>
        <v>0</v>
      </c>
      <c r="AF44" s="37" t="str">
        <f t="shared" si="5"/>
        <v/>
      </c>
      <c r="AG44" s="36">
        <f>'[1]CB I'!$H44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33">
        <f>CV44*'[2]CAMBARÁ - CITROS'!$U$5</f>
        <v>0</v>
      </c>
      <c r="AM44" s="37" t="str">
        <f t="shared" si="6"/>
        <v/>
      </c>
      <c r="AN44" s="36">
        <f>'[1]CB I'!$I44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27">
        <f>CW44*'[3]CAMBARÁ - CITROS'!$U$5</f>
        <v>0</v>
      </c>
      <c r="AT44" s="37" t="str">
        <f t="shared" si="7"/>
        <v/>
      </c>
      <c r="AU44" s="36">
        <f>'[1]CB I'!$J44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33">
        <f>CX44*'[3]CAMBARÁ - CITROS'!$U$5</f>
        <v>0</v>
      </c>
      <c r="BA44" s="37" t="str">
        <f t="shared" si="8"/>
        <v/>
      </c>
      <c r="BB44" s="36">
        <f>'[1]CB I'!$K44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33">
        <f>CY44*'[3]CAMBARÁ - CITROS'!$U$5</f>
        <v>0</v>
      </c>
      <c r="BH44" s="37" t="str">
        <f t="shared" si="9"/>
        <v/>
      </c>
      <c r="BI44" s="36">
        <f>'[1]CB I'!$L44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>
        <f>CZ44*'[3]CAMBARÁ - CITROS'!$U$5</f>
        <v>0</v>
      </c>
      <c r="BO44" s="37" t="str">
        <f t="shared" si="10"/>
        <v/>
      </c>
      <c r="BP44" s="36">
        <f>'[1]CB I'!$M44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>
        <f>DA44*'[3]CAMBARÁ - CITROS'!$U$5</f>
        <v>0</v>
      </c>
      <c r="BV44" s="37" t="str">
        <f t="shared" si="11"/>
        <v/>
      </c>
      <c r="BW44" s="36">
        <f>'[1]CB I'!$N44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>
        <f>DB44*'[3]CAMBARÁ - CITROS'!$U$5</f>
        <v>0</v>
      </c>
      <c r="CC44" s="37" t="str">
        <f t="shared" si="12"/>
        <v/>
      </c>
      <c r="CD44" s="36">
        <f>'[1]CB I'!$O44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>
        <f>DC44*'[3]CAMBARÁ - CITROS'!$U$5</f>
        <v>0</v>
      </c>
      <c r="CJ44" s="37" t="str">
        <f t="shared" si="13"/>
        <v/>
      </c>
      <c r="CK44" s="36">
        <f>'[1]CB I'!$P44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>
        <f>DD44*'[3]CAMBARÁ - CITROS'!$U$5</f>
        <v>0</v>
      </c>
      <c r="CQ44" s="37" t="str">
        <f t="shared" si="14"/>
        <v/>
      </c>
      <c r="CS44" s="198"/>
      <c r="CT44" s="198"/>
      <c r="CU44" s="198"/>
      <c r="CV44" s="198"/>
      <c r="CW44" s="198"/>
      <c r="CX44" s="198"/>
      <c r="CY44" s="198"/>
      <c r="CZ44" s="198"/>
      <c r="DA44" s="198"/>
      <c r="DB44" s="198"/>
      <c r="DC44" s="198"/>
      <c r="DD44" s="198"/>
      <c r="DE44" s="199"/>
      <c r="DF44" s="199"/>
    </row>
    <row r="45" spans="1:110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'[1]CB I'!$E45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27">
        <f>CS45*'[2]CAMBARÁ - CITROS'!$U$5</f>
        <v>0</v>
      </c>
      <c r="R45" s="37" t="str">
        <f t="shared" si="3"/>
        <v/>
      </c>
      <c r="S45" s="36">
        <f>'[1]CB I'!$F45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>
        <f>CT45*'[2]CAMBARÁ - CITROS'!$U$5</f>
        <v>0</v>
      </c>
      <c r="Y45" s="37" t="str">
        <f t="shared" si="4"/>
        <v/>
      </c>
      <c r="Z45" s="36">
        <f>'[1]CB I'!$G45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27">
        <f>CU45*'[2]CAMBARÁ - CITROS'!$U$5</f>
        <v>0</v>
      </c>
      <c r="AF45" s="37" t="str">
        <f t="shared" si="5"/>
        <v/>
      </c>
      <c r="AG45" s="36">
        <f>'[1]CB I'!$H45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33">
        <f>CV45*'[2]CAMBARÁ - CITROS'!$U$5</f>
        <v>0</v>
      </c>
      <c r="AM45" s="37" t="str">
        <f t="shared" si="6"/>
        <v/>
      </c>
      <c r="AN45" s="36">
        <f>'[1]CB I'!$I45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27">
        <f>CW45*'[3]CAMBARÁ - CITROS'!$U$5</f>
        <v>0</v>
      </c>
      <c r="AT45" s="37" t="str">
        <f t="shared" si="7"/>
        <v/>
      </c>
      <c r="AU45" s="36">
        <f>'[1]CB I'!$J45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33">
        <f>CX45*'[3]CAMBARÁ - CITROS'!$U$5</f>
        <v>0</v>
      </c>
      <c r="BA45" s="37" t="str">
        <f t="shared" si="8"/>
        <v/>
      </c>
      <c r="BB45" s="36">
        <f>'[1]CB I'!$K45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33">
        <f>CY45*'[3]CAMBARÁ - CITROS'!$U$5</f>
        <v>0</v>
      </c>
      <c r="BH45" s="37" t="str">
        <f t="shared" si="9"/>
        <v/>
      </c>
      <c r="BI45" s="36">
        <f>'[1]CB I'!$L45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>
        <f>CZ45*'[3]CAMBARÁ - CITROS'!$U$5</f>
        <v>0</v>
      </c>
      <c r="BO45" s="37" t="str">
        <f t="shared" si="10"/>
        <v/>
      </c>
      <c r="BP45" s="36">
        <f>'[1]CB I'!$M45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>
        <f>DA45*'[3]CAMBARÁ - CITROS'!$U$5</f>
        <v>0</v>
      </c>
      <c r="BV45" s="37" t="str">
        <f t="shared" si="11"/>
        <v/>
      </c>
      <c r="BW45" s="36">
        <f>'[1]CB I'!$N45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>
        <f>DB45*'[3]CAMBARÁ - CITROS'!$U$5</f>
        <v>0</v>
      </c>
      <c r="CC45" s="37" t="str">
        <f t="shared" si="12"/>
        <v/>
      </c>
      <c r="CD45" s="36">
        <f>'[1]CB I'!$O45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>
        <f>DC45*'[3]CAMBARÁ - CITROS'!$U$5</f>
        <v>0</v>
      </c>
      <c r="CJ45" s="37" t="str">
        <f t="shared" si="13"/>
        <v/>
      </c>
      <c r="CK45" s="36">
        <f>'[1]CB I'!$P45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>
        <f>DD45*'[3]CAMBARÁ - CITROS'!$U$5</f>
        <v>0</v>
      </c>
      <c r="CQ45" s="37" t="str">
        <f t="shared" si="14"/>
        <v/>
      </c>
      <c r="CS45" s="198"/>
      <c r="CT45" s="198"/>
      <c r="CU45" s="198"/>
      <c r="CV45" s="198"/>
      <c r="CW45" s="198"/>
      <c r="CX45" s="198"/>
      <c r="CY45" s="198"/>
      <c r="CZ45" s="198"/>
      <c r="DA45" s="198"/>
      <c r="DB45" s="198"/>
      <c r="DC45" s="198"/>
      <c r="DD45" s="198"/>
      <c r="DE45" s="199"/>
      <c r="DF45" s="199"/>
    </row>
    <row r="46" spans="1:110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'[1]CB I'!$E46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27">
        <f>CS46*'[2]CAMBARÁ - CITROS'!$U$5</f>
        <v>0</v>
      </c>
      <c r="R46" s="37" t="str">
        <f t="shared" si="3"/>
        <v/>
      </c>
      <c r="S46" s="36">
        <f>'[1]CB I'!$F46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>
        <f>CT46*'[2]CAMBARÁ - CITROS'!$U$5</f>
        <v>0</v>
      </c>
      <c r="Y46" s="37" t="str">
        <f t="shared" si="4"/>
        <v/>
      </c>
      <c r="Z46" s="36">
        <f>'[1]CB I'!$G46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27">
        <f>CU46*'[2]CAMBARÁ - CITROS'!$U$5</f>
        <v>0</v>
      </c>
      <c r="AF46" s="37" t="str">
        <f t="shared" si="5"/>
        <v/>
      </c>
      <c r="AG46" s="36">
        <f>'[1]CB I'!$H46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33">
        <f>CV46*'[2]CAMBARÁ - CITROS'!$U$5</f>
        <v>0</v>
      </c>
      <c r="AM46" s="37" t="str">
        <f t="shared" si="6"/>
        <v/>
      </c>
      <c r="AN46" s="36">
        <f>'[1]CB I'!$I46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27">
        <f>CW46*'[3]CAMBARÁ - CITROS'!$U$5</f>
        <v>0</v>
      </c>
      <c r="AT46" s="37" t="str">
        <f t="shared" si="7"/>
        <v/>
      </c>
      <c r="AU46" s="36">
        <f>'[1]CB I'!$J46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33">
        <f>CX46*'[3]CAMBARÁ - CITROS'!$U$5</f>
        <v>0</v>
      </c>
      <c r="BA46" s="37" t="str">
        <f t="shared" si="8"/>
        <v/>
      </c>
      <c r="BB46" s="36">
        <f>'[1]CB I'!$K46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33">
        <f>CY46*'[3]CAMBARÁ - CITROS'!$U$5</f>
        <v>0</v>
      </c>
      <c r="BH46" s="37" t="str">
        <f t="shared" si="9"/>
        <v/>
      </c>
      <c r="BI46" s="36">
        <f>'[1]CB I'!$L46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>
        <f>CZ46*'[3]CAMBARÁ - CITROS'!$U$5</f>
        <v>0</v>
      </c>
      <c r="BO46" s="37" t="str">
        <f t="shared" si="10"/>
        <v/>
      </c>
      <c r="BP46" s="36">
        <f>'[1]CB I'!$M46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>
        <f>DA46*'[3]CAMBARÁ - CITROS'!$U$5</f>
        <v>0</v>
      </c>
      <c r="BV46" s="37" t="str">
        <f t="shared" si="11"/>
        <v/>
      </c>
      <c r="BW46" s="36">
        <f>'[1]CB I'!$N46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>
        <f>DB46*'[3]CAMBARÁ - CITROS'!$U$5</f>
        <v>0</v>
      </c>
      <c r="CC46" s="37" t="str">
        <f t="shared" si="12"/>
        <v/>
      </c>
      <c r="CD46" s="36">
        <f>'[1]CB I'!$O46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>
        <f>DC46*'[3]CAMBARÁ - CITROS'!$U$5</f>
        <v>0</v>
      </c>
      <c r="CJ46" s="37" t="str">
        <f t="shared" si="13"/>
        <v/>
      </c>
      <c r="CK46" s="36">
        <f>'[1]CB I'!$P46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>
        <f>DD46*'[3]CAMBARÁ - CITROS'!$U$5</f>
        <v>0</v>
      </c>
      <c r="CQ46" s="37" t="str">
        <f t="shared" si="14"/>
        <v/>
      </c>
      <c r="CS46" s="198"/>
      <c r="CT46" s="198"/>
      <c r="CU46" s="198"/>
      <c r="CV46" s="198"/>
      <c r="CW46" s="198"/>
      <c r="CX46" s="198"/>
      <c r="CY46" s="198"/>
      <c r="CZ46" s="198"/>
      <c r="DA46" s="198"/>
      <c r="DB46" s="198"/>
      <c r="DC46" s="198"/>
      <c r="DD46" s="198"/>
      <c r="DE46" s="199"/>
      <c r="DF46" s="199"/>
    </row>
    <row r="47" spans="1:110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'[1]CB I'!$E47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27">
        <f>CS47*'[2]CAMBARÁ - CITROS'!$U$5</f>
        <v>0</v>
      </c>
      <c r="R47" s="37" t="str">
        <f t="shared" si="3"/>
        <v/>
      </c>
      <c r="S47" s="36">
        <f>'[1]CB I'!$F47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>
        <f>CT47*'[2]CAMBARÁ - CITROS'!$U$5</f>
        <v>0</v>
      </c>
      <c r="Y47" s="37" t="str">
        <f t="shared" si="4"/>
        <v/>
      </c>
      <c r="Z47" s="36">
        <f>'[1]CB I'!$G47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27">
        <f>CU47*'[2]CAMBARÁ - CITROS'!$U$5</f>
        <v>0</v>
      </c>
      <c r="AF47" s="37" t="str">
        <f t="shared" si="5"/>
        <v/>
      </c>
      <c r="AG47" s="36">
        <f>'[1]CB I'!$H47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33">
        <f>CV47*'[2]CAMBARÁ - CITROS'!$U$5</f>
        <v>0</v>
      </c>
      <c r="AM47" s="37" t="str">
        <f t="shared" si="6"/>
        <v/>
      </c>
      <c r="AN47" s="36">
        <f>'[1]CB I'!$I47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27">
        <f>CW47*'[3]CAMBARÁ - CITROS'!$U$5</f>
        <v>0</v>
      </c>
      <c r="AT47" s="37" t="str">
        <f t="shared" si="7"/>
        <v/>
      </c>
      <c r="AU47" s="36">
        <f>'[1]CB I'!$J47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33">
        <f>CX47*'[3]CAMBARÁ - CITROS'!$U$5</f>
        <v>0</v>
      </c>
      <c r="BA47" s="37" t="str">
        <f t="shared" si="8"/>
        <v/>
      </c>
      <c r="BB47" s="36">
        <f>'[1]CB I'!$K47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33">
        <f>CY47*'[3]CAMBARÁ - CITROS'!$U$5</f>
        <v>0</v>
      </c>
      <c r="BH47" s="37" t="str">
        <f t="shared" si="9"/>
        <v/>
      </c>
      <c r="BI47" s="36">
        <f>'[1]CB I'!$L47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>
        <f>CZ47*'[3]CAMBARÁ - CITROS'!$U$5</f>
        <v>0</v>
      </c>
      <c r="BO47" s="37" t="str">
        <f t="shared" si="10"/>
        <v/>
      </c>
      <c r="BP47" s="36">
        <f>'[1]CB I'!$M47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>
        <f>DA47*'[3]CAMBARÁ - CITROS'!$U$5</f>
        <v>0</v>
      </c>
      <c r="BV47" s="37" t="str">
        <f t="shared" si="11"/>
        <v/>
      </c>
      <c r="BW47" s="36">
        <f>'[1]CB I'!$N47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>
        <f>DB47*'[3]CAMBARÁ - CITROS'!$U$5</f>
        <v>0</v>
      </c>
      <c r="CC47" s="37" t="str">
        <f t="shared" si="12"/>
        <v/>
      </c>
      <c r="CD47" s="36">
        <f>'[1]CB I'!$O47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>
        <f>DC47*'[3]CAMBARÁ - CITROS'!$U$5</f>
        <v>0</v>
      </c>
      <c r="CJ47" s="37" t="str">
        <f t="shared" si="13"/>
        <v/>
      </c>
      <c r="CK47" s="36">
        <f>'[1]CB I'!$P47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>
        <f>DD47*'[3]CAMBARÁ - CITROS'!$U$5</f>
        <v>0</v>
      </c>
      <c r="CQ47" s="37" t="str">
        <f t="shared" si="14"/>
        <v/>
      </c>
      <c r="CS47" s="198"/>
      <c r="CT47" s="198"/>
      <c r="CU47" s="198"/>
      <c r="CV47" s="198"/>
      <c r="CW47" s="198"/>
      <c r="CX47" s="198"/>
      <c r="CY47" s="198"/>
      <c r="CZ47" s="198"/>
      <c r="DA47" s="198"/>
      <c r="DB47" s="198"/>
      <c r="DC47" s="198"/>
      <c r="DD47" s="198"/>
      <c r="DE47" s="199"/>
      <c r="DF47" s="199"/>
    </row>
    <row r="48" spans="1:110" s="26" customFormat="1" ht="16" customHeight="1" x14ac:dyDescent="0.2">
      <c r="A48" s="38" t="s">
        <v>72</v>
      </c>
      <c r="B48" s="30">
        <f t="shared" si="64"/>
        <v>24848.000000000004</v>
      </c>
      <c r="C48" s="31">
        <f t="shared" si="64"/>
        <v>21794.180800000002</v>
      </c>
      <c r="D48" s="32">
        <f t="shared" si="64"/>
        <v>3053.8191999999995</v>
      </c>
      <c r="E48" s="30">
        <f t="shared" si="66"/>
        <v>8282.6666666666661</v>
      </c>
      <c r="F48" s="33">
        <f t="shared" si="66"/>
        <v>7264.7269333333325</v>
      </c>
      <c r="G48" s="34">
        <f t="shared" si="66"/>
        <v>1017.9397333333333</v>
      </c>
      <c r="H48" s="31">
        <f t="shared" si="65"/>
        <v>3368.8778827135638</v>
      </c>
      <c r="I48" s="33">
        <f t="shared" si="65"/>
        <v>69.103424270377218</v>
      </c>
      <c r="J48" s="33">
        <f t="shared" si="65"/>
        <v>3437.9813069839411</v>
      </c>
      <c r="K48" s="37">
        <f t="shared" si="2"/>
        <v>-0.58491854793336184</v>
      </c>
      <c r="L48" s="36">
        <f>'[1]CB I'!$E48</f>
        <v>2070.6666666666665</v>
      </c>
      <c r="M48" s="31">
        <f t="shared" si="16"/>
        <v>1816.1817333333331</v>
      </c>
      <c r="N48" s="31">
        <f t="shared" si="17"/>
        <v>254.48493333333332</v>
      </c>
      <c r="O48" s="31">
        <f t="shared" si="18"/>
        <v>16.280918871369622</v>
      </c>
      <c r="P48" s="31">
        <f t="shared" si="19"/>
        <v>0.33395904614198324</v>
      </c>
      <c r="Q48" s="27">
        <f>CS48*'[2]CAMBARÁ - CITROS'!$U$5</f>
        <v>16.614877917511606</v>
      </c>
      <c r="R48" s="37">
        <f t="shared" si="3"/>
        <v>-0.99197607312418945</v>
      </c>
      <c r="S48" s="36">
        <f>'[1]CB I'!$F48</f>
        <v>2070.6666666666665</v>
      </c>
      <c r="T48" s="31">
        <f t="shared" si="20"/>
        <v>1816.1817333333331</v>
      </c>
      <c r="U48" s="31">
        <f t="shared" si="21"/>
        <v>254.48493333333332</v>
      </c>
      <c r="V48" s="31">
        <f t="shared" si="22"/>
        <v>868.38803277914144</v>
      </c>
      <c r="W48" s="31">
        <f t="shared" si="23"/>
        <v>17.812633389999736</v>
      </c>
      <c r="X48" s="33">
        <f>CT48*'[2]CAMBARÁ - CITROS'!$U$5</f>
        <v>886.20066616914119</v>
      </c>
      <c r="Y48" s="37">
        <f t="shared" si="4"/>
        <v>-0.5720215713928809</v>
      </c>
      <c r="Z48" s="36">
        <f>'[1]CB I'!$G48</f>
        <v>2070.6666666666665</v>
      </c>
      <c r="AA48" s="31">
        <f t="shared" si="24"/>
        <v>1816.1817333333331</v>
      </c>
      <c r="AB48" s="31">
        <f t="shared" si="25"/>
        <v>254.48493333333332</v>
      </c>
      <c r="AC48" s="31">
        <f t="shared" si="26"/>
        <v>1514.2762042861839</v>
      </c>
      <c r="AD48" s="31">
        <f t="shared" si="27"/>
        <v>31.061283504594645</v>
      </c>
      <c r="AE48" s="33">
        <f>CU48*'[2]CAMBARÁ - CITROS'!$U$5</f>
        <v>1545.3374877907786</v>
      </c>
      <c r="AF48" s="37">
        <f t="shared" si="5"/>
        <v>-0.25370050493040308</v>
      </c>
      <c r="AG48" s="36">
        <f>'[1]CB I'!$H48</f>
        <v>2070.6666666666665</v>
      </c>
      <c r="AH48" s="31">
        <f t="shared" si="28"/>
        <v>1816.1817333333331</v>
      </c>
      <c r="AI48" s="31">
        <f t="shared" si="29"/>
        <v>254.48493333333332</v>
      </c>
      <c r="AJ48" s="31">
        <f t="shared" si="30"/>
        <v>969.93272677686912</v>
      </c>
      <c r="AK48" s="31">
        <f t="shared" si="31"/>
        <v>19.895548329640846</v>
      </c>
      <c r="AL48" s="33">
        <f>CV48*'[2]CAMBARÁ - CITROS'!$U$5</f>
        <v>989.82827510650998</v>
      </c>
      <c r="AM48" s="37">
        <f t="shared" si="6"/>
        <v>-0.52197604228597383</v>
      </c>
      <c r="AN48" s="36">
        <f>'[1]CB I'!$I48</f>
        <v>2070.6666666666665</v>
      </c>
      <c r="AO48" s="31">
        <f t="shared" si="32"/>
        <v>1816.1817333333331</v>
      </c>
      <c r="AP48" s="31">
        <f t="shared" si="33"/>
        <v>254.48493333333332</v>
      </c>
      <c r="AQ48" s="31">
        <f t="shared" si="34"/>
        <v>0</v>
      </c>
      <c r="AR48" s="31">
        <f t="shared" si="35"/>
        <v>0</v>
      </c>
      <c r="AS48" s="33">
        <f>CW48*'[3]CAMBARÁ - CITROS'!$U$5</f>
        <v>0</v>
      </c>
      <c r="AT48" s="37">
        <f t="shared" si="7"/>
        <v>-1</v>
      </c>
      <c r="AU48" s="36">
        <f>'[1]CB I'!$J48</f>
        <v>2070.6666666666665</v>
      </c>
      <c r="AV48" s="31">
        <f t="shared" si="36"/>
        <v>1816.1817333333331</v>
      </c>
      <c r="AW48" s="31">
        <f t="shared" si="37"/>
        <v>254.48493333333332</v>
      </c>
      <c r="AX48" s="31">
        <f t="shared" si="38"/>
        <v>0</v>
      </c>
      <c r="AY48" s="31">
        <f t="shared" si="39"/>
        <v>0</v>
      </c>
      <c r="AZ48" s="33">
        <f>CX48*'[3]CAMBARÁ - CITROS'!$U$5</f>
        <v>0</v>
      </c>
      <c r="BA48" s="37">
        <f t="shared" si="8"/>
        <v>-1</v>
      </c>
      <c r="BB48" s="36">
        <f>'[1]CB I'!$K48</f>
        <v>2070.6666666666665</v>
      </c>
      <c r="BC48" s="31">
        <f t="shared" si="40"/>
        <v>1816.1817333333331</v>
      </c>
      <c r="BD48" s="31">
        <f t="shared" si="41"/>
        <v>254.48493333333332</v>
      </c>
      <c r="BE48" s="31">
        <f t="shared" si="42"/>
        <v>0</v>
      </c>
      <c r="BF48" s="31">
        <f t="shared" si="43"/>
        <v>0</v>
      </c>
      <c r="BG48" s="33">
        <f>CY48*'[3]CAMBARÁ - CITROS'!$U$5</f>
        <v>0</v>
      </c>
      <c r="BH48" s="37">
        <f t="shared" si="9"/>
        <v>-1</v>
      </c>
      <c r="BI48" s="36">
        <f>'[1]CB I'!$L48</f>
        <v>2070.6666666666665</v>
      </c>
      <c r="BJ48" s="31">
        <f t="shared" si="44"/>
        <v>1816.1817333333331</v>
      </c>
      <c r="BK48" s="31">
        <f t="shared" si="45"/>
        <v>254.48493333333332</v>
      </c>
      <c r="BL48" s="31">
        <f t="shared" si="46"/>
        <v>0</v>
      </c>
      <c r="BM48" s="31">
        <f t="shared" si="47"/>
        <v>0</v>
      </c>
      <c r="BN48" s="33">
        <f>CZ48*'[3]CAMBARÁ - CITROS'!$U$5</f>
        <v>0</v>
      </c>
      <c r="BO48" s="37">
        <f t="shared" si="10"/>
        <v>-1</v>
      </c>
      <c r="BP48" s="36">
        <f>'[1]CB I'!$M48</f>
        <v>2070.6666666666665</v>
      </c>
      <c r="BQ48" s="31">
        <f t="shared" si="48"/>
        <v>1816.1817333333331</v>
      </c>
      <c r="BR48" s="31">
        <f t="shared" si="49"/>
        <v>254.48493333333332</v>
      </c>
      <c r="BS48" s="31">
        <f t="shared" si="50"/>
        <v>0</v>
      </c>
      <c r="BT48" s="31">
        <f t="shared" si="51"/>
        <v>0</v>
      </c>
      <c r="BU48" s="33">
        <f>DA48*'[3]CAMBARÁ - CITROS'!$U$5</f>
        <v>0</v>
      </c>
      <c r="BV48" s="37">
        <f t="shared" si="11"/>
        <v>-1</v>
      </c>
      <c r="BW48" s="36">
        <f>'[1]CB I'!$N48</f>
        <v>2070.6666666666665</v>
      </c>
      <c r="BX48" s="31">
        <f t="shared" si="52"/>
        <v>1816.1817333333331</v>
      </c>
      <c r="BY48" s="31">
        <f t="shared" si="53"/>
        <v>254.48493333333332</v>
      </c>
      <c r="BZ48" s="31">
        <f t="shared" si="54"/>
        <v>0</v>
      </c>
      <c r="CA48" s="31">
        <f t="shared" si="55"/>
        <v>0</v>
      </c>
      <c r="CB48" s="33">
        <f>DB48*'[3]CAMBARÁ - CITROS'!$U$5</f>
        <v>0</v>
      </c>
      <c r="CC48" s="37">
        <f t="shared" si="12"/>
        <v>-1</v>
      </c>
      <c r="CD48" s="36">
        <f>'[1]CB I'!$O48</f>
        <v>2070.6666666666665</v>
      </c>
      <c r="CE48" s="31">
        <f t="shared" si="56"/>
        <v>1816.1817333333331</v>
      </c>
      <c r="CF48" s="31">
        <f t="shared" si="57"/>
        <v>254.48493333333332</v>
      </c>
      <c r="CG48" s="31">
        <f t="shared" si="58"/>
        <v>0</v>
      </c>
      <c r="CH48" s="31">
        <f t="shared" si="59"/>
        <v>0</v>
      </c>
      <c r="CI48" s="33">
        <f>DC48*'[3]CAMBARÁ - CITROS'!$U$5</f>
        <v>0</v>
      </c>
      <c r="CJ48" s="37">
        <f t="shared" si="13"/>
        <v>-1</v>
      </c>
      <c r="CK48" s="36">
        <f>'[1]CB I'!$P48</f>
        <v>2070.6666666666665</v>
      </c>
      <c r="CL48" s="31">
        <f t="shared" si="60"/>
        <v>1816.1817333333331</v>
      </c>
      <c r="CM48" s="31">
        <f t="shared" si="61"/>
        <v>254.48493333333332</v>
      </c>
      <c r="CN48" s="31">
        <f t="shared" si="62"/>
        <v>0</v>
      </c>
      <c r="CO48" s="31">
        <f t="shared" si="63"/>
        <v>0</v>
      </c>
      <c r="CP48" s="33">
        <f>DD48*'[3]CAMBARÁ - CITROS'!$U$5</f>
        <v>0</v>
      </c>
      <c r="CQ48" s="37">
        <f t="shared" si="14"/>
        <v>-1</v>
      </c>
      <c r="CS48" s="198">
        <f>27</f>
        <v>27</v>
      </c>
      <c r="CT48" s="198">
        <f>1440.12</f>
        <v>1440.12</v>
      </c>
      <c r="CU48" s="198">
        <f>2511.25</f>
        <v>2511.25</v>
      </c>
      <c r="CV48" s="198">
        <f>1608.52</f>
        <v>1608.52</v>
      </c>
      <c r="CW48" s="198"/>
      <c r="CX48" s="198"/>
      <c r="CY48" s="198"/>
      <c r="CZ48" s="198"/>
      <c r="DA48" s="198"/>
      <c r="DB48" s="198"/>
      <c r="DC48" s="198"/>
      <c r="DD48" s="198"/>
      <c r="DE48" s="199"/>
      <c r="DF48" s="199"/>
    </row>
    <row r="49" spans="1:110" s="26" customFormat="1" ht="16" customHeight="1" x14ac:dyDescent="0.2">
      <c r="A49" s="29" t="s">
        <v>73</v>
      </c>
      <c r="B49" s="30">
        <f t="shared" si="64"/>
        <v>64915.400000000016</v>
      </c>
      <c r="C49" s="31">
        <f t="shared" si="64"/>
        <v>56937.297339999997</v>
      </c>
      <c r="D49" s="32">
        <f t="shared" si="64"/>
        <v>7978.1026600000005</v>
      </c>
      <c r="E49" s="30">
        <f t="shared" si="66"/>
        <v>21638.466666666667</v>
      </c>
      <c r="F49" s="33">
        <f t="shared" si="66"/>
        <v>18979.099113333334</v>
      </c>
      <c r="G49" s="34">
        <f t="shared" si="66"/>
        <v>2659.3675533333335</v>
      </c>
      <c r="H49" s="31">
        <f t="shared" si="65"/>
        <v>34268.331299196783</v>
      </c>
      <c r="I49" s="33">
        <f t="shared" si="65"/>
        <v>702.92219523814185</v>
      </c>
      <c r="J49" s="33">
        <f t="shared" si="65"/>
        <v>34971.253494434925</v>
      </c>
      <c r="K49" s="37">
        <f t="shared" si="2"/>
        <v>0.61616134974605052</v>
      </c>
      <c r="L49" s="36">
        <f>'[1]CB I'!$E49</f>
        <v>5409.6166666666668</v>
      </c>
      <c r="M49" s="31">
        <f t="shared" si="16"/>
        <v>4744.7747783333334</v>
      </c>
      <c r="N49" s="31">
        <f t="shared" si="17"/>
        <v>664.84188833333337</v>
      </c>
      <c r="O49" s="31">
        <f t="shared" si="18"/>
        <v>13609.569822835105</v>
      </c>
      <c r="P49" s="31">
        <f t="shared" si="19"/>
        <v>279.16354060514902</v>
      </c>
      <c r="Q49" s="27">
        <f>CS49*'[2]CAMBARÁ - CITROS'!$U$5</f>
        <v>13888.733363440253</v>
      </c>
      <c r="R49" s="37">
        <f t="shared" si="3"/>
        <v>1.5674154416561099</v>
      </c>
      <c r="S49" s="36">
        <f>'[1]CB I'!$F49</f>
        <v>5409.6166666666668</v>
      </c>
      <c r="T49" s="31">
        <f t="shared" si="20"/>
        <v>4744.7747783333334</v>
      </c>
      <c r="U49" s="31">
        <f t="shared" si="21"/>
        <v>664.84188833333337</v>
      </c>
      <c r="V49" s="31">
        <f t="shared" si="22"/>
        <v>8894.8388265746999</v>
      </c>
      <c r="W49" s="31">
        <f t="shared" si="23"/>
        <v>182.45357731824822</v>
      </c>
      <c r="X49" s="33">
        <f>CT49*'[2]CAMBARÁ - CITROS'!$U$5</f>
        <v>9077.2924038929486</v>
      </c>
      <c r="Y49" s="37">
        <f t="shared" si="4"/>
        <v>0.67799179927590969</v>
      </c>
      <c r="Z49" s="36">
        <f>'[1]CB I'!$G49</f>
        <v>5409.6166666666668</v>
      </c>
      <c r="AA49" s="31">
        <f t="shared" si="24"/>
        <v>4744.7747783333334</v>
      </c>
      <c r="AB49" s="31">
        <f t="shared" si="25"/>
        <v>664.84188833333337</v>
      </c>
      <c r="AC49" s="31">
        <f t="shared" si="26"/>
        <v>4957.0332788560518</v>
      </c>
      <c r="AD49" s="31">
        <f t="shared" si="27"/>
        <v>101.68013971324281</v>
      </c>
      <c r="AE49" s="27">
        <f>CU49*'[2]CAMBARÁ - CITROS'!$U$5</f>
        <v>5058.7134185692948</v>
      </c>
      <c r="AF49" s="37">
        <f t="shared" si="5"/>
        <v>-6.4866564438768926E-2</v>
      </c>
      <c r="AG49" s="36">
        <f>'[1]CB I'!$H49</f>
        <v>5409.6166666666668</v>
      </c>
      <c r="AH49" s="31">
        <f t="shared" si="28"/>
        <v>4744.7747783333334</v>
      </c>
      <c r="AI49" s="31">
        <f t="shared" si="29"/>
        <v>664.84188833333337</v>
      </c>
      <c r="AJ49" s="31">
        <f t="shared" si="30"/>
        <v>6806.889370930925</v>
      </c>
      <c r="AK49" s="31">
        <f t="shared" si="31"/>
        <v>139.62493760150176</v>
      </c>
      <c r="AL49" s="33">
        <f>CV49*'[2]CAMBARÁ - CITROS'!$U$5</f>
        <v>6946.5143085324271</v>
      </c>
      <c r="AM49" s="37">
        <f t="shared" si="6"/>
        <v>0.28410472249095164</v>
      </c>
      <c r="AN49" s="36">
        <f>'[1]CB I'!$I49</f>
        <v>5409.6166666666668</v>
      </c>
      <c r="AO49" s="31">
        <f t="shared" si="32"/>
        <v>4744.7747783333334</v>
      </c>
      <c r="AP49" s="31">
        <f t="shared" si="33"/>
        <v>664.84188833333337</v>
      </c>
      <c r="AQ49" s="31">
        <f t="shared" si="34"/>
        <v>0</v>
      </c>
      <c r="AR49" s="31">
        <f t="shared" si="35"/>
        <v>0</v>
      </c>
      <c r="AS49" s="27">
        <f>CW49*'[3]CAMBARÁ - CITROS'!$U$5</f>
        <v>0</v>
      </c>
      <c r="AT49" s="37">
        <f t="shared" si="7"/>
        <v>-1</v>
      </c>
      <c r="AU49" s="36">
        <f>'[1]CB I'!$J49</f>
        <v>5409.6166666666668</v>
      </c>
      <c r="AV49" s="31">
        <f t="shared" si="36"/>
        <v>4744.7747783333334</v>
      </c>
      <c r="AW49" s="31">
        <f t="shared" si="37"/>
        <v>664.84188833333337</v>
      </c>
      <c r="AX49" s="31">
        <f t="shared" si="38"/>
        <v>0</v>
      </c>
      <c r="AY49" s="31">
        <f t="shared" si="39"/>
        <v>0</v>
      </c>
      <c r="AZ49" s="33">
        <f>CX49*'[3]CAMBARÁ - CITROS'!$U$5</f>
        <v>0</v>
      </c>
      <c r="BA49" s="37">
        <f t="shared" si="8"/>
        <v>-1</v>
      </c>
      <c r="BB49" s="36">
        <f>'[1]CB I'!$K49</f>
        <v>5409.6166666666668</v>
      </c>
      <c r="BC49" s="31">
        <f t="shared" si="40"/>
        <v>4744.7747783333334</v>
      </c>
      <c r="BD49" s="31">
        <f t="shared" si="41"/>
        <v>664.84188833333337</v>
      </c>
      <c r="BE49" s="31">
        <f t="shared" si="42"/>
        <v>0</v>
      </c>
      <c r="BF49" s="31">
        <f t="shared" si="43"/>
        <v>0</v>
      </c>
      <c r="BG49" s="33">
        <f>CY49*'[3]CAMBARÁ - CITROS'!$U$5</f>
        <v>0</v>
      </c>
      <c r="BH49" s="37">
        <f t="shared" si="9"/>
        <v>-1</v>
      </c>
      <c r="BI49" s="36">
        <f>'[1]CB I'!$L49</f>
        <v>5409.6166666666668</v>
      </c>
      <c r="BJ49" s="31">
        <f t="shared" si="44"/>
        <v>4744.7747783333334</v>
      </c>
      <c r="BK49" s="31">
        <f t="shared" si="45"/>
        <v>664.84188833333337</v>
      </c>
      <c r="BL49" s="31">
        <f t="shared" si="46"/>
        <v>0</v>
      </c>
      <c r="BM49" s="31">
        <f t="shared" si="47"/>
        <v>0</v>
      </c>
      <c r="BN49" s="33">
        <f>CZ49*'[3]CAMBARÁ - CITROS'!$U$5</f>
        <v>0</v>
      </c>
      <c r="BO49" s="37">
        <f t="shared" si="10"/>
        <v>-1</v>
      </c>
      <c r="BP49" s="36">
        <f>'[1]CB I'!$M49</f>
        <v>5409.6166666666668</v>
      </c>
      <c r="BQ49" s="31">
        <f t="shared" si="48"/>
        <v>4744.7747783333334</v>
      </c>
      <c r="BR49" s="31">
        <f t="shared" si="49"/>
        <v>664.84188833333337</v>
      </c>
      <c r="BS49" s="31">
        <f t="shared" si="50"/>
        <v>0</v>
      </c>
      <c r="BT49" s="31">
        <f t="shared" si="51"/>
        <v>0</v>
      </c>
      <c r="BU49" s="33">
        <f>DA49*'[3]CAMBARÁ - CITROS'!$U$5</f>
        <v>0</v>
      </c>
      <c r="BV49" s="37">
        <f t="shared" si="11"/>
        <v>-1</v>
      </c>
      <c r="BW49" s="36">
        <f>'[1]CB I'!$N49</f>
        <v>5409.6166666666668</v>
      </c>
      <c r="BX49" s="31">
        <f t="shared" si="52"/>
        <v>4744.7747783333334</v>
      </c>
      <c r="BY49" s="31">
        <f t="shared" si="53"/>
        <v>664.84188833333337</v>
      </c>
      <c r="BZ49" s="31">
        <f t="shared" si="54"/>
        <v>0</v>
      </c>
      <c r="CA49" s="31">
        <f t="shared" si="55"/>
        <v>0</v>
      </c>
      <c r="CB49" s="33">
        <f>DB49*'[3]CAMBARÁ - CITROS'!$U$5</f>
        <v>0</v>
      </c>
      <c r="CC49" s="37">
        <f t="shared" si="12"/>
        <v>-1</v>
      </c>
      <c r="CD49" s="36">
        <f>'[1]CB I'!$O49</f>
        <v>5409.6166666666668</v>
      </c>
      <c r="CE49" s="31">
        <f t="shared" si="56"/>
        <v>4744.7747783333334</v>
      </c>
      <c r="CF49" s="31">
        <f t="shared" si="57"/>
        <v>664.84188833333337</v>
      </c>
      <c r="CG49" s="31">
        <f t="shared" si="58"/>
        <v>0</v>
      </c>
      <c r="CH49" s="31">
        <f t="shared" si="59"/>
        <v>0</v>
      </c>
      <c r="CI49" s="33">
        <f>DC49*'[3]CAMBARÁ - CITROS'!$U$5</f>
        <v>0</v>
      </c>
      <c r="CJ49" s="37">
        <f t="shared" si="13"/>
        <v>-1</v>
      </c>
      <c r="CK49" s="36">
        <f>'[1]CB I'!$P49</f>
        <v>5409.6166666666668</v>
      </c>
      <c r="CL49" s="31">
        <f t="shared" si="60"/>
        <v>4744.7747783333334</v>
      </c>
      <c r="CM49" s="31">
        <f t="shared" si="61"/>
        <v>664.84188833333337</v>
      </c>
      <c r="CN49" s="31">
        <f t="shared" si="62"/>
        <v>0</v>
      </c>
      <c r="CO49" s="31">
        <f t="shared" si="63"/>
        <v>0</v>
      </c>
      <c r="CP49" s="33">
        <f>DD49*'[3]CAMBARÁ - CITROS'!$U$5</f>
        <v>0</v>
      </c>
      <c r="CQ49" s="37">
        <f t="shared" si="14"/>
        <v>-1</v>
      </c>
      <c r="CS49" s="198">
        <f>R83</f>
        <v>22569.879999999997</v>
      </c>
      <c r="CT49" s="198">
        <f>Y83</f>
        <v>14751.050000000001</v>
      </c>
      <c r="CU49" s="198">
        <f>AF83</f>
        <v>8220.66</v>
      </c>
      <c r="CV49" s="198">
        <f>AM83</f>
        <v>11288.429999999998</v>
      </c>
      <c r="CW49" s="27"/>
      <c r="CX49" s="198"/>
      <c r="CY49" s="198"/>
      <c r="CZ49" s="198"/>
      <c r="DA49" s="27"/>
      <c r="DB49" s="198"/>
      <c r="DC49" s="198"/>
      <c r="DD49" s="198"/>
      <c r="DE49" s="199"/>
      <c r="DF49" s="199"/>
    </row>
    <row r="50" spans="1:110" s="26" customFormat="1" ht="16" customHeight="1" x14ac:dyDescent="0.2">
      <c r="A50" s="29" t="s">
        <v>74</v>
      </c>
      <c r="B50" s="30">
        <f t="shared" si="64"/>
        <v>4286.6527199999991</v>
      </c>
      <c r="C50" s="31">
        <f t="shared" si="64"/>
        <v>3759.8231007119989</v>
      </c>
      <c r="D50" s="32">
        <f t="shared" si="64"/>
        <v>526.82961928799989</v>
      </c>
      <c r="E50" s="30">
        <f t="shared" si="66"/>
        <v>1428.8842399999999</v>
      </c>
      <c r="F50" s="33">
        <f t="shared" si="66"/>
        <v>1253.2743669039999</v>
      </c>
      <c r="G50" s="34">
        <f t="shared" si="66"/>
        <v>175.60987309599997</v>
      </c>
      <c r="H50" s="31">
        <f t="shared" si="65"/>
        <v>1668.0163181915323</v>
      </c>
      <c r="I50" s="33">
        <f t="shared" si="65"/>
        <v>34.214846408459827</v>
      </c>
      <c r="J50" s="33">
        <f t="shared" si="65"/>
        <v>1702.2311645999919</v>
      </c>
      <c r="K50" s="37">
        <f t="shared" si="2"/>
        <v>0.19130095843172845</v>
      </c>
      <c r="L50" s="36">
        <f>'[1]CB I'!$E50</f>
        <v>357.22105999999997</v>
      </c>
      <c r="M50" s="28">
        <f t="shared" si="16"/>
        <v>313.31859172599997</v>
      </c>
      <c r="N50" s="28">
        <f t="shared" si="17"/>
        <v>43.902468273999993</v>
      </c>
      <c r="O50" s="28">
        <f t="shared" si="18"/>
        <v>324.15309472896928</v>
      </c>
      <c r="P50" s="28">
        <f t="shared" si="19"/>
        <v>6.6491246086868872</v>
      </c>
      <c r="Q50" s="153">
        <f>CS50*'[2]CAMBARÁ - CITROS'!$U$5</f>
        <v>330.80221933765614</v>
      </c>
      <c r="R50" s="37">
        <f t="shared" si="3"/>
        <v>-7.395655973459081E-2</v>
      </c>
      <c r="S50" s="36">
        <f>'[1]CB I'!$F50</f>
        <v>357.22105999999997</v>
      </c>
      <c r="T50" s="28">
        <f t="shared" si="20"/>
        <v>313.31859172599997</v>
      </c>
      <c r="U50" s="28">
        <f t="shared" si="21"/>
        <v>43.902468273999993</v>
      </c>
      <c r="V50" s="28">
        <f t="shared" si="22"/>
        <v>375.38371944421226</v>
      </c>
      <c r="W50" s="28">
        <f t="shared" si="23"/>
        <v>7.6999824072136596</v>
      </c>
      <c r="X50" s="151">
        <f>CT50*'[2]CAMBARÁ - CITROS'!$U$5</f>
        <v>383.08370185142593</v>
      </c>
      <c r="Y50" s="37">
        <f t="shared" si="4"/>
        <v>7.2399544000641969E-2</v>
      </c>
      <c r="Z50" s="36">
        <f>'[1]CB I'!$G50</f>
        <v>357.22105999999997</v>
      </c>
      <c r="AA50" s="28">
        <f t="shared" si="24"/>
        <v>313.31859172599997</v>
      </c>
      <c r="AB50" s="28">
        <f t="shared" si="25"/>
        <v>43.902468273999993</v>
      </c>
      <c r="AC50" s="28">
        <f t="shared" si="26"/>
        <v>661.92186161036523</v>
      </c>
      <c r="AD50" s="28">
        <f t="shared" si="27"/>
        <v>13.577537930776955</v>
      </c>
      <c r="AE50" s="151">
        <f>CU50*'[2]CAMBARÁ - CITROS'!$U$5</f>
        <v>675.49939954114222</v>
      </c>
      <c r="AF50" s="37">
        <f t="shared" si="5"/>
        <v>0.89098425367513978</v>
      </c>
      <c r="AG50" s="36">
        <f>'[1]CB I'!$H50</f>
        <v>357.22105999999997</v>
      </c>
      <c r="AH50" s="28">
        <f t="shared" si="28"/>
        <v>313.31859172599997</v>
      </c>
      <c r="AI50" s="28">
        <f t="shared" si="29"/>
        <v>43.902468273999993</v>
      </c>
      <c r="AJ50" s="28">
        <f t="shared" si="30"/>
        <v>306.55764240798533</v>
      </c>
      <c r="AK50" s="28">
        <f t="shared" si="31"/>
        <v>6.2882014617823279</v>
      </c>
      <c r="AL50" s="151">
        <f>CV50*'[2]CAMBARÁ - CITROS'!$U$5</f>
        <v>312.84584386976763</v>
      </c>
      <c r="AM50" s="37">
        <f t="shared" si="6"/>
        <v>-0.12422340421427658</v>
      </c>
      <c r="AN50" s="36">
        <f>'[1]CB I'!$I50</f>
        <v>357.22105999999997</v>
      </c>
      <c r="AO50" s="28">
        <f t="shared" si="32"/>
        <v>313.31859172599997</v>
      </c>
      <c r="AP50" s="28">
        <f t="shared" si="33"/>
        <v>43.902468273999993</v>
      </c>
      <c r="AQ50" s="28">
        <f t="shared" si="34"/>
        <v>0</v>
      </c>
      <c r="AR50" s="28">
        <f t="shared" si="35"/>
        <v>0</v>
      </c>
      <c r="AS50" s="153">
        <f>CW50*'[3]CAMBARÁ - CITROS'!$U$5</f>
        <v>0</v>
      </c>
      <c r="AT50" s="37">
        <f t="shared" si="7"/>
        <v>-1</v>
      </c>
      <c r="AU50" s="36">
        <f>'[1]CB I'!$J50</f>
        <v>357.22105999999997</v>
      </c>
      <c r="AV50" s="28">
        <f t="shared" si="36"/>
        <v>313.31859172599997</v>
      </c>
      <c r="AW50" s="28">
        <f t="shared" si="37"/>
        <v>43.902468273999993</v>
      </c>
      <c r="AX50" s="28">
        <f t="shared" si="38"/>
        <v>0</v>
      </c>
      <c r="AY50" s="28">
        <f t="shared" si="39"/>
        <v>0</v>
      </c>
      <c r="AZ50" s="151">
        <f>CX50*'[3]CAMBARÁ - CITROS'!$U$5</f>
        <v>0</v>
      </c>
      <c r="BA50" s="37">
        <f t="shared" si="8"/>
        <v>-1</v>
      </c>
      <c r="BB50" s="36">
        <f>'[1]CB I'!$K50</f>
        <v>357.22105999999997</v>
      </c>
      <c r="BC50" s="28">
        <f t="shared" si="40"/>
        <v>313.31859172599997</v>
      </c>
      <c r="BD50" s="28">
        <f t="shared" si="41"/>
        <v>43.902468273999993</v>
      </c>
      <c r="BE50" s="28">
        <f t="shared" si="42"/>
        <v>0</v>
      </c>
      <c r="BF50" s="28">
        <f t="shared" si="43"/>
        <v>0</v>
      </c>
      <c r="BG50" s="151">
        <f>CY50*'[3]CAMBARÁ - CITROS'!$U$5</f>
        <v>0</v>
      </c>
      <c r="BH50" s="37">
        <f t="shared" si="9"/>
        <v>-1</v>
      </c>
      <c r="BI50" s="36">
        <f>'[1]CB I'!$L50</f>
        <v>357.22105999999997</v>
      </c>
      <c r="BJ50" s="28">
        <f t="shared" si="44"/>
        <v>313.31859172599997</v>
      </c>
      <c r="BK50" s="28">
        <f t="shared" si="45"/>
        <v>43.902468273999993</v>
      </c>
      <c r="BL50" s="28">
        <f t="shared" si="46"/>
        <v>0</v>
      </c>
      <c r="BM50" s="28">
        <f t="shared" si="47"/>
        <v>0</v>
      </c>
      <c r="BN50" s="151">
        <f>CZ50*'[3]CAMBARÁ - CITROS'!$U$5</f>
        <v>0</v>
      </c>
      <c r="BO50" s="37">
        <f t="shared" si="10"/>
        <v>-1</v>
      </c>
      <c r="BP50" s="36">
        <f>'[1]CB I'!$M50</f>
        <v>357.22105999999997</v>
      </c>
      <c r="BQ50" s="28">
        <f t="shared" si="48"/>
        <v>313.31859172599997</v>
      </c>
      <c r="BR50" s="28">
        <f t="shared" si="49"/>
        <v>43.902468273999993</v>
      </c>
      <c r="BS50" s="28">
        <f t="shared" si="50"/>
        <v>0</v>
      </c>
      <c r="BT50" s="28">
        <f t="shared" si="51"/>
        <v>0</v>
      </c>
      <c r="BU50" s="151">
        <f>DA50*'[3]CAMBARÁ - CITROS'!$U$5</f>
        <v>0</v>
      </c>
      <c r="BV50" s="37">
        <f t="shared" si="11"/>
        <v>-1</v>
      </c>
      <c r="BW50" s="36">
        <f>'[1]CB I'!$N50</f>
        <v>357.22105999999997</v>
      </c>
      <c r="BX50" s="28">
        <f t="shared" si="52"/>
        <v>313.31859172599997</v>
      </c>
      <c r="BY50" s="28">
        <f t="shared" si="53"/>
        <v>43.902468273999993</v>
      </c>
      <c r="BZ50" s="28">
        <f t="shared" si="54"/>
        <v>0</v>
      </c>
      <c r="CA50" s="28">
        <f t="shared" si="55"/>
        <v>0</v>
      </c>
      <c r="CB50" s="151">
        <f>DB50*'[3]CAMBARÁ - CITROS'!$U$5</f>
        <v>0</v>
      </c>
      <c r="CC50" s="37">
        <f t="shared" si="12"/>
        <v>-1</v>
      </c>
      <c r="CD50" s="36">
        <f>'[1]CB I'!$O50</f>
        <v>357.22105999999997</v>
      </c>
      <c r="CE50" s="28">
        <f t="shared" si="56"/>
        <v>313.31859172599997</v>
      </c>
      <c r="CF50" s="28">
        <f t="shared" si="57"/>
        <v>43.902468273999993</v>
      </c>
      <c r="CG50" s="28">
        <f t="shared" si="58"/>
        <v>0</v>
      </c>
      <c r="CH50" s="28">
        <f t="shared" si="59"/>
        <v>0</v>
      </c>
      <c r="CI50" s="151">
        <f>DC50*'[3]CAMBARÁ - CITROS'!$U$5</f>
        <v>0</v>
      </c>
      <c r="CJ50" s="37">
        <f t="shared" si="13"/>
        <v>-1</v>
      </c>
      <c r="CK50" s="36">
        <f>'[1]CB I'!$P50</f>
        <v>357.22105999999997</v>
      </c>
      <c r="CL50" s="28">
        <f t="shared" si="60"/>
        <v>313.31859172599997</v>
      </c>
      <c r="CM50" s="28">
        <f t="shared" si="61"/>
        <v>43.902468273999993</v>
      </c>
      <c r="CN50" s="28">
        <f t="shared" si="62"/>
        <v>0</v>
      </c>
      <c r="CO50" s="28">
        <f t="shared" si="63"/>
        <v>0</v>
      </c>
      <c r="CP50" s="33">
        <f>DD50*'[3]CAMBARÁ - CITROS'!$U$5</f>
        <v>0</v>
      </c>
      <c r="CQ50" s="37">
        <f t="shared" si="14"/>
        <v>-1</v>
      </c>
      <c r="CS50" s="198">
        <f>537.57</f>
        <v>537.57000000000005</v>
      </c>
      <c r="CT50" s="198">
        <f>622.53</f>
        <v>622.53</v>
      </c>
      <c r="CU50" s="198">
        <f>1097.72</f>
        <v>1097.72</v>
      </c>
      <c r="CV50" s="198">
        <f>508.39</f>
        <v>508.39</v>
      </c>
      <c r="CW50" s="198"/>
      <c r="CX50" s="198"/>
      <c r="CY50" s="198"/>
      <c r="CZ50" s="198"/>
      <c r="DA50" s="198"/>
      <c r="DB50" s="198"/>
      <c r="DC50" s="198"/>
      <c r="DD50" s="198"/>
      <c r="DE50" s="199"/>
      <c r="DF50" s="199"/>
    </row>
    <row r="51" spans="1:110" s="26" customFormat="1" ht="16" customHeight="1" x14ac:dyDescent="0.2">
      <c r="A51" s="29" t="s">
        <v>75</v>
      </c>
      <c r="B51" s="30">
        <f t="shared" si="64"/>
        <v>3221.9048005199998</v>
      </c>
      <c r="C51" s="31">
        <f t="shared" si="64"/>
        <v>2825.9327005360915</v>
      </c>
      <c r="D51" s="32">
        <f t="shared" si="64"/>
        <v>395.97209998390804</v>
      </c>
      <c r="E51" s="30">
        <f t="shared" si="66"/>
        <v>1073.9682668399998</v>
      </c>
      <c r="F51" s="33">
        <f t="shared" si="66"/>
        <v>941.97756684536387</v>
      </c>
      <c r="G51" s="34">
        <f t="shared" si="66"/>
        <v>131.99069999463597</v>
      </c>
      <c r="H51" s="31">
        <f t="shared" si="65"/>
        <v>1055.2206217830364</v>
      </c>
      <c r="I51" s="33">
        <f t="shared" si="65"/>
        <v>21.644998977282405</v>
      </c>
      <c r="J51" s="33">
        <f t="shared" si="65"/>
        <v>1076.865620760319</v>
      </c>
      <c r="K51" s="37">
        <f t="shared" si="2"/>
        <v>2.6978021695596155E-3</v>
      </c>
      <c r="L51" s="36">
        <f>'[1]CB I'!$E51</f>
        <v>268.49206670999996</v>
      </c>
      <c r="M51" s="31">
        <f t="shared" si="16"/>
        <v>235.49439171134097</v>
      </c>
      <c r="N51" s="31">
        <f t="shared" si="17"/>
        <v>32.997674998658994</v>
      </c>
      <c r="O51" s="31">
        <f t="shared" si="18"/>
        <v>258.13698369054151</v>
      </c>
      <c r="P51" s="31">
        <f t="shared" si="19"/>
        <v>5.294982520848948</v>
      </c>
      <c r="Q51" s="48">
        <f>CS51*'[2]CAMBARÁ - CITROS'!$U$5</f>
        <v>263.43196621139049</v>
      </c>
      <c r="R51" s="37">
        <f t="shared" si="3"/>
        <v>-1.8846368760962018E-2</v>
      </c>
      <c r="S51" s="36">
        <f>'[1]CB I'!$F51</f>
        <v>268.49206670999996</v>
      </c>
      <c r="T51" s="31">
        <f t="shared" si="20"/>
        <v>235.49439171134097</v>
      </c>
      <c r="U51" s="31">
        <f t="shared" si="21"/>
        <v>32.997674998658994</v>
      </c>
      <c r="V51" s="31">
        <f t="shared" si="22"/>
        <v>251.41356719366115</v>
      </c>
      <c r="W51" s="31">
        <f t="shared" si="23"/>
        <v>5.1570698036458698</v>
      </c>
      <c r="X51" s="45">
        <f>CT51*'[2]CAMBARÁ - CITROS'!$U$5</f>
        <v>256.57063699730702</v>
      </c>
      <c r="Y51" s="37">
        <f t="shared" si="4"/>
        <v>-4.4401422577484806E-2</v>
      </c>
      <c r="Z51" s="36">
        <f>'[1]CB I'!$G51</f>
        <v>268.49206670999996</v>
      </c>
      <c r="AA51" s="31">
        <f t="shared" si="24"/>
        <v>235.49439171134097</v>
      </c>
      <c r="AB51" s="31">
        <f t="shared" si="25"/>
        <v>32.997674998658994</v>
      </c>
      <c r="AC51" s="31">
        <f t="shared" si="26"/>
        <v>233.82414484262958</v>
      </c>
      <c r="AD51" s="31">
        <f t="shared" si="27"/>
        <v>4.7962703452769198</v>
      </c>
      <c r="AE51" s="45">
        <f>CU51*'[2]CAMBARÁ - CITROS'!$U$5</f>
        <v>238.6204151879065</v>
      </c>
      <c r="AF51" s="37">
        <f t="shared" si="5"/>
        <v>-0.11125711045443298</v>
      </c>
      <c r="AG51" s="36">
        <f>'[1]CB I'!$H51</f>
        <v>268.49206670999996</v>
      </c>
      <c r="AH51" s="31">
        <f t="shared" si="28"/>
        <v>235.49439171134097</v>
      </c>
      <c r="AI51" s="31">
        <f t="shared" si="29"/>
        <v>32.997674998658994</v>
      </c>
      <c r="AJ51" s="31">
        <f t="shared" si="30"/>
        <v>311.84592605620418</v>
      </c>
      <c r="AK51" s="31">
        <f t="shared" si="31"/>
        <v>6.3966763075106678</v>
      </c>
      <c r="AL51" s="45">
        <f>CV51*'[2]CAMBARÁ - CITROS'!$U$5</f>
        <v>318.24260236371487</v>
      </c>
      <c r="AM51" s="37">
        <f t="shared" si="6"/>
        <v>0.18529611047111794</v>
      </c>
      <c r="AN51" s="36">
        <f>'[1]CB I'!$I51</f>
        <v>268.49206670999996</v>
      </c>
      <c r="AO51" s="31">
        <f t="shared" si="32"/>
        <v>235.49439171134097</v>
      </c>
      <c r="AP51" s="31">
        <f t="shared" si="33"/>
        <v>32.997674998658994</v>
      </c>
      <c r="AQ51" s="31">
        <f t="shared" si="34"/>
        <v>0</v>
      </c>
      <c r="AR51" s="31">
        <f t="shared" si="35"/>
        <v>0</v>
      </c>
      <c r="AS51" s="48">
        <f>CW51*'[3]CAMBARÁ - CITROS'!$U$5</f>
        <v>0</v>
      </c>
      <c r="AT51" s="37">
        <f t="shared" si="7"/>
        <v>-1</v>
      </c>
      <c r="AU51" s="36">
        <f>'[1]CB I'!$J51</f>
        <v>268.49206670999996</v>
      </c>
      <c r="AV51" s="31">
        <f t="shared" si="36"/>
        <v>235.49439171134097</v>
      </c>
      <c r="AW51" s="31">
        <f t="shared" si="37"/>
        <v>32.997674998658994</v>
      </c>
      <c r="AX51" s="31">
        <f t="shared" si="38"/>
        <v>0</v>
      </c>
      <c r="AY51" s="31">
        <f t="shared" si="39"/>
        <v>0</v>
      </c>
      <c r="AZ51" s="45">
        <f>CX51*'[3]CAMBARÁ - CITROS'!$U$5</f>
        <v>0</v>
      </c>
      <c r="BA51" s="37">
        <f t="shared" si="8"/>
        <v>-1</v>
      </c>
      <c r="BB51" s="36">
        <f>'[1]CB I'!$K51</f>
        <v>268.49206670999996</v>
      </c>
      <c r="BC51" s="31">
        <f t="shared" si="40"/>
        <v>235.49439171134097</v>
      </c>
      <c r="BD51" s="31">
        <f t="shared" si="41"/>
        <v>32.997674998658994</v>
      </c>
      <c r="BE51" s="31">
        <f t="shared" si="42"/>
        <v>0</v>
      </c>
      <c r="BF51" s="31">
        <f t="shared" si="43"/>
        <v>0</v>
      </c>
      <c r="BG51" s="45">
        <f>CY51*'[3]CAMBARÁ - CITROS'!$U$5</f>
        <v>0</v>
      </c>
      <c r="BH51" s="37">
        <f t="shared" si="9"/>
        <v>-1</v>
      </c>
      <c r="BI51" s="36">
        <f>'[1]CB I'!$L51</f>
        <v>268.49206670999996</v>
      </c>
      <c r="BJ51" s="31">
        <f t="shared" si="44"/>
        <v>235.49439171134097</v>
      </c>
      <c r="BK51" s="31">
        <f t="shared" si="45"/>
        <v>32.997674998658994</v>
      </c>
      <c r="BL51" s="31">
        <f t="shared" si="46"/>
        <v>0</v>
      </c>
      <c r="BM51" s="31">
        <f t="shared" si="47"/>
        <v>0</v>
      </c>
      <c r="BN51" s="45">
        <f>CZ51*'[3]CAMBARÁ - CITROS'!$U$5</f>
        <v>0</v>
      </c>
      <c r="BO51" s="37">
        <f t="shared" si="10"/>
        <v>-1</v>
      </c>
      <c r="BP51" s="36">
        <f>'[1]CB I'!$M51</f>
        <v>268.49206670999996</v>
      </c>
      <c r="BQ51" s="31">
        <f t="shared" si="48"/>
        <v>235.49439171134097</v>
      </c>
      <c r="BR51" s="31">
        <f t="shared" si="49"/>
        <v>32.997674998658994</v>
      </c>
      <c r="BS51" s="31">
        <f t="shared" si="50"/>
        <v>0</v>
      </c>
      <c r="BT51" s="31">
        <f t="shared" si="51"/>
        <v>0</v>
      </c>
      <c r="BU51" s="45">
        <f>DA51*'[3]CAMBARÁ - CITROS'!$U$5</f>
        <v>0</v>
      </c>
      <c r="BV51" s="37">
        <f t="shared" si="11"/>
        <v>-1</v>
      </c>
      <c r="BW51" s="36">
        <f>'[1]CB I'!$N51</f>
        <v>268.49206670999996</v>
      </c>
      <c r="BX51" s="31">
        <f t="shared" si="52"/>
        <v>235.49439171134097</v>
      </c>
      <c r="BY51" s="31">
        <f t="shared" si="53"/>
        <v>32.997674998658994</v>
      </c>
      <c r="BZ51" s="31">
        <f t="shared" si="54"/>
        <v>0</v>
      </c>
      <c r="CA51" s="31">
        <f t="shared" si="55"/>
        <v>0</v>
      </c>
      <c r="CB51" s="45">
        <f>DB51*'[3]CAMBARÁ - CITROS'!$U$5</f>
        <v>0</v>
      </c>
      <c r="CC51" s="37">
        <f t="shared" si="12"/>
        <v>-1</v>
      </c>
      <c r="CD51" s="36">
        <f>'[1]CB I'!$O51</f>
        <v>268.49206670999996</v>
      </c>
      <c r="CE51" s="31">
        <f t="shared" si="56"/>
        <v>235.49439171134097</v>
      </c>
      <c r="CF51" s="31">
        <f t="shared" si="57"/>
        <v>32.997674998658994</v>
      </c>
      <c r="CG51" s="31">
        <f t="shared" si="58"/>
        <v>0</v>
      </c>
      <c r="CH51" s="31">
        <f t="shared" si="59"/>
        <v>0</v>
      </c>
      <c r="CI51" s="45">
        <f>DC51*'[3]CAMBARÁ - CITROS'!$U$5</f>
        <v>0</v>
      </c>
      <c r="CJ51" s="37">
        <f t="shared" si="13"/>
        <v>-1</v>
      </c>
      <c r="CK51" s="36">
        <f>'[1]CB I'!$P51</f>
        <v>268.49206670999996</v>
      </c>
      <c r="CL51" s="31">
        <f t="shared" si="60"/>
        <v>235.49439171134097</v>
      </c>
      <c r="CM51" s="31">
        <f t="shared" si="61"/>
        <v>32.997674998658994</v>
      </c>
      <c r="CN51" s="31">
        <f t="shared" si="62"/>
        <v>0</v>
      </c>
      <c r="CO51" s="31">
        <f t="shared" si="63"/>
        <v>0</v>
      </c>
      <c r="CP51" s="33">
        <f>DD51*'[3]CAMBARÁ - CITROS'!$U$5</f>
        <v>0</v>
      </c>
      <c r="CQ51" s="37">
        <f t="shared" si="14"/>
        <v>-1</v>
      </c>
      <c r="CS51" s="198">
        <f>428.09</f>
        <v>428.09</v>
      </c>
      <c r="CT51" s="198">
        <f>416.94</f>
        <v>416.94</v>
      </c>
      <c r="CU51" s="198">
        <f>387.77</f>
        <v>387.77</v>
      </c>
      <c r="CV51" s="198">
        <f>517.16</f>
        <v>517.16</v>
      </c>
      <c r="CW51" s="198"/>
      <c r="CX51" s="198"/>
      <c r="CY51" s="198"/>
      <c r="CZ51" s="198"/>
      <c r="DA51" s="198"/>
      <c r="DB51" s="198"/>
      <c r="DC51" s="198"/>
      <c r="DD51" s="198"/>
      <c r="DE51" s="199"/>
      <c r="DF51" s="199"/>
    </row>
    <row r="52" spans="1:110" s="26" customFormat="1" ht="16" customHeight="1" x14ac:dyDescent="0.2">
      <c r="A52" s="29" t="s">
        <v>76</v>
      </c>
      <c r="B52" s="30">
        <f t="shared" si="64"/>
        <v>24848.000000000004</v>
      </c>
      <c r="C52" s="31">
        <f t="shared" si="64"/>
        <v>21794.180800000002</v>
      </c>
      <c r="D52" s="32">
        <f t="shared" si="64"/>
        <v>3053.8191999999995</v>
      </c>
      <c r="E52" s="30">
        <f t="shared" si="66"/>
        <v>8282.6666666666661</v>
      </c>
      <c r="F52" s="33">
        <f t="shared" si="66"/>
        <v>7264.7269333333325</v>
      </c>
      <c r="G52" s="34">
        <f t="shared" si="66"/>
        <v>1017.9397333333333</v>
      </c>
      <c r="H52" s="31">
        <f t="shared" si="65"/>
        <v>47591.567998844119</v>
      </c>
      <c r="I52" s="33">
        <f t="shared" si="65"/>
        <v>976.21238572993821</v>
      </c>
      <c r="J52" s="33">
        <f t="shared" si="65"/>
        <v>48567.780384574056</v>
      </c>
      <c r="K52" s="37">
        <f t="shared" si="2"/>
        <v>4.8637854617563656</v>
      </c>
      <c r="L52" s="36">
        <f>'[1]CB I'!$E52</f>
        <v>2070.6666666666665</v>
      </c>
      <c r="M52" s="31">
        <f t="shared" si="16"/>
        <v>1816.1817333333331</v>
      </c>
      <c r="N52" s="31">
        <f t="shared" si="17"/>
        <v>254.48493333333332</v>
      </c>
      <c r="O52" s="31">
        <f t="shared" si="18"/>
        <v>14570.759093181056</v>
      </c>
      <c r="P52" s="31">
        <f t="shared" si="19"/>
        <v>298.87974055815812</v>
      </c>
      <c r="Q52" s="27">
        <f>CS52*'[2]CAMBARÁ - CITROS'!$U$5</f>
        <v>14869.638833739213</v>
      </c>
      <c r="R52" s="37">
        <f t="shared" si="3"/>
        <v>6.1810876531258279</v>
      </c>
      <c r="S52" s="36">
        <f>'[1]CB I'!$F52</f>
        <v>2070.6666666666665</v>
      </c>
      <c r="T52" s="31">
        <f t="shared" si="20"/>
        <v>1816.1817333333331</v>
      </c>
      <c r="U52" s="31">
        <f t="shared" si="21"/>
        <v>254.48493333333332</v>
      </c>
      <c r="V52" s="31">
        <f t="shared" si="22"/>
        <v>2757.3846598147784</v>
      </c>
      <c r="W52" s="31">
        <f t="shared" si="23"/>
        <v>56.560293562891147</v>
      </c>
      <c r="X52" s="33">
        <f>CT52*'[2]CAMBARÁ - CITROS'!$U$5</f>
        <v>2813.9449533776697</v>
      </c>
      <c r="Y52" s="37">
        <f t="shared" si="4"/>
        <v>0.35895603028541689</v>
      </c>
      <c r="Z52" s="36">
        <f>'[1]CB I'!$G52</f>
        <v>2070.6666666666665</v>
      </c>
      <c r="AA52" s="31">
        <f t="shared" si="24"/>
        <v>1816.1817333333331</v>
      </c>
      <c r="AB52" s="31">
        <f t="shared" si="25"/>
        <v>254.48493333333332</v>
      </c>
      <c r="AC52" s="31">
        <f t="shared" si="26"/>
        <v>16848.079755178667</v>
      </c>
      <c r="AD52" s="31">
        <f t="shared" si="27"/>
        <v>345.59281873567824</v>
      </c>
      <c r="AE52" s="27">
        <f>CU52*'[2]CAMBARÁ - CITROS'!$U$5</f>
        <v>17193.672573914344</v>
      </c>
      <c r="AF52" s="37">
        <f t="shared" si="5"/>
        <v>7.3034477980912804</v>
      </c>
      <c r="AG52" s="36">
        <f>'[1]CB I'!$H52</f>
        <v>2070.6666666666665</v>
      </c>
      <c r="AH52" s="31">
        <f t="shared" si="28"/>
        <v>1816.1817333333331</v>
      </c>
      <c r="AI52" s="31">
        <f t="shared" si="29"/>
        <v>254.48493333333332</v>
      </c>
      <c r="AJ52" s="31">
        <f t="shared" si="30"/>
        <v>13415.344490669617</v>
      </c>
      <c r="AK52" s="31">
        <f t="shared" si="31"/>
        <v>275.1795328732108</v>
      </c>
      <c r="AL52" s="33">
        <f>CV52*'[2]CAMBARÁ - CITROS'!$U$5</f>
        <v>13690.524023542828</v>
      </c>
      <c r="AM52" s="37">
        <f t="shared" si="6"/>
        <v>5.6116503655229373</v>
      </c>
      <c r="AN52" s="36">
        <f>'[1]CB I'!$I52</f>
        <v>2070.6666666666665</v>
      </c>
      <c r="AO52" s="31">
        <f t="shared" si="32"/>
        <v>1816.1817333333331</v>
      </c>
      <c r="AP52" s="31">
        <f t="shared" si="33"/>
        <v>254.48493333333332</v>
      </c>
      <c r="AQ52" s="31">
        <f t="shared" si="34"/>
        <v>0</v>
      </c>
      <c r="AR52" s="31">
        <f t="shared" si="35"/>
        <v>0</v>
      </c>
      <c r="AS52" s="27">
        <f>CW52*'[3]CAMBARÁ - CITROS'!$U$5</f>
        <v>0</v>
      </c>
      <c r="AT52" s="37">
        <f t="shared" si="7"/>
        <v>-1</v>
      </c>
      <c r="AU52" s="36">
        <f>'[1]CB I'!$J52</f>
        <v>2070.6666666666665</v>
      </c>
      <c r="AV52" s="31">
        <f t="shared" si="36"/>
        <v>1816.1817333333331</v>
      </c>
      <c r="AW52" s="31">
        <f t="shared" si="37"/>
        <v>254.48493333333332</v>
      </c>
      <c r="AX52" s="31">
        <f t="shared" si="38"/>
        <v>0</v>
      </c>
      <c r="AY52" s="31">
        <f t="shared" si="39"/>
        <v>0</v>
      </c>
      <c r="AZ52" s="33">
        <f>CX52*'[3]CAMBARÁ - CITROS'!$U$5</f>
        <v>0</v>
      </c>
      <c r="BA52" s="37">
        <f t="shared" si="8"/>
        <v>-1</v>
      </c>
      <c r="BB52" s="36">
        <f>'[1]CB I'!$K52</f>
        <v>2070.6666666666665</v>
      </c>
      <c r="BC52" s="31">
        <f t="shared" si="40"/>
        <v>1816.1817333333331</v>
      </c>
      <c r="BD52" s="31">
        <f t="shared" si="41"/>
        <v>254.48493333333332</v>
      </c>
      <c r="BE52" s="31">
        <f t="shared" si="42"/>
        <v>0</v>
      </c>
      <c r="BF52" s="31">
        <f t="shared" si="43"/>
        <v>0</v>
      </c>
      <c r="BG52" s="33">
        <f>CY52*'[3]CAMBARÁ - CITROS'!$U$5</f>
        <v>0</v>
      </c>
      <c r="BH52" s="37">
        <f t="shared" si="9"/>
        <v>-1</v>
      </c>
      <c r="BI52" s="36">
        <f>'[1]CB I'!$L52</f>
        <v>2070.6666666666665</v>
      </c>
      <c r="BJ52" s="31">
        <f t="shared" si="44"/>
        <v>1816.1817333333331</v>
      </c>
      <c r="BK52" s="31">
        <f t="shared" si="45"/>
        <v>254.48493333333332</v>
      </c>
      <c r="BL52" s="31">
        <f t="shared" si="46"/>
        <v>0</v>
      </c>
      <c r="BM52" s="31">
        <f t="shared" si="47"/>
        <v>0</v>
      </c>
      <c r="BN52" s="33">
        <f>CZ52*'[3]CAMBARÁ - CITROS'!$U$5</f>
        <v>0</v>
      </c>
      <c r="BO52" s="37">
        <f t="shared" si="10"/>
        <v>-1</v>
      </c>
      <c r="BP52" s="36">
        <f>'[1]CB I'!$M52</f>
        <v>2070.6666666666665</v>
      </c>
      <c r="BQ52" s="31">
        <f t="shared" si="48"/>
        <v>1816.1817333333331</v>
      </c>
      <c r="BR52" s="31">
        <f t="shared" si="49"/>
        <v>254.48493333333332</v>
      </c>
      <c r="BS52" s="31">
        <f t="shared" si="50"/>
        <v>0</v>
      </c>
      <c r="BT52" s="31">
        <f t="shared" si="51"/>
        <v>0</v>
      </c>
      <c r="BU52" s="33">
        <f>DA52*'[3]CAMBARÁ - CITROS'!$U$5</f>
        <v>0</v>
      </c>
      <c r="BV52" s="37">
        <f t="shared" si="11"/>
        <v>-1</v>
      </c>
      <c r="BW52" s="36">
        <f>'[1]CB I'!$N52</f>
        <v>2070.6666666666665</v>
      </c>
      <c r="BX52" s="31">
        <f t="shared" si="52"/>
        <v>1816.1817333333331</v>
      </c>
      <c r="BY52" s="31">
        <f t="shared" si="53"/>
        <v>254.48493333333332</v>
      </c>
      <c r="BZ52" s="31">
        <f t="shared" si="54"/>
        <v>0</v>
      </c>
      <c r="CA52" s="31">
        <f t="shared" si="55"/>
        <v>0</v>
      </c>
      <c r="CB52" s="33">
        <f>DB52*'[3]CAMBARÁ - CITROS'!$U$5</f>
        <v>0</v>
      </c>
      <c r="CC52" s="37">
        <f t="shared" si="12"/>
        <v>-1</v>
      </c>
      <c r="CD52" s="36">
        <f>'[1]CB I'!$O52</f>
        <v>2070.6666666666665</v>
      </c>
      <c r="CE52" s="31">
        <f t="shared" si="56"/>
        <v>1816.1817333333331</v>
      </c>
      <c r="CF52" s="31">
        <f t="shared" si="57"/>
        <v>254.48493333333332</v>
      </c>
      <c r="CG52" s="31">
        <f t="shared" si="58"/>
        <v>0</v>
      </c>
      <c r="CH52" s="31">
        <f t="shared" si="59"/>
        <v>0</v>
      </c>
      <c r="CI52" s="33">
        <f>DC52*'[3]CAMBARÁ - CITROS'!$U$5</f>
        <v>0</v>
      </c>
      <c r="CJ52" s="37">
        <f t="shared" si="13"/>
        <v>-1</v>
      </c>
      <c r="CK52" s="36">
        <f>'[1]CB I'!$P52</f>
        <v>2070.6666666666665</v>
      </c>
      <c r="CL52" s="31">
        <f t="shared" si="60"/>
        <v>1816.1817333333331</v>
      </c>
      <c r="CM52" s="31">
        <f t="shared" si="61"/>
        <v>254.48493333333332</v>
      </c>
      <c r="CN52" s="31">
        <f t="shared" si="62"/>
        <v>0</v>
      </c>
      <c r="CO52" s="31">
        <f t="shared" si="63"/>
        <v>0</v>
      </c>
      <c r="CP52" s="33">
        <f>DD52*'[3]CAMBARÁ - CITROS'!$U$5</f>
        <v>0</v>
      </c>
      <c r="CQ52" s="37">
        <f t="shared" si="14"/>
        <v>-1</v>
      </c>
      <c r="CS52" s="198">
        <f>24163.9</f>
        <v>24163.9</v>
      </c>
      <c r="CT52" s="198">
        <f>4572.8</f>
        <v>4572.8</v>
      </c>
      <c r="CU52" s="198">
        <f>27940.57</f>
        <v>27940.57</v>
      </c>
      <c r="CV52" s="198">
        <f>22247.78</f>
        <v>22247.78</v>
      </c>
      <c r="CW52" s="198"/>
      <c r="CX52" s="198"/>
      <c r="CY52" s="198"/>
      <c r="CZ52" s="198"/>
      <c r="DA52" s="198"/>
      <c r="DB52" s="198"/>
      <c r="DC52" s="198"/>
      <c r="DD52" s="198"/>
      <c r="DE52" s="199"/>
      <c r="DF52" s="199"/>
    </row>
    <row r="53" spans="1:110" s="26" customFormat="1" ht="16" customHeight="1" x14ac:dyDescent="0.2">
      <c r="A53" s="38" t="s">
        <v>77</v>
      </c>
      <c r="B53" s="30">
        <f t="shared" si="64"/>
        <v>12424.000000000002</v>
      </c>
      <c r="C53" s="31">
        <f t="shared" si="64"/>
        <v>10897.090400000001</v>
      </c>
      <c r="D53" s="32">
        <f t="shared" si="64"/>
        <v>1526.9095999999997</v>
      </c>
      <c r="E53" s="30">
        <f t="shared" si="66"/>
        <v>4141.333333333333</v>
      </c>
      <c r="F53" s="33">
        <f t="shared" si="66"/>
        <v>3632.3634666666662</v>
      </c>
      <c r="G53" s="34">
        <f t="shared" si="66"/>
        <v>508.96986666666663</v>
      </c>
      <c r="H53" s="31">
        <f t="shared" si="65"/>
        <v>32.513597983120377</v>
      </c>
      <c r="I53" s="33">
        <f t="shared" si="65"/>
        <v>0.66692858399910138</v>
      </c>
      <c r="J53" s="33">
        <f t="shared" si="65"/>
        <v>33.180526567119479</v>
      </c>
      <c r="K53" s="37">
        <f t="shared" si="2"/>
        <v>-0.99198796042326476</v>
      </c>
      <c r="L53" s="36">
        <f>'[1]CB I'!$E53</f>
        <v>1035.3333333333333</v>
      </c>
      <c r="M53" s="31">
        <f t="shared" si="16"/>
        <v>908.09086666666656</v>
      </c>
      <c r="N53" s="31">
        <f t="shared" si="17"/>
        <v>127.24246666666666</v>
      </c>
      <c r="O53" s="31">
        <f t="shared" si="18"/>
        <v>0</v>
      </c>
      <c r="P53" s="31">
        <f t="shared" si="19"/>
        <v>0</v>
      </c>
      <c r="Q53" s="27">
        <f>CS53*'[2]CAMBARÁ - CITROS'!$U$5</f>
        <v>0</v>
      </c>
      <c r="R53" s="37">
        <f t="shared" si="3"/>
        <v>-1</v>
      </c>
      <c r="S53" s="36">
        <f>'[1]CB I'!$F53</f>
        <v>1035.3333333333333</v>
      </c>
      <c r="T53" s="31">
        <f t="shared" si="20"/>
        <v>908.09086666666656</v>
      </c>
      <c r="U53" s="31">
        <f t="shared" si="21"/>
        <v>127.24246666666666</v>
      </c>
      <c r="V53" s="31">
        <f t="shared" si="22"/>
        <v>32.513597983120377</v>
      </c>
      <c r="W53" s="31">
        <f t="shared" si="23"/>
        <v>0.66692858399910138</v>
      </c>
      <c r="X53" s="33">
        <f>CT53*'[2]CAMBARÁ - CITROS'!$U$5</f>
        <v>33.180526567119479</v>
      </c>
      <c r="Y53" s="37">
        <f t="shared" si="4"/>
        <v>-0.96795184169305915</v>
      </c>
      <c r="Z53" s="36">
        <f>'[1]CB I'!$G53</f>
        <v>1035.3333333333333</v>
      </c>
      <c r="AA53" s="31">
        <f t="shared" si="24"/>
        <v>908.09086666666656</v>
      </c>
      <c r="AB53" s="31">
        <f t="shared" si="25"/>
        <v>127.24246666666666</v>
      </c>
      <c r="AC53" s="31">
        <f t="shared" si="26"/>
        <v>0</v>
      </c>
      <c r="AD53" s="31">
        <f t="shared" si="27"/>
        <v>0</v>
      </c>
      <c r="AE53" s="27">
        <f>CU53*'[2]CAMBARÁ - CITROS'!$U$5</f>
        <v>0</v>
      </c>
      <c r="AF53" s="37">
        <f t="shared" si="5"/>
        <v>-1</v>
      </c>
      <c r="AG53" s="36">
        <f>'[1]CB I'!$H53</f>
        <v>1035.3333333333333</v>
      </c>
      <c r="AH53" s="31">
        <f t="shared" si="28"/>
        <v>908.09086666666656</v>
      </c>
      <c r="AI53" s="31">
        <f t="shared" si="29"/>
        <v>127.24246666666666</v>
      </c>
      <c r="AJ53" s="31">
        <f t="shared" si="30"/>
        <v>0</v>
      </c>
      <c r="AK53" s="31">
        <f t="shared" si="31"/>
        <v>0</v>
      </c>
      <c r="AL53" s="33">
        <f>CV53*'[2]CAMBARÁ - CITROS'!$U$5</f>
        <v>0</v>
      </c>
      <c r="AM53" s="37">
        <f t="shared" si="6"/>
        <v>-1</v>
      </c>
      <c r="AN53" s="36">
        <f>'[1]CB I'!$I53</f>
        <v>1035.3333333333333</v>
      </c>
      <c r="AO53" s="31">
        <f t="shared" si="32"/>
        <v>908.09086666666656</v>
      </c>
      <c r="AP53" s="31">
        <f t="shared" si="33"/>
        <v>127.24246666666666</v>
      </c>
      <c r="AQ53" s="31">
        <f t="shared" si="34"/>
        <v>0</v>
      </c>
      <c r="AR53" s="31">
        <f t="shared" si="35"/>
        <v>0</v>
      </c>
      <c r="AS53" s="27">
        <f>CW53*'[3]CAMBARÁ - CITROS'!$U$5</f>
        <v>0</v>
      </c>
      <c r="AT53" s="37">
        <f t="shared" si="7"/>
        <v>-1</v>
      </c>
      <c r="AU53" s="36">
        <f>'[1]CB I'!$J53</f>
        <v>1035.3333333333333</v>
      </c>
      <c r="AV53" s="31">
        <f t="shared" si="36"/>
        <v>908.09086666666656</v>
      </c>
      <c r="AW53" s="31">
        <f t="shared" si="37"/>
        <v>127.24246666666666</v>
      </c>
      <c r="AX53" s="31">
        <f t="shared" si="38"/>
        <v>0</v>
      </c>
      <c r="AY53" s="31">
        <f t="shared" si="39"/>
        <v>0</v>
      </c>
      <c r="AZ53" s="33">
        <f>CX53*'[3]CAMBARÁ - CITROS'!$U$5</f>
        <v>0</v>
      </c>
      <c r="BA53" s="37">
        <f t="shared" si="8"/>
        <v>-1</v>
      </c>
      <c r="BB53" s="36">
        <f>'[1]CB I'!$K53</f>
        <v>1035.3333333333333</v>
      </c>
      <c r="BC53" s="31">
        <f t="shared" si="40"/>
        <v>908.09086666666656</v>
      </c>
      <c r="BD53" s="31">
        <f t="shared" si="41"/>
        <v>127.24246666666666</v>
      </c>
      <c r="BE53" s="31">
        <f t="shared" si="42"/>
        <v>0</v>
      </c>
      <c r="BF53" s="31">
        <f t="shared" si="43"/>
        <v>0</v>
      </c>
      <c r="BG53" s="33">
        <f>CY53*'[3]CAMBARÁ - CITROS'!$U$5</f>
        <v>0</v>
      </c>
      <c r="BH53" s="37">
        <f t="shared" si="9"/>
        <v>-1</v>
      </c>
      <c r="BI53" s="36">
        <f>'[1]CB I'!$L53</f>
        <v>1035.3333333333333</v>
      </c>
      <c r="BJ53" s="31">
        <f t="shared" si="44"/>
        <v>908.09086666666656</v>
      </c>
      <c r="BK53" s="31">
        <f t="shared" si="45"/>
        <v>127.24246666666666</v>
      </c>
      <c r="BL53" s="31">
        <f t="shared" si="46"/>
        <v>0</v>
      </c>
      <c r="BM53" s="31">
        <f t="shared" si="47"/>
        <v>0</v>
      </c>
      <c r="BN53" s="33">
        <f>CZ53*'[3]CAMBARÁ - CITROS'!$U$5</f>
        <v>0</v>
      </c>
      <c r="BO53" s="37">
        <f t="shared" si="10"/>
        <v>-1</v>
      </c>
      <c r="BP53" s="36">
        <f>'[1]CB I'!$M53</f>
        <v>1035.3333333333333</v>
      </c>
      <c r="BQ53" s="31">
        <f t="shared" si="48"/>
        <v>908.09086666666656</v>
      </c>
      <c r="BR53" s="31">
        <f t="shared" si="49"/>
        <v>127.24246666666666</v>
      </c>
      <c r="BS53" s="31">
        <f t="shared" si="50"/>
        <v>0</v>
      </c>
      <c r="BT53" s="31">
        <f t="shared" si="51"/>
        <v>0</v>
      </c>
      <c r="BU53" s="33">
        <f>DA53*'[3]CAMBARÁ - CITROS'!$U$5</f>
        <v>0</v>
      </c>
      <c r="BV53" s="37">
        <f t="shared" si="11"/>
        <v>-1</v>
      </c>
      <c r="BW53" s="36">
        <f>'[1]CB I'!$N53</f>
        <v>1035.3333333333333</v>
      </c>
      <c r="BX53" s="31">
        <f t="shared" si="52"/>
        <v>908.09086666666656</v>
      </c>
      <c r="BY53" s="31">
        <f t="shared" si="53"/>
        <v>127.24246666666666</v>
      </c>
      <c r="BZ53" s="31">
        <f t="shared" si="54"/>
        <v>0</v>
      </c>
      <c r="CA53" s="31">
        <f t="shared" si="55"/>
        <v>0</v>
      </c>
      <c r="CB53" s="33">
        <f>DB53*'[3]CAMBARÁ - CITROS'!$U$5</f>
        <v>0</v>
      </c>
      <c r="CC53" s="37">
        <f t="shared" si="12"/>
        <v>-1</v>
      </c>
      <c r="CD53" s="36">
        <f>'[1]CB I'!$O53</f>
        <v>1035.3333333333333</v>
      </c>
      <c r="CE53" s="31">
        <f t="shared" si="56"/>
        <v>908.09086666666656</v>
      </c>
      <c r="CF53" s="31">
        <f t="shared" si="57"/>
        <v>127.24246666666666</v>
      </c>
      <c r="CG53" s="31">
        <f t="shared" si="58"/>
        <v>0</v>
      </c>
      <c r="CH53" s="31">
        <f t="shared" si="59"/>
        <v>0</v>
      </c>
      <c r="CI53" s="33">
        <f>DC53*'[3]CAMBARÁ - CITROS'!$U$5</f>
        <v>0</v>
      </c>
      <c r="CJ53" s="37">
        <f t="shared" si="13"/>
        <v>-1</v>
      </c>
      <c r="CK53" s="36">
        <f>'[1]CB I'!$P53</f>
        <v>1035.3333333333333</v>
      </c>
      <c r="CL53" s="31">
        <f t="shared" si="60"/>
        <v>908.09086666666656</v>
      </c>
      <c r="CM53" s="31">
        <f t="shared" si="61"/>
        <v>127.24246666666666</v>
      </c>
      <c r="CN53" s="31">
        <f t="shared" si="62"/>
        <v>0</v>
      </c>
      <c r="CO53" s="31">
        <f t="shared" si="63"/>
        <v>0</v>
      </c>
      <c r="CP53" s="33">
        <f>DD53*'[3]CAMBARÁ - CITROS'!$U$5</f>
        <v>0</v>
      </c>
      <c r="CQ53" s="37">
        <f t="shared" si="14"/>
        <v>-1</v>
      </c>
      <c r="CS53" s="198"/>
      <c r="CT53" s="198">
        <f>53.92</f>
        <v>53.92</v>
      </c>
      <c r="CU53" s="198"/>
      <c r="CV53" s="198"/>
      <c r="CW53" s="198"/>
      <c r="CX53" s="198"/>
      <c r="CY53" s="198"/>
      <c r="CZ53" s="198"/>
      <c r="DA53" s="198"/>
      <c r="DB53" s="198"/>
      <c r="DC53" s="198"/>
      <c r="DD53" s="198"/>
      <c r="DE53" s="199"/>
      <c r="DF53" s="199"/>
    </row>
    <row r="54" spans="1:110" s="26" customFormat="1" ht="16" customHeight="1" thickBot="1" x14ac:dyDescent="0.25">
      <c r="A54" s="39" t="s">
        <v>78</v>
      </c>
      <c r="B54" s="50">
        <f t="shared" si="64"/>
        <v>110283.39980094825</v>
      </c>
      <c r="C54" s="40">
        <f t="shared" si="64"/>
        <v>96729.56996541172</v>
      </c>
      <c r="D54" s="51">
        <f t="shared" si="64"/>
        <v>13553.829835536539</v>
      </c>
      <c r="E54" s="52">
        <f t="shared" si="66"/>
        <v>63019.085600541861</v>
      </c>
      <c r="F54" s="53">
        <f t="shared" si="66"/>
        <v>55274.039980235269</v>
      </c>
      <c r="G54" s="54">
        <f t="shared" si="66"/>
        <v>7745.0456203065942</v>
      </c>
      <c r="H54" s="40">
        <f t="shared" si="65"/>
        <v>28009.572226905282</v>
      </c>
      <c r="I54" s="53">
        <f t="shared" si="65"/>
        <v>574.54066921195636</v>
      </c>
      <c r="J54" s="53">
        <f t="shared" si="65"/>
        <v>28584.112896117236</v>
      </c>
      <c r="K54" s="60">
        <f t="shared" si="2"/>
        <v>-0.54642133214526578</v>
      </c>
      <c r="L54" s="87">
        <f>'[1]CB I'!$E54</f>
        <v>15754.771400135465</v>
      </c>
      <c r="M54" s="40">
        <f t="shared" si="16"/>
        <v>13818.509995058817</v>
      </c>
      <c r="N54" s="40">
        <f t="shared" si="17"/>
        <v>1936.2614050766485</v>
      </c>
      <c r="O54" s="40">
        <f t="shared" si="18"/>
        <v>0</v>
      </c>
      <c r="P54" s="40">
        <f t="shared" si="19"/>
        <v>0</v>
      </c>
      <c r="Q54" s="59">
        <f>CS54*'[2]CAMBARÁ - CITROS'!$U$5</f>
        <v>0</v>
      </c>
      <c r="R54" s="60">
        <f t="shared" si="3"/>
        <v>-1</v>
      </c>
      <c r="S54" s="87">
        <f>'[1]CB I'!$F54</f>
        <v>15754.771400135465</v>
      </c>
      <c r="T54" s="40">
        <f t="shared" si="20"/>
        <v>13818.509995058817</v>
      </c>
      <c r="U54" s="40">
        <f t="shared" si="21"/>
        <v>1936.2614050766485</v>
      </c>
      <c r="V54" s="40">
        <f t="shared" si="22"/>
        <v>16780.532031772338</v>
      </c>
      <c r="W54" s="40">
        <f t="shared" si="23"/>
        <v>344.20725975979582</v>
      </c>
      <c r="X54" s="58">
        <f>CT54*'[2]CAMBARÁ - CITROS'!$U$5</f>
        <v>17124.739291532132</v>
      </c>
      <c r="Y54" s="60">
        <f t="shared" si="4"/>
        <v>8.6955745443877852E-2</v>
      </c>
      <c r="Z54" s="87">
        <f>'[1]CB I'!$G54</f>
        <v>15754.771400135465</v>
      </c>
      <c r="AA54" s="40">
        <f t="shared" si="24"/>
        <v>13818.509995058817</v>
      </c>
      <c r="AB54" s="40">
        <f t="shared" si="25"/>
        <v>1936.2614050766485</v>
      </c>
      <c r="AC54" s="40">
        <f t="shared" si="26"/>
        <v>11229.040195132944</v>
      </c>
      <c r="AD54" s="40">
        <f t="shared" si="27"/>
        <v>230.33340945216054</v>
      </c>
      <c r="AE54" s="59">
        <f>CU54*'[2]CAMBARÁ - CITROS'!$U$5</f>
        <v>11459.373604585104</v>
      </c>
      <c r="AF54" s="60">
        <f t="shared" si="5"/>
        <v>-0.27264107402494131</v>
      </c>
      <c r="AG54" s="87">
        <f>'[1]CB I'!$H54</f>
        <v>15754.771400135465</v>
      </c>
      <c r="AH54" s="40">
        <f t="shared" si="28"/>
        <v>13818.509995058817</v>
      </c>
      <c r="AI54" s="40">
        <f t="shared" si="29"/>
        <v>1936.2614050766485</v>
      </c>
      <c r="AJ54" s="40">
        <f t="shared" si="30"/>
        <v>0</v>
      </c>
      <c r="AK54" s="40">
        <f t="shared" si="31"/>
        <v>0</v>
      </c>
      <c r="AL54" s="58">
        <f>CV54*'[2]CAMBARÁ - CITROS'!$U$5</f>
        <v>0</v>
      </c>
      <c r="AM54" s="60">
        <f t="shared" si="6"/>
        <v>-1</v>
      </c>
      <c r="AN54" s="56">
        <f>'[1]CB I'!$I54</f>
        <v>15754.771400135465</v>
      </c>
      <c r="AO54" s="40">
        <f t="shared" si="32"/>
        <v>13818.509995058817</v>
      </c>
      <c r="AP54" s="40">
        <f t="shared" si="33"/>
        <v>1936.2614050766485</v>
      </c>
      <c r="AQ54" s="40">
        <f t="shared" si="34"/>
        <v>0</v>
      </c>
      <c r="AR54" s="40">
        <f t="shared" si="35"/>
        <v>0</v>
      </c>
      <c r="AS54" s="59">
        <f>CW54*'[3]CAMBARÁ - CITROS'!$U$5</f>
        <v>0</v>
      </c>
      <c r="AT54" s="60">
        <f t="shared" si="7"/>
        <v>-1</v>
      </c>
      <c r="AU54" s="56">
        <f>'[1]CB I'!$J54</f>
        <v>15754.771400135465</v>
      </c>
      <c r="AV54" s="40">
        <f t="shared" si="36"/>
        <v>13818.509995058817</v>
      </c>
      <c r="AW54" s="40">
        <f t="shared" si="37"/>
        <v>1936.2614050766485</v>
      </c>
      <c r="AX54" s="40">
        <f t="shared" si="38"/>
        <v>0</v>
      </c>
      <c r="AY54" s="40">
        <f t="shared" si="39"/>
        <v>0</v>
      </c>
      <c r="AZ54" s="58">
        <f>CX54*'[3]CAMBARÁ - CITROS'!$U$5</f>
        <v>0</v>
      </c>
      <c r="BA54" s="60">
        <f t="shared" si="8"/>
        <v>-1</v>
      </c>
      <c r="BB54" s="56">
        <f>'[1]CB I'!$K54</f>
        <v>15754.771400135465</v>
      </c>
      <c r="BC54" s="40">
        <f t="shared" si="40"/>
        <v>13818.509995058817</v>
      </c>
      <c r="BD54" s="40">
        <f t="shared" si="41"/>
        <v>1936.2614050766485</v>
      </c>
      <c r="BE54" s="40">
        <f t="shared" si="42"/>
        <v>0</v>
      </c>
      <c r="BF54" s="40">
        <f t="shared" si="43"/>
        <v>0</v>
      </c>
      <c r="BG54" s="58">
        <f>CY54*'[3]CAMBARÁ - CITROS'!$U$5</f>
        <v>0</v>
      </c>
      <c r="BH54" s="60">
        <f t="shared" si="9"/>
        <v>-1</v>
      </c>
      <c r="BI54" s="56">
        <f>'[1]CB I'!$L54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>
        <f>CZ54*'[3]CAMBARÁ - CITROS'!$U$5</f>
        <v>0</v>
      </c>
      <c r="BO54" s="60" t="str">
        <f t="shared" si="10"/>
        <v/>
      </c>
      <c r="BP54" s="56">
        <f>'[1]CB I'!$M54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>
        <f>DA54*'[3]CAMBARÁ - CITROS'!$U$5</f>
        <v>0</v>
      </c>
      <c r="BV54" s="60" t="str">
        <f t="shared" si="11"/>
        <v/>
      </c>
      <c r="BW54" s="87">
        <f>'[1]CB I'!$N54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>
        <f>DB54*'[3]CAMBARÁ - CITROS'!$U$5</f>
        <v>0</v>
      </c>
      <c r="CC54" s="60" t="str">
        <f t="shared" si="12"/>
        <v/>
      </c>
      <c r="CD54" s="87">
        <f>'[1]CB I'!$O54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>
        <f>DC54*'[3]CAMBARÁ - CITROS'!$U$5</f>
        <v>0</v>
      </c>
      <c r="CJ54" s="60" t="str">
        <f t="shared" si="13"/>
        <v/>
      </c>
      <c r="CK54" s="87">
        <f>'[1]CB I'!$P54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33">
        <f>DD54*'[3]CAMBARÁ - CITROS'!$U$5</f>
        <v>0</v>
      </c>
      <c r="CQ54" s="60" t="str">
        <f t="shared" si="14"/>
        <v/>
      </c>
      <c r="CS54" s="198"/>
      <c r="CT54" s="198">
        <f>27828.55</f>
        <v>27828.55</v>
      </c>
      <c r="CU54" s="198">
        <v>18622.050000000047</v>
      </c>
      <c r="CV54" s="198"/>
      <c r="CW54" s="198"/>
      <c r="CX54" s="198"/>
      <c r="CY54" s="198"/>
      <c r="CZ54" s="198"/>
      <c r="DA54" s="198"/>
      <c r="DB54" s="198"/>
      <c r="DC54" s="198"/>
      <c r="DD54" s="198"/>
      <c r="DE54" s="199"/>
      <c r="DF54" s="199"/>
    </row>
    <row r="55" spans="1:110" s="26" customFormat="1" ht="16" customHeight="1" thickBot="1" x14ac:dyDescent="0.25">
      <c r="A55" s="119" t="s">
        <v>79</v>
      </c>
      <c r="B55" s="63">
        <f t="shared" ref="B55:J55" si="67">SUM(B4:B54)</f>
        <v>6903411.607320833</v>
      </c>
      <c r="C55" s="64">
        <f t="shared" si="67"/>
        <v>6054982.3207811024</v>
      </c>
      <c r="D55" s="65">
        <f t="shared" si="67"/>
        <v>848429.28653973038</v>
      </c>
      <c r="E55" s="63">
        <f t="shared" si="67"/>
        <v>2823187.9720808468</v>
      </c>
      <c r="F55" s="66">
        <f t="shared" si="67"/>
        <v>2476218.1703121113</v>
      </c>
      <c r="G55" s="67">
        <f t="shared" si="67"/>
        <v>346969.8017687361</v>
      </c>
      <c r="H55" s="64">
        <f t="shared" si="67"/>
        <v>3389653.1489804648</v>
      </c>
      <c r="I55" s="66">
        <f t="shared" si="67"/>
        <v>69529.572705895887</v>
      </c>
      <c r="J55" s="66">
        <f t="shared" si="67"/>
        <v>3459182.7216863614</v>
      </c>
      <c r="K55" s="120">
        <f>+J55/E55-1</f>
        <v>0.22527538226112198</v>
      </c>
      <c r="L55" s="121">
        <f t="shared" ref="L55:Q55" si="68">SUM(L4:L54)</f>
        <v>662037.77995674766</v>
      </c>
      <c r="M55" s="121">
        <f t="shared" si="68"/>
        <v>580673.33680006361</v>
      </c>
      <c r="N55" s="121">
        <f t="shared" si="68"/>
        <v>81364.443156684283</v>
      </c>
      <c r="O55" s="122">
        <f t="shared" si="68"/>
        <v>848008.00976623525</v>
      </c>
      <c r="P55" s="122">
        <f t="shared" si="68"/>
        <v>17394.592301562734</v>
      </c>
      <c r="Q55" s="124">
        <f t="shared" si="68"/>
        <v>865402.60206779756</v>
      </c>
      <c r="R55" s="120">
        <f>+Q55/L55-1</f>
        <v>0.30718008589228263</v>
      </c>
      <c r="S55" s="121">
        <f t="shared" ref="S55:X55" si="69">SUM(S4:S54)</f>
        <v>613972.88181346992</v>
      </c>
      <c r="T55" s="121">
        <f t="shared" si="69"/>
        <v>538515.61463859456</v>
      </c>
      <c r="U55" s="121">
        <f t="shared" si="69"/>
        <v>75457.267174875466</v>
      </c>
      <c r="V55" s="122">
        <f t="shared" si="69"/>
        <v>703741.55903732067</v>
      </c>
      <c r="W55" s="122">
        <f t="shared" si="69"/>
        <v>14435.355992091179</v>
      </c>
      <c r="X55" s="123">
        <f t="shared" si="69"/>
        <v>718176.9150294119</v>
      </c>
      <c r="Y55" s="120">
        <f>+X55/S55-1</f>
        <v>0.16972090511254856</v>
      </c>
      <c r="Z55" s="121">
        <f t="shared" ref="Z55:AE55" si="70">SUM(Z4:Z54)</f>
        <v>848881.30443460017</v>
      </c>
      <c r="AA55" s="121">
        <f t="shared" si="70"/>
        <v>744553.792119588</v>
      </c>
      <c r="AB55" s="121">
        <f t="shared" si="70"/>
        <v>104327.51231501237</v>
      </c>
      <c r="AC55" s="122">
        <f t="shared" si="70"/>
        <v>989568.83415989846</v>
      </c>
      <c r="AD55" s="122">
        <f t="shared" si="70"/>
        <v>20298.329999606038</v>
      </c>
      <c r="AE55" s="123">
        <f t="shared" si="70"/>
        <v>1009867.1641595043</v>
      </c>
      <c r="AF55" s="120">
        <f>+AE55/Z55-1</f>
        <v>0.189644722865147</v>
      </c>
      <c r="AG55" s="121">
        <f t="shared" ref="AG55:AL55" si="71">SUM(AG4:AG54)</f>
        <v>698296.00587602926</v>
      </c>
      <c r="AH55" s="121">
        <f t="shared" si="71"/>
        <v>612475.42675386555</v>
      </c>
      <c r="AI55" s="121">
        <f t="shared" si="71"/>
        <v>85820.579122163996</v>
      </c>
      <c r="AJ55" s="122">
        <f t="shared" si="71"/>
        <v>848334.74601701181</v>
      </c>
      <c r="AK55" s="122">
        <f t="shared" si="71"/>
        <v>17401.294412635914</v>
      </c>
      <c r="AL55" s="123">
        <f t="shared" si="71"/>
        <v>865736.04042964778</v>
      </c>
      <c r="AM55" s="120">
        <f>+AL55/AG55-1</f>
        <v>0.2397837495054278</v>
      </c>
      <c r="AN55" s="121">
        <f t="shared" ref="AN55:AS55" si="72">SUM(AN4:AN54)</f>
        <v>709372.89014793898</v>
      </c>
      <c r="AO55" s="121">
        <f t="shared" si="72"/>
        <v>622190.96194875753</v>
      </c>
      <c r="AP55" s="121">
        <f t="shared" si="72"/>
        <v>87181.928199181697</v>
      </c>
      <c r="AQ55" s="122">
        <f t="shared" si="72"/>
        <v>0</v>
      </c>
      <c r="AR55" s="122">
        <f t="shared" si="72"/>
        <v>0</v>
      </c>
      <c r="AS55" s="124">
        <f t="shared" si="72"/>
        <v>0</v>
      </c>
      <c r="AT55" s="120">
        <f>+AS55/AN55-1</f>
        <v>-1</v>
      </c>
      <c r="AU55" s="121">
        <f t="shared" ref="AU55:AZ55" si="73">SUM(AU4:AU54)</f>
        <v>732975.07073418098</v>
      </c>
      <c r="AV55" s="121">
        <f t="shared" si="73"/>
        <v>642892.43454095046</v>
      </c>
      <c r="AW55" s="121">
        <f t="shared" si="73"/>
        <v>90082.63619323085</v>
      </c>
      <c r="AX55" s="122">
        <f t="shared" si="73"/>
        <v>0</v>
      </c>
      <c r="AY55" s="122">
        <f t="shared" si="73"/>
        <v>0</v>
      </c>
      <c r="AZ55" s="123">
        <f t="shared" si="73"/>
        <v>0</v>
      </c>
      <c r="BA55" s="120">
        <f>+AZ55/AU55-1</f>
        <v>-1</v>
      </c>
      <c r="BB55" s="121">
        <f t="shared" ref="BB55:BG55" si="74">SUM(BB4:BB54)</f>
        <v>719172.82607516192</v>
      </c>
      <c r="BC55" s="121">
        <f t="shared" si="74"/>
        <v>630786.48575052479</v>
      </c>
      <c r="BD55" s="121">
        <f t="shared" si="74"/>
        <v>88386.340324637393</v>
      </c>
      <c r="BE55" s="122">
        <f t="shared" si="74"/>
        <v>0</v>
      </c>
      <c r="BF55" s="122">
        <f t="shared" si="74"/>
        <v>0</v>
      </c>
      <c r="BG55" s="123">
        <f t="shared" si="74"/>
        <v>0</v>
      </c>
      <c r="BH55" s="120">
        <f>+BG55/BB55-1</f>
        <v>-1</v>
      </c>
      <c r="BI55" s="121">
        <f t="shared" ref="BI55:BN55" si="75">SUM(BI4:BI54)</f>
        <v>406555.02976223518</v>
      </c>
      <c r="BJ55" s="121">
        <f t="shared" si="75"/>
        <v>356589.41660445655</v>
      </c>
      <c r="BK55" s="121">
        <f t="shared" si="75"/>
        <v>49965.613157778709</v>
      </c>
      <c r="BL55" s="122">
        <f t="shared" si="75"/>
        <v>0</v>
      </c>
      <c r="BM55" s="122">
        <f t="shared" si="75"/>
        <v>0</v>
      </c>
      <c r="BN55" s="123">
        <f t="shared" si="75"/>
        <v>0</v>
      </c>
      <c r="BO55" s="120">
        <f>+BN55/BI55-1</f>
        <v>-1</v>
      </c>
      <c r="BP55" s="121">
        <f t="shared" ref="BP55:BU55" si="76">SUM(BP4:BP54)</f>
        <v>472489.2002228279</v>
      </c>
      <c r="BQ55" s="121">
        <f t="shared" si="76"/>
        <v>414420.27751544229</v>
      </c>
      <c r="BR55" s="121">
        <f t="shared" si="76"/>
        <v>58068.922707385544</v>
      </c>
      <c r="BS55" s="122">
        <f t="shared" si="76"/>
        <v>0</v>
      </c>
      <c r="BT55" s="122">
        <f t="shared" si="76"/>
        <v>0</v>
      </c>
      <c r="BU55" s="123">
        <f t="shared" si="76"/>
        <v>0</v>
      </c>
      <c r="BV55" s="120">
        <f>+BU55/BP55-1</f>
        <v>-1</v>
      </c>
      <c r="BW55" s="121">
        <f t="shared" ref="BW55:CB55" si="77">SUM(BW4:BW54)</f>
        <v>378120.33486612333</v>
      </c>
      <c r="BX55" s="121">
        <f t="shared" si="77"/>
        <v>331649.34571107686</v>
      </c>
      <c r="BY55" s="121">
        <f t="shared" si="77"/>
        <v>46470.989155046576</v>
      </c>
      <c r="BZ55" s="122">
        <f t="shared" si="77"/>
        <v>0</v>
      </c>
      <c r="CA55" s="122">
        <f t="shared" si="77"/>
        <v>0</v>
      </c>
      <c r="CB55" s="123">
        <f t="shared" si="77"/>
        <v>0</v>
      </c>
      <c r="CC55" s="120">
        <f>+CB55/BW55-1</f>
        <v>-1</v>
      </c>
      <c r="CD55" s="121">
        <f t="shared" ref="CD55:CI55" si="78">SUM(CD4:CD54)</f>
        <v>330729.42421255243</v>
      </c>
      <c r="CE55" s="121">
        <f t="shared" si="78"/>
        <v>290082.77797682973</v>
      </c>
      <c r="CF55" s="121">
        <f t="shared" si="78"/>
        <v>40646.646235722692</v>
      </c>
      <c r="CG55" s="122">
        <f t="shared" si="78"/>
        <v>0</v>
      </c>
      <c r="CH55" s="122">
        <f t="shared" si="78"/>
        <v>0</v>
      </c>
      <c r="CI55" s="123">
        <f t="shared" si="78"/>
        <v>0</v>
      </c>
      <c r="CJ55" s="120">
        <f>+CI55/CD55-1</f>
        <v>-1</v>
      </c>
      <c r="CK55" s="121">
        <f t="shared" ref="CK55:CP55" si="79">SUM(CK4:CK54)</f>
        <v>330808.85921896453</v>
      </c>
      <c r="CL55" s="121">
        <f t="shared" si="79"/>
        <v>290152.45042095374</v>
      </c>
      <c r="CM55" s="121">
        <f t="shared" si="79"/>
        <v>40656.408798010736</v>
      </c>
      <c r="CN55" s="122">
        <f t="shared" si="79"/>
        <v>0</v>
      </c>
      <c r="CO55" s="122">
        <f t="shared" si="79"/>
        <v>0</v>
      </c>
      <c r="CP55" s="123">
        <f t="shared" si="79"/>
        <v>0</v>
      </c>
      <c r="CQ55" s="120">
        <f>+CP55/CK55-1</f>
        <v>-1</v>
      </c>
      <c r="CR55" s="72"/>
      <c r="CS55" s="201"/>
      <c r="CT55" s="201"/>
      <c r="CU55" s="201"/>
      <c r="CV55" s="201"/>
      <c r="CW55" s="201"/>
      <c r="CX55" s="201"/>
      <c r="CY55" s="201"/>
      <c r="CZ55" s="201"/>
      <c r="DA55" s="201"/>
      <c r="DB55" s="201"/>
      <c r="DC55" s="201"/>
      <c r="DD55" s="201"/>
      <c r="DE55" s="72"/>
      <c r="DF55" s="72"/>
    </row>
    <row r="56" spans="1:110" s="26" customFormat="1" ht="16" customHeight="1" x14ac:dyDescent="0.2">
      <c r="A56" s="125" t="s">
        <v>80</v>
      </c>
      <c r="B56" s="75">
        <f>+L56+S56+Z56+AG56+AN56+AU56+BB56+BI56+BP56+BW56+CD56+CK56</f>
        <v>-108056.23536332179</v>
      </c>
      <c r="C56" s="76">
        <f t="shared" ref="C56:D57" si="80">+M56+T56+AA56+AH56+AO56+AV56+BC56+BJ56+BQ56+BX56+CE56+CL56</f>
        <v>-94776.12403716956</v>
      </c>
      <c r="D56" s="77">
        <f t="shared" si="80"/>
        <v>-13280.11132615225</v>
      </c>
      <c r="E56" s="75">
        <f>+L56+S56+Z56+AG56</f>
        <v>-36018.745121107262</v>
      </c>
      <c r="F56" s="78">
        <f t="shared" ref="F56:G57" si="81">+M56+T56+AA56+AH56</f>
        <v>-31592.041345723181</v>
      </c>
      <c r="G56" s="79">
        <f t="shared" si="81"/>
        <v>-4426.7037753840823</v>
      </c>
      <c r="H56" s="76">
        <f t="shared" ref="H56:J57" si="82">+O56+V56+AC56+AJ56+AQ56+AX56+BE56+BL56+BS56+BZ56+CG56+CN56</f>
        <v>-66729.993151117495</v>
      </c>
      <c r="I56" s="78">
        <f t="shared" si="82"/>
        <v>-1368.7854498800502</v>
      </c>
      <c r="J56" s="78">
        <f t="shared" si="82"/>
        <v>-68098.778600997539</v>
      </c>
      <c r="K56" s="25">
        <f t="shared" ref="K56:K57" si="83">IF(E56=0,"",(+J56/E56-1))</f>
        <v>0.89064828249919037</v>
      </c>
      <c r="L56" s="23">
        <f>'[1]CB I'!$E56</f>
        <v>-9004.6862802768155</v>
      </c>
      <c r="M56" s="18">
        <f t="shared" ref="M56:M57" si="84">L56-N56</f>
        <v>-7898.0103364307952</v>
      </c>
      <c r="N56" s="18">
        <f t="shared" ref="N56:N57" si="85">+L56*12.29%</f>
        <v>-1106.6759438460206</v>
      </c>
      <c r="O56" s="18">
        <f t="shared" ref="O56:O57" si="86">+Q56-P56</f>
        <v>0</v>
      </c>
      <c r="P56" s="18">
        <f t="shared" ref="P56:P57" si="87">+Q56*2.01%</f>
        <v>0</v>
      </c>
      <c r="Q56" s="24">
        <f>CS56*'[2]CAMBARÁ - CITROS'!$U$5</f>
        <v>0</v>
      </c>
      <c r="R56" s="25">
        <f t="shared" ref="R56:R57" si="88">IF(L56=0,"",(+Q56/L56-1))</f>
        <v>-1</v>
      </c>
      <c r="S56" s="23">
        <f>'[1]CB I'!$F56</f>
        <v>-9004.6862802768155</v>
      </c>
      <c r="T56" s="18">
        <f t="shared" ref="T56:T57" si="89">S56-U56</f>
        <v>-7898.0103364307952</v>
      </c>
      <c r="U56" s="18">
        <f t="shared" ref="U56:U57" si="90">+S56*12.29%</f>
        <v>-1106.6759438460206</v>
      </c>
      <c r="V56" s="18">
        <f t="shared" ref="V56:V57" si="91">+X56-W56</f>
        <v>-42548.698097716231</v>
      </c>
      <c r="W56" s="18">
        <f t="shared" ref="W56:W57" si="92">+X56*2.01%</f>
        <v>-872.77153971231348</v>
      </c>
      <c r="X56" s="20">
        <f>CT56*'[2]CAMBARÁ - CITROS'!$U$5</f>
        <v>-43421.469637428541</v>
      </c>
      <c r="Y56" s="25">
        <f>IF(S56=0,"",(+X56/S56-1))</f>
        <v>3.8220968822129482</v>
      </c>
      <c r="Z56" s="23">
        <f>'[1]CB I'!$G56</f>
        <v>-9004.6862802768155</v>
      </c>
      <c r="AA56" s="18">
        <f t="shared" ref="AA56:AA57" si="93">Z56-AB56</f>
        <v>-7898.0103364307952</v>
      </c>
      <c r="AB56" s="18">
        <f t="shared" ref="AB56:AB57" si="94">+Z56*12.29%</f>
        <v>-1106.6759438460206</v>
      </c>
      <c r="AC56" s="18">
        <f t="shared" ref="AC56:AC57" si="95">+AE56-AD56</f>
        <v>1744.970794723539</v>
      </c>
      <c r="AD56" s="18">
        <f t="shared" ref="AD56:AD57" si="96">+AE56*2.01%</f>
        <v>35.79335949989094</v>
      </c>
      <c r="AE56" s="24">
        <f>CU56*'[2]CAMBARÁ - CITROS'!$U$5</f>
        <v>1780.7641542234301</v>
      </c>
      <c r="AF56" s="25">
        <f t="shared" ref="AF56:AF57" si="97">IF(Z56=0,"",(+AE56/Z56-1))</f>
        <v>-1.197759710754597</v>
      </c>
      <c r="AG56" s="23">
        <f>'[1]CB I'!$H56</f>
        <v>-9004.6862802768155</v>
      </c>
      <c r="AH56" s="18">
        <f t="shared" ref="AH56:AH57" si="98">AG56-AI56</f>
        <v>-7898.0103364307952</v>
      </c>
      <c r="AI56" s="18">
        <f t="shared" ref="AI56:AI57" si="99">+AG56*12.29%</f>
        <v>-1106.6759438460206</v>
      </c>
      <c r="AJ56" s="18">
        <f t="shared" ref="AJ56:AJ57" si="100">+AL56-AK56</f>
        <v>-25926.265848124796</v>
      </c>
      <c r="AK56" s="18">
        <f t="shared" ref="AK56:AK57" si="101">+AL56*2.01%</f>
        <v>-531.80726966762768</v>
      </c>
      <c r="AL56" s="20">
        <f>CV56*'[2]CAMBARÁ - CITROS'!$U$5</f>
        <v>-26458.073117792424</v>
      </c>
      <c r="AM56" s="25">
        <f t="shared" ref="AM56:AM57" si="102">IF(AG56=0,"",(+AL56/AG56-1))</f>
        <v>1.9382559585384098</v>
      </c>
      <c r="AN56" s="23">
        <f>'[1]CB I'!$I56</f>
        <v>-9004.6862802768155</v>
      </c>
      <c r="AO56" s="18">
        <f t="shared" ref="AO56:AO57" si="103">AN56-AP56</f>
        <v>-7898.0103364307952</v>
      </c>
      <c r="AP56" s="18">
        <f t="shared" ref="AP56:AP57" si="104">+AN56*12.29%</f>
        <v>-1106.6759438460206</v>
      </c>
      <c r="AQ56" s="18">
        <f t="shared" ref="AQ56:AQ57" si="105">+AS56-AR56</f>
        <v>0</v>
      </c>
      <c r="AR56" s="18">
        <f t="shared" ref="AR56:AR57" si="106">+AS56*2.01%</f>
        <v>0</v>
      </c>
      <c r="AS56" s="24">
        <f>CW56*'[3]CAMBARÁ - CITROS'!$U$5</f>
        <v>0</v>
      </c>
      <c r="AT56" s="25">
        <f t="shared" ref="AT56:AT57" si="107">IF(AN56=0,"",(+AS56/AN56-1))</f>
        <v>-1</v>
      </c>
      <c r="AU56" s="23">
        <f>'[1]CB I'!$J56</f>
        <v>-9004.6862802768155</v>
      </c>
      <c r="AV56" s="18">
        <f t="shared" ref="AV56:AV57" si="108">AU56-AW56</f>
        <v>-7898.0103364307952</v>
      </c>
      <c r="AW56" s="18">
        <f t="shared" ref="AW56:AW57" si="109">+AU56*12.29%</f>
        <v>-1106.6759438460206</v>
      </c>
      <c r="AX56" s="18">
        <f t="shared" ref="AX56:AX57" si="110">+AZ56-AY56</f>
        <v>0</v>
      </c>
      <c r="AY56" s="18">
        <f t="shared" ref="AY56:AY57" si="111">+AZ56*2.01%</f>
        <v>0</v>
      </c>
      <c r="AZ56" s="20">
        <f>CX56*'[3]CAMBARÁ - CITROS'!$U$5</f>
        <v>0</v>
      </c>
      <c r="BA56" s="25">
        <f t="shared" ref="BA56:BA57" si="112">IF(AU56=0,"",(+AZ56/AU56-1))</f>
        <v>-1</v>
      </c>
      <c r="BB56" s="23">
        <f>'[1]CB I'!$K56</f>
        <v>-9004.6862802768155</v>
      </c>
      <c r="BC56" s="18">
        <f t="shared" ref="BC56:BC57" si="113">BB56-BD56</f>
        <v>-7898.0103364307952</v>
      </c>
      <c r="BD56" s="18">
        <f t="shared" ref="BD56:BD57" si="114">+BB56*12.29%</f>
        <v>-1106.6759438460206</v>
      </c>
      <c r="BE56" s="18">
        <f t="shared" ref="BE56:BE57" si="115">+BG56-BF56</f>
        <v>0</v>
      </c>
      <c r="BF56" s="18">
        <f t="shared" ref="BF56:BF57" si="116">+BG56*2.01%</f>
        <v>0</v>
      </c>
      <c r="BG56" s="20">
        <f>CY56*'[3]CAMBARÁ - CITROS'!$U$5</f>
        <v>0</v>
      </c>
      <c r="BH56" s="25">
        <f t="shared" ref="BH56:BH57" si="117">IF(BB56=0,"",(+BG56/BB56-1))</f>
        <v>-1</v>
      </c>
      <c r="BI56" s="23">
        <f>'[1]CB I'!$L56</f>
        <v>-9004.6862802768155</v>
      </c>
      <c r="BJ56" s="18">
        <f t="shared" ref="BJ56:BJ57" si="118">BI56-BK56</f>
        <v>-7898.0103364307952</v>
      </c>
      <c r="BK56" s="18">
        <f t="shared" ref="BK56:BK57" si="119">+BI56*12.29%</f>
        <v>-1106.6759438460206</v>
      </c>
      <c r="BL56" s="18">
        <f t="shared" ref="BL56:BL57" si="120">+BN56-BM56</f>
        <v>0</v>
      </c>
      <c r="BM56" s="18">
        <f t="shared" ref="BM56:BM57" si="121">+BN56*2.01%</f>
        <v>0</v>
      </c>
      <c r="BN56" s="20">
        <f>CZ56*'[3]CAMBARÁ - CITROS'!$U$5</f>
        <v>0</v>
      </c>
      <c r="BO56" s="25">
        <f t="shared" ref="BO56:BO57" si="122">IF(BI56=0,"",(+BN56/BI56-1))</f>
        <v>-1</v>
      </c>
      <c r="BP56" s="23">
        <f>'[1]CB I'!$M56</f>
        <v>-9004.6862802768155</v>
      </c>
      <c r="BQ56" s="18">
        <f t="shared" ref="BQ56:BQ57" si="123">BP56-BR56</f>
        <v>-7898.0103364307952</v>
      </c>
      <c r="BR56" s="18">
        <f t="shared" ref="BR56:BR57" si="124">+BP56*12.29%</f>
        <v>-1106.6759438460206</v>
      </c>
      <c r="BS56" s="18">
        <f t="shared" ref="BS56:BS57" si="125">+BU56-BT56</f>
        <v>0</v>
      </c>
      <c r="BT56" s="18">
        <f t="shared" ref="BT56:BT57" si="126">+BU56*2.01%</f>
        <v>0</v>
      </c>
      <c r="BU56" s="20">
        <f>DA56*'[3]CAMBARÁ - CITROS'!$U$5</f>
        <v>0</v>
      </c>
      <c r="BV56" s="25">
        <f t="shared" ref="BV56:BV57" si="127">IF(BP56=0,"",(+BU56/BP56-1))</f>
        <v>-1</v>
      </c>
      <c r="BW56" s="23">
        <f>'[1]CB I'!$N56</f>
        <v>-9004.6862802768155</v>
      </c>
      <c r="BX56" s="18">
        <f t="shared" ref="BX56:BX57" si="128">BW56-BY56</f>
        <v>-7898.0103364307952</v>
      </c>
      <c r="BY56" s="18">
        <f t="shared" ref="BY56:BY57" si="129">+BW56*12.29%</f>
        <v>-1106.6759438460206</v>
      </c>
      <c r="BZ56" s="18">
        <f t="shared" ref="BZ56:BZ57" si="130">+CB56-CA56</f>
        <v>0</v>
      </c>
      <c r="CA56" s="18">
        <f t="shared" ref="CA56:CA57" si="131">+CB56*2.01%</f>
        <v>0</v>
      </c>
      <c r="CB56" s="20">
        <f>DB56*'[3]CAMBARÁ - CITROS'!$U$5</f>
        <v>0</v>
      </c>
      <c r="CC56" s="25">
        <f t="shared" ref="CC56:CC57" si="132">IF(BW56=0,"",(+CB56/BW56-1))</f>
        <v>-1</v>
      </c>
      <c r="CD56" s="23">
        <f>'[1]CB I'!$O56</f>
        <v>-9004.6862802768155</v>
      </c>
      <c r="CE56" s="18">
        <f t="shared" ref="CE56:CE57" si="133">CD56-CF56</f>
        <v>-7898.0103364307952</v>
      </c>
      <c r="CF56" s="18">
        <f t="shared" ref="CF56:CF57" si="134">+CD56*12.29%</f>
        <v>-1106.6759438460206</v>
      </c>
      <c r="CG56" s="18">
        <f t="shared" ref="CG56:CG57" si="135">+CI56-CH56</f>
        <v>0</v>
      </c>
      <c r="CH56" s="18">
        <f t="shared" ref="CH56:CH57" si="136">+CI56*2.01%</f>
        <v>0</v>
      </c>
      <c r="CI56" s="20">
        <f>DC56*'[3]CAMBARÁ - CITROS'!$U$5</f>
        <v>0</v>
      </c>
      <c r="CJ56" s="25">
        <f t="shared" ref="CJ56:CJ57" si="137">IF(CD56=0,"",(+CI56/CD56-1))</f>
        <v>-1</v>
      </c>
      <c r="CK56" s="23">
        <f>'[1]CB I'!$P56</f>
        <v>-9004.6862802768155</v>
      </c>
      <c r="CL56" s="18">
        <f t="shared" ref="CL56:CL57" si="138">CK56-CM56</f>
        <v>-7898.0103364307952</v>
      </c>
      <c r="CM56" s="18">
        <f t="shared" ref="CM56:CM57" si="139">+CK56*12.29%</f>
        <v>-1106.6759438460206</v>
      </c>
      <c r="CN56" s="18">
        <f t="shared" ref="CN56:CN57" si="140">+CP56-CO56</f>
        <v>0</v>
      </c>
      <c r="CO56" s="18">
        <f t="shared" ref="CO56:CO57" si="141">+CP56*2.01%</f>
        <v>0</v>
      </c>
      <c r="CP56" s="20">
        <f>DD56*'[3]CAMBARÁ - CITROS'!$U$5</f>
        <v>0</v>
      </c>
      <c r="CQ56" s="25">
        <f t="shared" ref="CQ56:CQ57" si="142">IF(CK56=0,"",(+CP56/CK56-1))</f>
        <v>-1</v>
      </c>
      <c r="CS56" s="198"/>
      <c r="CT56" s="198">
        <v>-70562.039999999994</v>
      </c>
      <c r="CU56" s="198">
        <f>2893.83</f>
        <v>2893.83</v>
      </c>
      <c r="CV56" s="198">
        <f>-46401.46+3405.78</f>
        <v>-42995.68</v>
      </c>
      <c r="CW56" s="198"/>
      <c r="CX56" s="198"/>
      <c r="CY56" s="198"/>
      <c r="CZ56" s="198"/>
      <c r="DA56" s="198"/>
      <c r="DB56" s="198"/>
      <c r="DC56" s="198"/>
      <c r="DD56" s="198"/>
      <c r="DE56" s="199"/>
      <c r="DF56" s="199"/>
    </row>
    <row r="57" spans="1:110" s="26" customFormat="1" ht="16" customHeight="1" thickBot="1" x14ac:dyDescent="0.25">
      <c r="A57" s="126" t="s">
        <v>81</v>
      </c>
      <c r="B57" s="52">
        <f>+L57+S57+Z57+AG57+AN57+AU57+BB57+BI57+BP57+BW57+CD57+CK57</f>
        <v>-36018.745121107262</v>
      </c>
      <c r="C57" s="40">
        <f t="shared" si="80"/>
        <v>-31592.041345723181</v>
      </c>
      <c r="D57" s="51">
        <f t="shared" si="80"/>
        <v>-4426.7037753840823</v>
      </c>
      <c r="E57" s="50">
        <f>+L57+S57+Z57+AG57</f>
        <v>-12006.248373702421</v>
      </c>
      <c r="F57" s="58">
        <f t="shared" si="81"/>
        <v>-10530.680448574394</v>
      </c>
      <c r="G57" s="85">
        <f t="shared" si="81"/>
        <v>-1475.5679251280276</v>
      </c>
      <c r="H57" s="57">
        <f t="shared" si="82"/>
        <v>-20648.251238734716</v>
      </c>
      <c r="I57" s="58">
        <f t="shared" si="82"/>
        <v>-423.54306551542783</v>
      </c>
      <c r="J57" s="58">
        <f t="shared" si="82"/>
        <v>-21071.794304250143</v>
      </c>
      <c r="K57" s="127">
        <f t="shared" si="83"/>
        <v>0.75506899810637007</v>
      </c>
      <c r="L57" s="56">
        <f>'[1]CB I'!$E57</f>
        <v>-3001.5620934256053</v>
      </c>
      <c r="M57" s="57">
        <f t="shared" si="84"/>
        <v>-2632.6701121435985</v>
      </c>
      <c r="N57" s="57">
        <f t="shared" si="85"/>
        <v>-368.8919812820069</v>
      </c>
      <c r="O57" s="57">
        <f t="shared" si="86"/>
        <v>-11488.069614376405</v>
      </c>
      <c r="P57" s="57">
        <f t="shared" si="87"/>
        <v>-235.64669787627889</v>
      </c>
      <c r="Q57" s="59">
        <f>CS57*'[2]CAMBARÁ - CITROS'!$U$5</f>
        <v>-11723.716312252684</v>
      </c>
      <c r="R57" s="127">
        <f t="shared" si="88"/>
        <v>2.9058716586045064</v>
      </c>
      <c r="S57" s="56">
        <f>'[1]CB I'!$F57</f>
        <v>-3001.5620934256053</v>
      </c>
      <c r="T57" s="57">
        <f t="shared" si="89"/>
        <v>-2632.6701121435985</v>
      </c>
      <c r="U57" s="57">
        <f t="shared" si="90"/>
        <v>-368.8919812820069</v>
      </c>
      <c r="V57" s="57">
        <f t="shared" si="91"/>
        <v>-1697.3762418895687</v>
      </c>
      <c r="W57" s="57">
        <f t="shared" si="92"/>
        <v>-34.817085888335875</v>
      </c>
      <c r="X57" s="58">
        <f>CT57*'[2]CAMBARÁ - CITROS'!$U$5</f>
        <v>-1732.1933277779046</v>
      </c>
      <c r="Y57" s="127">
        <f>IF(S57=0,"",(+X57/S57-1))</f>
        <v>-0.42290271736441165</v>
      </c>
      <c r="Z57" s="56">
        <f>'[1]CB I'!$G57</f>
        <v>-3001.5620934256053</v>
      </c>
      <c r="AA57" s="57">
        <f t="shared" si="93"/>
        <v>-2632.6701121435985</v>
      </c>
      <c r="AB57" s="57">
        <f t="shared" si="94"/>
        <v>-368.8919812820069</v>
      </c>
      <c r="AC57" s="57">
        <f t="shared" si="95"/>
        <v>-7462.8053824687422</v>
      </c>
      <c r="AD57" s="57">
        <f t="shared" si="96"/>
        <v>-153.07928175081304</v>
      </c>
      <c r="AE57" s="59">
        <f>CU57*'[2]CAMBARÁ - CITROS'!$U$5</f>
        <v>-7615.8846642195549</v>
      </c>
      <c r="AF57" s="127">
        <f t="shared" si="97"/>
        <v>1.5373070511853855</v>
      </c>
      <c r="AG57" s="56">
        <f>'[1]CB I'!$H57</f>
        <v>-3001.5620934256053</v>
      </c>
      <c r="AH57" s="57">
        <f t="shared" si="98"/>
        <v>-2632.6701121435985</v>
      </c>
      <c r="AI57" s="57">
        <f t="shared" si="99"/>
        <v>-368.8919812820069</v>
      </c>
      <c r="AJ57" s="57">
        <f t="shared" si="100"/>
        <v>0</v>
      </c>
      <c r="AK57" s="57">
        <f t="shared" si="101"/>
        <v>0</v>
      </c>
      <c r="AL57" s="58">
        <f>CV57*'[2]CAMBARÁ - CITROS'!$U$5</f>
        <v>0</v>
      </c>
      <c r="AM57" s="127">
        <f t="shared" si="102"/>
        <v>-1</v>
      </c>
      <c r="AN57" s="56">
        <f>'[1]CB I'!$I57</f>
        <v>-3001.5620934256053</v>
      </c>
      <c r="AO57" s="57">
        <f t="shared" si="103"/>
        <v>-2632.6701121435985</v>
      </c>
      <c r="AP57" s="57">
        <f t="shared" si="104"/>
        <v>-368.8919812820069</v>
      </c>
      <c r="AQ57" s="57">
        <f t="shared" si="105"/>
        <v>0</v>
      </c>
      <c r="AR57" s="57">
        <f t="shared" si="106"/>
        <v>0</v>
      </c>
      <c r="AS57" s="59">
        <f>CW57*'[3]CAMBARÁ - CITROS'!$U$5</f>
        <v>0</v>
      </c>
      <c r="AT57" s="127">
        <f t="shared" si="107"/>
        <v>-1</v>
      </c>
      <c r="AU57" s="56">
        <f>'[1]CB I'!$J57</f>
        <v>-3001.5620934256053</v>
      </c>
      <c r="AV57" s="57">
        <f t="shared" si="108"/>
        <v>-2632.6701121435985</v>
      </c>
      <c r="AW57" s="57">
        <f t="shared" si="109"/>
        <v>-368.8919812820069</v>
      </c>
      <c r="AX57" s="57">
        <f t="shared" si="110"/>
        <v>0</v>
      </c>
      <c r="AY57" s="57">
        <f t="shared" si="111"/>
        <v>0</v>
      </c>
      <c r="AZ57" s="58">
        <f>CX57*'[3]CAMBARÁ - CITROS'!$U$5</f>
        <v>0</v>
      </c>
      <c r="BA57" s="127">
        <f t="shared" si="112"/>
        <v>-1</v>
      </c>
      <c r="BB57" s="56">
        <f>'[1]CB I'!$K57</f>
        <v>-3001.5620934256053</v>
      </c>
      <c r="BC57" s="57">
        <f t="shared" si="113"/>
        <v>-2632.6701121435985</v>
      </c>
      <c r="BD57" s="57">
        <f t="shared" si="114"/>
        <v>-368.8919812820069</v>
      </c>
      <c r="BE57" s="57">
        <f t="shared" si="115"/>
        <v>0</v>
      </c>
      <c r="BF57" s="57">
        <f t="shared" si="116"/>
        <v>0</v>
      </c>
      <c r="BG57" s="58">
        <f>CY57*'[3]CAMBARÁ - CITROS'!$U$5</f>
        <v>0</v>
      </c>
      <c r="BH57" s="127">
        <f t="shared" si="117"/>
        <v>-1</v>
      </c>
      <c r="BI57" s="56">
        <f>'[1]CB I'!$L57</f>
        <v>-3001.5620934256053</v>
      </c>
      <c r="BJ57" s="57">
        <f t="shared" si="118"/>
        <v>-2632.6701121435985</v>
      </c>
      <c r="BK57" s="57">
        <f t="shared" si="119"/>
        <v>-368.8919812820069</v>
      </c>
      <c r="BL57" s="57">
        <f t="shared" si="120"/>
        <v>0</v>
      </c>
      <c r="BM57" s="57">
        <f t="shared" si="121"/>
        <v>0</v>
      </c>
      <c r="BN57" s="58">
        <f>CZ57*'[3]CAMBARÁ - CITROS'!$U$5</f>
        <v>0</v>
      </c>
      <c r="BO57" s="127">
        <f t="shared" si="122"/>
        <v>-1</v>
      </c>
      <c r="BP57" s="56">
        <f>'[1]CB I'!$M57</f>
        <v>-3001.5620934256053</v>
      </c>
      <c r="BQ57" s="57">
        <f t="shared" si="123"/>
        <v>-2632.6701121435985</v>
      </c>
      <c r="BR57" s="57">
        <f t="shared" si="124"/>
        <v>-368.8919812820069</v>
      </c>
      <c r="BS57" s="57">
        <f t="shared" si="125"/>
        <v>0</v>
      </c>
      <c r="BT57" s="57">
        <f t="shared" si="126"/>
        <v>0</v>
      </c>
      <c r="BU57" s="58">
        <f>DA57*'[3]CAMBARÁ - CITROS'!$U$5</f>
        <v>0</v>
      </c>
      <c r="BV57" s="127">
        <f t="shared" si="127"/>
        <v>-1</v>
      </c>
      <c r="BW57" s="56">
        <f>'[1]CB I'!$N57</f>
        <v>-3001.5620934256053</v>
      </c>
      <c r="BX57" s="57">
        <f t="shared" si="128"/>
        <v>-2632.6701121435985</v>
      </c>
      <c r="BY57" s="57">
        <f t="shared" si="129"/>
        <v>-368.8919812820069</v>
      </c>
      <c r="BZ57" s="57">
        <f t="shared" si="130"/>
        <v>0</v>
      </c>
      <c r="CA57" s="57">
        <f t="shared" si="131"/>
        <v>0</v>
      </c>
      <c r="CB57" s="58">
        <f>DB57*'[3]CAMBARÁ - CITROS'!$U$5</f>
        <v>0</v>
      </c>
      <c r="CC57" s="127">
        <f t="shared" si="132"/>
        <v>-1</v>
      </c>
      <c r="CD57" s="56">
        <f>'[1]CB I'!$O57</f>
        <v>-3001.5620934256053</v>
      </c>
      <c r="CE57" s="57">
        <f t="shared" si="133"/>
        <v>-2632.6701121435985</v>
      </c>
      <c r="CF57" s="57">
        <f t="shared" si="134"/>
        <v>-368.8919812820069</v>
      </c>
      <c r="CG57" s="57">
        <f t="shared" si="135"/>
        <v>0</v>
      </c>
      <c r="CH57" s="57">
        <f t="shared" si="136"/>
        <v>0</v>
      </c>
      <c r="CI57" s="58">
        <f>DC57*'[3]CAMBARÁ - CITROS'!$U$5</f>
        <v>0</v>
      </c>
      <c r="CJ57" s="127">
        <f t="shared" si="137"/>
        <v>-1</v>
      </c>
      <c r="CK57" s="56">
        <f>'[1]CB I'!$P57</f>
        <v>-3001.5620934256053</v>
      </c>
      <c r="CL57" s="57">
        <f t="shared" si="138"/>
        <v>-2632.6701121435985</v>
      </c>
      <c r="CM57" s="57">
        <f t="shared" si="139"/>
        <v>-368.8919812820069</v>
      </c>
      <c r="CN57" s="57">
        <f t="shared" si="140"/>
        <v>0</v>
      </c>
      <c r="CO57" s="57">
        <f t="shared" si="141"/>
        <v>0</v>
      </c>
      <c r="CP57" s="58">
        <f>DD57*'[3]CAMBARÁ - CITROS'!$U$5</f>
        <v>0</v>
      </c>
      <c r="CQ57" s="127">
        <f t="shared" si="142"/>
        <v>-1</v>
      </c>
      <c r="CS57" s="198">
        <v>-19051.62</v>
      </c>
      <c r="CT57" s="198">
        <v>-2814.9</v>
      </c>
      <c r="CU57" s="198">
        <v>-12376.19</v>
      </c>
      <c r="CV57" s="198"/>
      <c r="CW57" s="198"/>
      <c r="CX57" s="198"/>
      <c r="CY57" s="198"/>
      <c r="CZ57" s="198"/>
      <c r="DA57" s="198"/>
      <c r="DB57" s="198"/>
      <c r="DC57" s="198"/>
      <c r="DD57" s="198"/>
      <c r="DE57" s="199"/>
      <c r="DF57" s="199"/>
    </row>
    <row r="58" spans="1:110" s="26" customFormat="1" ht="16" customHeight="1" thickBot="1" x14ac:dyDescent="0.25">
      <c r="A58" s="131" t="s">
        <v>82</v>
      </c>
      <c r="B58" s="89">
        <f>+B55+B56+B57</f>
        <v>6759336.6268364042</v>
      </c>
      <c r="C58" s="90">
        <f t="shared" ref="C58:D58" si="143">+C55+C56+C57</f>
        <v>5928614.1553982096</v>
      </c>
      <c r="D58" s="91">
        <f t="shared" si="143"/>
        <v>830722.47143819404</v>
      </c>
      <c r="E58" s="92">
        <f t="shared" ref="E58:J58" si="144">SUM(E55:E57)</f>
        <v>2775162.9785860367</v>
      </c>
      <c r="F58" s="93">
        <f t="shared" si="144"/>
        <v>2434095.4485178138</v>
      </c>
      <c r="G58" s="94">
        <f t="shared" si="144"/>
        <v>341067.530068224</v>
      </c>
      <c r="H58" s="95">
        <f t="shared" si="144"/>
        <v>3302274.9045906123</v>
      </c>
      <c r="I58" s="96">
        <f t="shared" si="144"/>
        <v>67737.244190500409</v>
      </c>
      <c r="J58" s="96">
        <f t="shared" si="144"/>
        <v>3370012.1487811133</v>
      </c>
      <c r="K58" s="132">
        <f>+J58/E55-1</f>
        <v>0.19369031821753846</v>
      </c>
      <c r="L58" s="133">
        <f t="shared" ref="L58:X58" si="145">SUM(L55:L57)</f>
        <v>650031.53158304514</v>
      </c>
      <c r="M58" s="133">
        <f t="shared" si="145"/>
        <v>570142.65635148925</v>
      </c>
      <c r="N58" s="133">
        <f t="shared" si="145"/>
        <v>79888.87523155626</v>
      </c>
      <c r="O58" s="95">
        <f t="shared" si="145"/>
        <v>836519.94015185884</v>
      </c>
      <c r="P58" s="95">
        <f t="shared" si="145"/>
        <v>17158.945603686454</v>
      </c>
      <c r="Q58" s="137">
        <f t="shared" si="145"/>
        <v>853678.88575554488</v>
      </c>
      <c r="R58" s="132">
        <f>+Q58/L55-1</f>
        <v>0.28947155525069501</v>
      </c>
      <c r="S58" s="133">
        <f t="shared" si="145"/>
        <v>601966.63343976741</v>
      </c>
      <c r="T58" s="133">
        <f t="shared" si="145"/>
        <v>527984.9341900202</v>
      </c>
      <c r="U58" s="133">
        <f t="shared" si="145"/>
        <v>73981.699249747442</v>
      </c>
      <c r="V58" s="95">
        <f t="shared" si="145"/>
        <v>659495.48469771491</v>
      </c>
      <c r="W58" s="95">
        <f t="shared" si="145"/>
        <v>13527.767366490531</v>
      </c>
      <c r="X58" s="96">
        <f t="shared" si="145"/>
        <v>673023.25206420547</v>
      </c>
      <c r="Y58" s="132">
        <f>+X58/S55-1</f>
        <v>9.6177489266823235E-2</v>
      </c>
      <c r="Z58" s="133">
        <f t="shared" ref="Z58:AE58" si="146">SUM(Z55:Z57)</f>
        <v>836875.05606089765</v>
      </c>
      <c r="AA58" s="133">
        <f t="shared" si="146"/>
        <v>734023.11167101364</v>
      </c>
      <c r="AB58" s="133">
        <f t="shared" si="146"/>
        <v>102851.94438988435</v>
      </c>
      <c r="AC58" s="95">
        <f t="shared" si="146"/>
        <v>983850.9995721532</v>
      </c>
      <c r="AD58" s="95">
        <f t="shared" si="146"/>
        <v>20181.044077355116</v>
      </c>
      <c r="AE58" s="96">
        <f t="shared" si="146"/>
        <v>1004032.0436495082</v>
      </c>
      <c r="AF58" s="132">
        <f>+AE58/Z55-1</f>
        <v>0.18277082838836534</v>
      </c>
      <c r="AG58" s="133">
        <f t="shared" ref="AG58:AL58" si="147">SUM(AG55:AG57)</f>
        <v>686289.75750232674</v>
      </c>
      <c r="AH58" s="133">
        <f t="shared" si="147"/>
        <v>601944.74630529119</v>
      </c>
      <c r="AI58" s="133">
        <f t="shared" si="147"/>
        <v>84345.011197035972</v>
      </c>
      <c r="AJ58" s="95">
        <f t="shared" si="147"/>
        <v>822408.48016888706</v>
      </c>
      <c r="AK58" s="95">
        <f t="shared" si="147"/>
        <v>16869.487142968286</v>
      </c>
      <c r="AL58" s="96">
        <f t="shared" si="147"/>
        <v>839277.96731185541</v>
      </c>
      <c r="AM58" s="132">
        <f>+AL58/AG55-1</f>
        <v>0.20189426869048299</v>
      </c>
      <c r="AN58" s="133">
        <f t="shared" ref="AN58:AS58" si="148">SUM(AN55:AN57)</f>
        <v>697366.64177423646</v>
      </c>
      <c r="AO58" s="133">
        <f t="shared" si="148"/>
        <v>611660.28150018316</v>
      </c>
      <c r="AP58" s="133">
        <f t="shared" si="148"/>
        <v>85706.360274053673</v>
      </c>
      <c r="AQ58" s="95">
        <f t="shared" si="148"/>
        <v>0</v>
      </c>
      <c r="AR58" s="95">
        <f t="shared" si="148"/>
        <v>0</v>
      </c>
      <c r="AS58" s="137">
        <f t="shared" si="148"/>
        <v>0</v>
      </c>
      <c r="AT58" s="132">
        <f>+AS58/AN55-1</f>
        <v>-1</v>
      </c>
      <c r="AU58" s="133">
        <f t="shared" ref="AU58:AZ58" si="149">SUM(AU55:AU57)</f>
        <v>720968.82236047846</v>
      </c>
      <c r="AV58" s="133">
        <f t="shared" si="149"/>
        <v>632361.7540923761</v>
      </c>
      <c r="AW58" s="133">
        <f t="shared" si="149"/>
        <v>88607.068268102827</v>
      </c>
      <c r="AX58" s="95">
        <f t="shared" si="149"/>
        <v>0</v>
      </c>
      <c r="AY58" s="95">
        <f t="shared" si="149"/>
        <v>0</v>
      </c>
      <c r="AZ58" s="96">
        <f t="shared" si="149"/>
        <v>0</v>
      </c>
      <c r="BA58" s="132">
        <f>+AZ58/AU55-1</f>
        <v>-1</v>
      </c>
      <c r="BB58" s="133">
        <f t="shared" ref="BB58:BG58" si="150">SUM(BB55:BB57)</f>
        <v>707166.57770145941</v>
      </c>
      <c r="BC58" s="133">
        <f t="shared" si="150"/>
        <v>620255.80530195043</v>
      </c>
      <c r="BD58" s="133">
        <f t="shared" si="150"/>
        <v>86910.772399509369</v>
      </c>
      <c r="BE58" s="95">
        <f t="shared" si="150"/>
        <v>0</v>
      </c>
      <c r="BF58" s="95">
        <f t="shared" si="150"/>
        <v>0</v>
      </c>
      <c r="BG58" s="96">
        <f t="shared" si="150"/>
        <v>0</v>
      </c>
      <c r="BH58" s="132">
        <f>+BG58/BB55-1</f>
        <v>-1</v>
      </c>
      <c r="BI58" s="133">
        <f t="shared" ref="BI58:BN58" si="151">SUM(BI55:BI57)</f>
        <v>394548.78138853278</v>
      </c>
      <c r="BJ58" s="133">
        <f t="shared" si="151"/>
        <v>346058.73615588213</v>
      </c>
      <c r="BK58" s="133">
        <f t="shared" si="151"/>
        <v>48490.045232650678</v>
      </c>
      <c r="BL58" s="95">
        <f t="shared" si="151"/>
        <v>0</v>
      </c>
      <c r="BM58" s="95">
        <f t="shared" si="151"/>
        <v>0</v>
      </c>
      <c r="BN58" s="96">
        <f t="shared" si="151"/>
        <v>0</v>
      </c>
      <c r="BO58" s="132">
        <f>+BN58/BI55-1</f>
        <v>-1</v>
      </c>
      <c r="BP58" s="133">
        <f t="shared" ref="BP58:BU58" si="152">SUM(BP55:BP57)</f>
        <v>460482.9518491255</v>
      </c>
      <c r="BQ58" s="133">
        <f t="shared" si="152"/>
        <v>403889.59706686786</v>
      </c>
      <c r="BR58" s="133">
        <f t="shared" si="152"/>
        <v>56593.354782257513</v>
      </c>
      <c r="BS58" s="95">
        <f t="shared" si="152"/>
        <v>0</v>
      </c>
      <c r="BT58" s="95">
        <f t="shared" si="152"/>
        <v>0</v>
      </c>
      <c r="BU58" s="96">
        <f t="shared" si="152"/>
        <v>0</v>
      </c>
      <c r="BV58" s="132">
        <f>+BU58/BP55-1</f>
        <v>-1</v>
      </c>
      <c r="BW58" s="133">
        <f t="shared" ref="BW58:CB58" si="153">SUM(BW55:BW57)</f>
        <v>366114.08649242093</v>
      </c>
      <c r="BX58" s="133">
        <f t="shared" si="153"/>
        <v>321118.66526250244</v>
      </c>
      <c r="BY58" s="133">
        <f t="shared" si="153"/>
        <v>44995.421229918546</v>
      </c>
      <c r="BZ58" s="95">
        <f t="shared" si="153"/>
        <v>0</v>
      </c>
      <c r="CA58" s="95">
        <f t="shared" si="153"/>
        <v>0</v>
      </c>
      <c r="CB58" s="96">
        <f t="shared" si="153"/>
        <v>0</v>
      </c>
      <c r="CC58" s="132">
        <f>+CB58/BW55-1</f>
        <v>-1</v>
      </c>
      <c r="CD58" s="133">
        <f t="shared" ref="CD58:CI58" si="154">SUM(CD55:CD57)</f>
        <v>318723.17583885003</v>
      </c>
      <c r="CE58" s="133">
        <f t="shared" si="154"/>
        <v>279552.09752825531</v>
      </c>
      <c r="CF58" s="133">
        <f t="shared" si="154"/>
        <v>39171.078310594661</v>
      </c>
      <c r="CG58" s="95">
        <f t="shared" si="154"/>
        <v>0</v>
      </c>
      <c r="CH58" s="95">
        <f t="shared" si="154"/>
        <v>0</v>
      </c>
      <c r="CI58" s="96">
        <f t="shared" si="154"/>
        <v>0</v>
      </c>
      <c r="CJ58" s="132">
        <f>+CI58/CD55-1</f>
        <v>-1</v>
      </c>
      <c r="CK58" s="133">
        <f t="shared" ref="CK58:CP58" si="155">SUM(CK55:CK57)</f>
        <v>318802.61084526213</v>
      </c>
      <c r="CL58" s="133">
        <f t="shared" si="155"/>
        <v>279621.76997237932</v>
      </c>
      <c r="CM58" s="133">
        <f t="shared" si="155"/>
        <v>39180.840872882705</v>
      </c>
      <c r="CN58" s="95">
        <f t="shared" si="155"/>
        <v>0</v>
      </c>
      <c r="CO58" s="95">
        <f t="shared" si="155"/>
        <v>0</v>
      </c>
      <c r="CP58" s="96">
        <f t="shared" si="155"/>
        <v>0</v>
      </c>
      <c r="CQ58" s="132">
        <f>+CP58/CK55-1</f>
        <v>-1</v>
      </c>
      <c r="CS58" s="198"/>
      <c r="CT58" s="198"/>
      <c r="CU58" s="198"/>
      <c r="CV58" s="198"/>
      <c r="CW58" s="198"/>
      <c r="CX58" s="198"/>
      <c r="CY58" s="198"/>
      <c r="CZ58" s="198"/>
      <c r="DA58" s="198"/>
      <c r="DB58" s="198"/>
      <c r="DC58" s="198"/>
      <c r="DD58" s="198"/>
      <c r="DE58" s="199"/>
      <c r="DF58" s="199"/>
    </row>
    <row r="59" spans="1:110" ht="14.25" customHeight="1" x14ac:dyDescent="0.2">
      <c r="B59" s="156"/>
      <c r="C59" s="156"/>
      <c r="D59" s="156"/>
      <c r="J59" s="139">
        <f>J58-'[2]CAMBARÁ - CITROS'!$N$46</f>
        <v>0</v>
      </c>
      <c r="K59" s="139"/>
      <c r="L59" s="139"/>
      <c r="M59" s="139"/>
      <c r="N59" s="139"/>
      <c r="O59" s="139"/>
      <c r="P59" s="139"/>
      <c r="Q59" s="139">
        <f>Q58-'[2]CAMBARÁ - CITROS'!$N$99</f>
        <v>0</v>
      </c>
      <c r="R59" s="139"/>
      <c r="S59" s="139"/>
      <c r="T59" s="139"/>
      <c r="U59" s="139"/>
      <c r="V59" s="139"/>
      <c r="W59" s="139"/>
      <c r="X59" s="139">
        <f>X58-'[2]CAMBARÁ - CITROS'!$N$151</f>
        <v>0</v>
      </c>
      <c r="Y59" s="202"/>
      <c r="AE59" s="139">
        <f>AE58-'[2]CAMBARÁ - CITROS'!$N$203</f>
        <v>0</v>
      </c>
      <c r="AL59" s="139">
        <f>AL58-'[2]CAMBARÁ - CITROS'!$N$256</f>
        <v>0</v>
      </c>
      <c r="AS59" s="139">
        <f>AS58-'[3]CAMBARÁ - CITROS'!$N$336</f>
        <v>0</v>
      </c>
      <c r="AZ59" s="165">
        <f>AZ58-'[3]CAMBARÁ - CITROS'!$N$393</f>
        <v>0</v>
      </c>
      <c r="BG59" s="165">
        <f>BG58-'[3]CAMBARÁ - CITROS'!$N$450</f>
        <v>0</v>
      </c>
      <c r="BI59" s="139"/>
      <c r="BJ59" s="139"/>
      <c r="BK59" s="139"/>
      <c r="BL59" s="139"/>
      <c r="BM59" s="139"/>
      <c r="BN59" s="203">
        <f>BN58-'[3]CAMBARÁ - CITROS'!$N$507</f>
        <v>0</v>
      </c>
      <c r="BO59" s="204"/>
      <c r="BP59" s="165"/>
      <c r="BQ59" s="165"/>
      <c r="BR59" s="165"/>
      <c r="BS59" s="165"/>
      <c r="BT59" s="165"/>
      <c r="BU59" s="139">
        <f>BU58-'[3]CAMBARÁ - CITROS'!$N$564</f>
        <v>0</v>
      </c>
      <c r="BV59" s="165"/>
      <c r="BW59" s="165"/>
      <c r="BX59" s="165"/>
      <c r="BY59" s="165"/>
      <c r="BZ59" s="165"/>
      <c r="CA59" s="165"/>
      <c r="CB59" s="139">
        <f>CB58-'[3]CAMBARÁ - CITROS'!$N$621</f>
        <v>0</v>
      </c>
      <c r="CC59" s="165"/>
      <c r="CD59" s="165"/>
      <c r="CE59" s="165"/>
      <c r="CF59" s="165"/>
      <c r="CG59" s="165"/>
      <c r="CH59" s="165"/>
      <c r="CI59" s="165">
        <f>CI58-'[3]CAMBARÁ - CITROS'!$N$678</f>
        <v>0</v>
      </c>
      <c r="CP59" s="203">
        <f>CP58-'[3]CAMBARÁ - CITROS'!$N$735</f>
        <v>0</v>
      </c>
      <c r="DE59" s="197"/>
      <c r="DF59" s="197"/>
    </row>
    <row r="60" spans="1:110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  <c r="DE60" s="197"/>
      <c r="DF60" s="197"/>
    </row>
    <row r="61" spans="1:110" ht="14.25" customHeight="1" x14ac:dyDescent="0.2">
      <c r="L61" s="107" t="s">
        <v>86</v>
      </c>
      <c r="M61" s="108"/>
      <c r="N61" s="108"/>
      <c r="O61" s="108"/>
      <c r="P61" s="108"/>
      <c r="Q61" s="109"/>
      <c r="R61" s="110">
        <f>1305.06-756</f>
        <v>549.05999999999995</v>
      </c>
      <c r="S61" s="107" t="s">
        <v>86</v>
      </c>
      <c r="T61" s="108"/>
      <c r="U61" s="108"/>
      <c r="V61" s="108"/>
      <c r="W61" s="108"/>
      <c r="X61" s="109"/>
      <c r="Y61" s="110">
        <v>387.12</v>
      </c>
      <c r="Z61" s="107" t="s">
        <v>86</v>
      </c>
      <c r="AA61" s="108"/>
      <c r="AB61" s="108"/>
      <c r="AC61" s="108"/>
      <c r="AD61" s="108"/>
      <c r="AE61" s="109"/>
      <c r="AF61" s="110">
        <v>591.53</v>
      </c>
      <c r="AG61" s="107" t="s">
        <v>86</v>
      </c>
      <c r="AH61" s="108"/>
      <c r="AI61" s="108"/>
      <c r="AJ61" s="108"/>
      <c r="AK61" s="108"/>
      <c r="AL61" s="109"/>
      <c r="AM61" s="110">
        <f>468.06</f>
        <v>468.06</v>
      </c>
      <c r="AN61" s="107"/>
      <c r="AO61" s="108"/>
      <c r="AP61" s="108"/>
      <c r="AQ61" s="108"/>
      <c r="AR61" s="108"/>
      <c r="AS61" s="109"/>
      <c r="AT61" s="110"/>
      <c r="AU61" s="107"/>
      <c r="AV61" s="108"/>
      <c r="AW61" s="108"/>
      <c r="AX61" s="108"/>
      <c r="AY61" s="108"/>
      <c r="AZ61" s="109"/>
      <c r="BA61" s="110"/>
      <c r="BB61" s="107"/>
      <c r="BC61" s="108"/>
      <c r="BD61" s="108"/>
      <c r="BE61" s="108"/>
      <c r="BF61" s="108"/>
      <c r="BG61" s="109"/>
      <c r="BH61" s="110"/>
      <c r="BI61" s="107"/>
      <c r="BJ61" s="108"/>
      <c r="BK61" s="108"/>
      <c r="BL61" s="108"/>
      <c r="BM61" s="108"/>
      <c r="BN61" s="109"/>
      <c r="BO61" s="110"/>
      <c r="BP61" s="107"/>
      <c r="BQ61" s="108"/>
      <c r="BR61" s="108"/>
      <c r="BS61" s="108"/>
      <c r="BT61" s="108"/>
      <c r="BU61" s="109"/>
      <c r="BV61" s="110"/>
      <c r="BW61" s="107"/>
      <c r="BX61" s="108"/>
      <c r="BY61" s="108"/>
      <c r="BZ61" s="108"/>
      <c r="CA61" s="108"/>
      <c r="CB61" s="109"/>
      <c r="CC61" s="110"/>
      <c r="CD61" s="107"/>
      <c r="CE61" s="108"/>
      <c r="CF61" s="108"/>
      <c r="CG61" s="108"/>
      <c r="CH61" s="108"/>
      <c r="CI61" s="109"/>
      <c r="CJ61" s="110"/>
      <c r="CK61" s="107"/>
      <c r="CL61" s="108"/>
      <c r="CM61" s="108"/>
      <c r="CN61" s="108"/>
      <c r="CO61" s="108"/>
      <c r="CP61" s="109"/>
      <c r="CQ61" s="110"/>
      <c r="CY61" s="156"/>
      <c r="DC61" s="111"/>
      <c r="DE61" s="197"/>
      <c r="DF61" s="197"/>
    </row>
    <row r="62" spans="1:110" ht="14.25" customHeight="1" x14ac:dyDescent="0.2">
      <c r="L62" s="107" t="s">
        <v>87</v>
      </c>
      <c r="M62" s="108"/>
      <c r="N62" s="108"/>
      <c r="O62" s="108"/>
      <c r="P62" s="108"/>
      <c r="Q62" s="109"/>
      <c r="R62" s="110">
        <f>793.74</f>
        <v>793.74</v>
      </c>
      <c r="S62" s="107" t="s">
        <v>87</v>
      </c>
      <c r="T62" s="108"/>
      <c r="U62" s="108"/>
      <c r="V62" s="108"/>
      <c r="W62" s="108"/>
      <c r="X62" s="109"/>
      <c r="Y62" s="110">
        <f>2651.05</f>
        <v>2651.05</v>
      </c>
      <c r="Z62" s="107" t="s">
        <v>87</v>
      </c>
      <c r="AA62" s="108"/>
      <c r="AB62" s="108"/>
      <c r="AC62" s="108"/>
      <c r="AD62" s="108"/>
      <c r="AE62" s="109"/>
      <c r="AF62" s="110">
        <f>751.59</f>
        <v>751.59</v>
      </c>
      <c r="AG62" s="107" t="s">
        <v>87</v>
      </c>
      <c r="AH62" s="108"/>
      <c r="AI62" s="108"/>
      <c r="AJ62" s="108"/>
      <c r="AK62" s="108"/>
      <c r="AL62" s="109"/>
      <c r="AM62" s="110">
        <f>487.78+120</f>
        <v>607.78</v>
      </c>
      <c r="AN62" s="107"/>
      <c r="AO62" s="108"/>
      <c r="AP62" s="108"/>
      <c r="AQ62" s="108"/>
      <c r="AR62" s="108"/>
      <c r="AS62" s="109"/>
      <c r="AT62" s="110"/>
      <c r="AU62" s="107"/>
      <c r="AV62" s="108"/>
      <c r="AW62" s="108"/>
      <c r="AX62" s="108"/>
      <c r="AY62" s="108"/>
      <c r="AZ62" s="109"/>
      <c r="BA62" s="110"/>
      <c r="BB62" s="107"/>
      <c r="BC62" s="108"/>
      <c r="BD62" s="108"/>
      <c r="BE62" s="108"/>
      <c r="BF62" s="108"/>
      <c r="BG62" s="109"/>
      <c r="BH62" s="110"/>
      <c r="BI62" s="107"/>
      <c r="BJ62" s="108"/>
      <c r="BK62" s="108"/>
      <c r="BL62" s="108"/>
      <c r="BM62" s="108"/>
      <c r="BN62" s="109"/>
      <c r="BO62" s="110"/>
      <c r="BP62" s="107"/>
      <c r="BQ62" s="108"/>
      <c r="BR62" s="108"/>
      <c r="BS62" s="108"/>
      <c r="BT62" s="108"/>
      <c r="BU62" s="109"/>
      <c r="BV62" s="110"/>
      <c r="BW62" s="107"/>
      <c r="BX62" s="108"/>
      <c r="BY62" s="108"/>
      <c r="BZ62" s="108"/>
      <c r="CA62" s="108"/>
      <c r="CB62" s="109"/>
      <c r="CC62" s="110"/>
      <c r="CD62" s="107"/>
      <c r="CE62" s="108"/>
      <c r="CF62" s="108"/>
      <c r="CG62" s="108"/>
      <c r="CH62" s="108"/>
      <c r="CI62" s="109"/>
      <c r="CJ62" s="110"/>
      <c r="CK62" s="107"/>
      <c r="CL62" s="108"/>
      <c r="CM62" s="108"/>
      <c r="CN62" s="108"/>
      <c r="CO62" s="108"/>
      <c r="CP62" s="109"/>
      <c r="CQ62" s="110"/>
      <c r="CY62" s="139"/>
      <c r="DC62" s="111"/>
      <c r="DE62" s="197"/>
      <c r="DF62" s="197"/>
    </row>
    <row r="63" spans="1:110" ht="14.25" customHeight="1" x14ac:dyDescent="0.2">
      <c r="L63" s="107"/>
      <c r="M63" s="108"/>
      <c r="N63" s="108"/>
      <c r="O63" s="108"/>
      <c r="P63" s="108"/>
      <c r="Q63" s="109"/>
      <c r="R63" s="110"/>
      <c r="S63" s="107"/>
      <c r="T63" s="108"/>
      <c r="U63" s="108"/>
      <c r="V63" s="108"/>
      <c r="W63" s="108"/>
      <c r="X63" s="109"/>
      <c r="Y63" s="110"/>
      <c r="Z63" s="107"/>
      <c r="AA63" s="108"/>
      <c r="AB63" s="108"/>
      <c r="AC63" s="108"/>
      <c r="AD63" s="108"/>
      <c r="AE63" s="109"/>
      <c r="AF63" s="110"/>
      <c r="AG63" s="107"/>
      <c r="AH63" s="108"/>
      <c r="AI63" s="108"/>
      <c r="AJ63" s="108"/>
      <c r="AK63" s="108"/>
      <c r="AL63" s="109"/>
      <c r="AM63" s="110"/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10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10"/>
      <c r="CD63" s="107"/>
      <c r="CE63" s="108"/>
      <c r="CF63" s="108"/>
      <c r="CG63" s="108"/>
      <c r="CH63" s="108"/>
      <c r="CI63" s="109"/>
      <c r="CJ63" s="110"/>
      <c r="CK63" s="107"/>
      <c r="CL63" s="108"/>
      <c r="CM63" s="108"/>
      <c r="CN63" s="108"/>
      <c r="CO63" s="108"/>
      <c r="CP63" s="109"/>
      <c r="CQ63" s="110"/>
      <c r="CY63" s="139"/>
      <c r="DE63" s="197"/>
      <c r="DF63" s="197"/>
    </row>
    <row r="64" spans="1:110" ht="14.25" customHeight="1" x14ac:dyDescent="0.2">
      <c r="L64" s="107" t="s">
        <v>84</v>
      </c>
      <c r="M64" s="108"/>
      <c r="N64" s="108"/>
      <c r="O64" s="108"/>
      <c r="P64" s="108"/>
      <c r="Q64" s="109"/>
      <c r="R64" s="167">
        <f>13.9+864.43+50.09+4.34+80.82+3.28+780.35+229.68+122.5+410.15+48.67+8.2+7+44.64+508.92+61.83+1.16+864.43+7.19+780.63+4.13</f>
        <v>4896.34</v>
      </c>
      <c r="S64" s="107" t="s">
        <v>84</v>
      </c>
      <c r="T64" s="108"/>
      <c r="U64" s="108"/>
      <c r="V64" s="108"/>
      <c r="W64" s="108"/>
      <c r="X64" s="109"/>
      <c r="Y64" s="167">
        <f>19.69+15.11+24.06+80.83+18.32+16.41+840.1+52.72+412.95+79.48+5.48+29.53+864.43+98.44+4.34+28.74+3.28+8.75+410.15+8.2</f>
        <v>3021.01</v>
      </c>
      <c r="Z64" s="107" t="s">
        <v>84</v>
      </c>
      <c r="AA64" s="108"/>
      <c r="AB64" s="108"/>
      <c r="AC64" s="108"/>
      <c r="AD64" s="108"/>
      <c r="AE64" s="109"/>
      <c r="AF64" s="167">
        <f>20.23+4.34+21.83+3.28+131.25+410.15+8.2+42.78+864.43+12.03+44.76+354.35+61.89</f>
        <v>1979.5199999999998</v>
      </c>
      <c r="AG64" s="107" t="s">
        <v>84</v>
      </c>
      <c r="AH64" s="108"/>
      <c r="AI64" s="108"/>
      <c r="AJ64" s="108"/>
      <c r="AK64" s="108"/>
      <c r="AL64" s="109"/>
      <c r="AM64" s="167">
        <f>40.55+54.87+13.24+4.34+229.68+31.67+3.28+797.61+410.15+8.2+5.69+183.75+36.09+464.64+864.43+20.23</f>
        <v>3168.4199999999996</v>
      </c>
      <c r="AN64" s="107"/>
      <c r="AO64" s="108"/>
      <c r="AP64" s="108"/>
      <c r="AQ64" s="108"/>
      <c r="AR64" s="108"/>
      <c r="AS64" s="109"/>
      <c r="AT64" s="167"/>
      <c r="AU64" s="107"/>
      <c r="AV64" s="108"/>
      <c r="AW64" s="108"/>
      <c r="AX64" s="108"/>
      <c r="AY64" s="108"/>
      <c r="AZ64" s="109"/>
      <c r="BA64" s="167"/>
      <c r="BB64" s="107"/>
      <c r="BC64" s="108"/>
      <c r="BD64" s="108"/>
      <c r="BE64" s="108"/>
      <c r="BF64" s="108"/>
      <c r="BG64" s="109"/>
      <c r="BH64" s="167"/>
      <c r="BI64" s="107"/>
      <c r="BJ64" s="108"/>
      <c r="BK64" s="108"/>
      <c r="BL64" s="108"/>
      <c r="BM64" s="108"/>
      <c r="BN64" s="109"/>
      <c r="BO64" s="167"/>
      <c r="BP64" s="107"/>
      <c r="BQ64" s="108"/>
      <c r="BR64" s="108"/>
      <c r="BS64" s="108"/>
      <c r="BT64" s="108"/>
      <c r="BU64" s="109"/>
      <c r="BV64" s="167"/>
      <c r="BW64" s="107"/>
      <c r="BX64" s="108"/>
      <c r="BY64" s="108"/>
      <c r="BZ64" s="108"/>
      <c r="CA64" s="108"/>
      <c r="CB64" s="109"/>
      <c r="CC64" s="167"/>
      <c r="CD64" s="107"/>
      <c r="CE64" s="108"/>
      <c r="CF64" s="108"/>
      <c r="CG64" s="108"/>
      <c r="CH64" s="108"/>
      <c r="CI64" s="109"/>
      <c r="CJ64" s="167"/>
      <c r="CK64" s="107"/>
      <c r="CL64" s="108"/>
      <c r="CM64" s="108"/>
      <c r="CN64" s="108"/>
      <c r="CO64" s="108"/>
      <c r="CP64" s="109"/>
      <c r="CQ64" s="167"/>
      <c r="CY64" s="139"/>
      <c r="DE64" s="197"/>
      <c r="DF64" s="197"/>
    </row>
    <row r="65" spans="1:110" ht="14.25" customHeight="1" x14ac:dyDescent="0.2">
      <c r="L65" s="107" t="s">
        <v>192</v>
      </c>
      <c r="M65" s="108"/>
      <c r="N65" s="108"/>
      <c r="O65" s="108"/>
      <c r="P65" s="108"/>
      <c r="Q65" s="109"/>
      <c r="R65" s="110">
        <v>756</v>
      </c>
      <c r="S65" s="107" t="s">
        <v>192</v>
      </c>
      <c r="T65" s="108"/>
      <c r="U65" s="108"/>
      <c r="V65" s="108"/>
      <c r="W65" s="108"/>
      <c r="X65" s="109"/>
      <c r="Y65" s="110"/>
      <c r="Z65" s="107" t="s">
        <v>192</v>
      </c>
      <c r="AA65" s="108"/>
      <c r="AB65" s="108"/>
      <c r="AC65" s="108"/>
      <c r="AD65" s="108"/>
      <c r="AE65" s="109"/>
      <c r="AF65" s="110"/>
      <c r="AG65" s="107" t="s">
        <v>192</v>
      </c>
      <c r="AH65" s="108"/>
      <c r="AI65" s="108"/>
      <c r="AJ65" s="108"/>
      <c r="AK65" s="108"/>
      <c r="AL65" s="109"/>
      <c r="AM65" s="110"/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10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10"/>
      <c r="CD65" s="107"/>
      <c r="CE65" s="108"/>
      <c r="CF65" s="108"/>
      <c r="CG65" s="108"/>
      <c r="CH65" s="108"/>
      <c r="CI65" s="109"/>
      <c r="CJ65" s="110"/>
      <c r="CK65" s="107"/>
      <c r="CL65" s="108"/>
      <c r="CM65" s="108"/>
      <c r="CN65" s="108"/>
      <c r="CO65" s="108"/>
      <c r="CP65" s="109"/>
      <c r="CQ65" s="110"/>
      <c r="CY65" s="139"/>
      <c r="DE65" s="197"/>
      <c r="DF65" s="197"/>
    </row>
    <row r="66" spans="1:110" ht="14.25" customHeight="1" x14ac:dyDescent="0.2">
      <c r="A66" s="205"/>
      <c r="L66" s="107" t="s">
        <v>90</v>
      </c>
      <c r="M66" s="108"/>
      <c r="N66" s="108"/>
      <c r="O66" s="108"/>
      <c r="P66" s="108"/>
      <c r="Q66" s="109"/>
      <c r="R66" s="110">
        <f>3300+3000</f>
        <v>6300</v>
      </c>
      <c r="S66" s="107" t="s">
        <v>90</v>
      </c>
      <c r="T66" s="108"/>
      <c r="U66" s="108"/>
      <c r="V66" s="108"/>
      <c r="W66" s="108"/>
      <c r="X66" s="109"/>
      <c r="Y66" s="110"/>
      <c r="Z66" s="107" t="s">
        <v>90</v>
      </c>
      <c r="AA66" s="108"/>
      <c r="AB66" s="108"/>
      <c r="AC66" s="108"/>
      <c r="AD66" s="108"/>
      <c r="AE66" s="109"/>
      <c r="AF66" s="110"/>
      <c r="AG66" s="107" t="s">
        <v>90</v>
      </c>
      <c r="AH66" s="108"/>
      <c r="AI66" s="108"/>
      <c r="AJ66" s="108"/>
      <c r="AK66" s="108"/>
      <c r="AL66" s="109"/>
      <c r="AM66" s="110">
        <f>1250.2</f>
        <v>1250.2</v>
      </c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10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10"/>
      <c r="CD66" s="107"/>
      <c r="CE66" s="108"/>
      <c r="CF66" s="108"/>
      <c r="CG66" s="108"/>
      <c r="CH66" s="108"/>
      <c r="CI66" s="109"/>
      <c r="CJ66" s="110"/>
      <c r="CK66" s="107"/>
      <c r="CL66" s="108"/>
      <c r="CM66" s="108"/>
      <c r="CN66" s="108"/>
      <c r="CO66" s="108"/>
      <c r="CP66" s="109"/>
      <c r="CQ66" s="110"/>
      <c r="CY66" s="139"/>
      <c r="DE66" s="197"/>
      <c r="DF66" s="197"/>
    </row>
    <row r="67" spans="1:110" ht="14.25" customHeight="1" x14ac:dyDescent="0.2">
      <c r="A67" s="206"/>
      <c r="L67" s="107" t="s">
        <v>193</v>
      </c>
      <c r="M67" s="108"/>
      <c r="N67" s="108"/>
      <c r="O67" s="108"/>
      <c r="P67" s="108"/>
      <c r="Q67" s="109"/>
      <c r="R67" s="110">
        <f>1444.65+234.67+414.57</f>
        <v>2093.8900000000003</v>
      </c>
      <c r="S67" s="107" t="s">
        <v>193</v>
      </c>
      <c r="T67" s="108"/>
      <c r="U67" s="108"/>
      <c r="V67" s="108"/>
      <c r="W67" s="108"/>
      <c r="X67" s="109"/>
      <c r="Y67" s="110">
        <f>866.17+290.04+290.04+379.9</f>
        <v>1826.15</v>
      </c>
      <c r="Z67" s="107" t="s">
        <v>193</v>
      </c>
      <c r="AA67" s="108"/>
      <c r="AB67" s="108"/>
      <c r="AC67" s="108"/>
      <c r="AD67" s="108"/>
      <c r="AE67" s="109"/>
      <c r="AF67" s="110"/>
      <c r="AG67" s="107" t="s">
        <v>193</v>
      </c>
      <c r="AH67" s="108"/>
      <c r="AI67" s="108"/>
      <c r="AJ67" s="108"/>
      <c r="AK67" s="108"/>
      <c r="AL67" s="109"/>
      <c r="AM67" s="110">
        <f>273.02+360</f>
        <v>633.02</v>
      </c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10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10"/>
      <c r="CD67" s="107"/>
      <c r="CE67" s="108"/>
      <c r="CF67" s="108"/>
      <c r="CG67" s="108"/>
      <c r="CH67" s="108"/>
      <c r="CI67" s="109"/>
      <c r="CJ67" s="110"/>
      <c r="CK67" s="107"/>
      <c r="CL67" s="108"/>
      <c r="CM67" s="108"/>
      <c r="CN67" s="108"/>
      <c r="CO67" s="108"/>
      <c r="CP67" s="109"/>
      <c r="CQ67" s="110"/>
      <c r="CY67" s="139"/>
      <c r="DE67" s="197"/>
      <c r="DF67" s="197"/>
    </row>
    <row r="68" spans="1:110" ht="14.25" customHeight="1" x14ac:dyDescent="0.2">
      <c r="L68" s="107" t="s">
        <v>132</v>
      </c>
      <c r="M68" s="108"/>
      <c r="N68" s="108"/>
      <c r="O68" s="108"/>
      <c r="P68" s="108"/>
      <c r="Q68" s="109"/>
      <c r="R68" s="110">
        <v>2690</v>
      </c>
      <c r="S68" s="107" t="s">
        <v>132</v>
      </c>
      <c r="T68" s="108"/>
      <c r="U68" s="108"/>
      <c r="V68" s="108"/>
      <c r="W68" s="108"/>
      <c r="X68" s="109"/>
      <c r="Y68" s="110"/>
      <c r="Z68" s="107" t="s">
        <v>132</v>
      </c>
      <c r="AA68" s="108"/>
      <c r="AB68" s="108"/>
      <c r="AC68" s="108"/>
      <c r="AD68" s="108"/>
      <c r="AE68" s="109"/>
      <c r="AF68" s="110"/>
      <c r="AG68" s="107" t="s">
        <v>132</v>
      </c>
      <c r="AH68" s="108"/>
      <c r="AI68" s="108"/>
      <c r="AJ68" s="108"/>
      <c r="AK68" s="108"/>
      <c r="AL68" s="109"/>
      <c r="AM68" s="110"/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10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10"/>
      <c r="CD68" s="107"/>
      <c r="CE68" s="108"/>
      <c r="CF68" s="108"/>
      <c r="CG68" s="108"/>
      <c r="CH68" s="108"/>
      <c r="CI68" s="109"/>
      <c r="CJ68" s="110"/>
      <c r="CK68" s="107"/>
      <c r="CL68" s="108"/>
      <c r="CM68" s="108"/>
      <c r="CN68" s="108"/>
      <c r="CO68" s="108"/>
      <c r="CP68" s="109"/>
      <c r="CQ68" s="110"/>
      <c r="CY68" s="139"/>
      <c r="DE68" s="197"/>
      <c r="DF68" s="197"/>
    </row>
    <row r="69" spans="1:110" ht="14.25" customHeight="1" x14ac:dyDescent="0.2">
      <c r="L69" s="107" t="s">
        <v>94</v>
      </c>
      <c r="M69" s="108"/>
      <c r="N69" s="108"/>
      <c r="O69" s="108"/>
      <c r="P69" s="108"/>
      <c r="Q69" s="109"/>
      <c r="R69" s="110">
        <f>137.42</f>
        <v>137.41999999999999</v>
      </c>
      <c r="S69" s="107" t="s">
        <v>94</v>
      </c>
      <c r="T69" s="108"/>
      <c r="U69" s="108"/>
      <c r="V69" s="108"/>
      <c r="W69" s="108"/>
      <c r="X69" s="109"/>
      <c r="Y69" s="110"/>
      <c r="Z69" s="107" t="s">
        <v>94</v>
      </c>
      <c r="AA69" s="108"/>
      <c r="AB69" s="108"/>
      <c r="AC69" s="108"/>
      <c r="AD69" s="108"/>
      <c r="AE69" s="109"/>
      <c r="AF69" s="110"/>
      <c r="AG69" s="107" t="s">
        <v>94</v>
      </c>
      <c r="AH69" s="108"/>
      <c r="AI69" s="108"/>
      <c r="AJ69" s="108"/>
      <c r="AK69" s="108"/>
      <c r="AL69" s="109"/>
      <c r="AM69" s="110"/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10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10"/>
      <c r="CD69" s="107"/>
      <c r="CE69" s="108"/>
      <c r="CF69" s="108"/>
      <c r="CG69" s="108"/>
      <c r="CH69" s="108"/>
      <c r="CI69" s="109"/>
      <c r="CJ69" s="110"/>
      <c r="CK69" s="107"/>
      <c r="CL69" s="108"/>
      <c r="CM69" s="108"/>
      <c r="CN69" s="108"/>
      <c r="CO69" s="108"/>
      <c r="CP69" s="109"/>
      <c r="CQ69" s="110"/>
      <c r="CY69" s="139"/>
      <c r="DE69" s="197"/>
      <c r="DF69" s="197"/>
    </row>
    <row r="70" spans="1:110" ht="14.25" customHeight="1" x14ac:dyDescent="0.2">
      <c r="L70" s="107" t="s">
        <v>194</v>
      </c>
      <c r="M70" s="108"/>
      <c r="N70" s="108"/>
      <c r="O70" s="108"/>
      <c r="P70" s="108"/>
      <c r="Q70" s="109"/>
      <c r="R70" s="110">
        <f>100</f>
        <v>100</v>
      </c>
      <c r="S70" s="107" t="s">
        <v>194</v>
      </c>
      <c r="T70" s="108"/>
      <c r="U70" s="108"/>
      <c r="V70" s="108"/>
      <c r="W70" s="108"/>
      <c r="X70" s="109"/>
      <c r="Y70" s="110"/>
      <c r="Z70" s="107" t="s">
        <v>194</v>
      </c>
      <c r="AA70" s="108"/>
      <c r="AB70" s="108"/>
      <c r="AC70" s="108"/>
      <c r="AD70" s="108"/>
      <c r="AE70" s="109"/>
      <c r="AF70" s="110"/>
      <c r="AG70" s="107" t="s">
        <v>194</v>
      </c>
      <c r="AH70" s="108"/>
      <c r="AI70" s="108"/>
      <c r="AJ70" s="108"/>
      <c r="AK70" s="108"/>
      <c r="AL70" s="109"/>
      <c r="AM70" s="110">
        <f>500</f>
        <v>500</v>
      </c>
      <c r="AN70" s="107"/>
      <c r="AO70" s="108"/>
      <c r="AP70" s="108"/>
      <c r="AQ70" s="108"/>
      <c r="AR70" s="108"/>
      <c r="AS70" s="109"/>
      <c r="AT70" s="110"/>
      <c r="AU70" s="107"/>
      <c r="AV70" s="108"/>
      <c r="AW70" s="108"/>
      <c r="AX70" s="108"/>
      <c r="AY70" s="108"/>
      <c r="AZ70" s="109"/>
      <c r="BA70" s="110"/>
      <c r="BB70" s="107"/>
      <c r="BC70" s="108"/>
      <c r="BD70" s="108"/>
      <c r="BE70" s="108"/>
      <c r="BF70" s="108"/>
      <c r="BG70" s="109"/>
      <c r="BH70" s="110"/>
      <c r="BI70" s="107"/>
      <c r="BJ70" s="108"/>
      <c r="BK70" s="108"/>
      <c r="BL70" s="108"/>
      <c r="BM70" s="108"/>
      <c r="BN70" s="109"/>
      <c r="BO70" s="110"/>
      <c r="BP70" s="107"/>
      <c r="BQ70" s="108"/>
      <c r="BR70" s="108"/>
      <c r="BS70" s="108"/>
      <c r="BT70" s="108"/>
      <c r="BU70" s="109"/>
      <c r="BV70" s="110"/>
      <c r="BW70" s="107"/>
      <c r="BX70" s="108"/>
      <c r="BY70" s="108"/>
      <c r="BZ70" s="108"/>
      <c r="CA70" s="108"/>
      <c r="CB70" s="109"/>
      <c r="CC70" s="110"/>
      <c r="CD70" s="107"/>
      <c r="CE70" s="108"/>
      <c r="CF70" s="108"/>
      <c r="CG70" s="108"/>
      <c r="CH70" s="108"/>
      <c r="CI70" s="109"/>
      <c r="CJ70" s="110"/>
      <c r="CK70" s="107"/>
      <c r="CL70" s="108"/>
      <c r="CM70" s="108"/>
      <c r="CN70" s="108"/>
      <c r="CO70" s="108"/>
      <c r="CP70" s="109"/>
      <c r="CQ70" s="110"/>
      <c r="CY70" s="139"/>
      <c r="DE70" s="197"/>
      <c r="DF70" s="197"/>
    </row>
    <row r="71" spans="1:110" ht="14.25" customHeight="1" x14ac:dyDescent="0.2">
      <c r="L71" s="107" t="s">
        <v>195</v>
      </c>
      <c r="M71" s="108"/>
      <c r="N71" s="108"/>
      <c r="O71" s="108"/>
      <c r="P71" s="108"/>
      <c r="Q71" s="109"/>
      <c r="R71" s="110">
        <f>751.51</f>
        <v>751.51</v>
      </c>
      <c r="S71" s="107" t="s">
        <v>195</v>
      </c>
      <c r="T71" s="108"/>
      <c r="U71" s="108"/>
      <c r="V71" s="108"/>
      <c r="W71" s="108"/>
      <c r="X71" s="109"/>
      <c r="Y71" s="110"/>
      <c r="Z71" s="107" t="s">
        <v>195</v>
      </c>
      <c r="AA71" s="108"/>
      <c r="AB71" s="108"/>
      <c r="AC71" s="108"/>
      <c r="AD71" s="108"/>
      <c r="AE71" s="109"/>
      <c r="AF71" s="110"/>
      <c r="AG71" s="107" t="s">
        <v>195</v>
      </c>
      <c r="AH71" s="108"/>
      <c r="AI71" s="108"/>
      <c r="AJ71" s="108"/>
      <c r="AK71" s="108"/>
      <c r="AL71" s="109"/>
      <c r="AM71" s="110"/>
      <c r="AN71" s="107"/>
      <c r="AO71" s="108"/>
      <c r="AP71" s="108"/>
      <c r="AQ71" s="108"/>
      <c r="AR71" s="108"/>
      <c r="AS71" s="109"/>
      <c r="AT71" s="110"/>
      <c r="AU71" s="107"/>
      <c r="AV71" s="108"/>
      <c r="AW71" s="108"/>
      <c r="AX71" s="108"/>
      <c r="AY71" s="108"/>
      <c r="AZ71" s="109"/>
      <c r="BA71" s="110"/>
      <c r="BB71" s="107"/>
      <c r="BC71" s="108"/>
      <c r="BD71" s="108"/>
      <c r="BE71" s="108"/>
      <c r="BF71" s="108"/>
      <c r="BG71" s="109"/>
      <c r="BH71" s="110"/>
      <c r="BI71" s="107"/>
      <c r="BJ71" s="108"/>
      <c r="BK71" s="108"/>
      <c r="BL71" s="108"/>
      <c r="BM71" s="108"/>
      <c r="BN71" s="109"/>
      <c r="BO71" s="110"/>
      <c r="BP71" s="107"/>
      <c r="BQ71" s="108"/>
      <c r="BR71" s="108"/>
      <c r="BS71" s="108"/>
      <c r="BT71" s="108"/>
      <c r="BU71" s="109"/>
      <c r="BV71" s="110"/>
      <c r="BW71" s="107"/>
      <c r="BX71" s="108"/>
      <c r="BY71" s="108"/>
      <c r="BZ71" s="108"/>
      <c r="CA71" s="108"/>
      <c r="CB71" s="109"/>
      <c r="CC71" s="110"/>
      <c r="CD71" s="107"/>
      <c r="CE71" s="108"/>
      <c r="CF71" s="108"/>
      <c r="CG71" s="108"/>
      <c r="CH71" s="108"/>
      <c r="CI71" s="109"/>
      <c r="CJ71" s="110"/>
      <c r="CK71" s="107"/>
      <c r="CL71" s="108"/>
      <c r="CM71" s="108"/>
      <c r="CN71" s="108"/>
      <c r="CO71" s="108"/>
      <c r="CP71" s="109"/>
      <c r="CQ71" s="110"/>
      <c r="CY71" s="139"/>
      <c r="DE71" s="197"/>
      <c r="DF71" s="197"/>
    </row>
    <row r="72" spans="1:110" ht="14.25" customHeight="1" x14ac:dyDescent="0.2">
      <c r="L72" s="107" t="s">
        <v>196</v>
      </c>
      <c r="M72" s="108"/>
      <c r="N72" s="108"/>
      <c r="O72" s="108"/>
      <c r="P72" s="108"/>
      <c r="Q72" s="109"/>
      <c r="R72" s="110">
        <f>379.9</f>
        <v>379.9</v>
      </c>
      <c r="S72" s="107" t="s">
        <v>196</v>
      </c>
      <c r="T72" s="108"/>
      <c r="U72" s="108"/>
      <c r="V72" s="108"/>
      <c r="W72" s="108"/>
      <c r="X72" s="109"/>
      <c r="Y72" s="110"/>
      <c r="Z72" s="107" t="s">
        <v>196</v>
      </c>
      <c r="AA72" s="108"/>
      <c r="AB72" s="108"/>
      <c r="AC72" s="108"/>
      <c r="AD72" s="108"/>
      <c r="AE72" s="109"/>
      <c r="AF72" s="110"/>
      <c r="AG72" s="107" t="s">
        <v>197</v>
      </c>
      <c r="AH72" s="108"/>
      <c r="AI72" s="108"/>
      <c r="AJ72" s="108"/>
      <c r="AK72" s="108"/>
      <c r="AL72" s="109"/>
      <c r="AM72" s="110">
        <f>300</f>
        <v>300</v>
      </c>
      <c r="AN72" s="107"/>
      <c r="AO72" s="108"/>
      <c r="AP72" s="108"/>
      <c r="AQ72" s="108"/>
      <c r="AR72" s="108"/>
      <c r="AS72" s="109"/>
      <c r="AT72" s="110"/>
      <c r="AU72" s="107"/>
      <c r="AV72" s="108"/>
      <c r="AW72" s="108"/>
      <c r="AX72" s="108"/>
      <c r="AY72" s="108"/>
      <c r="AZ72" s="109"/>
      <c r="BA72" s="110"/>
      <c r="BB72" s="107"/>
      <c r="BC72" s="108"/>
      <c r="BD72" s="108"/>
      <c r="BE72" s="108"/>
      <c r="BF72" s="108"/>
      <c r="BG72" s="109"/>
      <c r="BH72" s="110"/>
      <c r="BI72" s="107"/>
      <c r="BJ72" s="108"/>
      <c r="BK72" s="108"/>
      <c r="BL72" s="108"/>
      <c r="BM72" s="108"/>
      <c r="BN72" s="109"/>
      <c r="BO72" s="110"/>
      <c r="BP72" s="107"/>
      <c r="BQ72" s="108"/>
      <c r="BR72" s="108"/>
      <c r="BS72" s="108"/>
      <c r="BT72" s="108"/>
      <c r="BU72" s="109"/>
      <c r="BV72" s="110"/>
      <c r="BW72" s="107"/>
      <c r="BX72" s="108"/>
      <c r="BY72" s="108"/>
      <c r="BZ72" s="108"/>
      <c r="CA72" s="108"/>
      <c r="CB72" s="109"/>
      <c r="CC72" s="110"/>
      <c r="CD72" s="107"/>
      <c r="CE72" s="108"/>
      <c r="CF72" s="108"/>
      <c r="CG72" s="108"/>
      <c r="CH72" s="108"/>
      <c r="CI72" s="109"/>
      <c r="CJ72" s="110"/>
      <c r="CK72" s="107"/>
      <c r="CL72" s="108"/>
      <c r="CM72" s="108"/>
      <c r="CN72" s="108"/>
      <c r="CO72" s="108"/>
      <c r="CP72" s="109"/>
      <c r="CQ72" s="110"/>
      <c r="CY72" s="139"/>
      <c r="DE72" s="197"/>
      <c r="DF72" s="197"/>
    </row>
    <row r="73" spans="1:110" ht="14.25" customHeight="1" x14ac:dyDescent="0.2">
      <c r="L73" s="107" t="s">
        <v>198</v>
      </c>
      <c r="M73" s="108"/>
      <c r="N73" s="108"/>
      <c r="O73" s="108"/>
      <c r="P73" s="108"/>
      <c r="Q73" s="109"/>
      <c r="R73" s="110">
        <v>97.89</v>
      </c>
      <c r="S73" s="107" t="s">
        <v>198</v>
      </c>
      <c r="T73" s="108"/>
      <c r="U73" s="108"/>
      <c r="V73" s="108"/>
      <c r="W73" s="108"/>
      <c r="X73" s="109"/>
      <c r="Y73" s="110"/>
      <c r="Z73" s="107" t="s">
        <v>198</v>
      </c>
      <c r="AA73" s="108"/>
      <c r="AB73" s="108"/>
      <c r="AC73" s="108"/>
      <c r="AD73" s="108"/>
      <c r="AE73" s="109"/>
      <c r="AF73" s="110"/>
      <c r="AG73" s="107" t="s">
        <v>198</v>
      </c>
      <c r="AH73" s="108"/>
      <c r="AI73" s="108"/>
      <c r="AJ73" s="108"/>
      <c r="AK73" s="108"/>
      <c r="AL73" s="109"/>
      <c r="AM73" s="110"/>
      <c r="AN73" s="107"/>
      <c r="AO73" s="108"/>
      <c r="AP73" s="108"/>
      <c r="AQ73" s="108"/>
      <c r="AR73" s="108"/>
      <c r="AS73" s="109"/>
      <c r="AT73" s="110"/>
      <c r="AU73" s="107"/>
      <c r="AV73" s="108"/>
      <c r="AW73" s="108"/>
      <c r="AX73" s="108"/>
      <c r="AY73" s="108"/>
      <c r="AZ73" s="109"/>
      <c r="BA73" s="110"/>
      <c r="BB73" s="107"/>
      <c r="BC73" s="108"/>
      <c r="BD73" s="108"/>
      <c r="BE73" s="108"/>
      <c r="BF73" s="108"/>
      <c r="BG73" s="109"/>
      <c r="BH73" s="110"/>
      <c r="BI73" s="107"/>
      <c r="BJ73" s="108"/>
      <c r="BK73" s="108"/>
      <c r="BL73" s="108"/>
      <c r="BM73" s="108"/>
      <c r="BN73" s="109"/>
      <c r="BO73" s="110"/>
      <c r="BP73" s="107"/>
      <c r="BQ73" s="108"/>
      <c r="BR73" s="108"/>
      <c r="BS73" s="108"/>
      <c r="BT73" s="108"/>
      <c r="BU73" s="109"/>
      <c r="BV73" s="110"/>
      <c r="BW73" s="107"/>
      <c r="BX73" s="108"/>
      <c r="BY73" s="108"/>
      <c r="BZ73" s="108"/>
      <c r="CA73" s="108"/>
      <c r="CB73" s="109"/>
      <c r="CC73" s="110"/>
      <c r="CD73" s="107"/>
      <c r="CE73" s="108"/>
      <c r="CF73" s="108"/>
      <c r="CG73" s="108"/>
      <c r="CH73" s="108"/>
      <c r="CI73" s="109"/>
      <c r="CJ73" s="110"/>
      <c r="CK73" s="107"/>
      <c r="CL73" s="108"/>
      <c r="CM73" s="108"/>
      <c r="CN73" s="108"/>
      <c r="CO73" s="108"/>
      <c r="CP73" s="109"/>
      <c r="CQ73" s="110"/>
      <c r="CY73" s="139"/>
      <c r="DE73" s="197"/>
      <c r="DF73" s="197"/>
    </row>
    <row r="74" spans="1:110" ht="14.25" customHeight="1" x14ac:dyDescent="0.2">
      <c r="L74" s="107" t="s">
        <v>137</v>
      </c>
      <c r="M74" s="108"/>
      <c r="N74" s="108"/>
      <c r="O74" s="108"/>
      <c r="P74" s="108"/>
      <c r="Q74" s="109"/>
      <c r="R74" s="110">
        <f>2929.82</f>
        <v>2929.82</v>
      </c>
      <c r="S74" s="107" t="s">
        <v>137</v>
      </c>
      <c r="T74" s="108"/>
      <c r="U74" s="108"/>
      <c r="V74" s="108"/>
      <c r="W74" s="108"/>
      <c r="X74" s="109"/>
      <c r="Y74" s="110">
        <f>4601</f>
        <v>4601</v>
      </c>
      <c r="Z74" s="107" t="s">
        <v>137</v>
      </c>
      <c r="AA74" s="108"/>
      <c r="AB74" s="108"/>
      <c r="AC74" s="108"/>
      <c r="AD74" s="108"/>
      <c r="AE74" s="109"/>
      <c r="AF74" s="110">
        <f>3237.59</f>
        <v>3237.59</v>
      </c>
      <c r="AG74" s="107" t="s">
        <v>137</v>
      </c>
      <c r="AH74" s="108"/>
      <c r="AI74" s="108"/>
      <c r="AJ74" s="108"/>
      <c r="AK74" s="108"/>
      <c r="AL74" s="109"/>
      <c r="AM74" s="110">
        <f>3780</f>
        <v>3780</v>
      </c>
      <c r="AN74" s="107"/>
      <c r="AO74" s="108"/>
      <c r="AP74" s="108"/>
      <c r="AQ74" s="108"/>
      <c r="AR74" s="108"/>
      <c r="AS74" s="109"/>
      <c r="AT74" s="110"/>
      <c r="AU74" s="107"/>
      <c r="AV74" s="108"/>
      <c r="AW74" s="108"/>
      <c r="AX74" s="108"/>
      <c r="AY74" s="108"/>
      <c r="AZ74" s="109"/>
      <c r="BA74" s="110"/>
      <c r="BB74" s="107"/>
      <c r="BC74" s="108"/>
      <c r="BD74" s="108"/>
      <c r="BE74" s="108"/>
      <c r="BF74" s="108"/>
      <c r="BG74" s="109"/>
      <c r="BH74" s="110"/>
      <c r="BI74" s="107"/>
      <c r="BJ74" s="108"/>
      <c r="BK74" s="108"/>
      <c r="BL74" s="108"/>
      <c r="BM74" s="108"/>
      <c r="BN74" s="109"/>
      <c r="BO74" s="110"/>
      <c r="BP74" s="107"/>
      <c r="BQ74" s="108"/>
      <c r="BR74" s="108"/>
      <c r="BS74" s="108"/>
      <c r="BT74" s="108"/>
      <c r="BU74" s="109"/>
      <c r="BV74" s="110"/>
      <c r="BW74" s="107"/>
      <c r="BX74" s="108"/>
      <c r="BY74" s="108"/>
      <c r="BZ74" s="108"/>
      <c r="CA74" s="108"/>
      <c r="CB74" s="109"/>
      <c r="CC74" s="110"/>
      <c r="CD74" s="107"/>
      <c r="CE74" s="108"/>
      <c r="CF74" s="108"/>
      <c r="CG74" s="108"/>
      <c r="CH74" s="108"/>
      <c r="CI74" s="109"/>
      <c r="CJ74" s="110"/>
      <c r="CK74" s="107"/>
      <c r="CL74" s="108"/>
      <c r="CM74" s="108"/>
      <c r="CN74" s="108"/>
      <c r="CO74" s="108"/>
      <c r="CP74" s="109"/>
      <c r="CQ74" s="110"/>
      <c r="CY74" s="139"/>
      <c r="DE74" s="197"/>
      <c r="DF74" s="197"/>
    </row>
    <row r="75" spans="1:110" ht="14.25" customHeight="1" x14ac:dyDescent="0.2">
      <c r="L75" s="107" t="s">
        <v>98</v>
      </c>
      <c r="M75" s="108"/>
      <c r="N75" s="108"/>
      <c r="O75" s="108"/>
      <c r="P75" s="108"/>
      <c r="Q75" s="108"/>
      <c r="R75" s="110">
        <f>94.31</f>
        <v>94.31</v>
      </c>
      <c r="S75" s="107" t="s">
        <v>98</v>
      </c>
      <c r="T75" s="108"/>
      <c r="U75" s="108"/>
      <c r="V75" s="108"/>
      <c r="W75" s="108"/>
      <c r="X75" s="109"/>
      <c r="Y75" s="110">
        <f>93.6</f>
        <v>93.6</v>
      </c>
      <c r="Z75" s="107" t="s">
        <v>98</v>
      </c>
      <c r="AA75" s="108"/>
      <c r="AB75" s="108"/>
      <c r="AC75" s="108"/>
      <c r="AD75" s="108"/>
      <c r="AE75" s="109"/>
      <c r="AF75" s="110">
        <f>186.55</f>
        <v>186.55</v>
      </c>
      <c r="AG75" s="107" t="s">
        <v>98</v>
      </c>
      <c r="AH75" s="108"/>
      <c r="AI75" s="108"/>
      <c r="AJ75" s="108"/>
      <c r="AK75" s="108"/>
      <c r="AL75" s="109"/>
      <c r="AM75" s="110">
        <f>92.21</f>
        <v>92.21</v>
      </c>
      <c r="AN75" s="107"/>
      <c r="AO75" s="108"/>
      <c r="AP75" s="108"/>
      <c r="AQ75" s="108"/>
      <c r="AR75" s="108"/>
      <c r="AS75" s="109"/>
      <c r="AT75" s="110"/>
      <c r="AU75" s="107"/>
      <c r="AV75" s="108"/>
      <c r="AW75" s="108"/>
      <c r="AX75" s="108"/>
      <c r="AY75" s="108"/>
      <c r="AZ75" s="109"/>
      <c r="BA75" s="110"/>
      <c r="BB75" s="107"/>
      <c r="BC75" s="108"/>
      <c r="BD75" s="108"/>
      <c r="BE75" s="108"/>
      <c r="BF75" s="108"/>
      <c r="BG75" s="109"/>
      <c r="BH75" s="110"/>
      <c r="BI75" s="107"/>
      <c r="BJ75" s="108"/>
      <c r="BK75" s="108"/>
      <c r="BL75" s="108"/>
      <c r="BM75" s="108"/>
      <c r="BN75" s="109"/>
      <c r="BO75" s="110"/>
      <c r="BP75" s="107"/>
      <c r="BQ75" s="108"/>
      <c r="BR75" s="108"/>
      <c r="BS75" s="108"/>
      <c r="BT75" s="108"/>
      <c r="BU75" s="109"/>
      <c r="BV75" s="110"/>
      <c r="BW75" s="107"/>
      <c r="BX75" s="108"/>
      <c r="BY75" s="108"/>
      <c r="BZ75" s="108"/>
      <c r="CA75" s="108"/>
      <c r="CB75" s="109"/>
      <c r="CC75" s="110"/>
      <c r="CD75" s="107"/>
      <c r="CE75" s="108"/>
      <c r="CF75" s="108"/>
      <c r="CG75" s="108"/>
      <c r="CH75" s="108"/>
      <c r="CI75" s="109"/>
      <c r="CJ75" s="110"/>
      <c r="CK75" s="107"/>
      <c r="CL75" s="108"/>
      <c r="CM75" s="108"/>
      <c r="CN75" s="108"/>
      <c r="CO75" s="108"/>
      <c r="CP75" s="109"/>
      <c r="CQ75" s="110"/>
      <c r="CY75" s="139"/>
      <c r="DE75" s="197"/>
      <c r="DF75" s="197"/>
    </row>
    <row r="76" spans="1:110" ht="14.25" customHeight="1" x14ac:dyDescent="0.2">
      <c r="L76" s="107"/>
      <c r="M76" s="108"/>
      <c r="N76" s="108"/>
      <c r="O76" s="108"/>
      <c r="P76" s="108"/>
      <c r="Q76" s="108"/>
      <c r="R76" s="110"/>
      <c r="S76" s="107" t="s">
        <v>99</v>
      </c>
      <c r="T76" s="108"/>
      <c r="U76" s="108"/>
      <c r="V76" s="108"/>
      <c r="W76" s="108"/>
      <c r="X76" s="108"/>
      <c r="Y76" s="110">
        <f>1048.61</f>
        <v>1048.6099999999999</v>
      </c>
      <c r="Z76" s="107" t="s">
        <v>99</v>
      </c>
      <c r="AA76" s="108"/>
      <c r="AB76" s="108"/>
      <c r="AC76" s="108"/>
      <c r="AD76" s="108"/>
      <c r="AE76" s="108"/>
      <c r="AF76" s="110">
        <f>379.88</f>
        <v>379.88</v>
      </c>
      <c r="AG76" s="107" t="s">
        <v>99</v>
      </c>
      <c r="AH76" s="108"/>
      <c r="AI76" s="108"/>
      <c r="AJ76" s="108"/>
      <c r="AK76" s="108"/>
      <c r="AL76" s="108"/>
      <c r="AM76" s="110"/>
      <c r="AN76" s="107"/>
      <c r="AO76" s="108"/>
      <c r="AP76" s="108"/>
      <c r="AQ76" s="108"/>
      <c r="AR76" s="108"/>
      <c r="AS76" s="108"/>
      <c r="AT76" s="110"/>
      <c r="AU76" s="107"/>
      <c r="AV76" s="108"/>
      <c r="AW76" s="108"/>
      <c r="AX76" s="108"/>
      <c r="AY76" s="108"/>
      <c r="AZ76" s="108"/>
      <c r="BA76" s="110"/>
      <c r="BB76" s="107"/>
      <c r="BC76" s="108"/>
      <c r="BD76" s="108"/>
      <c r="BE76" s="108"/>
      <c r="BF76" s="108"/>
      <c r="BG76" s="108"/>
      <c r="BH76" s="110"/>
      <c r="BI76" s="107"/>
      <c r="BJ76" s="108"/>
      <c r="BK76" s="108"/>
      <c r="BL76" s="108"/>
      <c r="BM76" s="108"/>
      <c r="BN76" s="108"/>
      <c r="BO76" s="110"/>
      <c r="BP76" s="107"/>
      <c r="BQ76" s="108"/>
      <c r="BR76" s="108"/>
      <c r="BS76" s="108"/>
      <c r="BT76" s="108"/>
      <c r="BU76" s="108"/>
      <c r="BV76" s="110"/>
      <c r="BW76" s="107"/>
      <c r="BX76" s="108"/>
      <c r="BY76" s="108"/>
      <c r="BZ76" s="108"/>
      <c r="CA76" s="108"/>
      <c r="CB76" s="108"/>
      <c r="CC76" s="110"/>
      <c r="CD76" s="107"/>
      <c r="CE76" s="108"/>
      <c r="CF76" s="108"/>
      <c r="CG76" s="108"/>
      <c r="CH76" s="108"/>
      <c r="CI76" s="108"/>
      <c r="CJ76" s="110"/>
      <c r="CK76" s="107"/>
      <c r="CL76" s="108"/>
      <c r="CM76" s="108"/>
      <c r="CN76" s="108"/>
      <c r="CO76" s="108"/>
      <c r="CP76" s="108"/>
      <c r="CQ76" s="110"/>
      <c r="CY76" s="139"/>
      <c r="DE76" s="197"/>
      <c r="DF76" s="197"/>
    </row>
    <row r="77" spans="1:110" ht="14.25" customHeight="1" x14ac:dyDescent="0.2">
      <c r="L77" s="107"/>
      <c r="M77" s="108"/>
      <c r="N77" s="108"/>
      <c r="O77" s="108"/>
      <c r="P77" s="108"/>
      <c r="Q77" s="108"/>
      <c r="R77" s="110"/>
      <c r="S77" s="107" t="s">
        <v>199</v>
      </c>
      <c r="T77" s="108"/>
      <c r="U77" s="108"/>
      <c r="V77" s="108"/>
      <c r="W77" s="108"/>
      <c r="X77" s="108"/>
      <c r="Y77" s="110">
        <f>883.77</f>
        <v>883.77</v>
      </c>
      <c r="Z77" s="107" t="s">
        <v>199</v>
      </c>
      <c r="AA77" s="108"/>
      <c r="AB77" s="108"/>
      <c r="AC77" s="108"/>
      <c r="AD77" s="108"/>
      <c r="AE77" s="108"/>
      <c r="AF77" s="110"/>
      <c r="AG77" s="107" t="s">
        <v>200</v>
      </c>
      <c r="AH77" s="108"/>
      <c r="AI77" s="108"/>
      <c r="AJ77" s="108"/>
      <c r="AK77" s="108"/>
      <c r="AL77" s="108"/>
      <c r="AM77" s="110">
        <v>250</v>
      </c>
      <c r="AN77" s="107"/>
      <c r="AO77" s="108"/>
      <c r="AP77" s="108"/>
      <c r="AQ77" s="108"/>
      <c r="AR77" s="108"/>
      <c r="AS77" s="108"/>
      <c r="AT77" s="110"/>
      <c r="AU77" s="107"/>
      <c r="AV77" s="108"/>
      <c r="AW77" s="108"/>
      <c r="AX77" s="108"/>
      <c r="AY77" s="108"/>
      <c r="AZ77" s="108"/>
      <c r="BA77" s="110"/>
      <c r="BB77" s="107"/>
      <c r="BC77" s="108"/>
      <c r="BD77" s="108"/>
      <c r="BE77" s="108"/>
      <c r="BF77" s="108"/>
      <c r="BG77" s="108"/>
      <c r="BH77" s="110"/>
      <c r="BI77" s="107"/>
      <c r="BJ77" s="108"/>
      <c r="BK77" s="108"/>
      <c r="BL77" s="108"/>
      <c r="BM77" s="108"/>
      <c r="BN77" s="108"/>
      <c r="BO77" s="110"/>
      <c r="BP77" s="107"/>
      <c r="BQ77" s="108"/>
      <c r="BR77" s="108"/>
      <c r="BS77" s="108"/>
      <c r="BT77" s="108"/>
      <c r="BU77" s="108"/>
      <c r="BV77" s="110"/>
      <c r="BW77" s="107"/>
      <c r="BX77" s="108"/>
      <c r="BY77" s="108"/>
      <c r="BZ77" s="108"/>
      <c r="CA77" s="108"/>
      <c r="CB77" s="108"/>
      <c r="CC77" s="110"/>
      <c r="CD77" s="107"/>
      <c r="CE77" s="108"/>
      <c r="CF77" s="108"/>
      <c r="CG77" s="108"/>
      <c r="CH77" s="108"/>
      <c r="CI77" s="108"/>
      <c r="CJ77" s="110"/>
      <c r="CK77" s="107"/>
      <c r="CL77" s="108"/>
      <c r="CM77" s="108"/>
      <c r="CN77" s="108"/>
      <c r="CO77" s="108"/>
      <c r="CP77" s="108"/>
      <c r="CQ77" s="110"/>
      <c r="CY77" s="139"/>
      <c r="DE77" s="197"/>
      <c r="DF77" s="197"/>
    </row>
    <row r="78" spans="1:110" ht="14.25" customHeight="1" x14ac:dyDescent="0.2">
      <c r="L78" s="107"/>
      <c r="M78" s="108"/>
      <c r="N78" s="108"/>
      <c r="O78" s="108"/>
      <c r="P78" s="108"/>
      <c r="Q78" s="108"/>
      <c r="R78" s="110"/>
      <c r="S78" s="107" t="s">
        <v>129</v>
      </c>
      <c r="T78" s="108"/>
      <c r="U78" s="108"/>
      <c r="V78" s="108"/>
      <c r="W78" s="108"/>
      <c r="X78" s="108"/>
      <c r="Y78" s="110">
        <f>238.74</f>
        <v>238.74</v>
      </c>
      <c r="Z78" s="107" t="s">
        <v>129</v>
      </c>
      <c r="AA78" s="108"/>
      <c r="AB78" s="108"/>
      <c r="AC78" s="108"/>
      <c r="AD78" s="108"/>
      <c r="AE78" s="108"/>
      <c r="AF78" s="110"/>
      <c r="AG78" s="107" t="s">
        <v>129</v>
      </c>
      <c r="AH78" s="108"/>
      <c r="AI78" s="108"/>
      <c r="AJ78" s="108"/>
      <c r="AK78" s="108"/>
      <c r="AL78" s="108"/>
      <c r="AM78" s="110">
        <f>238.74</f>
        <v>238.74</v>
      </c>
      <c r="AN78" s="107"/>
      <c r="AO78" s="108"/>
      <c r="AP78" s="108"/>
      <c r="AQ78" s="108"/>
      <c r="AR78" s="108"/>
      <c r="AS78" s="108"/>
      <c r="AT78" s="110"/>
      <c r="AU78" s="107"/>
      <c r="AV78" s="108"/>
      <c r="AW78" s="108"/>
      <c r="AX78" s="108"/>
      <c r="AY78" s="108"/>
      <c r="AZ78" s="108"/>
      <c r="BA78" s="110"/>
      <c r="BB78" s="107"/>
      <c r="BC78" s="108"/>
      <c r="BD78" s="108"/>
      <c r="BE78" s="108"/>
      <c r="BF78" s="108"/>
      <c r="BG78" s="108"/>
      <c r="BH78" s="110"/>
      <c r="BI78" s="107"/>
      <c r="BJ78" s="108"/>
      <c r="BK78" s="108"/>
      <c r="BL78" s="108"/>
      <c r="BM78" s="108"/>
      <c r="BN78" s="108"/>
      <c r="BO78" s="110"/>
      <c r="BP78" s="107"/>
      <c r="BQ78" s="108"/>
      <c r="BR78" s="108"/>
      <c r="BS78" s="108"/>
      <c r="BT78" s="108"/>
      <c r="BU78" s="108"/>
      <c r="BV78" s="110"/>
      <c r="BW78" s="107"/>
      <c r="BX78" s="108"/>
      <c r="BY78" s="108"/>
      <c r="BZ78" s="108"/>
      <c r="CA78" s="108"/>
      <c r="CB78" s="108"/>
      <c r="CC78" s="110"/>
      <c r="CD78" s="107"/>
      <c r="CE78" s="108"/>
      <c r="CF78" s="108"/>
      <c r="CG78" s="108"/>
      <c r="CH78" s="108"/>
      <c r="CI78" s="108"/>
      <c r="CJ78" s="110"/>
      <c r="CK78" s="107"/>
      <c r="CL78" s="108"/>
      <c r="CM78" s="108"/>
      <c r="CN78" s="108"/>
      <c r="CO78" s="108"/>
      <c r="CP78" s="108"/>
      <c r="CQ78" s="110"/>
      <c r="CY78" s="139"/>
      <c r="DE78" s="197"/>
      <c r="DF78" s="197"/>
    </row>
    <row r="79" spans="1:110" ht="14.25" customHeight="1" x14ac:dyDescent="0.2">
      <c r="L79" s="107"/>
      <c r="M79" s="108"/>
      <c r="N79" s="108"/>
      <c r="O79" s="108"/>
      <c r="P79" s="108"/>
      <c r="Q79" s="108"/>
      <c r="R79" s="168"/>
      <c r="S79" s="107"/>
      <c r="T79" s="108"/>
      <c r="U79" s="108"/>
      <c r="V79" s="108"/>
      <c r="W79" s="108"/>
      <c r="X79" s="108"/>
      <c r="Y79" s="168"/>
      <c r="Z79" s="107" t="s">
        <v>123</v>
      </c>
      <c r="AA79" s="108"/>
      <c r="AB79" s="108"/>
      <c r="AC79" s="108"/>
      <c r="AD79" s="108"/>
      <c r="AE79" s="108"/>
      <c r="AF79" s="168">
        <f>485</f>
        <v>485</v>
      </c>
      <c r="AG79" s="107" t="s">
        <v>123</v>
      </c>
      <c r="AH79" s="108"/>
      <c r="AI79" s="108"/>
      <c r="AJ79" s="108"/>
      <c r="AK79" s="108"/>
      <c r="AL79" s="108"/>
      <c r="AM79" s="168"/>
      <c r="AN79" s="107"/>
      <c r="AO79" s="108"/>
      <c r="AP79" s="108"/>
      <c r="AQ79" s="108"/>
      <c r="AR79" s="108"/>
      <c r="AS79" s="108"/>
      <c r="AT79" s="168"/>
      <c r="AU79" s="107"/>
      <c r="AV79" s="108"/>
      <c r="AW79" s="108"/>
      <c r="AX79" s="108"/>
      <c r="AY79" s="108"/>
      <c r="AZ79" s="108"/>
      <c r="BA79" s="168"/>
      <c r="BB79" s="107"/>
      <c r="BC79" s="108"/>
      <c r="BD79" s="108"/>
      <c r="BE79" s="108"/>
      <c r="BF79" s="108"/>
      <c r="BG79" s="108"/>
      <c r="BH79" s="168"/>
      <c r="BI79" s="107"/>
      <c r="BJ79" s="108"/>
      <c r="BK79" s="108"/>
      <c r="BL79" s="108"/>
      <c r="BM79" s="108"/>
      <c r="BN79" s="108"/>
      <c r="BO79" s="168"/>
      <c r="BP79" s="107"/>
      <c r="BQ79" s="108"/>
      <c r="BR79" s="108"/>
      <c r="BS79" s="108"/>
      <c r="BT79" s="108"/>
      <c r="BU79" s="108"/>
      <c r="BV79" s="168"/>
      <c r="BW79" s="107"/>
      <c r="BX79" s="108"/>
      <c r="BY79" s="108"/>
      <c r="BZ79" s="108"/>
      <c r="CA79" s="108"/>
      <c r="CB79" s="108"/>
      <c r="CC79" s="168"/>
      <c r="CD79" s="107"/>
      <c r="CE79" s="108"/>
      <c r="CF79" s="108"/>
      <c r="CG79" s="108"/>
      <c r="CH79" s="108"/>
      <c r="CI79" s="108"/>
      <c r="CJ79" s="168"/>
      <c r="CK79" s="107"/>
      <c r="CL79" s="108"/>
      <c r="CM79" s="108"/>
      <c r="CN79" s="108"/>
      <c r="CO79" s="108"/>
      <c r="CP79" s="108"/>
      <c r="CQ79" s="168"/>
      <c r="CY79" s="156"/>
      <c r="DA79" s="155"/>
      <c r="DE79" s="197"/>
      <c r="DF79" s="197"/>
    </row>
    <row r="80" spans="1:110" ht="14.25" customHeight="1" x14ac:dyDescent="0.2">
      <c r="L80" s="107"/>
      <c r="M80" s="108"/>
      <c r="N80" s="108"/>
      <c r="O80" s="108"/>
      <c r="P80" s="108"/>
      <c r="Q80" s="108"/>
      <c r="R80" s="110"/>
      <c r="S80" s="107"/>
      <c r="T80" s="108"/>
      <c r="U80" s="108"/>
      <c r="V80" s="108"/>
      <c r="W80" s="108"/>
      <c r="X80" s="108"/>
      <c r="Y80" s="110"/>
      <c r="Z80" s="107" t="s">
        <v>122</v>
      </c>
      <c r="AA80" s="108"/>
      <c r="AB80" s="108"/>
      <c r="AC80" s="108"/>
      <c r="AD80" s="108"/>
      <c r="AE80" s="108"/>
      <c r="AF80" s="110">
        <v>609</v>
      </c>
      <c r="AG80" s="107" t="s">
        <v>122</v>
      </c>
      <c r="AH80" s="108"/>
      <c r="AI80" s="108"/>
      <c r="AJ80" s="108"/>
      <c r="AK80" s="108"/>
      <c r="AL80" s="108"/>
      <c r="AM80" s="110"/>
      <c r="AN80" s="107"/>
      <c r="AO80" s="108"/>
      <c r="AP80" s="108"/>
      <c r="AQ80" s="108"/>
      <c r="AR80" s="108"/>
      <c r="AS80" s="108"/>
      <c r="AT80" s="110"/>
      <c r="AU80" s="107"/>
      <c r="AV80" s="108"/>
      <c r="AW80" s="108"/>
      <c r="AX80" s="108"/>
      <c r="AY80" s="108"/>
      <c r="AZ80" s="108"/>
      <c r="BA80" s="110"/>
      <c r="BB80" s="107"/>
      <c r="BC80" s="108"/>
      <c r="BD80" s="108"/>
      <c r="BE80" s="108"/>
      <c r="BF80" s="108"/>
      <c r="BG80" s="108"/>
      <c r="BH80" s="110"/>
      <c r="BI80" s="107"/>
      <c r="BJ80" s="108"/>
      <c r="BK80" s="108"/>
      <c r="BL80" s="108"/>
      <c r="BM80" s="108"/>
      <c r="BN80" s="108"/>
      <c r="BO80" s="110"/>
      <c r="BP80" s="107"/>
      <c r="BQ80" s="108"/>
      <c r="BR80" s="108"/>
      <c r="BS80" s="108"/>
      <c r="BT80" s="108"/>
      <c r="BU80" s="108"/>
      <c r="BV80" s="110"/>
      <c r="BW80" s="107"/>
      <c r="BX80" s="108"/>
      <c r="BY80" s="108"/>
      <c r="BZ80" s="108"/>
      <c r="CA80" s="108"/>
      <c r="CB80" s="108"/>
      <c r="CC80" s="110"/>
      <c r="CD80" s="107"/>
      <c r="CE80" s="108"/>
      <c r="CF80" s="108"/>
      <c r="CG80" s="108"/>
      <c r="CH80" s="108"/>
      <c r="CI80" s="108"/>
      <c r="CJ80" s="110"/>
      <c r="CK80" s="107"/>
      <c r="CL80" s="108"/>
      <c r="CM80" s="108"/>
      <c r="CN80" s="108"/>
      <c r="CO80" s="108"/>
      <c r="CP80" s="108"/>
      <c r="CQ80" s="110"/>
      <c r="DA80" s="155"/>
      <c r="DE80" s="197"/>
      <c r="DF80" s="197"/>
    </row>
    <row r="81" spans="12:110" ht="14.25" customHeight="1" x14ac:dyDescent="0.2">
      <c r="L81" s="107"/>
      <c r="M81" s="108"/>
      <c r="N81" s="108"/>
      <c r="O81" s="108"/>
      <c r="P81" s="108"/>
      <c r="Q81" s="108"/>
      <c r="R81" s="177"/>
      <c r="S81" s="107"/>
      <c r="T81" s="108"/>
      <c r="U81" s="108"/>
      <c r="V81" s="108"/>
      <c r="W81" s="108"/>
      <c r="X81" s="108"/>
      <c r="Y81" s="177"/>
      <c r="Z81" s="107"/>
      <c r="AA81" s="108"/>
      <c r="AB81" s="108"/>
      <c r="AC81" s="108"/>
      <c r="AD81" s="108"/>
      <c r="AE81" s="108"/>
      <c r="AF81" s="177"/>
      <c r="AG81" s="107"/>
      <c r="AH81" s="108"/>
      <c r="AI81" s="108"/>
      <c r="AJ81" s="108"/>
      <c r="AK81" s="108"/>
      <c r="AL81" s="108"/>
      <c r="AM81" s="177"/>
      <c r="AN81" s="107"/>
      <c r="AO81" s="108"/>
      <c r="AP81" s="108"/>
      <c r="AQ81" s="108"/>
      <c r="AR81" s="108"/>
      <c r="AS81" s="108"/>
      <c r="AT81" s="177"/>
      <c r="AU81" s="107"/>
      <c r="AV81" s="108"/>
      <c r="AW81" s="108"/>
      <c r="AX81" s="108"/>
      <c r="AY81" s="108"/>
      <c r="AZ81" s="108"/>
      <c r="BA81" s="177"/>
      <c r="BB81" s="107"/>
      <c r="BC81" s="108"/>
      <c r="BD81" s="108"/>
      <c r="BE81" s="108"/>
      <c r="BF81" s="108"/>
      <c r="BG81" s="108"/>
      <c r="BH81" s="177"/>
      <c r="BI81" s="107"/>
      <c r="BJ81" s="108"/>
      <c r="BK81" s="108"/>
      <c r="BL81" s="108"/>
      <c r="BM81" s="108"/>
      <c r="BN81" s="108"/>
      <c r="BO81" s="177"/>
      <c r="BP81" s="107"/>
      <c r="BQ81" s="108"/>
      <c r="BR81" s="108"/>
      <c r="BS81" s="108"/>
      <c r="BT81" s="108"/>
      <c r="BU81" s="108"/>
      <c r="BV81" s="177"/>
      <c r="BW81" s="107"/>
      <c r="BX81" s="108"/>
      <c r="BY81" s="108"/>
      <c r="BZ81" s="108"/>
      <c r="CA81" s="108"/>
      <c r="CB81" s="108"/>
      <c r="CC81" s="177"/>
      <c r="CD81" s="107"/>
      <c r="CE81" s="108"/>
      <c r="CF81" s="108"/>
      <c r="CG81" s="108"/>
      <c r="CH81" s="108"/>
      <c r="CI81" s="108"/>
      <c r="CJ81" s="177"/>
      <c r="CK81" s="107"/>
      <c r="CL81" s="108"/>
      <c r="CM81" s="108"/>
      <c r="CN81" s="108"/>
      <c r="CO81" s="108"/>
      <c r="CP81" s="108"/>
      <c r="CQ81" s="177"/>
      <c r="DA81" s="155"/>
      <c r="DE81" s="197"/>
      <c r="DF81" s="197"/>
    </row>
    <row r="82" spans="12:110" ht="14.25" customHeight="1" x14ac:dyDescent="0.2">
      <c r="L82" s="107"/>
      <c r="M82" s="108"/>
      <c r="N82" s="108"/>
      <c r="O82" s="108"/>
      <c r="P82" s="108"/>
      <c r="Q82" s="108"/>
      <c r="R82" s="110"/>
      <c r="S82" s="107"/>
      <c r="T82" s="108"/>
      <c r="U82" s="108"/>
      <c r="V82" s="108"/>
      <c r="W82" s="108"/>
      <c r="X82" s="108"/>
      <c r="Y82" s="110"/>
      <c r="Z82" s="107"/>
      <c r="AA82" s="108"/>
      <c r="AB82" s="108"/>
      <c r="AC82" s="108"/>
      <c r="AD82" s="108"/>
      <c r="AE82" s="108"/>
      <c r="AF82" s="110"/>
      <c r="AG82" s="107"/>
      <c r="AH82" s="108"/>
      <c r="AI82" s="108"/>
      <c r="AJ82" s="108"/>
      <c r="AK82" s="108"/>
      <c r="AL82" s="108"/>
      <c r="AM82" s="110"/>
      <c r="AN82" s="107"/>
      <c r="AO82" s="108"/>
      <c r="AP82" s="108"/>
      <c r="AQ82" s="108"/>
      <c r="AR82" s="108"/>
      <c r="AS82" s="108"/>
      <c r="AT82" s="110"/>
      <c r="AU82" s="107"/>
      <c r="AV82" s="108"/>
      <c r="AW82" s="108"/>
      <c r="AX82" s="108"/>
      <c r="AY82" s="108"/>
      <c r="AZ82" s="108"/>
      <c r="BA82" s="110"/>
      <c r="BB82" s="107"/>
      <c r="BC82" s="108"/>
      <c r="BD82" s="108"/>
      <c r="BE82" s="108"/>
      <c r="BF82" s="108"/>
      <c r="BG82" s="108"/>
      <c r="BH82" s="110"/>
      <c r="BI82" s="107"/>
      <c r="BJ82" s="108"/>
      <c r="BK82" s="108"/>
      <c r="BL82" s="108"/>
      <c r="BM82" s="108"/>
      <c r="BN82" s="108"/>
      <c r="BO82" s="110"/>
      <c r="BP82" s="107"/>
      <c r="BQ82" s="108"/>
      <c r="BR82" s="108"/>
      <c r="BS82" s="108"/>
      <c r="BT82" s="108"/>
      <c r="BU82" s="108"/>
      <c r="BV82" s="110"/>
      <c r="BW82" s="107"/>
      <c r="BX82" s="108"/>
      <c r="BY82" s="108"/>
      <c r="BZ82" s="108"/>
      <c r="CA82" s="108"/>
      <c r="CB82" s="108"/>
      <c r="CC82" s="110"/>
      <c r="CD82" s="107"/>
      <c r="CE82" s="108"/>
      <c r="CF82" s="108"/>
      <c r="CG82" s="108"/>
      <c r="CH82" s="108"/>
      <c r="CI82" s="108"/>
      <c r="CJ82" s="110"/>
      <c r="CK82" s="107"/>
      <c r="CL82" s="108"/>
      <c r="CM82" s="108"/>
      <c r="CN82" s="108"/>
      <c r="CO82" s="108"/>
      <c r="CP82" s="108"/>
      <c r="CQ82" s="110"/>
      <c r="DA82" s="155"/>
      <c r="DE82" s="197"/>
      <c r="DF82" s="197"/>
    </row>
    <row r="83" spans="12:110" ht="14.25" customHeight="1" x14ac:dyDescent="0.2">
      <c r="L83" s="173" t="s">
        <v>82</v>
      </c>
      <c r="M83" s="174"/>
      <c r="N83" s="174"/>
      <c r="O83" s="174"/>
      <c r="P83" s="174"/>
      <c r="Q83" s="207"/>
      <c r="R83" s="169">
        <f>SUM(R61:R82)</f>
        <v>22569.879999999997</v>
      </c>
      <c r="S83" s="173" t="s">
        <v>82</v>
      </c>
      <c r="T83" s="174"/>
      <c r="U83" s="174"/>
      <c r="V83" s="174"/>
      <c r="W83" s="174"/>
      <c r="X83" s="207"/>
      <c r="Y83" s="169">
        <f>SUM(Y61:Y82)</f>
        <v>14751.050000000001</v>
      </c>
      <c r="Z83" s="173" t="s">
        <v>82</v>
      </c>
      <c r="AA83" s="174"/>
      <c r="AB83" s="174"/>
      <c r="AC83" s="174"/>
      <c r="AD83" s="174"/>
      <c r="AE83" s="207"/>
      <c r="AF83" s="169">
        <f>SUM(AF61:AF82)</f>
        <v>8220.66</v>
      </c>
      <c r="AG83" s="173" t="s">
        <v>82</v>
      </c>
      <c r="AH83" s="174"/>
      <c r="AI83" s="174"/>
      <c r="AJ83" s="174"/>
      <c r="AK83" s="174"/>
      <c r="AL83" s="207"/>
      <c r="AM83" s="169">
        <f>SUM(AM61:AM82)</f>
        <v>11288.429999999998</v>
      </c>
      <c r="AN83" s="173" t="s">
        <v>82</v>
      </c>
      <c r="AO83" s="174"/>
      <c r="AP83" s="174"/>
      <c r="AQ83" s="174"/>
      <c r="AR83" s="174"/>
      <c r="AS83" s="207"/>
      <c r="AT83" s="169">
        <f>SUM(AT61:AT82)</f>
        <v>0</v>
      </c>
      <c r="AU83" s="173" t="s">
        <v>82</v>
      </c>
      <c r="AV83" s="174"/>
      <c r="AW83" s="174"/>
      <c r="AX83" s="174"/>
      <c r="AY83" s="174"/>
      <c r="AZ83" s="207"/>
      <c r="BA83" s="169">
        <f>SUM(BA61:BA82)</f>
        <v>0</v>
      </c>
      <c r="BB83" s="173" t="s">
        <v>82</v>
      </c>
      <c r="BC83" s="174"/>
      <c r="BD83" s="174"/>
      <c r="BE83" s="174"/>
      <c r="BF83" s="174"/>
      <c r="BG83" s="207"/>
      <c r="BH83" s="169">
        <f>SUM(BH61:BH82)</f>
        <v>0</v>
      </c>
      <c r="BI83" s="173" t="s">
        <v>82</v>
      </c>
      <c r="BJ83" s="174"/>
      <c r="BK83" s="174"/>
      <c r="BL83" s="174"/>
      <c r="BM83" s="174"/>
      <c r="BN83" s="207"/>
      <c r="BO83" s="169">
        <f>SUM(BO61:BO82)</f>
        <v>0</v>
      </c>
      <c r="BP83" s="173" t="s">
        <v>82</v>
      </c>
      <c r="BQ83" s="174"/>
      <c r="BR83" s="174"/>
      <c r="BS83" s="174"/>
      <c r="BT83" s="174"/>
      <c r="BU83" s="207"/>
      <c r="BV83" s="169">
        <f>SUM(BV61:BV82)</f>
        <v>0</v>
      </c>
      <c r="BW83" s="173" t="s">
        <v>82</v>
      </c>
      <c r="BX83" s="174"/>
      <c r="BY83" s="174"/>
      <c r="BZ83" s="174"/>
      <c r="CA83" s="174"/>
      <c r="CB83" s="207"/>
      <c r="CC83" s="169">
        <f>SUM(CC61:CC82)</f>
        <v>0</v>
      </c>
      <c r="CD83" s="173" t="s">
        <v>82</v>
      </c>
      <c r="CE83" s="174"/>
      <c r="CF83" s="174"/>
      <c r="CG83" s="174"/>
      <c r="CH83" s="174"/>
      <c r="CI83" s="207"/>
      <c r="CJ83" s="169">
        <f>SUM(CJ61:CJ82)</f>
        <v>0</v>
      </c>
      <c r="CK83" s="173" t="s">
        <v>82</v>
      </c>
      <c r="CL83" s="174"/>
      <c r="CM83" s="174"/>
      <c r="CN83" s="174"/>
      <c r="CO83" s="174"/>
      <c r="CP83" s="207"/>
      <c r="CQ83" s="169">
        <f>SUM(CQ61:CQ82)</f>
        <v>0</v>
      </c>
      <c r="DA83" s="155"/>
      <c r="DE83" s="197"/>
      <c r="DF83" s="197"/>
    </row>
    <row r="84" spans="12:110" ht="14.25" customHeight="1" x14ac:dyDescent="0.2">
      <c r="DE84" s="197"/>
      <c r="DF84" s="197"/>
    </row>
    <row r="85" spans="12:110" ht="14.25" customHeight="1" x14ac:dyDescent="0.2">
      <c r="DE85" s="197"/>
      <c r="DF85" s="197"/>
    </row>
    <row r="86" spans="12:110" ht="14.25" customHeight="1" x14ac:dyDescent="0.2">
      <c r="DE86" s="197"/>
      <c r="DF86" s="197"/>
    </row>
    <row r="87" spans="12:110" ht="14.25" customHeight="1" x14ac:dyDescent="0.2">
      <c r="DE87" s="197"/>
      <c r="DF87" s="197"/>
    </row>
    <row r="88" spans="12:110" ht="14.25" customHeight="1" x14ac:dyDescent="0.2">
      <c r="DE88" s="197"/>
      <c r="DF88" s="197"/>
    </row>
    <row r="89" spans="12:110" ht="14.25" customHeight="1" x14ac:dyDescent="0.2">
      <c r="DE89" s="197"/>
      <c r="DF89" s="197"/>
    </row>
    <row r="90" spans="12:110" ht="14.25" customHeight="1" x14ac:dyDescent="0.2">
      <c r="DE90" s="197"/>
      <c r="DF90" s="197"/>
    </row>
    <row r="91" spans="12:110" ht="14.25" customHeight="1" x14ac:dyDescent="0.2">
      <c r="DE91" s="197"/>
      <c r="DF91" s="197"/>
    </row>
    <row r="92" spans="12:110" ht="14.25" customHeight="1" x14ac:dyDescent="0.2">
      <c r="DE92" s="197"/>
      <c r="DF92" s="197"/>
    </row>
    <row r="93" spans="12:110" ht="14.25" customHeight="1" x14ac:dyDescent="0.2">
      <c r="DE93" s="197"/>
      <c r="DF93" s="197"/>
    </row>
    <row r="94" spans="12:110" ht="14.25" customHeight="1" x14ac:dyDescent="0.2">
      <c r="DE94" s="197"/>
      <c r="DF94" s="197"/>
    </row>
    <row r="95" spans="12:110" ht="14.25" customHeight="1" x14ac:dyDescent="0.2">
      <c r="DE95" s="197"/>
      <c r="DF95" s="197"/>
    </row>
    <row r="96" spans="12:110" ht="14.25" customHeight="1" x14ac:dyDescent="0.2">
      <c r="DE96" s="197"/>
      <c r="DF96" s="197"/>
    </row>
    <row r="97" spans="109:110" ht="14.25" customHeight="1" x14ac:dyDescent="0.2">
      <c r="DE97" s="197"/>
      <c r="DF97" s="197"/>
    </row>
    <row r="98" spans="109:110" ht="14.25" customHeight="1" x14ac:dyDescent="0.2">
      <c r="DE98" s="197"/>
      <c r="DF98" s="197"/>
    </row>
    <row r="99" spans="109:110" ht="14.25" customHeight="1" x14ac:dyDescent="0.2">
      <c r="DE99" s="197"/>
      <c r="DF99" s="197"/>
    </row>
    <row r="100" spans="109:110" ht="14.25" customHeight="1" x14ac:dyDescent="0.2">
      <c r="DE100" s="197"/>
      <c r="DF100" s="197"/>
    </row>
    <row r="101" spans="109:110" ht="14.25" customHeight="1" x14ac:dyDescent="0.2">
      <c r="DE101" s="197"/>
      <c r="DF101" s="197"/>
    </row>
    <row r="102" spans="109:110" ht="14.25" customHeight="1" x14ac:dyDescent="0.2">
      <c r="DE102" s="197"/>
      <c r="DF102" s="197"/>
    </row>
    <row r="103" spans="109:110" ht="14.25" customHeight="1" x14ac:dyDescent="0.2">
      <c r="DE103" s="197"/>
      <c r="DF103" s="197"/>
    </row>
    <row r="104" spans="109:110" ht="14.25" customHeight="1" x14ac:dyDescent="0.2">
      <c r="DE104" s="197"/>
      <c r="DF104" s="197"/>
    </row>
    <row r="105" spans="109:110" ht="14.25" customHeight="1" x14ac:dyDescent="0.2">
      <c r="DE105" s="197"/>
      <c r="DF105" s="197"/>
    </row>
    <row r="106" spans="109:110" ht="14.25" customHeight="1" x14ac:dyDescent="0.2">
      <c r="DE106" s="197"/>
      <c r="DF106" s="197"/>
    </row>
    <row r="107" spans="109:110" ht="14.25" customHeight="1" x14ac:dyDescent="0.2">
      <c r="DE107" s="197"/>
      <c r="DF107" s="197"/>
    </row>
    <row r="108" spans="109:110" ht="14.25" customHeight="1" x14ac:dyDescent="0.2">
      <c r="DE108" s="197"/>
      <c r="DF108" s="197"/>
    </row>
    <row r="109" spans="109:110" ht="14.25" customHeight="1" x14ac:dyDescent="0.2">
      <c r="DE109" s="197"/>
      <c r="DF109" s="197"/>
    </row>
    <row r="110" spans="109:110" ht="14.25" customHeight="1" x14ac:dyDescent="0.2">
      <c r="DE110" s="197"/>
      <c r="DF110" s="197"/>
    </row>
    <row r="111" spans="109:110" ht="14.25" customHeight="1" x14ac:dyDescent="0.2">
      <c r="DE111" s="197"/>
      <c r="DF111" s="197"/>
    </row>
    <row r="112" spans="109:110" ht="14.25" customHeight="1" x14ac:dyDescent="0.2">
      <c r="DE112" s="197"/>
      <c r="DF112" s="197"/>
    </row>
    <row r="113" spans="109:110" ht="14.25" customHeight="1" x14ac:dyDescent="0.2">
      <c r="DE113" s="197"/>
      <c r="DF113" s="197"/>
    </row>
    <row r="114" spans="109:110" ht="14.25" customHeight="1" x14ac:dyDescent="0.2">
      <c r="DE114" s="197"/>
      <c r="DF114" s="197"/>
    </row>
    <row r="115" spans="109:110" ht="14.25" customHeight="1" x14ac:dyDescent="0.2">
      <c r="DE115" s="197"/>
      <c r="DF115" s="197"/>
    </row>
    <row r="116" spans="109:110" ht="14.25" customHeight="1" x14ac:dyDescent="0.2">
      <c r="DE116" s="197"/>
      <c r="DF116" s="197"/>
    </row>
    <row r="117" spans="109:110" ht="14.25" customHeight="1" x14ac:dyDescent="0.2">
      <c r="DE117" s="197"/>
      <c r="DF117" s="197"/>
    </row>
    <row r="118" spans="109:110" ht="14.25" customHeight="1" x14ac:dyDescent="0.2">
      <c r="DE118" s="197"/>
      <c r="DF118" s="197"/>
    </row>
    <row r="119" spans="109:110" ht="14.25" customHeight="1" x14ac:dyDescent="0.2">
      <c r="DE119" s="197"/>
      <c r="DF119" s="197"/>
    </row>
    <row r="120" spans="109:110" ht="14.25" customHeight="1" x14ac:dyDescent="0.2">
      <c r="DE120" s="197"/>
      <c r="DF120" s="197"/>
    </row>
    <row r="121" spans="109:110" ht="14.25" customHeight="1" x14ac:dyDescent="0.2">
      <c r="DE121" s="197"/>
      <c r="DF121" s="197"/>
    </row>
    <row r="122" spans="109:110" ht="14.25" customHeight="1" x14ac:dyDescent="0.2">
      <c r="DE122" s="197"/>
      <c r="DF122" s="197"/>
    </row>
    <row r="123" spans="109:110" ht="14.25" customHeight="1" x14ac:dyDescent="0.2">
      <c r="DE123" s="197"/>
      <c r="DF123" s="197"/>
    </row>
    <row r="124" spans="109:110" ht="14.25" customHeight="1" x14ac:dyDescent="0.2">
      <c r="DE124" s="197"/>
      <c r="DF124" s="197"/>
    </row>
    <row r="125" spans="109:110" ht="14.25" customHeight="1" x14ac:dyDescent="0.2">
      <c r="DE125" s="197"/>
      <c r="DF125" s="197"/>
    </row>
    <row r="126" spans="109:110" ht="14.25" customHeight="1" x14ac:dyDescent="0.2">
      <c r="DE126" s="197"/>
      <c r="DF126" s="197"/>
    </row>
    <row r="127" spans="109:110" ht="14.25" customHeight="1" x14ac:dyDescent="0.2">
      <c r="DE127" s="197"/>
      <c r="DF127" s="197"/>
    </row>
    <row r="128" spans="109:110" ht="14.25" customHeight="1" x14ac:dyDescent="0.2">
      <c r="DE128" s="197"/>
      <c r="DF128" s="197"/>
    </row>
    <row r="129" spans="109:110" ht="14.25" customHeight="1" x14ac:dyDescent="0.2">
      <c r="DE129" s="197"/>
      <c r="DF129" s="197"/>
    </row>
    <row r="130" spans="109:110" ht="14.25" customHeight="1" x14ac:dyDescent="0.2">
      <c r="DE130" s="197"/>
      <c r="DF130" s="197"/>
    </row>
    <row r="131" spans="109:110" ht="14.25" customHeight="1" x14ac:dyDescent="0.2">
      <c r="DE131" s="197"/>
      <c r="DF131" s="197"/>
    </row>
    <row r="132" spans="109:110" ht="14.25" customHeight="1" x14ac:dyDescent="0.2">
      <c r="DE132" s="197"/>
      <c r="DF132" s="197"/>
    </row>
    <row r="133" spans="109:110" ht="14.25" customHeight="1" x14ac:dyDescent="0.2">
      <c r="DE133" s="197"/>
      <c r="DF133" s="197"/>
    </row>
    <row r="134" spans="109:110" ht="14.25" customHeight="1" x14ac:dyDescent="0.2">
      <c r="DE134" s="197"/>
      <c r="DF134" s="197"/>
    </row>
    <row r="135" spans="109:110" ht="14.25" customHeight="1" x14ac:dyDescent="0.2">
      <c r="DE135" s="197"/>
      <c r="DF135" s="197"/>
    </row>
    <row r="136" spans="109:110" ht="14.25" customHeight="1" x14ac:dyDescent="0.2">
      <c r="DE136" s="197"/>
      <c r="DF136" s="197"/>
    </row>
    <row r="137" spans="109:110" ht="14.25" customHeight="1" x14ac:dyDescent="0.2">
      <c r="DE137" s="197"/>
      <c r="DF137" s="197"/>
    </row>
    <row r="138" spans="109:110" ht="14.25" customHeight="1" x14ac:dyDescent="0.2">
      <c r="DE138" s="197"/>
      <c r="DF138" s="197"/>
    </row>
    <row r="139" spans="109:110" ht="14.25" customHeight="1" x14ac:dyDescent="0.2">
      <c r="DE139" s="197"/>
      <c r="DF139" s="197"/>
    </row>
    <row r="140" spans="109:110" ht="14.25" customHeight="1" x14ac:dyDescent="0.2">
      <c r="DE140" s="197"/>
      <c r="DF140" s="197"/>
    </row>
    <row r="141" spans="109:110" ht="14.25" customHeight="1" x14ac:dyDescent="0.2">
      <c r="DE141" s="197"/>
      <c r="DF141" s="197"/>
    </row>
    <row r="142" spans="109:110" ht="14.25" customHeight="1" x14ac:dyDescent="0.2">
      <c r="DE142" s="197"/>
      <c r="DF142" s="197"/>
    </row>
    <row r="143" spans="109:110" ht="14.25" customHeight="1" x14ac:dyDescent="0.2">
      <c r="DE143" s="197"/>
      <c r="DF143" s="197"/>
    </row>
    <row r="144" spans="109:110" ht="14.25" customHeight="1" x14ac:dyDescent="0.2">
      <c r="DE144" s="197"/>
      <c r="DF144" s="197"/>
    </row>
    <row r="145" spans="105:110" ht="14.25" customHeight="1" x14ac:dyDescent="0.2">
      <c r="DE145" s="197"/>
      <c r="DF145" s="197"/>
    </row>
    <row r="146" spans="105:110" ht="14.25" customHeight="1" x14ac:dyDescent="0.2">
      <c r="DE146" s="197"/>
      <c r="DF146" s="197"/>
    </row>
    <row r="147" spans="105:110" ht="14.25" customHeight="1" x14ac:dyDescent="0.2">
      <c r="DE147" s="197"/>
      <c r="DF147" s="197"/>
    </row>
    <row r="148" spans="105:110" ht="14.25" customHeight="1" x14ac:dyDescent="0.2">
      <c r="DE148" s="197"/>
      <c r="DF148" s="197"/>
    </row>
    <row r="149" spans="105:110" ht="14.25" customHeight="1" x14ac:dyDescent="0.2">
      <c r="DE149" s="197"/>
      <c r="DF149" s="197"/>
    </row>
    <row r="150" spans="105:110" ht="14.25" customHeight="1" x14ac:dyDescent="0.2">
      <c r="DE150" s="197"/>
      <c r="DF150" s="197"/>
    </row>
    <row r="151" spans="105:110" ht="14.25" customHeight="1" x14ac:dyDescent="0.2">
      <c r="DE151" s="197"/>
      <c r="DF151" s="197"/>
    </row>
    <row r="152" spans="105:110" ht="14.25" customHeight="1" x14ac:dyDescent="0.2">
      <c r="DE152" s="197"/>
      <c r="DF152" s="197"/>
    </row>
    <row r="153" spans="105:110" ht="14.25" customHeight="1" x14ac:dyDescent="0.2">
      <c r="DE153" s="197"/>
      <c r="DF153" s="197"/>
    </row>
    <row r="154" spans="105:110" ht="14.25" customHeight="1" x14ac:dyDescent="0.2">
      <c r="DE154" s="197"/>
      <c r="DF154" s="197"/>
    </row>
    <row r="155" spans="105:110" ht="14.25" customHeight="1" x14ac:dyDescent="0.2">
      <c r="DA155" s="155"/>
      <c r="DE155" s="197"/>
      <c r="DF155" s="197"/>
    </row>
    <row r="156" spans="105:110" ht="14.25" customHeight="1" x14ac:dyDescent="0.2">
      <c r="DA156" s="155"/>
      <c r="DE156" s="197"/>
      <c r="DF156" s="197"/>
    </row>
    <row r="157" spans="105:110" ht="14.25" customHeight="1" x14ac:dyDescent="0.2">
      <c r="DA157" s="155"/>
      <c r="DE157" s="197"/>
      <c r="DF157" s="197"/>
    </row>
    <row r="158" spans="105:110" ht="14.25" customHeight="1" x14ac:dyDescent="0.2">
      <c r="DA158" s="155"/>
      <c r="DE158" s="197"/>
      <c r="DF158" s="197"/>
    </row>
    <row r="159" spans="105:110" ht="14.25" customHeight="1" x14ac:dyDescent="0.2">
      <c r="DA159" s="155"/>
      <c r="DE159" s="197"/>
      <c r="DF159" s="197"/>
    </row>
    <row r="160" spans="105:110" ht="14.25" customHeight="1" x14ac:dyDescent="0.2">
      <c r="DA160" s="155"/>
      <c r="DE160" s="197"/>
      <c r="DF160" s="197"/>
    </row>
    <row r="161" spans="105:110" ht="14.25" customHeight="1" x14ac:dyDescent="0.2">
      <c r="DA161" s="155"/>
      <c r="DE161" s="197"/>
      <c r="DF161" s="197"/>
    </row>
    <row r="162" spans="105:110" ht="14.25" customHeight="1" x14ac:dyDescent="0.2">
      <c r="DA162" s="155"/>
      <c r="DE162" s="197"/>
      <c r="DF162" s="197"/>
    </row>
    <row r="163" spans="105:110" ht="14.25" customHeight="1" x14ac:dyDescent="0.2">
      <c r="DA163" s="155"/>
      <c r="DE163" s="197"/>
      <c r="DF163" s="197"/>
    </row>
    <row r="164" spans="105:110" ht="14.25" customHeight="1" x14ac:dyDescent="0.2">
      <c r="DA164" s="155"/>
      <c r="DE164" s="197"/>
      <c r="DF164" s="197"/>
    </row>
    <row r="165" spans="105:110" ht="14.25" customHeight="1" x14ac:dyDescent="0.2">
      <c r="DA165" s="155"/>
      <c r="DE165" s="197"/>
      <c r="DF165" s="197"/>
    </row>
    <row r="166" spans="105:110" ht="14.25" customHeight="1" x14ac:dyDescent="0.2">
      <c r="DA166" s="155"/>
      <c r="DE166" s="197"/>
      <c r="DF166" s="197"/>
    </row>
    <row r="167" spans="105:110" ht="14.25" customHeight="1" x14ac:dyDescent="0.2">
      <c r="DA167" s="155"/>
      <c r="DE167" s="197"/>
      <c r="DF167" s="197"/>
    </row>
    <row r="168" spans="105:110" ht="14.25" customHeight="1" x14ac:dyDescent="0.2">
      <c r="DA168" s="155"/>
      <c r="DE168" s="197"/>
      <c r="DF168" s="197"/>
    </row>
    <row r="169" spans="105:110" ht="14.25" customHeight="1" x14ac:dyDescent="0.2">
      <c r="DA169" s="155"/>
      <c r="DE169" s="197"/>
      <c r="DF169" s="197"/>
    </row>
    <row r="170" spans="105:110" ht="14.25" customHeight="1" x14ac:dyDescent="0.2">
      <c r="DA170" s="155"/>
      <c r="DE170" s="197"/>
      <c r="DF170" s="197"/>
    </row>
    <row r="171" spans="105:110" ht="14.25" customHeight="1" x14ac:dyDescent="0.2">
      <c r="DA171" s="155"/>
      <c r="DE171" s="197"/>
      <c r="DF171" s="197"/>
    </row>
    <row r="172" spans="105:110" ht="14.25" customHeight="1" x14ac:dyDescent="0.2">
      <c r="DA172" s="155"/>
      <c r="DE172" s="197"/>
      <c r="DF172" s="197"/>
    </row>
    <row r="173" spans="105:110" ht="14.25" customHeight="1" x14ac:dyDescent="0.2">
      <c r="DA173" s="155"/>
      <c r="DE173" s="197"/>
      <c r="DF173" s="197"/>
    </row>
    <row r="174" spans="105:110" ht="14.25" customHeight="1" x14ac:dyDescent="0.2">
      <c r="DA174" s="155"/>
      <c r="DE174" s="197"/>
      <c r="DF174" s="197"/>
    </row>
    <row r="175" spans="105:110" ht="14.25" customHeight="1" x14ac:dyDescent="0.2">
      <c r="DA175" s="155"/>
      <c r="DE175" s="197"/>
      <c r="DF175" s="197"/>
    </row>
    <row r="176" spans="105:110" ht="14.25" customHeight="1" x14ac:dyDescent="0.2">
      <c r="DA176" s="155"/>
      <c r="DE176" s="197"/>
      <c r="DF176" s="197"/>
    </row>
    <row r="177" spans="105:110" ht="14.25" customHeight="1" x14ac:dyDescent="0.2">
      <c r="DA177" s="155"/>
      <c r="DE177" s="197"/>
      <c r="DF177" s="197"/>
    </row>
    <row r="178" spans="105:110" ht="14.25" customHeight="1" x14ac:dyDescent="0.2">
      <c r="DA178" s="155"/>
      <c r="DE178" s="197"/>
      <c r="DF178" s="197"/>
    </row>
    <row r="179" spans="105:110" ht="14.25" customHeight="1" x14ac:dyDescent="0.2">
      <c r="DA179" s="155"/>
      <c r="DE179" s="197"/>
      <c r="DF179" s="197"/>
    </row>
    <row r="180" spans="105:110" ht="14.25" customHeight="1" x14ac:dyDescent="0.2">
      <c r="DA180" s="155"/>
      <c r="DE180" s="197"/>
      <c r="DF180" s="197"/>
    </row>
    <row r="181" spans="105:110" ht="14.25" customHeight="1" x14ac:dyDescent="0.2">
      <c r="DA181" s="155"/>
      <c r="DE181" s="197"/>
      <c r="DF181" s="197"/>
    </row>
    <row r="182" spans="105:110" ht="14.25" customHeight="1" x14ac:dyDescent="0.2">
      <c r="DA182" s="155"/>
      <c r="DE182" s="197"/>
      <c r="DF182" s="197"/>
    </row>
    <row r="183" spans="105:110" ht="14.25" customHeight="1" x14ac:dyDescent="0.2">
      <c r="DA183" s="155"/>
      <c r="DE183" s="197"/>
      <c r="DF183" s="197"/>
    </row>
    <row r="184" spans="105:110" ht="14.25" customHeight="1" x14ac:dyDescent="0.2">
      <c r="DA184" s="155"/>
      <c r="DE184" s="197"/>
      <c r="DF184" s="197"/>
    </row>
    <row r="185" spans="105:110" ht="14.25" customHeight="1" x14ac:dyDescent="0.2">
      <c r="DA185" s="155"/>
      <c r="DE185" s="197"/>
      <c r="DF185" s="197"/>
    </row>
    <row r="186" spans="105:110" ht="14.25" customHeight="1" x14ac:dyDescent="0.2">
      <c r="DA186" s="155"/>
      <c r="DE186" s="197"/>
      <c r="DF186" s="197"/>
    </row>
    <row r="187" spans="105:110" ht="14.25" customHeight="1" x14ac:dyDescent="0.2">
      <c r="DA187" s="155"/>
      <c r="DE187" s="197"/>
      <c r="DF187" s="197"/>
    </row>
    <row r="188" spans="105:110" ht="14.25" customHeight="1" x14ac:dyDescent="0.2">
      <c r="DA188" s="155"/>
      <c r="DE188" s="197"/>
      <c r="DF188" s="197"/>
    </row>
    <row r="189" spans="105:110" ht="14.25" customHeight="1" x14ac:dyDescent="0.2">
      <c r="DA189" s="155"/>
      <c r="DE189" s="197"/>
      <c r="DF189" s="197"/>
    </row>
    <row r="190" spans="105:110" ht="14.25" customHeight="1" x14ac:dyDescent="0.2">
      <c r="DA190" s="155"/>
      <c r="DE190" s="197"/>
      <c r="DF190" s="197"/>
    </row>
    <row r="191" spans="105:110" ht="14.25" customHeight="1" x14ac:dyDescent="0.2">
      <c r="DA191" s="155"/>
      <c r="DE191" s="197"/>
      <c r="DF191" s="197"/>
    </row>
    <row r="192" spans="105:110" ht="14.25" customHeight="1" x14ac:dyDescent="0.2">
      <c r="DA192" s="155"/>
      <c r="DE192" s="197"/>
      <c r="DF192" s="197"/>
    </row>
    <row r="193" spans="105:110" ht="14.25" customHeight="1" x14ac:dyDescent="0.2">
      <c r="DA193" s="155"/>
      <c r="DE193" s="197"/>
      <c r="DF193" s="197"/>
    </row>
    <row r="194" spans="105:110" ht="14.25" customHeight="1" x14ac:dyDescent="0.2">
      <c r="DA194" s="155"/>
      <c r="DE194" s="197"/>
      <c r="DF194" s="197"/>
    </row>
    <row r="195" spans="105:110" ht="14.25" customHeight="1" x14ac:dyDescent="0.2">
      <c r="DA195" s="155"/>
      <c r="DE195" s="197"/>
      <c r="DF195" s="197"/>
    </row>
    <row r="196" spans="105:110" ht="14.25" customHeight="1" x14ac:dyDescent="0.2">
      <c r="DA196" s="155"/>
      <c r="DE196" s="197"/>
      <c r="DF196" s="197"/>
    </row>
    <row r="197" spans="105:110" ht="14.25" customHeight="1" x14ac:dyDescent="0.2">
      <c r="DA197" s="155"/>
      <c r="DE197" s="197"/>
      <c r="DF197" s="197"/>
    </row>
    <row r="198" spans="105:110" ht="14.25" customHeight="1" x14ac:dyDescent="0.2">
      <c r="DA198" s="155"/>
      <c r="DE198" s="197"/>
      <c r="DF198" s="197"/>
    </row>
    <row r="199" spans="105:110" ht="14.25" customHeight="1" x14ac:dyDescent="0.2">
      <c r="DA199" s="155"/>
      <c r="DE199" s="197"/>
      <c r="DF199" s="197"/>
    </row>
    <row r="200" spans="105:110" ht="14.25" customHeight="1" x14ac:dyDescent="0.2">
      <c r="DA200" s="155"/>
      <c r="DE200" s="197"/>
      <c r="DF200" s="197"/>
    </row>
    <row r="201" spans="105:110" ht="14.25" customHeight="1" x14ac:dyDescent="0.2">
      <c r="DA201" s="155"/>
      <c r="DE201" s="197"/>
      <c r="DF201" s="197"/>
    </row>
    <row r="202" spans="105:110" ht="14.25" customHeight="1" x14ac:dyDescent="0.2">
      <c r="DA202" s="155"/>
      <c r="DE202" s="197"/>
      <c r="DF202" s="197"/>
    </row>
    <row r="203" spans="105:110" ht="14.25" customHeight="1" x14ac:dyDescent="0.2">
      <c r="DA203" s="155"/>
      <c r="DE203" s="197"/>
      <c r="DF203" s="197"/>
    </row>
    <row r="204" spans="105:110" ht="14.25" customHeight="1" x14ac:dyDescent="0.2">
      <c r="DA204" s="155"/>
      <c r="DE204" s="197"/>
      <c r="DF204" s="197"/>
    </row>
    <row r="205" spans="105:110" ht="14.25" customHeight="1" x14ac:dyDescent="0.2">
      <c r="DA205" s="155"/>
      <c r="DE205" s="197"/>
      <c r="DF205" s="197"/>
    </row>
    <row r="206" spans="105:110" ht="14.25" customHeight="1" x14ac:dyDescent="0.2">
      <c r="DA206" s="155"/>
      <c r="DE206" s="197"/>
      <c r="DF206" s="197"/>
    </row>
    <row r="207" spans="105:110" ht="14.25" customHeight="1" x14ac:dyDescent="0.2">
      <c r="DA207" s="155"/>
      <c r="DE207" s="197"/>
      <c r="DF207" s="197"/>
    </row>
    <row r="208" spans="105:110" ht="14.25" customHeight="1" x14ac:dyDescent="0.2">
      <c r="DA208" s="155"/>
      <c r="DE208" s="197"/>
      <c r="DF208" s="197"/>
    </row>
    <row r="209" spans="105:110" ht="14.25" customHeight="1" x14ac:dyDescent="0.2">
      <c r="DA209" s="155"/>
      <c r="DE209" s="197"/>
      <c r="DF209" s="197"/>
    </row>
    <row r="210" spans="105:110" ht="14.25" customHeight="1" x14ac:dyDescent="0.2">
      <c r="DA210" s="155"/>
      <c r="DE210" s="197"/>
      <c r="DF210" s="197"/>
    </row>
    <row r="211" spans="105:110" ht="14.25" customHeight="1" x14ac:dyDescent="0.2">
      <c r="DA211" s="155"/>
      <c r="DE211" s="197"/>
      <c r="DF211" s="197"/>
    </row>
    <row r="212" spans="105:110" ht="14.25" customHeight="1" x14ac:dyDescent="0.2">
      <c r="DA212" s="155"/>
      <c r="DE212" s="197"/>
      <c r="DF212" s="197"/>
    </row>
    <row r="213" spans="105:110" ht="14.25" customHeight="1" x14ac:dyDescent="0.2">
      <c r="DA213" s="155"/>
      <c r="DE213" s="197"/>
      <c r="DF213" s="197"/>
    </row>
    <row r="214" spans="105:110" ht="14.25" customHeight="1" x14ac:dyDescent="0.2">
      <c r="DA214" s="155"/>
      <c r="DE214" s="197"/>
      <c r="DF214" s="197"/>
    </row>
    <row r="215" spans="105:110" ht="14.25" customHeight="1" x14ac:dyDescent="0.2">
      <c r="DA215" s="155"/>
      <c r="DE215" s="197"/>
      <c r="DF215" s="197"/>
    </row>
    <row r="216" spans="105:110" ht="14.25" customHeight="1" x14ac:dyDescent="0.2">
      <c r="DA216" s="155"/>
      <c r="DE216" s="197"/>
      <c r="DF216" s="197"/>
    </row>
    <row r="217" spans="105:110" ht="14.25" customHeight="1" x14ac:dyDescent="0.2">
      <c r="DA217" s="155"/>
      <c r="DE217" s="197"/>
      <c r="DF217" s="197"/>
    </row>
    <row r="218" spans="105:110" ht="14.25" customHeight="1" x14ac:dyDescent="0.2">
      <c r="DA218" s="155"/>
      <c r="DE218" s="197"/>
      <c r="DF218" s="197"/>
    </row>
    <row r="219" spans="105:110" ht="14.25" customHeight="1" x14ac:dyDescent="0.2">
      <c r="DA219" s="155"/>
      <c r="DE219" s="197"/>
      <c r="DF219" s="197"/>
    </row>
    <row r="220" spans="105:110" ht="14.25" customHeight="1" x14ac:dyDescent="0.2">
      <c r="DA220" s="155"/>
      <c r="DE220" s="197"/>
      <c r="DF220" s="197"/>
    </row>
    <row r="221" spans="105:110" ht="14.25" customHeight="1" x14ac:dyDescent="0.2">
      <c r="DA221" s="155"/>
      <c r="DE221" s="197"/>
      <c r="DF221" s="197"/>
    </row>
    <row r="222" spans="105:110" ht="14.25" customHeight="1" x14ac:dyDescent="0.2">
      <c r="DA222" s="155"/>
      <c r="DE222" s="197"/>
      <c r="DF222" s="197"/>
    </row>
    <row r="223" spans="105:110" ht="14.25" customHeight="1" x14ac:dyDescent="0.2">
      <c r="DA223" s="155"/>
      <c r="DE223" s="197"/>
      <c r="DF223" s="197"/>
    </row>
    <row r="224" spans="105:110" ht="14.25" customHeight="1" x14ac:dyDescent="0.2">
      <c r="DA224" s="155"/>
      <c r="DE224" s="197"/>
      <c r="DF224" s="197"/>
    </row>
    <row r="225" spans="105:110" ht="14.25" customHeight="1" x14ac:dyDescent="0.2">
      <c r="DA225" s="155"/>
      <c r="DE225" s="197"/>
      <c r="DF225" s="197"/>
    </row>
    <row r="226" spans="105:110" ht="14.25" customHeight="1" x14ac:dyDescent="0.2">
      <c r="DA226" s="155"/>
      <c r="DE226" s="197"/>
      <c r="DF226" s="197"/>
    </row>
    <row r="227" spans="105:110" ht="14.25" customHeight="1" x14ac:dyDescent="0.2">
      <c r="DA227" s="155"/>
      <c r="DE227" s="197"/>
      <c r="DF227" s="197"/>
    </row>
    <row r="228" spans="105:110" ht="14.25" customHeight="1" x14ac:dyDescent="0.2">
      <c r="DA228" s="155"/>
      <c r="DE228" s="197"/>
      <c r="DF228" s="197"/>
    </row>
    <row r="229" spans="105:110" ht="14.25" customHeight="1" x14ac:dyDescent="0.2">
      <c r="DA229" s="155"/>
      <c r="DE229" s="197"/>
      <c r="DF229" s="197"/>
    </row>
    <row r="230" spans="105:110" ht="14.25" customHeight="1" x14ac:dyDescent="0.2">
      <c r="DA230" s="155"/>
      <c r="DE230" s="197"/>
      <c r="DF230" s="197"/>
    </row>
    <row r="231" spans="105:110" ht="14.25" customHeight="1" x14ac:dyDescent="0.2">
      <c r="DA231" s="155"/>
      <c r="DE231" s="197"/>
      <c r="DF231" s="197"/>
    </row>
    <row r="232" spans="105:110" ht="14.25" customHeight="1" x14ac:dyDescent="0.2">
      <c r="DA232" s="155"/>
      <c r="DE232" s="197"/>
      <c r="DF232" s="197"/>
    </row>
    <row r="233" spans="105:110" ht="14.25" customHeight="1" x14ac:dyDescent="0.2">
      <c r="DA233" s="155"/>
      <c r="DE233" s="197"/>
      <c r="DF233" s="197"/>
    </row>
    <row r="234" spans="105:110" ht="14.25" customHeight="1" x14ac:dyDescent="0.2">
      <c r="DA234" s="155"/>
      <c r="DE234" s="197"/>
      <c r="DF234" s="197"/>
    </row>
    <row r="235" spans="105:110" ht="14.25" customHeight="1" x14ac:dyDescent="0.2">
      <c r="DA235" s="155"/>
      <c r="DE235" s="197"/>
      <c r="DF235" s="197"/>
    </row>
    <row r="236" spans="105:110" ht="14.25" customHeight="1" x14ac:dyDescent="0.2">
      <c r="DA236" s="155"/>
      <c r="DE236" s="197"/>
      <c r="DF236" s="197"/>
    </row>
    <row r="237" spans="105:110" ht="14.25" customHeight="1" x14ac:dyDescent="0.2">
      <c r="DA237" s="155"/>
      <c r="DE237" s="197"/>
      <c r="DF237" s="197"/>
    </row>
    <row r="238" spans="105:110" ht="14.25" customHeight="1" x14ac:dyDescent="0.2">
      <c r="DA238" s="155"/>
      <c r="DE238" s="197"/>
      <c r="DF238" s="197"/>
    </row>
    <row r="239" spans="105:110" ht="14.25" customHeight="1" x14ac:dyDescent="0.2">
      <c r="DA239" s="155"/>
      <c r="DE239" s="197"/>
      <c r="DF239" s="197"/>
    </row>
    <row r="240" spans="105:110" ht="14.25" customHeight="1" x14ac:dyDescent="0.2">
      <c r="DA240" s="155"/>
      <c r="DE240" s="197"/>
      <c r="DF240" s="197"/>
    </row>
    <row r="241" spans="105:110" ht="14.25" customHeight="1" x14ac:dyDescent="0.2">
      <c r="DA241" s="155"/>
      <c r="DE241" s="197"/>
      <c r="DF241" s="197"/>
    </row>
    <row r="242" spans="105:110" ht="14.25" customHeight="1" x14ac:dyDescent="0.2">
      <c r="DA242" s="155"/>
      <c r="DE242" s="197"/>
      <c r="DF242" s="197"/>
    </row>
    <row r="243" spans="105:110" ht="14.25" customHeight="1" x14ac:dyDescent="0.2">
      <c r="DA243" s="155"/>
      <c r="DE243" s="197"/>
      <c r="DF243" s="197"/>
    </row>
    <row r="244" spans="105:110" ht="14.25" customHeight="1" x14ac:dyDescent="0.2">
      <c r="DA244" s="155"/>
      <c r="DE244" s="197"/>
      <c r="DF244" s="197"/>
    </row>
    <row r="245" spans="105:110" ht="14.25" customHeight="1" x14ac:dyDescent="0.2">
      <c r="DA245" s="155"/>
      <c r="DE245" s="197"/>
      <c r="DF245" s="197"/>
    </row>
    <row r="246" spans="105:110" ht="14.25" customHeight="1" x14ac:dyDescent="0.2">
      <c r="DA246" s="155"/>
      <c r="DE246" s="197"/>
      <c r="DF246" s="197"/>
    </row>
    <row r="247" spans="105:110" ht="14.25" customHeight="1" x14ac:dyDescent="0.2">
      <c r="DA247" s="155"/>
      <c r="DE247" s="197"/>
      <c r="DF247" s="197"/>
    </row>
    <row r="248" spans="105:110" ht="14.25" customHeight="1" x14ac:dyDescent="0.2">
      <c r="DA248" s="155"/>
      <c r="DE248" s="197"/>
      <c r="DF248" s="197"/>
    </row>
    <row r="249" spans="105:110" ht="14.25" customHeight="1" x14ac:dyDescent="0.2">
      <c r="DA249" s="155"/>
      <c r="DE249" s="197"/>
      <c r="DF249" s="197"/>
    </row>
    <row r="250" spans="105:110" ht="14.25" customHeight="1" x14ac:dyDescent="0.2">
      <c r="DA250" s="155"/>
      <c r="DE250" s="197"/>
      <c r="DF250" s="197"/>
    </row>
    <row r="251" spans="105:110" ht="14.25" customHeight="1" x14ac:dyDescent="0.2">
      <c r="DA251" s="155"/>
      <c r="DE251" s="197"/>
      <c r="DF251" s="197"/>
    </row>
    <row r="252" spans="105:110" ht="14.25" customHeight="1" x14ac:dyDescent="0.2">
      <c r="DA252" s="155"/>
      <c r="DE252" s="197"/>
      <c r="DF252" s="197"/>
    </row>
    <row r="253" spans="105:110" ht="14.25" customHeight="1" x14ac:dyDescent="0.2">
      <c r="DA253" s="155"/>
      <c r="DE253" s="197"/>
      <c r="DF253" s="197"/>
    </row>
    <row r="254" spans="105:110" ht="14.25" customHeight="1" x14ac:dyDescent="0.2">
      <c r="DA254" s="155"/>
      <c r="DE254" s="197"/>
      <c r="DF254" s="197"/>
    </row>
    <row r="255" spans="105:110" ht="14.25" customHeight="1" x14ac:dyDescent="0.2">
      <c r="DA255" s="155"/>
      <c r="DE255" s="197"/>
      <c r="DF255" s="197"/>
    </row>
    <row r="256" spans="105:110" ht="14.25" customHeight="1" x14ac:dyDescent="0.2">
      <c r="DA256" s="155"/>
      <c r="DE256" s="197"/>
      <c r="DF256" s="197"/>
    </row>
    <row r="257" spans="105:110" ht="14.25" customHeight="1" x14ac:dyDescent="0.2">
      <c r="DA257" s="155"/>
      <c r="DE257" s="197"/>
      <c r="DF257" s="197"/>
    </row>
    <row r="258" spans="105:110" ht="14.25" customHeight="1" x14ac:dyDescent="0.2">
      <c r="DA258" s="155"/>
      <c r="DE258" s="197"/>
      <c r="DF258" s="197"/>
    </row>
    <row r="259" spans="105:110" ht="14.25" customHeight="1" x14ac:dyDescent="0.2">
      <c r="DA259" s="155"/>
      <c r="DE259" s="197"/>
      <c r="DF259" s="197"/>
    </row>
    <row r="260" spans="105:110" ht="14.25" customHeight="1" x14ac:dyDescent="0.2">
      <c r="DA260" s="155"/>
      <c r="DE260" s="197"/>
      <c r="DF260" s="197"/>
    </row>
    <row r="261" spans="105:110" ht="14.25" customHeight="1" x14ac:dyDescent="0.2">
      <c r="DA261" s="155"/>
      <c r="DE261" s="197"/>
      <c r="DF261" s="197"/>
    </row>
    <row r="262" spans="105:110" ht="14.25" customHeight="1" x14ac:dyDescent="0.2">
      <c r="DA262" s="155"/>
      <c r="DE262" s="197"/>
      <c r="DF262" s="197"/>
    </row>
    <row r="263" spans="105:110" ht="14.25" customHeight="1" x14ac:dyDescent="0.2">
      <c r="DA263" s="155"/>
      <c r="DE263" s="197"/>
      <c r="DF263" s="197"/>
    </row>
    <row r="264" spans="105:110" ht="14.25" customHeight="1" x14ac:dyDescent="0.2">
      <c r="DA264" s="155"/>
      <c r="DE264" s="197"/>
      <c r="DF264" s="197"/>
    </row>
    <row r="265" spans="105:110" ht="14.25" customHeight="1" x14ac:dyDescent="0.2">
      <c r="DA265" s="155"/>
      <c r="DE265" s="197"/>
      <c r="DF265" s="197"/>
    </row>
    <row r="266" spans="105:110" ht="14.25" customHeight="1" x14ac:dyDescent="0.2">
      <c r="DA266" s="155"/>
      <c r="DE266" s="197"/>
      <c r="DF266" s="197"/>
    </row>
    <row r="267" spans="105:110" ht="14.25" customHeight="1" x14ac:dyDescent="0.2">
      <c r="DA267" s="155"/>
      <c r="DE267" s="197"/>
      <c r="DF267" s="197"/>
    </row>
    <row r="268" spans="105:110" ht="14.25" customHeight="1" x14ac:dyDescent="0.2">
      <c r="DA268" s="155"/>
      <c r="DE268" s="197"/>
      <c r="DF268" s="197"/>
    </row>
    <row r="269" spans="105:110" ht="14.25" customHeight="1" x14ac:dyDescent="0.2">
      <c r="DA269" s="155"/>
      <c r="DE269" s="197"/>
      <c r="DF269" s="197"/>
    </row>
    <row r="270" spans="105:110" ht="14.25" customHeight="1" x14ac:dyDescent="0.2">
      <c r="DA270" s="155"/>
      <c r="DE270" s="197"/>
      <c r="DF270" s="197"/>
    </row>
    <row r="271" spans="105:110" ht="14.25" customHeight="1" x14ac:dyDescent="0.2">
      <c r="DA271" s="155"/>
      <c r="DE271" s="197"/>
      <c r="DF271" s="197"/>
    </row>
    <row r="272" spans="105:110" ht="14.25" customHeight="1" x14ac:dyDescent="0.2">
      <c r="DA272" s="155"/>
      <c r="DE272" s="197"/>
      <c r="DF272" s="197"/>
    </row>
    <row r="273" spans="105:110" ht="14.25" customHeight="1" x14ac:dyDescent="0.2">
      <c r="DA273" s="155"/>
      <c r="DE273" s="197"/>
      <c r="DF273" s="197"/>
    </row>
    <row r="274" spans="105:110" ht="14.25" customHeight="1" x14ac:dyDescent="0.2">
      <c r="DA274" s="155"/>
      <c r="DE274" s="197"/>
      <c r="DF274" s="197"/>
    </row>
    <row r="275" spans="105:110" ht="14.25" customHeight="1" x14ac:dyDescent="0.2">
      <c r="DA275" s="155"/>
      <c r="DE275" s="197"/>
      <c r="DF275" s="197"/>
    </row>
    <row r="276" spans="105:110" ht="14.25" customHeight="1" x14ac:dyDescent="0.2">
      <c r="DA276" s="155"/>
      <c r="DE276" s="197"/>
      <c r="DF276" s="197"/>
    </row>
    <row r="277" spans="105:110" ht="14.25" customHeight="1" x14ac:dyDescent="0.2">
      <c r="DA277" s="155"/>
      <c r="DE277" s="197"/>
      <c r="DF277" s="197"/>
    </row>
    <row r="278" spans="105:110" ht="14.25" customHeight="1" x14ac:dyDescent="0.2">
      <c r="DA278" s="155"/>
      <c r="DE278" s="197"/>
      <c r="DF278" s="197"/>
    </row>
    <row r="279" spans="105:110" ht="14.25" customHeight="1" x14ac:dyDescent="0.2">
      <c r="DA279" s="155"/>
      <c r="DE279" s="197"/>
      <c r="DF279" s="197"/>
    </row>
    <row r="280" spans="105:110" ht="14.25" customHeight="1" x14ac:dyDescent="0.2">
      <c r="DA280" s="155"/>
      <c r="DE280" s="197"/>
      <c r="DF280" s="197"/>
    </row>
    <row r="281" spans="105:110" ht="14.25" customHeight="1" x14ac:dyDescent="0.2">
      <c r="DA281" s="155"/>
      <c r="DE281" s="197"/>
      <c r="DF281" s="197"/>
    </row>
    <row r="282" spans="105:110" ht="14.25" customHeight="1" x14ac:dyDescent="0.2">
      <c r="DA282" s="155"/>
      <c r="DE282" s="197"/>
      <c r="DF282" s="197"/>
    </row>
    <row r="283" spans="105:110" ht="14.25" customHeight="1" x14ac:dyDescent="0.2">
      <c r="DA283" s="155"/>
      <c r="DE283" s="197"/>
      <c r="DF283" s="197"/>
    </row>
    <row r="284" spans="105:110" ht="14.25" customHeight="1" x14ac:dyDescent="0.2">
      <c r="DA284" s="155"/>
      <c r="DE284" s="197"/>
      <c r="DF284" s="197"/>
    </row>
    <row r="285" spans="105:110" ht="14.25" customHeight="1" x14ac:dyDescent="0.2">
      <c r="DA285" s="155"/>
      <c r="DE285" s="197"/>
      <c r="DF285" s="197"/>
    </row>
    <row r="286" spans="105:110" ht="14.25" customHeight="1" x14ac:dyDescent="0.2">
      <c r="DA286" s="155"/>
      <c r="DE286" s="197"/>
      <c r="DF286" s="197"/>
    </row>
    <row r="287" spans="105:110" ht="14.25" customHeight="1" x14ac:dyDescent="0.2">
      <c r="DA287" s="155"/>
      <c r="DE287" s="197"/>
      <c r="DF287" s="197"/>
    </row>
    <row r="288" spans="105:110" ht="14.25" customHeight="1" x14ac:dyDescent="0.2">
      <c r="DA288" s="155"/>
      <c r="DE288" s="197"/>
      <c r="DF288" s="197"/>
    </row>
    <row r="289" spans="105:110" ht="14.25" customHeight="1" x14ac:dyDescent="0.2">
      <c r="DA289" s="155"/>
      <c r="DE289" s="197"/>
      <c r="DF289" s="197"/>
    </row>
    <row r="290" spans="105:110" ht="14.25" customHeight="1" x14ac:dyDescent="0.2">
      <c r="DA290" s="155"/>
      <c r="DE290" s="197"/>
      <c r="DF290" s="197"/>
    </row>
    <row r="291" spans="105:110" ht="14.25" customHeight="1" x14ac:dyDescent="0.2">
      <c r="DA291" s="155"/>
      <c r="DE291" s="197"/>
      <c r="DF291" s="197"/>
    </row>
    <row r="292" spans="105:110" ht="14.25" customHeight="1" x14ac:dyDescent="0.2">
      <c r="DA292" s="155"/>
      <c r="DE292" s="197"/>
      <c r="DF292" s="197"/>
    </row>
    <row r="293" spans="105:110" ht="14.25" customHeight="1" x14ac:dyDescent="0.2">
      <c r="DA293" s="155"/>
      <c r="DE293" s="197"/>
      <c r="DF293" s="197"/>
    </row>
    <row r="294" spans="105:110" ht="14.25" customHeight="1" x14ac:dyDescent="0.2">
      <c r="DA294" s="155"/>
      <c r="DE294" s="197"/>
      <c r="DF294" s="197"/>
    </row>
    <row r="295" spans="105:110" ht="14.25" customHeight="1" x14ac:dyDescent="0.2">
      <c r="DA295" s="155"/>
      <c r="DE295" s="197"/>
      <c r="DF295" s="197"/>
    </row>
    <row r="296" spans="105:110" ht="14.25" customHeight="1" x14ac:dyDescent="0.2">
      <c r="DA296" s="155"/>
      <c r="DE296" s="197"/>
      <c r="DF296" s="197"/>
    </row>
    <row r="297" spans="105:110" ht="14.25" customHeight="1" x14ac:dyDescent="0.2">
      <c r="DA297" s="155"/>
      <c r="DE297" s="197"/>
      <c r="DF297" s="197"/>
    </row>
    <row r="298" spans="105:110" ht="14.25" customHeight="1" x14ac:dyDescent="0.2">
      <c r="DA298" s="155"/>
      <c r="DE298" s="197"/>
      <c r="DF298" s="197"/>
    </row>
    <row r="299" spans="105:110" ht="14.25" customHeight="1" x14ac:dyDescent="0.2">
      <c r="DA299" s="155"/>
      <c r="DE299" s="197"/>
      <c r="DF299" s="197"/>
    </row>
    <row r="300" spans="105:110" ht="14.25" customHeight="1" x14ac:dyDescent="0.2">
      <c r="DA300" s="155"/>
      <c r="DE300" s="197"/>
      <c r="DF300" s="197"/>
    </row>
    <row r="301" spans="105:110" ht="14.25" customHeight="1" x14ac:dyDescent="0.2">
      <c r="DA301" s="155"/>
      <c r="DE301" s="197"/>
      <c r="DF301" s="197"/>
    </row>
    <row r="302" spans="105:110" ht="14.25" customHeight="1" x14ac:dyDescent="0.2">
      <c r="DA302" s="155"/>
      <c r="DE302" s="197"/>
      <c r="DF302" s="197"/>
    </row>
    <row r="303" spans="105:110" ht="14.25" customHeight="1" x14ac:dyDescent="0.2">
      <c r="DA303" s="155"/>
      <c r="DE303" s="197"/>
      <c r="DF303" s="197"/>
    </row>
    <row r="304" spans="105:110" ht="14.25" customHeight="1" x14ac:dyDescent="0.2">
      <c r="DA304" s="155"/>
      <c r="DE304" s="197"/>
      <c r="DF304" s="197"/>
    </row>
    <row r="305" spans="105:110" ht="14.25" customHeight="1" x14ac:dyDescent="0.2">
      <c r="DA305" s="155"/>
      <c r="DE305" s="197"/>
      <c r="DF305" s="197"/>
    </row>
    <row r="306" spans="105:110" ht="14.25" customHeight="1" x14ac:dyDescent="0.2">
      <c r="DA306" s="155"/>
      <c r="DE306" s="197"/>
      <c r="DF306" s="197"/>
    </row>
    <row r="307" spans="105:110" ht="14.25" customHeight="1" x14ac:dyDescent="0.2">
      <c r="DA307" s="155"/>
      <c r="DE307" s="197"/>
      <c r="DF307" s="197"/>
    </row>
    <row r="308" spans="105:110" ht="14.25" customHeight="1" x14ac:dyDescent="0.2">
      <c r="DA308" s="155"/>
      <c r="DE308" s="197"/>
      <c r="DF308" s="197"/>
    </row>
    <row r="309" spans="105:110" ht="14.25" customHeight="1" x14ac:dyDescent="0.2">
      <c r="DA309" s="155"/>
      <c r="DE309" s="197"/>
      <c r="DF309" s="197"/>
    </row>
    <row r="310" spans="105:110" ht="14.25" customHeight="1" x14ac:dyDescent="0.2">
      <c r="DA310" s="155"/>
      <c r="DE310" s="197"/>
      <c r="DF310" s="197"/>
    </row>
    <row r="311" spans="105:110" ht="14.25" customHeight="1" x14ac:dyDescent="0.2">
      <c r="DA311" s="155"/>
      <c r="DE311" s="197"/>
      <c r="DF311" s="197"/>
    </row>
    <row r="312" spans="105:110" ht="14.25" customHeight="1" x14ac:dyDescent="0.2">
      <c r="DA312" s="155"/>
      <c r="DE312" s="197"/>
      <c r="DF312" s="197"/>
    </row>
    <row r="313" spans="105:110" ht="14.25" customHeight="1" x14ac:dyDescent="0.2">
      <c r="DA313" s="155"/>
      <c r="DE313" s="197"/>
      <c r="DF313" s="197"/>
    </row>
    <row r="314" spans="105:110" ht="14.25" customHeight="1" x14ac:dyDescent="0.2">
      <c r="DA314" s="155"/>
      <c r="DE314" s="197"/>
      <c r="DF314" s="197"/>
    </row>
    <row r="315" spans="105:110" ht="14.25" customHeight="1" x14ac:dyDescent="0.2">
      <c r="DA315" s="155"/>
      <c r="DE315" s="197"/>
      <c r="DF315" s="197"/>
    </row>
    <row r="316" spans="105:110" ht="14.25" customHeight="1" x14ac:dyDescent="0.2">
      <c r="DA316" s="155"/>
      <c r="DE316" s="197"/>
      <c r="DF316" s="197"/>
    </row>
    <row r="317" spans="105:110" ht="14.25" customHeight="1" x14ac:dyDescent="0.2">
      <c r="DA317" s="155"/>
      <c r="DE317" s="197"/>
      <c r="DF317" s="197"/>
    </row>
    <row r="318" spans="105:110" ht="14.25" customHeight="1" x14ac:dyDescent="0.2">
      <c r="DA318" s="155"/>
      <c r="DE318" s="197"/>
      <c r="DF318" s="197"/>
    </row>
    <row r="319" spans="105:110" ht="14.25" customHeight="1" x14ac:dyDescent="0.2">
      <c r="DA319" s="155"/>
      <c r="DE319" s="197"/>
      <c r="DF319" s="197"/>
    </row>
    <row r="320" spans="105:110" ht="14.25" customHeight="1" x14ac:dyDescent="0.2">
      <c r="DA320" s="155"/>
      <c r="DE320" s="197"/>
      <c r="DF320" s="197"/>
    </row>
    <row r="321" spans="105:110" ht="14.25" customHeight="1" x14ac:dyDescent="0.2">
      <c r="DA321" s="155"/>
      <c r="DE321" s="197"/>
      <c r="DF321" s="197"/>
    </row>
    <row r="322" spans="105:110" ht="14.25" customHeight="1" x14ac:dyDescent="0.2">
      <c r="DA322" s="155"/>
      <c r="DE322" s="197"/>
      <c r="DF322" s="197"/>
    </row>
    <row r="323" spans="105:110" ht="14.25" customHeight="1" x14ac:dyDescent="0.2">
      <c r="DA323" s="155"/>
      <c r="DE323" s="197"/>
      <c r="DF323" s="197"/>
    </row>
    <row r="324" spans="105:110" ht="14.25" customHeight="1" x14ac:dyDescent="0.2">
      <c r="DA324" s="155"/>
      <c r="DE324" s="197"/>
      <c r="DF324" s="197"/>
    </row>
    <row r="325" spans="105:110" ht="14.25" customHeight="1" x14ac:dyDescent="0.2">
      <c r="DA325" s="155"/>
      <c r="DE325" s="197"/>
      <c r="DF325" s="197"/>
    </row>
    <row r="326" spans="105:110" ht="14.25" customHeight="1" x14ac:dyDescent="0.2">
      <c r="DA326" s="155"/>
      <c r="DE326" s="197"/>
      <c r="DF326" s="197"/>
    </row>
    <row r="327" spans="105:110" ht="14.25" customHeight="1" x14ac:dyDescent="0.2">
      <c r="DA327" s="155"/>
      <c r="DE327" s="197"/>
      <c r="DF327" s="197"/>
    </row>
    <row r="328" spans="105:110" ht="14.25" customHeight="1" x14ac:dyDescent="0.2">
      <c r="DA328" s="155"/>
      <c r="DE328" s="197"/>
      <c r="DF328" s="197"/>
    </row>
    <row r="329" spans="105:110" ht="14.25" customHeight="1" x14ac:dyDescent="0.2">
      <c r="DA329" s="155"/>
      <c r="DE329" s="197"/>
      <c r="DF329" s="197"/>
    </row>
    <row r="330" spans="105:110" ht="14.25" customHeight="1" x14ac:dyDescent="0.2">
      <c r="DA330" s="155"/>
      <c r="DE330" s="197"/>
      <c r="DF330" s="197"/>
    </row>
    <row r="331" spans="105:110" ht="14.25" customHeight="1" x14ac:dyDescent="0.2">
      <c r="DA331" s="155"/>
      <c r="DE331" s="197"/>
      <c r="DF331" s="197"/>
    </row>
    <row r="332" spans="105:110" ht="14.25" customHeight="1" x14ac:dyDescent="0.2">
      <c r="DA332" s="155"/>
      <c r="DE332" s="197"/>
      <c r="DF332" s="197"/>
    </row>
    <row r="333" spans="105:110" ht="14.25" customHeight="1" x14ac:dyDescent="0.2">
      <c r="DA333" s="155"/>
      <c r="DE333" s="197"/>
      <c r="DF333" s="197"/>
    </row>
    <row r="334" spans="105:110" ht="14.25" customHeight="1" x14ac:dyDescent="0.2">
      <c r="DA334" s="155"/>
      <c r="DE334" s="197"/>
      <c r="DF334" s="197"/>
    </row>
    <row r="335" spans="105:110" ht="14.25" customHeight="1" x14ac:dyDescent="0.2">
      <c r="DA335" s="155"/>
      <c r="DE335" s="197"/>
      <c r="DF335" s="197"/>
    </row>
    <row r="336" spans="105:110" ht="14.25" customHeight="1" x14ac:dyDescent="0.2">
      <c r="DA336" s="155"/>
      <c r="DE336" s="197"/>
      <c r="DF336" s="197"/>
    </row>
    <row r="337" spans="105:110" ht="14.25" customHeight="1" x14ac:dyDescent="0.2">
      <c r="DA337" s="155"/>
      <c r="DE337" s="197"/>
      <c r="DF337" s="197"/>
    </row>
    <row r="338" spans="105:110" ht="14.25" customHeight="1" x14ac:dyDescent="0.2">
      <c r="DA338" s="155"/>
      <c r="DE338" s="197"/>
      <c r="DF338" s="197"/>
    </row>
    <row r="339" spans="105:110" ht="14.25" customHeight="1" x14ac:dyDescent="0.2">
      <c r="DA339" s="155"/>
      <c r="DE339" s="197"/>
      <c r="DF339" s="197"/>
    </row>
    <row r="340" spans="105:110" ht="14.25" customHeight="1" x14ac:dyDescent="0.2">
      <c r="DA340" s="155"/>
      <c r="DE340" s="197"/>
      <c r="DF340" s="197"/>
    </row>
    <row r="341" spans="105:110" ht="14.25" customHeight="1" x14ac:dyDescent="0.2">
      <c r="DA341" s="155"/>
      <c r="DE341" s="197"/>
      <c r="DF341" s="197"/>
    </row>
    <row r="342" spans="105:110" ht="14.25" customHeight="1" x14ac:dyDescent="0.2">
      <c r="DA342" s="155"/>
      <c r="DE342" s="197"/>
      <c r="DF342" s="197"/>
    </row>
    <row r="343" spans="105:110" ht="14.25" customHeight="1" x14ac:dyDescent="0.2">
      <c r="DA343" s="155"/>
      <c r="DE343" s="197"/>
      <c r="DF343" s="197"/>
    </row>
    <row r="344" spans="105:110" ht="14.25" customHeight="1" x14ac:dyDescent="0.2">
      <c r="DA344" s="155"/>
      <c r="DE344" s="197"/>
      <c r="DF344" s="197"/>
    </row>
    <row r="345" spans="105:110" ht="14.25" customHeight="1" x14ac:dyDescent="0.2">
      <c r="DA345" s="155"/>
      <c r="DE345" s="197"/>
      <c r="DF345" s="197"/>
    </row>
    <row r="346" spans="105:110" ht="14.25" customHeight="1" x14ac:dyDescent="0.2">
      <c r="DA346" s="155"/>
      <c r="DE346" s="197"/>
      <c r="DF346" s="197"/>
    </row>
    <row r="347" spans="105:110" ht="14.25" customHeight="1" x14ac:dyDescent="0.2">
      <c r="DA347" s="155"/>
      <c r="DE347" s="197"/>
      <c r="DF347" s="197"/>
    </row>
    <row r="348" spans="105:110" ht="14.25" customHeight="1" x14ac:dyDescent="0.2">
      <c r="DA348" s="155"/>
      <c r="DE348" s="197"/>
      <c r="DF348" s="197"/>
    </row>
    <row r="349" spans="105:110" ht="14.25" customHeight="1" x14ac:dyDescent="0.2">
      <c r="DA349" s="155"/>
      <c r="DE349" s="197"/>
      <c r="DF349" s="197"/>
    </row>
    <row r="350" spans="105:110" ht="14.25" customHeight="1" x14ac:dyDescent="0.2">
      <c r="DA350" s="155"/>
      <c r="DE350" s="197"/>
      <c r="DF350" s="197"/>
    </row>
    <row r="351" spans="105:110" ht="14.25" customHeight="1" x14ac:dyDescent="0.2">
      <c r="DA351" s="155"/>
      <c r="DE351" s="197"/>
      <c r="DF351" s="197"/>
    </row>
    <row r="352" spans="105:110" ht="14.25" customHeight="1" x14ac:dyDescent="0.2">
      <c r="DA352" s="155"/>
      <c r="DE352" s="197"/>
      <c r="DF352" s="197"/>
    </row>
    <row r="353" spans="105:110" ht="14.25" customHeight="1" x14ac:dyDescent="0.2">
      <c r="DA353" s="155"/>
      <c r="DE353" s="197"/>
      <c r="DF353" s="197"/>
    </row>
    <row r="354" spans="105:110" ht="14.25" customHeight="1" x14ac:dyDescent="0.2">
      <c r="DA354" s="155"/>
      <c r="DE354" s="197"/>
      <c r="DF354" s="197"/>
    </row>
    <row r="355" spans="105:110" ht="14.25" customHeight="1" x14ac:dyDescent="0.2">
      <c r="DA355" s="155"/>
      <c r="DE355" s="197"/>
      <c r="DF355" s="197"/>
    </row>
    <row r="356" spans="105:110" ht="14.25" customHeight="1" x14ac:dyDescent="0.2">
      <c r="DA356" s="155"/>
      <c r="DE356" s="197"/>
      <c r="DF356" s="197"/>
    </row>
    <row r="357" spans="105:110" ht="14.25" customHeight="1" x14ac:dyDescent="0.2">
      <c r="DA357" s="155"/>
      <c r="DE357" s="197"/>
      <c r="DF357" s="197"/>
    </row>
    <row r="358" spans="105:110" ht="14.25" customHeight="1" x14ac:dyDescent="0.2">
      <c r="DA358" s="155"/>
      <c r="DE358" s="197"/>
      <c r="DF358" s="197"/>
    </row>
    <row r="359" spans="105:110" ht="14.25" customHeight="1" x14ac:dyDescent="0.2">
      <c r="DA359" s="155"/>
      <c r="DE359" s="197"/>
      <c r="DF359" s="197"/>
    </row>
    <row r="360" spans="105:110" ht="14.25" customHeight="1" x14ac:dyDescent="0.2">
      <c r="DA360" s="155"/>
      <c r="DE360" s="197"/>
      <c r="DF360" s="197"/>
    </row>
    <row r="361" spans="105:110" ht="14.25" customHeight="1" x14ac:dyDescent="0.2">
      <c r="DA361" s="155"/>
      <c r="DE361" s="197"/>
      <c r="DF361" s="197"/>
    </row>
    <row r="362" spans="105:110" ht="14.25" customHeight="1" x14ac:dyDescent="0.2">
      <c r="DA362" s="155"/>
      <c r="DE362" s="197"/>
      <c r="DF362" s="197"/>
    </row>
    <row r="363" spans="105:110" ht="14.25" customHeight="1" x14ac:dyDescent="0.2">
      <c r="DA363" s="155"/>
      <c r="DE363" s="197"/>
      <c r="DF363" s="197"/>
    </row>
    <row r="364" spans="105:110" ht="14.25" customHeight="1" x14ac:dyDescent="0.2">
      <c r="DA364" s="155"/>
      <c r="DE364" s="197"/>
      <c r="DF364" s="197"/>
    </row>
    <row r="365" spans="105:110" ht="14.25" customHeight="1" x14ac:dyDescent="0.2">
      <c r="DA365" s="155"/>
      <c r="DE365" s="197"/>
      <c r="DF365" s="197"/>
    </row>
    <row r="366" spans="105:110" ht="14.25" customHeight="1" x14ac:dyDescent="0.2">
      <c r="DA366" s="155"/>
      <c r="DE366" s="197"/>
      <c r="DF366" s="197"/>
    </row>
    <row r="367" spans="105:110" ht="14.25" customHeight="1" x14ac:dyDescent="0.2">
      <c r="DA367" s="155"/>
      <c r="DE367" s="197"/>
      <c r="DF367" s="197"/>
    </row>
    <row r="368" spans="105:110" ht="14.25" customHeight="1" x14ac:dyDescent="0.2">
      <c r="DA368" s="155"/>
      <c r="DE368" s="197"/>
      <c r="DF368" s="197"/>
    </row>
    <row r="369" spans="105:110" ht="14.25" customHeight="1" x14ac:dyDescent="0.2">
      <c r="DA369" s="155"/>
      <c r="DE369" s="197"/>
      <c r="DF369" s="197"/>
    </row>
    <row r="370" spans="105:110" ht="14.25" customHeight="1" x14ac:dyDescent="0.2">
      <c r="DA370" s="155"/>
      <c r="DE370" s="197"/>
      <c r="DF370" s="197"/>
    </row>
    <row r="371" spans="105:110" ht="14.25" customHeight="1" x14ac:dyDescent="0.2">
      <c r="DA371" s="155"/>
      <c r="DE371" s="197"/>
      <c r="DF371" s="197"/>
    </row>
    <row r="372" spans="105:110" ht="14.25" customHeight="1" x14ac:dyDescent="0.2">
      <c r="DA372" s="155"/>
      <c r="DE372" s="197"/>
      <c r="DF372" s="197"/>
    </row>
    <row r="373" spans="105:110" ht="14.25" customHeight="1" x14ac:dyDescent="0.2">
      <c r="DA373" s="155"/>
      <c r="DE373" s="197"/>
      <c r="DF373" s="197"/>
    </row>
    <row r="374" spans="105:110" ht="14.25" customHeight="1" x14ac:dyDescent="0.2">
      <c r="DA374" s="155"/>
      <c r="DE374" s="197"/>
      <c r="DF374" s="197"/>
    </row>
    <row r="375" spans="105:110" ht="14.25" customHeight="1" x14ac:dyDescent="0.2">
      <c r="DA375" s="155"/>
      <c r="DE375" s="197"/>
      <c r="DF375" s="197"/>
    </row>
    <row r="376" spans="105:110" ht="14.25" customHeight="1" x14ac:dyDescent="0.2">
      <c r="DA376" s="155"/>
      <c r="DE376" s="197"/>
      <c r="DF376" s="197"/>
    </row>
    <row r="377" spans="105:110" ht="14.25" customHeight="1" x14ac:dyDescent="0.2">
      <c r="DA377" s="155"/>
      <c r="DE377" s="197"/>
      <c r="DF377" s="197"/>
    </row>
    <row r="378" spans="105:110" ht="14.25" customHeight="1" x14ac:dyDescent="0.2">
      <c r="DA378" s="155"/>
      <c r="DE378" s="197"/>
      <c r="DF378" s="197"/>
    </row>
    <row r="379" spans="105:110" ht="14.25" customHeight="1" x14ac:dyDescent="0.2">
      <c r="DA379" s="155"/>
      <c r="DE379" s="197"/>
      <c r="DF379" s="197"/>
    </row>
    <row r="380" spans="105:110" ht="14.25" customHeight="1" x14ac:dyDescent="0.2">
      <c r="DA380" s="155"/>
      <c r="DE380" s="197"/>
      <c r="DF380" s="197"/>
    </row>
    <row r="381" spans="105:110" ht="14.25" customHeight="1" x14ac:dyDescent="0.2">
      <c r="DA381" s="155"/>
      <c r="DE381" s="197"/>
      <c r="DF381" s="197"/>
    </row>
    <row r="382" spans="105:110" ht="14.25" customHeight="1" x14ac:dyDescent="0.2">
      <c r="DA382" s="155"/>
      <c r="DE382" s="197"/>
      <c r="DF382" s="197"/>
    </row>
    <row r="383" spans="105:110" ht="14.25" customHeight="1" x14ac:dyDescent="0.2">
      <c r="DA383" s="155"/>
      <c r="DE383" s="197"/>
      <c r="DF383" s="197"/>
    </row>
    <row r="384" spans="105:110" ht="14.25" customHeight="1" x14ac:dyDescent="0.2">
      <c r="DA384" s="155"/>
      <c r="DE384" s="197"/>
      <c r="DF384" s="197"/>
    </row>
    <row r="385" spans="105:110" ht="14.25" customHeight="1" x14ac:dyDescent="0.2">
      <c r="DA385" s="155"/>
      <c r="DE385" s="197"/>
      <c r="DF385" s="197"/>
    </row>
    <row r="386" spans="105:110" ht="14.25" customHeight="1" x14ac:dyDescent="0.2">
      <c r="DA386" s="155"/>
      <c r="DE386" s="197"/>
      <c r="DF386" s="197"/>
    </row>
    <row r="387" spans="105:110" ht="14.25" customHeight="1" x14ac:dyDescent="0.2">
      <c r="DA387" s="155"/>
      <c r="DE387" s="197"/>
      <c r="DF387" s="197"/>
    </row>
    <row r="388" spans="105:110" ht="14.25" customHeight="1" x14ac:dyDescent="0.2">
      <c r="DA388" s="155"/>
      <c r="DE388" s="197"/>
      <c r="DF388" s="197"/>
    </row>
    <row r="389" spans="105:110" ht="14.25" customHeight="1" x14ac:dyDescent="0.2">
      <c r="DA389" s="155"/>
      <c r="DE389" s="197"/>
      <c r="DF389" s="197"/>
    </row>
    <row r="390" spans="105:110" ht="14.25" customHeight="1" x14ac:dyDescent="0.2">
      <c r="DA390" s="155"/>
      <c r="DE390" s="197"/>
      <c r="DF390" s="197"/>
    </row>
    <row r="391" spans="105:110" ht="14.25" customHeight="1" x14ac:dyDescent="0.2">
      <c r="DA391" s="155"/>
      <c r="DE391" s="197"/>
      <c r="DF391" s="197"/>
    </row>
    <row r="392" spans="105:110" ht="14.25" customHeight="1" x14ac:dyDescent="0.2">
      <c r="DA392" s="155"/>
      <c r="DE392" s="197"/>
      <c r="DF392" s="197"/>
    </row>
    <row r="393" spans="105:110" ht="14.25" customHeight="1" x14ac:dyDescent="0.2">
      <c r="DA393" s="155"/>
      <c r="DE393" s="197"/>
      <c r="DF393" s="197"/>
    </row>
    <row r="394" spans="105:110" ht="14.25" customHeight="1" x14ac:dyDescent="0.2">
      <c r="DA394" s="155"/>
      <c r="DE394" s="197"/>
      <c r="DF394" s="197"/>
    </row>
    <row r="395" spans="105:110" ht="14.25" customHeight="1" x14ac:dyDescent="0.2">
      <c r="DA395" s="155"/>
      <c r="DE395" s="197"/>
      <c r="DF395" s="197"/>
    </row>
    <row r="396" spans="105:110" ht="14.25" customHeight="1" x14ac:dyDescent="0.2">
      <c r="DA396" s="155"/>
      <c r="DE396" s="197"/>
      <c r="DF396" s="197"/>
    </row>
    <row r="397" spans="105:110" ht="14.25" customHeight="1" x14ac:dyDescent="0.2">
      <c r="DA397" s="155"/>
      <c r="DE397" s="197"/>
      <c r="DF397" s="197"/>
    </row>
    <row r="398" spans="105:110" ht="14.25" customHeight="1" x14ac:dyDescent="0.2">
      <c r="DA398" s="155"/>
      <c r="DE398" s="197"/>
      <c r="DF398" s="197"/>
    </row>
    <row r="399" spans="105:110" ht="14.25" customHeight="1" x14ac:dyDescent="0.2">
      <c r="DA399" s="155"/>
      <c r="DE399" s="197"/>
      <c r="DF399" s="197"/>
    </row>
    <row r="400" spans="105:110" ht="14.25" customHeight="1" x14ac:dyDescent="0.2">
      <c r="DA400" s="155"/>
      <c r="DE400" s="197"/>
      <c r="DF400" s="197"/>
    </row>
    <row r="401" spans="105:110" ht="14.25" customHeight="1" x14ac:dyDescent="0.2">
      <c r="DA401" s="155"/>
      <c r="DE401" s="197"/>
      <c r="DF401" s="197"/>
    </row>
    <row r="402" spans="105:110" ht="14.25" customHeight="1" x14ac:dyDescent="0.2">
      <c r="DA402" s="155"/>
      <c r="DE402" s="197"/>
      <c r="DF402" s="197"/>
    </row>
    <row r="403" spans="105:110" ht="14.25" customHeight="1" x14ac:dyDescent="0.2">
      <c r="DA403" s="155"/>
      <c r="DE403" s="197"/>
      <c r="DF403" s="197"/>
    </row>
    <row r="404" spans="105:110" ht="14.25" customHeight="1" x14ac:dyDescent="0.2">
      <c r="DA404" s="155"/>
      <c r="DE404" s="197"/>
      <c r="DF404" s="197"/>
    </row>
    <row r="405" spans="105:110" ht="14.25" customHeight="1" x14ac:dyDescent="0.2">
      <c r="DA405" s="155"/>
      <c r="DE405" s="197"/>
      <c r="DF405" s="197"/>
    </row>
    <row r="406" spans="105:110" ht="14.25" customHeight="1" x14ac:dyDescent="0.2">
      <c r="DA406" s="155"/>
      <c r="DE406" s="197"/>
      <c r="DF406" s="197"/>
    </row>
    <row r="407" spans="105:110" ht="14.25" customHeight="1" x14ac:dyDescent="0.2">
      <c r="DA407" s="155"/>
      <c r="DE407" s="197"/>
      <c r="DF407" s="197"/>
    </row>
    <row r="408" spans="105:110" ht="14.25" customHeight="1" x14ac:dyDescent="0.2">
      <c r="DA408" s="155"/>
      <c r="DE408" s="197"/>
      <c r="DF408" s="197"/>
    </row>
    <row r="409" spans="105:110" ht="14.25" customHeight="1" x14ac:dyDescent="0.2">
      <c r="DA409" s="155"/>
      <c r="DE409" s="197"/>
      <c r="DF409" s="197"/>
    </row>
    <row r="410" spans="105:110" ht="14.25" customHeight="1" x14ac:dyDescent="0.2">
      <c r="DA410" s="155"/>
      <c r="DE410" s="197"/>
      <c r="DF410" s="197"/>
    </row>
    <row r="411" spans="105:110" ht="14.25" customHeight="1" x14ac:dyDescent="0.2">
      <c r="DA411" s="155"/>
      <c r="DE411" s="197"/>
      <c r="DF411" s="197"/>
    </row>
    <row r="412" spans="105:110" ht="14.25" customHeight="1" x14ac:dyDescent="0.2">
      <c r="DA412" s="155"/>
      <c r="DE412" s="197"/>
      <c r="DF412" s="197"/>
    </row>
    <row r="413" spans="105:110" ht="14.25" customHeight="1" x14ac:dyDescent="0.2">
      <c r="DA413" s="155"/>
      <c r="DE413" s="197"/>
      <c r="DF413" s="197"/>
    </row>
    <row r="414" spans="105:110" ht="14.25" customHeight="1" x14ac:dyDescent="0.2">
      <c r="DA414" s="155"/>
      <c r="DE414" s="197"/>
      <c r="DF414" s="197"/>
    </row>
    <row r="415" spans="105:110" ht="14.25" customHeight="1" x14ac:dyDescent="0.2">
      <c r="DA415" s="155"/>
      <c r="DE415" s="197"/>
      <c r="DF415" s="197"/>
    </row>
    <row r="416" spans="105:110" ht="14.25" customHeight="1" x14ac:dyDescent="0.2">
      <c r="DA416" s="155"/>
      <c r="DE416" s="197"/>
      <c r="DF416" s="197"/>
    </row>
    <row r="417" spans="105:110" ht="14.25" customHeight="1" x14ac:dyDescent="0.2">
      <c r="DA417" s="155"/>
      <c r="DE417" s="197"/>
      <c r="DF417" s="197"/>
    </row>
    <row r="418" spans="105:110" ht="14.25" customHeight="1" x14ac:dyDescent="0.2">
      <c r="DA418" s="155"/>
      <c r="DE418" s="197"/>
      <c r="DF418" s="197"/>
    </row>
    <row r="419" spans="105:110" ht="14.25" customHeight="1" x14ac:dyDescent="0.2">
      <c r="DA419" s="155"/>
      <c r="DE419" s="197"/>
      <c r="DF419" s="197"/>
    </row>
    <row r="420" spans="105:110" ht="14.25" customHeight="1" x14ac:dyDescent="0.2">
      <c r="DA420" s="155"/>
      <c r="DE420" s="197"/>
      <c r="DF420" s="197"/>
    </row>
    <row r="421" spans="105:110" ht="14.25" customHeight="1" x14ac:dyDescent="0.2">
      <c r="DA421" s="155"/>
      <c r="DE421" s="197"/>
      <c r="DF421" s="197"/>
    </row>
    <row r="422" spans="105:110" ht="14.25" customHeight="1" x14ac:dyDescent="0.2">
      <c r="DA422" s="155"/>
      <c r="DE422" s="197"/>
      <c r="DF422" s="197"/>
    </row>
    <row r="423" spans="105:110" ht="14.25" customHeight="1" x14ac:dyDescent="0.2">
      <c r="DA423" s="155"/>
      <c r="DE423" s="197"/>
      <c r="DF423" s="197"/>
    </row>
    <row r="424" spans="105:110" ht="14.25" customHeight="1" x14ac:dyDescent="0.2">
      <c r="DA424" s="155"/>
      <c r="DE424" s="197"/>
      <c r="DF424" s="197"/>
    </row>
    <row r="425" spans="105:110" ht="14.25" customHeight="1" x14ac:dyDescent="0.2">
      <c r="DA425" s="155"/>
      <c r="DE425" s="197"/>
      <c r="DF425" s="197"/>
    </row>
    <row r="426" spans="105:110" ht="14.25" customHeight="1" x14ac:dyDescent="0.2">
      <c r="DA426" s="155"/>
      <c r="DE426" s="197"/>
      <c r="DF426" s="197"/>
    </row>
    <row r="427" spans="105:110" ht="14.25" customHeight="1" x14ac:dyDescent="0.2">
      <c r="DA427" s="155"/>
      <c r="DE427" s="197"/>
      <c r="DF427" s="197"/>
    </row>
    <row r="428" spans="105:110" ht="14.25" customHeight="1" x14ac:dyDescent="0.2">
      <c r="DA428" s="155"/>
      <c r="DE428" s="197"/>
      <c r="DF428" s="197"/>
    </row>
    <row r="429" spans="105:110" ht="14.25" customHeight="1" x14ac:dyDescent="0.2">
      <c r="DA429" s="155"/>
      <c r="DE429" s="197"/>
      <c r="DF429" s="197"/>
    </row>
    <row r="430" spans="105:110" ht="14.25" customHeight="1" x14ac:dyDescent="0.2">
      <c r="DA430" s="155"/>
      <c r="DE430" s="197"/>
      <c r="DF430" s="197"/>
    </row>
    <row r="431" spans="105:110" ht="14.25" customHeight="1" x14ac:dyDescent="0.2">
      <c r="DA431" s="155"/>
      <c r="DE431" s="197"/>
      <c r="DF431" s="197"/>
    </row>
    <row r="432" spans="105:110" ht="14.25" customHeight="1" x14ac:dyDescent="0.2">
      <c r="DA432" s="155"/>
      <c r="DE432" s="197"/>
      <c r="DF432" s="197"/>
    </row>
    <row r="433" spans="105:110" ht="14.25" customHeight="1" x14ac:dyDescent="0.2">
      <c r="DA433" s="155"/>
      <c r="DE433" s="197"/>
      <c r="DF433" s="197"/>
    </row>
    <row r="434" spans="105:110" ht="14.25" customHeight="1" x14ac:dyDescent="0.2">
      <c r="DA434" s="155"/>
      <c r="DE434" s="197"/>
      <c r="DF434" s="197"/>
    </row>
    <row r="435" spans="105:110" ht="14.25" customHeight="1" x14ac:dyDescent="0.2">
      <c r="DA435" s="155"/>
      <c r="DE435" s="197"/>
      <c r="DF435" s="197"/>
    </row>
    <row r="436" spans="105:110" ht="14.25" customHeight="1" x14ac:dyDescent="0.2">
      <c r="DA436" s="155"/>
      <c r="DE436" s="197"/>
      <c r="DF436" s="197"/>
    </row>
    <row r="437" spans="105:110" ht="14.25" customHeight="1" x14ac:dyDescent="0.2">
      <c r="DA437" s="155"/>
      <c r="DE437" s="197"/>
      <c r="DF437" s="197"/>
    </row>
    <row r="438" spans="105:110" ht="14.25" customHeight="1" x14ac:dyDescent="0.2">
      <c r="DA438" s="155"/>
      <c r="DE438" s="197"/>
      <c r="DF438" s="197"/>
    </row>
    <row r="439" spans="105:110" ht="14.25" customHeight="1" x14ac:dyDescent="0.2">
      <c r="DA439" s="155"/>
      <c r="DE439" s="197"/>
      <c r="DF439" s="197"/>
    </row>
    <row r="440" spans="105:110" ht="14.25" customHeight="1" x14ac:dyDescent="0.2">
      <c r="DA440" s="155"/>
      <c r="DE440" s="197"/>
      <c r="DF440" s="197"/>
    </row>
    <row r="441" spans="105:110" ht="14.25" customHeight="1" x14ac:dyDescent="0.2">
      <c r="DA441" s="155"/>
      <c r="DE441" s="197"/>
      <c r="DF441" s="197"/>
    </row>
    <row r="442" spans="105:110" ht="14.25" customHeight="1" x14ac:dyDescent="0.2">
      <c r="DA442" s="155"/>
      <c r="DE442" s="197"/>
      <c r="DF442" s="197"/>
    </row>
    <row r="443" spans="105:110" ht="14.25" customHeight="1" x14ac:dyDescent="0.2">
      <c r="DA443" s="155"/>
      <c r="DE443" s="197"/>
      <c r="DF443" s="197"/>
    </row>
    <row r="444" spans="105:110" ht="14.25" customHeight="1" x14ac:dyDescent="0.2">
      <c r="DA444" s="155"/>
      <c r="DE444" s="197"/>
      <c r="DF444" s="197"/>
    </row>
    <row r="445" spans="105:110" ht="14.25" customHeight="1" x14ac:dyDescent="0.2">
      <c r="DA445" s="155"/>
      <c r="DE445" s="197"/>
      <c r="DF445" s="197"/>
    </row>
    <row r="446" spans="105:110" ht="14.25" customHeight="1" x14ac:dyDescent="0.2">
      <c r="DA446" s="155"/>
      <c r="DE446" s="197"/>
      <c r="DF446" s="197"/>
    </row>
    <row r="447" spans="105:110" ht="14.25" customHeight="1" x14ac:dyDescent="0.2">
      <c r="DA447" s="155"/>
      <c r="DE447" s="197"/>
      <c r="DF447" s="197"/>
    </row>
    <row r="448" spans="105:110" ht="14.25" customHeight="1" x14ac:dyDescent="0.2">
      <c r="DA448" s="155"/>
      <c r="DE448" s="197"/>
      <c r="DF448" s="197"/>
    </row>
    <row r="449" spans="105:110" ht="14.25" customHeight="1" x14ac:dyDescent="0.2">
      <c r="DA449" s="155"/>
      <c r="DE449" s="197"/>
      <c r="DF449" s="197"/>
    </row>
    <row r="450" spans="105:110" ht="14.25" customHeight="1" x14ac:dyDescent="0.2">
      <c r="DA450" s="155"/>
      <c r="DE450" s="197"/>
      <c r="DF450" s="197"/>
    </row>
    <row r="451" spans="105:110" ht="14.25" customHeight="1" x14ac:dyDescent="0.2">
      <c r="DA451" s="155"/>
      <c r="DE451" s="197"/>
      <c r="DF451" s="197"/>
    </row>
    <row r="452" spans="105:110" ht="14.25" customHeight="1" x14ac:dyDescent="0.2">
      <c r="DA452" s="155"/>
      <c r="DE452" s="197"/>
      <c r="DF452" s="197"/>
    </row>
    <row r="453" spans="105:110" ht="14.25" customHeight="1" x14ac:dyDescent="0.2">
      <c r="DA453" s="155"/>
      <c r="DE453" s="197"/>
      <c r="DF453" s="197"/>
    </row>
    <row r="454" spans="105:110" ht="14.25" customHeight="1" x14ac:dyDescent="0.2">
      <c r="DA454" s="155"/>
      <c r="DE454" s="197"/>
      <c r="DF454" s="197"/>
    </row>
    <row r="455" spans="105:110" ht="14.25" customHeight="1" x14ac:dyDescent="0.2">
      <c r="DA455" s="155"/>
      <c r="DE455" s="197"/>
      <c r="DF455" s="197"/>
    </row>
    <row r="456" spans="105:110" ht="14.25" customHeight="1" x14ac:dyDescent="0.2">
      <c r="DA456" s="155"/>
      <c r="DE456" s="197"/>
      <c r="DF456" s="197"/>
    </row>
    <row r="457" spans="105:110" ht="14.25" customHeight="1" x14ac:dyDescent="0.2">
      <c r="DA457" s="155"/>
      <c r="DE457" s="197"/>
      <c r="DF457" s="197"/>
    </row>
    <row r="458" spans="105:110" ht="14.25" customHeight="1" x14ac:dyDescent="0.2">
      <c r="DA458" s="155"/>
      <c r="DE458" s="197"/>
      <c r="DF458" s="197"/>
    </row>
    <row r="459" spans="105:110" ht="14.25" customHeight="1" x14ac:dyDescent="0.2">
      <c r="DA459" s="155"/>
      <c r="DE459" s="197"/>
      <c r="DF459" s="197"/>
    </row>
    <row r="460" spans="105:110" ht="14.25" customHeight="1" x14ac:dyDescent="0.2">
      <c r="DA460" s="155"/>
      <c r="DE460" s="197"/>
      <c r="DF460" s="197"/>
    </row>
    <row r="461" spans="105:110" ht="14.25" customHeight="1" x14ac:dyDescent="0.2">
      <c r="DA461" s="155"/>
      <c r="DE461" s="197"/>
      <c r="DF461" s="197"/>
    </row>
    <row r="462" spans="105:110" ht="14.25" customHeight="1" x14ac:dyDescent="0.2">
      <c r="DA462" s="155"/>
      <c r="DE462" s="197"/>
      <c r="DF462" s="197"/>
    </row>
    <row r="463" spans="105:110" ht="14.25" customHeight="1" x14ac:dyDescent="0.2">
      <c r="DA463" s="155"/>
      <c r="DE463" s="197"/>
      <c r="DF463" s="197"/>
    </row>
    <row r="464" spans="105:110" ht="14.25" customHeight="1" x14ac:dyDescent="0.2">
      <c r="DA464" s="155"/>
      <c r="DE464" s="197"/>
      <c r="DF464" s="197"/>
    </row>
    <row r="465" spans="105:110" ht="14.25" customHeight="1" x14ac:dyDescent="0.2">
      <c r="DA465" s="155"/>
      <c r="DE465" s="197"/>
      <c r="DF465" s="197"/>
    </row>
    <row r="466" spans="105:110" ht="14.25" customHeight="1" x14ac:dyDescent="0.2">
      <c r="DA466" s="155"/>
      <c r="DE466" s="197"/>
      <c r="DF466" s="197"/>
    </row>
    <row r="467" spans="105:110" ht="14.25" customHeight="1" x14ac:dyDescent="0.2">
      <c r="DA467" s="155"/>
      <c r="DE467" s="197"/>
      <c r="DF467" s="197"/>
    </row>
    <row r="468" spans="105:110" ht="14.25" customHeight="1" x14ac:dyDescent="0.2">
      <c r="DA468" s="155"/>
      <c r="DE468" s="197"/>
      <c r="DF468" s="197"/>
    </row>
    <row r="469" spans="105:110" ht="14.25" customHeight="1" x14ac:dyDescent="0.2">
      <c r="DA469" s="155"/>
      <c r="DE469" s="197"/>
      <c r="DF469" s="197"/>
    </row>
    <row r="470" spans="105:110" ht="14.25" customHeight="1" x14ac:dyDescent="0.2">
      <c r="DA470" s="155"/>
      <c r="DE470" s="197"/>
      <c r="DF470" s="197"/>
    </row>
    <row r="471" spans="105:110" ht="14.25" customHeight="1" x14ac:dyDescent="0.2">
      <c r="DA471" s="155"/>
      <c r="DE471" s="197"/>
      <c r="DF471" s="197"/>
    </row>
    <row r="472" spans="105:110" ht="14.25" customHeight="1" x14ac:dyDescent="0.2">
      <c r="DA472" s="155"/>
      <c r="DE472" s="197"/>
      <c r="DF472" s="197"/>
    </row>
    <row r="473" spans="105:110" ht="14.25" customHeight="1" x14ac:dyDescent="0.2">
      <c r="DA473" s="155"/>
      <c r="DE473" s="197"/>
      <c r="DF473" s="197"/>
    </row>
    <row r="474" spans="105:110" ht="14.25" customHeight="1" x14ac:dyDescent="0.2">
      <c r="DA474" s="155"/>
      <c r="DE474" s="197"/>
      <c r="DF474" s="197"/>
    </row>
    <row r="475" spans="105:110" ht="14.25" customHeight="1" x14ac:dyDescent="0.2">
      <c r="DA475" s="155"/>
      <c r="DE475" s="197"/>
      <c r="DF475" s="197"/>
    </row>
    <row r="476" spans="105:110" ht="14.25" customHeight="1" x14ac:dyDescent="0.2">
      <c r="DA476" s="155"/>
      <c r="DE476" s="197"/>
      <c r="DF476" s="197"/>
    </row>
    <row r="477" spans="105:110" ht="14.25" customHeight="1" x14ac:dyDescent="0.2">
      <c r="DA477" s="155"/>
      <c r="DE477" s="197"/>
      <c r="DF477" s="197"/>
    </row>
    <row r="478" spans="105:110" ht="14.25" customHeight="1" x14ac:dyDescent="0.2">
      <c r="DA478" s="155"/>
      <c r="DE478" s="197"/>
      <c r="DF478" s="197"/>
    </row>
    <row r="479" spans="105:110" ht="14.25" customHeight="1" x14ac:dyDescent="0.2">
      <c r="DA479" s="155"/>
      <c r="DE479" s="197"/>
      <c r="DF479" s="197"/>
    </row>
    <row r="480" spans="105:110" ht="14.25" customHeight="1" x14ac:dyDescent="0.2">
      <c r="DA480" s="155"/>
      <c r="DE480" s="197"/>
      <c r="DF480" s="197"/>
    </row>
    <row r="481" spans="105:110" ht="14.25" customHeight="1" x14ac:dyDescent="0.2">
      <c r="DA481" s="155"/>
      <c r="DE481" s="197"/>
      <c r="DF481" s="197"/>
    </row>
    <row r="482" spans="105:110" ht="14.25" customHeight="1" x14ac:dyDescent="0.2">
      <c r="DA482" s="155"/>
      <c r="DE482" s="197"/>
      <c r="DF482" s="197"/>
    </row>
    <row r="483" spans="105:110" ht="14.25" customHeight="1" x14ac:dyDescent="0.2">
      <c r="DA483" s="155"/>
      <c r="DE483" s="197"/>
      <c r="DF483" s="197"/>
    </row>
    <row r="484" spans="105:110" ht="14.25" customHeight="1" x14ac:dyDescent="0.2">
      <c r="DA484" s="155"/>
      <c r="DE484" s="197"/>
      <c r="DF484" s="197"/>
    </row>
    <row r="485" spans="105:110" ht="14.25" customHeight="1" x14ac:dyDescent="0.2">
      <c r="DA485" s="155"/>
      <c r="DE485" s="197"/>
      <c r="DF485" s="197"/>
    </row>
    <row r="486" spans="105:110" ht="14.25" customHeight="1" x14ac:dyDescent="0.2">
      <c r="DA486" s="155"/>
      <c r="DE486" s="197"/>
      <c r="DF486" s="197"/>
    </row>
    <row r="487" spans="105:110" ht="14.25" customHeight="1" x14ac:dyDescent="0.2">
      <c r="DA487" s="155"/>
      <c r="DE487" s="197"/>
      <c r="DF487" s="197"/>
    </row>
    <row r="488" spans="105:110" ht="14.25" customHeight="1" x14ac:dyDescent="0.2">
      <c r="DA488" s="155"/>
      <c r="DE488" s="197"/>
      <c r="DF488" s="197"/>
    </row>
    <row r="489" spans="105:110" ht="14.25" customHeight="1" x14ac:dyDescent="0.2">
      <c r="DA489" s="155"/>
      <c r="DE489" s="197"/>
      <c r="DF489" s="197"/>
    </row>
    <row r="490" spans="105:110" ht="14.25" customHeight="1" x14ac:dyDescent="0.2">
      <c r="DA490" s="155"/>
      <c r="DE490" s="197"/>
      <c r="DF490" s="197"/>
    </row>
    <row r="491" spans="105:110" ht="14.25" customHeight="1" x14ac:dyDescent="0.2">
      <c r="DA491" s="155"/>
      <c r="DE491" s="197"/>
      <c r="DF491" s="197"/>
    </row>
    <row r="492" spans="105:110" ht="14.25" customHeight="1" x14ac:dyDescent="0.2">
      <c r="DA492" s="155"/>
      <c r="DE492" s="197"/>
      <c r="DF492" s="197"/>
    </row>
    <row r="493" spans="105:110" ht="14.25" customHeight="1" x14ac:dyDescent="0.2">
      <c r="DA493" s="155"/>
      <c r="DE493" s="197"/>
      <c r="DF493" s="197"/>
    </row>
    <row r="494" spans="105:110" ht="14.25" customHeight="1" x14ac:dyDescent="0.2">
      <c r="DA494" s="155"/>
      <c r="DE494" s="197"/>
      <c r="DF494" s="197"/>
    </row>
    <row r="495" spans="105:110" ht="14.25" customHeight="1" x14ac:dyDescent="0.2">
      <c r="DA495" s="155"/>
      <c r="DE495" s="197"/>
      <c r="DF495" s="197"/>
    </row>
    <row r="496" spans="105:110" ht="14.25" customHeight="1" x14ac:dyDescent="0.2">
      <c r="DA496" s="155"/>
      <c r="DE496" s="197"/>
      <c r="DF496" s="197"/>
    </row>
    <row r="497" spans="105:110" ht="14.25" customHeight="1" x14ac:dyDescent="0.2">
      <c r="DA497" s="155"/>
      <c r="DE497" s="197"/>
      <c r="DF497" s="197"/>
    </row>
    <row r="498" spans="105:110" ht="14.25" customHeight="1" x14ac:dyDescent="0.2">
      <c r="DA498" s="155"/>
      <c r="DE498" s="197"/>
      <c r="DF498" s="197"/>
    </row>
    <row r="499" spans="105:110" ht="14.25" customHeight="1" x14ac:dyDescent="0.2">
      <c r="DA499" s="155"/>
      <c r="DE499" s="197"/>
      <c r="DF499" s="197"/>
    </row>
    <row r="500" spans="105:110" ht="14.25" customHeight="1" x14ac:dyDescent="0.2">
      <c r="DA500" s="155"/>
      <c r="DE500" s="197"/>
      <c r="DF500" s="197"/>
    </row>
    <row r="501" spans="105:110" ht="14.25" customHeight="1" x14ac:dyDescent="0.2">
      <c r="DA501" s="155"/>
      <c r="DE501" s="197"/>
      <c r="DF501" s="197"/>
    </row>
    <row r="502" spans="105:110" ht="14.25" customHeight="1" x14ac:dyDescent="0.2">
      <c r="DA502" s="155"/>
      <c r="DE502" s="197"/>
      <c r="DF502" s="197"/>
    </row>
    <row r="503" spans="105:110" ht="14.25" customHeight="1" x14ac:dyDescent="0.2">
      <c r="DA503" s="155"/>
      <c r="DE503" s="197"/>
      <c r="DF503" s="197"/>
    </row>
    <row r="504" spans="105:110" ht="14.25" customHeight="1" x14ac:dyDescent="0.2">
      <c r="DA504" s="155"/>
      <c r="DE504" s="197"/>
      <c r="DF504" s="197"/>
    </row>
    <row r="505" spans="105:110" ht="14.25" customHeight="1" x14ac:dyDescent="0.2">
      <c r="DA505" s="155"/>
      <c r="DE505" s="197"/>
      <c r="DF505" s="197"/>
    </row>
    <row r="506" spans="105:110" ht="14.25" customHeight="1" x14ac:dyDescent="0.2">
      <c r="DA506" s="155"/>
      <c r="DE506" s="197"/>
      <c r="DF506" s="197"/>
    </row>
    <row r="507" spans="105:110" ht="14.25" customHeight="1" x14ac:dyDescent="0.2">
      <c r="DA507" s="155"/>
      <c r="DE507" s="197"/>
      <c r="DF507" s="197"/>
    </row>
    <row r="508" spans="105:110" ht="14.25" customHeight="1" x14ac:dyDescent="0.2">
      <c r="DA508" s="155"/>
      <c r="DE508" s="197"/>
      <c r="DF508" s="197"/>
    </row>
    <row r="509" spans="105:110" ht="14.25" customHeight="1" x14ac:dyDescent="0.2">
      <c r="DA509" s="155"/>
      <c r="DE509" s="197"/>
      <c r="DF509" s="197"/>
    </row>
    <row r="510" spans="105:110" ht="14.25" customHeight="1" x14ac:dyDescent="0.2">
      <c r="DA510" s="155"/>
      <c r="DE510" s="197"/>
      <c r="DF510" s="197"/>
    </row>
    <row r="511" spans="105:110" ht="14.25" customHeight="1" x14ac:dyDescent="0.2">
      <c r="DA511" s="155"/>
      <c r="DE511" s="197"/>
      <c r="DF511" s="197"/>
    </row>
    <row r="512" spans="105:110" ht="14.25" customHeight="1" x14ac:dyDescent="0.2">
      <c r="DA512" s="155"/>
      <c r="DE512" s="197"/>
      <c r="DF512" s="197"/>
    </row>
    <row r="513" spans="105:110" ht="14.25" customHeight="1" x14ac:dyDescent="0.2">
      <c r="DA513" s="155"/>
      <c r="DE513" s="197"/>
      <c r="DF513" s="197"/>
    </row>
    <row r="514" spans="105:110" ht="14.25" customHeight="1" x14ac:dyDescent="0.2">
      <c r="DA514" s="155"/>
      <c r="DE514" s="197"/>
      <c r="DF514" s="197"/>
    </row>
    <row r="515" spans="105:110" ht="14.25" customHeight="1" x14ac:dyDescent="0.2">
      <c r="DA515" s="155"/>
      <c r="DE515" s="197"/>
      <c r="DF515" s="197"/>
    </row>
    <row r="516" spans="105:110" ht="14.25" customHeight="1" x14ac:dyDescent="0.2">
      <c r="DA516" s="155"/>
      <c r="DE516" s="197"/>
      <c r="DF516" s="197"/>
    </row>
    <row r="517" spans="105:110" ht="14.25" customHeight="1" x14ac:dyDescent="0.2">
      <c r="DA517" s="155"/>
      <c r="DE517" s="197"/>
      <c r="DF517" s="197"/>
    </row>
    <row r="518" spans="105:110" ht="14.25" customHeight="1" x14ac:dyDescent="0.2">
      <c r="DA518" s="155"/>
      <c r="DE518" s="197"/>
      <c r="DF518" s="197"/>
    </row>
    <row r="519" spans="105:110" ht="14.25" customHeight="1" x14ac:dyDescent="0.2">
      <c r="DA519" s="155"/>
      <c r="DE519" s="197"/>
      <c r="DF519" s="197"/>
    </row>
    <row r="520" spans="105:110" ht="14.25" customHeight="1" x14ac:dyDescent="0.2">
      <c r="DA520" s="155"/>
      <c r="DE520" s="197"/>
      <c r="DF520" s="197"/>
    </row>
    <row r="521" spans="105:110" ht="14.25" customHeight="1" x14ac:dyDescent="0.2">
      <c r="DA521" s="155"/>
      <c r="DE521" s="197"/>
      <c r="DF521" s="197"/>
    </row>
    <row r="522" spans="105:110" ht="14.25" customHeight="1" x14ac:dyDescent="0.2">
      <c r="DA522" s="155"/>
      <c r="DE522" s="197"/>
      <c r="DF522" s="197"/>
    </row>
    <row r="523" spans="105:110" ht="14.25" customHeight="1" x14ac:dyDescent="0.2">
      <c r="DA523" s="155"/>
      <c r="DE523" s="197"/>
      <c r="DF523" s="197"/>
    </row>
    <row r="524" spans="105:110" ht="14.25" customHeight="1" x14ac:dyDescent="0.2">
      <c r="DA524" s="155"/>
      <c r="DE524" s="197"/>
      <c r="DF524" s="197"/>
    </row>
    <row r="525" spans="105:110" ht="14.25" customHeight="1" x14ac:dyDescent="0.2">
      <c r="DA525" s="155"/>
      <c r="DE525" s="197"/>
      <c r="DF525" s="197"/>
    </row>
    <row r="526" spans="105:110" ht="14.25" customHeight="1" x14ac:dyDescent="0.2">
      <c r="DA526" s="155"/>
      <c r="DE526" s="197"/>
      <c r="DF526" s="197"/>
    </row>
    <row r="527" spans="105:110" ht="14.25" customHeight="1" x14ac:dyDescent="0.2">
      <c r="DA527" s="155"/>
      <c r="DE527" s="197"/>
      <c r="DF527" s="197"/>
    </row>
    <row r="528" spans="105:110" ht="14.25" customHeight="1" x14ac:dyDescent="0.2">
      <c r="DA528" s="155"/>
      <c r="DE528" s="197"/>
      <c r="DF528" s="197"/>
    </row>
    <row r="529" spans="105:110" ht="14.25" customHeight="1" x14ac:dyDescent="0.2">
      <c r="DA529" s="155"/>
      <c r="DE529" s="197"/>
      <c r="DF529" s="197"/>
    </row>
    <row r="530" spans="105:110" ht="14.25" customHeight="1" x14ac:dyDescent="0.2">
      <c r="DA530" s="155"/>
      <c r="DE530" s="197"/>
      <c r="DF530" s="197"/>
    </row>
    <row r="531" spans="105:110" ht="14.25" customHeight="1" x14ac:dyDescent="0.2">
      <c r="DA531" s="155"/>
      <c r="DE531" s="197"/>
      <c r="DF531" s="197"/>
    </row>
    <row r="532" spans="105:110" ht="14.25" customHeight="1" x14ac:dyDescent="0.2">
      <c r="DA532" s="155"/>
      <c r="DE532" s="197"/>
      <c r="DF532" s="197"/>
    </row>
    <row r="533" spans="105:110" ht="14.25" customHeight="1" x14ac:dyDescent="0.2">
      <c r="DA533" s="155"/>
      <c r="DE533" s="197"/>
      <c r="DF533" s="197"/>
    </row>
    <row r="534" spans="105:110" ht="14.25" customHeight="1" x14ac:dyDescent="0.2">
      <c r="DA534" s="155"/>
      <c r="DE534" s="197"/>
      <c r="DF534" s="197"/>
    </row>
    <row r="535" spans="105:110" ht="14.25" customHeight="1" x14ac:dyDescent="0.2">
      <c r="DA535" s="155"/>
      <c r="DE535" s="197"/>
      <c r="DF535" s="197"/>
    </row>
    <row r="536" spans="105:110" ht="14.25" customHeight="1" x14ac:dyDescent="0.2">
      <c r="DA536" s="155"/>
      <c r="DE536" s="197"/>
      <c r="DF536" s="197"/>
    </row>
    <row r="537" spans="105:110" ht="14.25" customHeight="1" x14ac:dyDescent="0.2">
      <c r="DA537" s="155"/>
      <c r="DE537" s="197"/>
      <c r="DF537" s="197"/>
    </row>
    <row r="538" spans="105:110" ht="14.25" customHeight="1" x14ac:dyDescent="0.2">
      <c r="DA538" s="155"/>
      <c r="DE538" s="197"/>
      <c r="DF538" s="197"/>
    </row>
    <row r="539" spans="105:110" ht="14.25" customHeight="1" x14ac:dyDescent="0.2">
      <c r="DA539" s="155"/>
      <c r="DE539" s="197"/>
      <c r="DF539" s="197"/>
    </row>
    <row r="540" spans="105:110" ht="14.25" customHeight="1" x14ac:dyDescent="0.2">
      <c r="DA540" s="155"/>
      <c r="DE540" s="197"/>
      <c r="DF540" s="197"/>
    </row>
    <row r="541" spans="105:110" ht="14.25" customHeight="1" x14ac:dyDescent="0.2">
      <c r="DA541" s="155"/>
      <c r="DE541" s="197"/>
      <c r="DF541" s="197"/>
    </row>
    <row r="542" spans="105:110" ht="14.25" customHeight="1" x14ac:dyDescent="0.2">
      <c r="DA542" s="155"/>
      <c r="DE542" s="197"/>
      <c r="DF542" s="197"/>
    </row>
    <row r="543" spans="105:110" ht="14.25" customHeight="1" x14ac:dyDescent="0.2">
      <c r="DA543" s="155"/>
      <c r="DE543" s="197"/>
      <c r="DF543" s="197"/>
    </row>
    <row r="544" spans="105:110" ht="14.25" customHeight="1" x14ac:dyDescent="0.2">
      <c r="DA544" s="155"/>
      <c r="DE544" s="197"/>
      <c r="DF544" s="197"/>
    </row>
    <row r="545" spans="105:110" ht="14.25" customHeight="1" x14ac:dyDescent="0.2">
      <c r="DA545" s="155"/>
      <c r="DE545" s="197"/>
      <c r="DF545" s="197"/>
    </row>
    <row r="546" spans="105:110" ht="14.25" customHeight="1" x14ac:dyDescent="0.2">
      <c r="DA546" s="155"/>
      <c r="DE546" s="197"/>
      <c r="DF546" s="197"/>
    </row>
    <row r="547" spans="105:110" ht="14.25" customHeight="1" x14ac:dyDescent="0.2">
      <c r="DA547" s="155"/>
      <c r="DE547" s="197"/>
      <c r="DF547" s="197"/>
    </row>
    <row r="548" spans="105:110" ht="14.25" customHeight="1" x14ac:dyDescent="0.2">
      <c r="DA548" s="155"/>
      <c r="DE548" s="197"/>
      <c r="DF548" s="197"/>
    </row>
    <row r="549" spans="105:110" ht="14.25" customHeight="1" x14ac:dyDescent="0.2">
      <c r="DA549" s="155"/>
      <c r="DE549" s="197"/>
      <c r="DF549" s="197"/>
    </row>
    <row r="550" spans="105:110" ht="14.25" customHeight="1" x14ac:dyDescent="0.2">
      <c r="DA550" s="155"/>
      <c r="DE550" s="197"/>
      <c r="DF550" s="197"/>
    </row>
    <row r="551" spans="105:110" ht="14.25" customHeight="1" x14ac:dyDescent="0.2">
      <c r="DA551" s="155"/>
      <c r="DE551" s="197"/>
      <c r="DF551" s="197"/>
    </row>
    <row r="552" spans="105:110" ht="14.25" customHeight="1" x14ac:dyDescent="0.2">
      <c r="DA552" s="155"/>
      <c r="DE552" s="197"/>
      <c r="DF552" s="197"/>
    </row>
    <row r="553" spans="105:110" ht="14.25" customHeight="1" x14ac:dyDescent="0.2">
      <c r="DA553" s="155"/>
      <c r="DE553" s="197"/>
      <c r="DF553" s="197"/>
    </row>
    <row r="554" spans="105:110" ht="14.25" customHeight="1" x14ac:dyDescent="0.2">
      <c r="DA554" s="155"/>
      <c r="DE554" s="197"/>
      <c r="DF554" s="197"/>
    </row>
    <row r="555" spans="105:110" ht="14.25" customHeight="1" x14ac:dyDescent="0.2">
      <c r="DA555" s="155"/>
      <c r="DE555" s="197"/>
      <c r="DF555" s="197"/>
    </row>
    <row r="556" spans="105:110" ht="14.25" customHeight="1" x14ac:dyDescent="0.2">
      <c r="DA556" s="155"/>
      <c r="DE556" s="197"/>
      <c r="DF556" s="197"/>
    </row>
    <row r="557" spans="105:110" ht="14.25" customHeight="1" x14ac:dyDescent="0.2">
      <c r="DA557" s="155"/>
      <c r="DE557" s="197"/>
      <c r="DF557" s="197"/>
    </row>
    <row r="558" spans="105:110" ht="14.25" customHeight="1" x14ac:dyDescent="0.2">
      <c r="DA558" s="155"/>
      <c r="DE558" s="197"/>
      <c r="DF558" s="197"/>
    </row>
    <row r="559" spans="105:110" ht="14.25" customHeight="1" x14ac:dyDescent="0.2">
      <c r="DA559" s="155"/>
      <c r="DE559" s="197"/>
      <c r="DF559" s="197"/>
    </row>
    <row r="560" spans="105:110" ht="14.25" customHeight="1" x14ac:dyDescent="0.2">
      <c r="DA560" s="155"/>
      <c r="DE560" s="197"/>
      <c r="DF560" s="197"/>
    </row>
    <row r="561" spans="105:110" ht="14.25" customHeight="1" x14ac:dyDescent="0.2">
      <c r="DA561" s="155"/>
      <c r="DE561" s="197"/>
      <c r="DF561" s="197"/>
    </row>
    <row r="562" spans="105:110" ht="14.25" customHeight="1" x14ac:dyDescent="0.2">
      <c r="DA562" s="155"/>
      <c r="DE562" s="197"/>
      <c r="DF562" s="197"/>
    </row>
    <row r="563" spans="105:110" ht="14.25" customHeight="1" x14ac:dyDescent="0.2">
      <c r="DA563" s="155"/>
      <c r="DE563" s="197"/>
      <c r="DF563" s="197"/>
    </row>
    <row r="564" spans="105:110" ht="14.25" customHeight="1" x14ac:dyDescent="0.2">
      <c r="DA564" s="155"/>
      <c r="DE564" s="197"/>
      <c r="DF564" s="197"/>
    </row>
    <row r="565" spans="105:110" ht="14.25" customHeight="1" x14ac:dyDescent="0.2">
      <c r="DA565" s="155"/>
      <c r="DE565" s="197"/>
      <c r="DF565" s="197"/>
    </row>
    <row r="566" spans="105:110" ht="14.25" customHeight="1" x14ac:dyDescent="0.2">
      <c r="DA566" s="155"/>
      <c r="DE566" s="197"/>
      <c r="DF566" s="197"/>
    </row>
    <row r="567" spans="105:110" ht="14.25" customHeight="1" x14ac:dyDescent="0.2">
      <c r="DA567" s="155"/>
      <c r="DE567" s="197"/>
      <c r="DF567" s="197"/>
    </row>
    <row r="568" spans="105:110" ht="14.25" customHeight="1" x14ac:dyDescent="0.2">
      <c r="DA568" s="155"/>
      <c r="DE568" s="197"/>
      <c r="DF568" s="197"/>
    </row>
    <row r="569" spans="105:110" ht="14.25" customHeight="1" x14ac:dyDescent="0.2">
      <c r="DA569" s="155"/>
      <c r="DE569" s="197"/>
      <c r="DF569" s="197"/>
    </row>
    <row r="570" spans="105:110" ht="14.25" customHeight="1" x14ac:dyDescent="0.2">
      <c r="DA570" s="155"/>
      <c r="DE570" s="197"/>
      <c r="DF570" s="197"/>
    </row>
    <row r="571" spans="105:110" ht="14.25" customHeight="1" x14ac:dyDescent="0.2">
      <c r="DA571" s="155"/>
      <c r="DE571" s="197"/>
      <c r="DF571" s="197"/>
    </row>
    <row r="572" spans="105:110" ht="14.25" customHeight="1" x14ac:dyDescent="0.2">
      <c r="DA572" s="155"/>
      <c r="DE572" s="197"/>
      <c r="DF572" s="197"/>
    </row>
    <row r="573" spans="105:110" ht="14.25" customHeight="1" x14ac:dyDescent="0.2">
      <c r="DA573" s="155"/>
      <c r="DE573" s="197"/>
      <c r="DF573" s="197"/>
    </row>
    <row r="574" spans="105:110" ht="14.25" customHeight="1" x14ac:dyDescent="0.2">
      <c r="DA574" s="155"/>
      <c r="DE574" s="197"/>
      <c r="DF574" s="197"/>
    </row>
    <row r="575" spans="105:110" ht="14.25" customHeight="1" x14ac:dyDescent="0.2">
      <c r="DA575" s="155"/>
      <c r="DE575" s="197"/>
      <c r="DF575" s="197"/>
    </row>
    <row r="576" spans="105:110" ht="14.25" customHeight="1" x14ac:dyDescent="0.2">
      <c r="DA576" s="155"/>
      <c r="DE576" s="197"/>
      <c r="DF576" s="197"/>
    </row>
    <row r="577" spans="105:110" ht="14.25" customHeight="1" x14ac:dyDescent="0.2">
      <c r="DA577" s="155"/>
      <c r="DE577" s="197"/>
      <c r="DF577" s="197"/>
    </row>
    <row r="578" spans="105:110" ht="14.25" customHeight="1" x14ac:dyDescent="0.2">
      <c r="DA578" s="155"/>
      <c r="DE578" s="197"/>
      <c r="DF578" s="197"/>
    </row>
    <row r="579" spans="105:110" ht="14.25" customHeight="1" x14ac:dyDescent="0.2">
      <c r="DA579" s="155"/>
      <c r="DE579" s="197"/>
      <c r="DF579" s="197"/>
    </row>
    <row r="580" spans="105:110" ht="14.25" customHeight="1" x14ac:dyDescent="0.2">
      <c r="DA580" s="155"/>
      <c r="DE580" s="197"/>
      <c r="DF580" s="197"/>
    </row>
    <row r="581" spans="105:110" ht="14.25" customHeight="1" x14ac:dyDescent="0.2">
      <c r="DA581" s="155"/>
      <c r="DE581" s="197"/>
      <c r="DF581" s="197"/>
    </row>
    <row r="582" spans="105:110" ht="14.25" customHeight="1" x14ac:dyDescent="0.2">
      <c r="DA582" s="155"/>
      <c r="DE582" s="197"/>
      <c r="DF582" s="197"/>
    </row>
    <row r="583" spans="105:110" ht="14.25" customHeight="1" x14ac:dyDescent="0.2">
      <c r="DA583" s="155"/>
      <c r="DE583" s="197"/>
      <c r="DF583" s="197"/>
    </row>
    <row r="584" spans="105:110" ht="14.25" customHeight="1" x14ac:dyDescent="0.2">
      <c r="DA584" s="155"/>
      <c r="DE584" s="197"/>
      <c r="DF584" s="197"/>
    </row>
    <row r="585" spans="105:110" ht="14.25" customHeight="1" x14ac:dyDescent="0.2">
      <c r="DA585" s="155"/>
      <c r="DE585" s="197"/>
      <c r="DF585" s="197"/>
    </row>
    <row r="586" spans="105:110" ht="14.25" customHeight="1" x14ac:dyDescent="0.2">
      <c r="DA586" s="155"/>
      <c r="DE586" s="197"/>
      <c r="DF586" s="197"/>
    </row>
    <row r="587" spans="105:110" ht="14.25" customHeight="1" x14ac:dyDescent="0.2">
      <c r="DA587" s="155"/>
      <c r="DE587" s="197"/>
      <c r="DF587" s="197"/>
    </row>
    <row r="588" spans="105:110" ht="14.25" customHeight="1" x14ac:dyDescent="0.2">
      <c r="DA588" s="155"/>
      <c r="DE588" s="197"/>
      <c r="DF588" s="197"/>
    </row>
    <row r="589" spans="105:110" ht="14.25" customHeight="1" x14ac:dyDescent="0.2">
      <c r="DA589" s="155"/>
      <c r="DE589" s="197"/>
      <c r="DF589" s="197"/>
    </row>
    <row r="590" spans="105:110" ht="14.25" customHeight="1" x14ac:dyDescent="0.2">
      <c r="DA590" s="155"/>
      <c r="DE590" s="197"/>
      <c r="DF590" s="197"/>
    </row>
    <row r="591" spans="105:110" ht="14.25" customHeight="1" x14ac:dyDescent="0.2">
      <c r="DA591" s="155"/>
      <c r="DE591" s="197"/>
      <c r="DF591" s="197"/>
    </row>
    <row r="592" spans="105:110" ht="14.25" customHeight="1" x14ac:dyDescent="0.2">
      <c r="DA592" s="155"/>
      <c r="DE592" s="197"/>
      <c r="DF592" s="197"/>
    </row>
    <row r="593" spans="105:110" ht="14.25" customHeight="1" x14ac:dyDescent="0.2">
      <c r="DA593" s="155"/>
      <c r="DE593" s="197"/>
      <c r="DF593" s="197"/>
    </row>
    <row r="594" spans="105:110" ht="14.25" customHeight="1" x14ac:dyDescent="0.2">
      <c r="DA594" s="155"/>
      <c r="DE594" s="197"/>
      <c r="DF594" s="197"/>
    </row>
    <row r="595" spans="105:110" ht="14.25" customHeight="1" x14ac:dyDescent="0.2">
      <c r="DA595" s="155"/>
      <c r="DE595" s="197"/>
      <c r="DF595" s="197"/>
    </row>
    <row r="596" spans="105:110" ht="14.25" customHeight="1" x14ac:dyDescent="0.2">
      <c r="DA596" s="155"/>
      <c r="DE596" s="197"/>
      <c r="DF596" s="197"/>
    </row>
    <row r="597" spans="105:110" ht="14.25" customHeight="1" x14ac:dyDescent="0.2">
      <c r="DA597" s="155"/>
      <c r="DE597" s="197"/>
      <c r="DF597" s="197"/>
    </row>
    <row r="598" spans="105:110" ht="14.25" customHeight="1" x14ac:dyDescent="0.2">
      <c r="DA598" s="155"/>
      <c r="DE598" s="197"/>
      <c r="DF598" s="197"/>
    </row>
    <row r="599" spans="105:110" ht="14.25" customHeight="1" x14ac:dyDescent="0.2">
      <c r="DA599" s="155"/>
      <c r="DE599" s="197"/>
      <c r="DF599" s="197"/>
    </row>
    <row r="600" spans="105:110" ht="14.25" customHeight="1" x14ac:dyDescent="0.2">
      <c r="DA600" s="155"/>
      <c r="DE600" s="197"/>
      <c r="DF600" s="197"/>
    </row>
    <row r="601" spans="105:110" ht="14.25" customHeight="1" x14ac:dyDescent="0.2">
      <c r="DA601" s="155"/>
      <c r="DE601" s="197"/>
      <c r="DF601" s="197"/>
    </row>
    <row r="602" spans="105:110" ht="14.25" customHeight="1" x14ac:dyDescent="0.2">
      <c r="DA602" s="155"/>
      <c r="DE602" s="197"/>
      <c r="DF602" s="197"/>
    </row>
    <row r="603" spans="105:110" ht="14.25" customHeight="1" x14ac:dyDescent="0.2">
      <c r="DA603" s="155"/>
      <c r="DE603" s="197"/>
      <c r="DF603" s="197"/>
    </row>
    <row r="604" spans="105:110" ht="14.25" customHeight="1" x14ac:dyDescent="0.2">
      <c r="DA604" s="155"/>
      <c r="DE604" s="197"/>
      <c r="DF604" s="197"/>
    </row>
    <row r="605" spans="105:110" ht="14.25" customHeight="1" x14ac:dyDescent="0.2">
      <c r="DA605" s="155"/>
      <c r="DE605" s="197"/>
      <c r="DF605" s="197"/>
    </row>
    <row r="606" spans="105:110" ht="14.25" customHeight="1" x14ac:dyDescent="0.2">
      <c r="DA606" s="155"/>
      <c r="DE606" s="197"/>
      <c r="DF606" s="197"/>
    </row>
    <row r="607" spans="105:110" ht="14.25" customHeight="1" x14ac:dyDescent="0.2">
      <c r="DA607" s="155"/>
      <c r="DE607" s="197"/>
      <c r="DF607" s="197"/>
    </row>
    <row r="608" spans="105:110" ht="14.25" customHeight="1" x14ac:dyDescent="0.2">
      <c r="DA608" s="155"/>
      <c r="DE608" s="197"/>
      <c r="DF608" s="197"/>
    </row>
    <row r="609" spans="105:110" ht="14.25" customHeight="1" x14ac:dyDescent="0.2">
      <c r="DA609" s="155"/>
      <c r="DE609" s="197"/>
      <c r="DF609" s="197"/>
    </row>
    <row r="610" spans="105:110" ht="14.25" customHeight="1" x14ac:dyDescent="0.2">
      <c r="DA610" s="155"/>
      <c r="DE610" s="197"/>
      <c r="DF610" s="197"/>
    </row>
    <row r="611" spans="105:110" ht="14.25" customHeight="1" x14ac:dyDescent="0.2">
      <c r="DA611" s="155"/>
      <c r="DE611" s="197"/>
      <c r="DF611" s="197"/>
    </row>
    <row r="612" spans="105:110" ht="14.25" customHeight="1" x14ac:dyDescent="0.2">
      <c r="DA612" s="155"/>
      <c r="DE612" s="197"/>
      <c r="DF612" s="197"/>
    </row>
    <row r="613" spans="105:110" ht="14.25" customHeight="1" x14ac:dyDescent="0.2">
      <c r="DA613" s="155"/>
      <c r="DE613" s="197"/>
      <c r="DF613" s="197"/>
    </row>
    <row r="614" spans="105:110" ht="14.25" customHeight="1" x14ac:dyDescent="0.2">
      <c r="DA614" s="155"/>
      <c r="DE614" s="197"/>
      <c r="DF614" s="197"/>
    </row>
    <row r="615" spans="105:110" ht="14.25" customHeight="1" x14ac:dyDescent="0.2">
      <c r="DA615" s="155"/>
      <c r="DE615" s="197"/>
      <c r="DF615" s="197"/>
    </row>
    <row r="616" spans="105:110" ht="14.25" customHeight="1" x14ac:dyDescent="0.2">
      <c r="DA616" s="155"/>
      <c r="DE616" s="197"/>
      <c r="DF616" s="197"/>
    </row>
    <row r="617" spans="105:110" ht="14.25" customHeight="1" x14ac:dyDescent="0.2">
      <c r="DA617" s="155"/>
      <c r="DE617" s="197"/>
      <c r="DF617" s="197"/>
    </row>
    <row r="618" spans="105:110" ht="14.25" customHeight="1" x14ac:dyDescent="0.2">
      <c r="DA618" s="155"/>
      <c r="DE618" s="197"/>
      <c r="DF618" s="197"/>
    </row>
    <row r="619" spans="105:110" ht="14.25" customHeight="1" x14ac:dyDescent="0.2">
      <c r="DA619" s="155"/>
      <c r="DE619" s="197"/>
      <c r="DF619" s="197"/>
    </row>
    <row r="620" spans="105:110" ht="14.25" customHeight="1" x14ac:dyDescent="0.2">
      <c r="DA620" s="155"/>
      <c r="DE620" s="197"/>
      <c r="DF620" s="197"/>
    </row>
    <row r="621" spans="105:110" ht="14.25" customHeight="1" x14ac:dyDescent="0.2">
      <c r="DA621" s="155"/>
      <c r="DE621" s="197"/>
      <c r="DF621" s="197"/>
    </row>
    <row r="622" spans="105:110" ht="14.25" customHeight="1" x14ac:dyDescent="0.2">
      <c r="DA622" s="155"/>
      <c r="DE622" s="197"/>
      <c r="DF622" s="197"/>
    </row>
    <row r="623" spans="105:110" ht="14.25" customHeight="1" x14ac:dyDescent="0.2">
      <c r="DA623" s="155"/>
      <c r="DE623" s="197"/>
      <c r="DF623" s="197"/>
    </row>
    <row r="624" spans="105:110" ht="14.25" customHeight="1" x14ac:dyDescent="0.2">
      <c r="DA624" s="155"/>
      <c r="DE624" s="197"/>
      <c r="DF624" s="197"/>
    </row>
    <row r="625" spans="105:110" ht="14.25" customHeight="1" x14ac:dyDescent="0.2">
      <c r="DA625" s="155"/>
      <c r="DE625" s="197"/>
      <c r="DF625" s="197"/>
    </row>
    <row r="626" spans="105:110" ht="14.25" customHeight="1" x14ac:dyDescent="0.2">
      <c r="DA626" s="155"/>
      <c r="DE626" s="197"/>
      <c r="DF626" s="197"/>
    </row>
    <row r="627" spans="105:110" ht="14.25" customHeight="1" x14ac:dyDescent="0.2">
      <c r="DA627" s="155"/>
      <c r="DE627" s="197"/>
      <c r="DF627" s="197"/>
    </row>
    <row r="628" spans="105:110" ht="14.25" customHeight="1" x14ac:dyDescent="0.2">
      <c r="DA628" s="155"/>
      <c r="DE628" s="197"/>
      <c r="DF628" s="197"/>
    </row>
    <row r="629" spans="105:110" ht="14.25" customHeight="1" x14ac:dyDescent="0.2">
      <c r="DA629" s="155"/>
      <c r="DE629" s="197"/>
      <c r="DF629" s="197"/>
    </row>
    <row r="630" spans="105:110" ht="14.25" customHeight="1" x14ac:dyDescent="0.2">
      <c r="DA630" s="155"/>
      <c r="DE630" s="197"/>
      <c r="DF630" s="197"/>
    </row>
    <row r="631" spans="105:110" ht="14.25" customHeight="1" x14ac:dyDescent="0.2">
      <c r="DA631" s="155"/>
      <c r="DE631" s="197"/>
      <c r="DF631" s="197"/>
    </row>
    <row r="632" spans="105:110" ht="14.25" customHeight="1" x14ac:dyDescent="0.2">
      <c r="DA632" s="155"/>
      <c r="DE632" s="197"/>
      <c r="DF632" s="197"/>
    </row>
    <row r="633" spans="105:110" ht="14.25" customHeight="1" x14ac:dyDescent="0.2">
      <c r="DA633" s="155"/>
      <c r="DE633" s="197"/>
      <c r="DF633" s="197"/>
    </row>
    <row r="634" spans="105:110" ht="14.25" customHeight="1" x14ac:dyDescent="0.2">
      <c r="DA634" s="155"/>
      <c r="DE634" s="197"/>
      <c r="DF634" s="197"/>
    </row>
    <row r="635" spans="105:110" ht="14.25" customHeight="1" x14ac:dyDescent="0.2">
      <c r="DA635" s="155"/>
      <c r="DE635" s="197"/>
      <c r="DF635" s="197"/>
    </row>
    <row r="636" spans="105:110" ht="14.25" customHeight="1" x14ac:dyDescent="0.2">
      <c r="DA636" s="155"/>
      <c r="DE636" s="197"/>
      <c r="DF636" s="197"/>
    </row>
    <row r="637" spans="105:110" ht="14.25" customHeight="1" x14ac:dyDescent="0.2">
      <c r="DA637" s="155"/>
      <c r="DE637" s="197"/>
      <c r="DF637" s="197"/>
    </row>
    <row r="638" spans="105:110" ht="14.25" customHeight="1" x14ac:dyDescent="0.2">
      <c r="DA638" s="155"/>
      <c r="DE638" s="197"/>
      <c r="DF638" s="197"/>
    </row>
    <row r="639" spans="105:110" ht="14.25" customHeight="1" x14ac:dyDescent="0.2">
      <c r="DA639" s="155"/>
      <c r="DE639" s="197"/>
      <c r="DF639" s="197"/>
    </row>
    <row r="640" spans="105:110" ht="14.25" customHeight="1" x14ac:dyDescent="0.2">
      <c r="DA640" s="155"/>
      <c r="DE640" s="197"/>
      <c r="DF640" s="197"/>
    </row>
    <row r="641" spans="105:110" ht="14.25" customHeight="1" x14ac:dyDescent="0.2">
      <c r="DA641" s="155"/>
      <c r="DE641" s="197"/>
      <c r="DF641" s="197"/>
    </row>
    <row r="642" spans="105:110" ht="14.25" customHeight="1" x14ac:dyDescent="0.2">
      <c r="DA642" s="155"/>
      <c r="DE642" s="197"/>
      <c r="DF642" s="197"/>
    </row>
    <row r="643" spans="105:110" ht="14.25" customHeight="1" x14ac:dyDescent="0.2">
      <c r="DA643" s="155"/>
      <c r="DE643" s="197"/>
      <c r="DF643" s="197"/>
    </row>
    <row r="644" spans="105:110" ht="14.25" customHeight="1" x14ac:dyDescent="0.2">
      <c r="DA644" s="155"/>
      <c r="DE644" s="197"/>
      <c r="DF644" s="197"/>
    </row>
    <row r="645" spans="105:110" ht="14.25" customHeight="1" x14ac:dyDescent="0.2">
      <c r="DA645" s="155"/>
      <c r="DE645" s="197"/>
      <c r="DF645" s="197"/>
    </row>
    <row r="646" spans="105:110" ht="14.25" customHeight="1" x14ac:dyDescent="0.2">
      <c r="DA646" s="155"/>
      <c r="DE646" s="197"/>
      <c r="DF646" s="197"/>
    </row>
    <row r="647" spans="105:110" ht="14.25" customHeight="1" x14ac:dyDescent="0.2">
      <c r="DA647" s="155"/>
      <c r="DE647" s="197"/>
      <c r="DF647" s="197"/>
    </row>
    <row r="648" spans="105:110" ht="14.25" customHeight="1" x14ac:dyDescent="0.2">
      <c r="DA648" s="155"/>
      <c r="DE648" s="197"/>
      <c r="DF648" s="197"/>
    </row>
    <row r="649" spans="105:110" ht="14.25" customHeight="1" x14ac:dyDescent="0.2">
      <c r="DA649" s="155"/>
      <c r="DE649" s="197"/>
      <c r="DF649" s="197"/>
    </row>
    <row r="650" spans="105:110" ht="14.25" customHeight="1" x14ac:dyDescent="0.2">
      <c r="DA650" s="155"/>
      <c r="DE650" s="197"/>
      <c r="DF650" s="197"/>
    </row>
    <row r="651" spans="105:110" ht="14.25" customHeight="1" x14ac:dyDescent="0.2">
      <c r="DA651" s="155"/>
      <c r="DE651" s="197"/>
      <c r="DF651" s="197"/>
    </row>
    <row r="652" spans="105:110" ht="14.25" customHeight="1" x14ac:dyDescent="0.2">
      <c r="DA652" s="155"/>
      <c r="DE652" s="197"/>
      <c r="DF652" s="197"/>
    </row>
    <row r="653" spans="105:110" ht="14.25" customHeight="1" x14ac:dyDescent="0.2">
      <c r="DA653" s="155"/>
      <c r="DE653" s="197"/>
      <c r="DF653" s="197"/>
    </row>
    <row r="654" spans="105:110" ht="14.25" customHeight="1" x14ac:dyDescent="0.2">
      <c r="DA654" s="155"/>
      <c r="DE654" s="197"/>
      <c r="DF654" s="197"/>
    </row>
    <row r="655" spans="105:110" ht="14.25" customHeight="1" x14ac:dyDescent="0.2">
      <c r="DA655" s="155"/>
      <c r="DE655" s="197"/>
      <c r="DF655" s="197"/>
    </row>
    <row r="656" spans="105:110" ht="14.25" customHeight="1" x14ac:dyDescent="0.2">
      <c r="DA656" s="155"/>
      <c r="DE656" s="197"/>
      <c r="DF656" s="197"/>
    </row>
    <row r="657" spans="105:110" ht="14.25" customHeight="1" x14ac:dyDescent="0.2">
      <c r="DA657" s="155"/>
      <c r="DE657" s="197"/>
      <c r="DF657" s="197"/>
    </row>
    <row r="658" spans="105:110" ht="14.25" customHeight="1" x14ac:dyDescent="0.2">
      <c r="DA658" s="155"/>
      <c r="DE658" s="197"/>
      <c r="DF658" s="197"/>
    </row>
    <row r="659" spans="105:110" ht="14.25" customHeight="1" x14ac:dyDescent="0.2">
      <c r="DA659" s="155"/>
      <c r="DE659" s="197"/>
      <c r="DF659" s="197"/>
    </row>
    <row r="660" spans="105:110" ht="14.25" customHeight="1" x14ac:dyDescent="0.2">
      <c r="DA660" s="155"/>
      <c r="DE660" s="197"/>
      <c r="DF660" s="197"/>
    </row>
    <row r="661" spans="105:110" ht="14.25" customHeight="1" x14ac:dyDescent="0.2">
      <c r="DA661" s="155"/>
      <c r="DE661" s="197"/>
      <c r="DF661" s="197"/>
    </row>
    <row r="662" spans="105:110" ht="14.25" customHeight="1" x14ac:dyDescent="0.2">
      <c r="DA662" s="155"/>
      <c r="DE662" s="197"/>
      <c r="DF662" s="197"/>
    </row>
    <row r="663" spans="105:110" ht="14.25" customHeight="1" x14ac:dyDescent="0.2">
      <c r="DA663" s="155"/>
      <c r="DE663" s="197"/>
      <c r="DF663" s="197"/>
    </row>
    <row r="664" spans="105:110" ht="14.25" customHeight="1" x14ac:dyDescent="0.2">
      <c r="DA664" s="155"/>
      <c r="DE664" s="197"/>
      <c r="DF664" s="197"/>
    </row>
    <row r="665" spans="105:110" ht="14.25" customHeight="1" x14ac:dyDescent="0.2">
      <c r="DA665" s="155"/>
      <c r="DE665" s="197"/>
      <c r="DF665" s="197"/>
    </row>
    <row r="666" spans="105:110" ht="14.25" customHeight="1" x14ac:dyDescent="0.2">
      <c r="DA666" s="155"/>
      <c r="DE666" s="197"/>
      <c r="DF666" s="197"/>
    </row>
    <row r="667" spans="105:110" ht="14.25" customHeight="1" x14ac:dyDescent="0.2">
      <c r="DA667" s="155"/>
      <c r="DE667" s="197"/>
      <c r="DF667" s="197"/>
    </row>
    <row r="668" spans="105:110" ht="14.25" customHeight="1" x14ac:dyDescent="0.2">
      <c r="DA668" s="155"/>
      <c r="DE668" s="197"/>
      <c r="DF668" s="197"/>
    </row>
    <row r="669" spans="105:110" ht="14.25" customHeight="1" x14ac:dyDescent="0.2">
      <c r="DA669" s="155"/>
      <c r="DE669" s="197"/>
      <c r="DF669" s="197"/>
    </row>
    <row r="670" spans="105:110" ht="14.25" customHeight="1" x14ac:dyDescent="0.2">
      <c r="DA670" s="155"/>
      <c r="DE670" s="197"/>
      <c r="DF670" s="197"/>
    </row>
    <row r="671" spans="105:110" ht="14.25" customHeight="1" x14ac:dyDescent="0.2">
      <c r="DA671" s="155"/>
      <c r="DE671" s="197"/>
      <c r="DF671" s="197"/>
    </row>
    <row r="672" spans="105:110" ht="14.25" customHeight="1" x14ac:dyDescent="0.2">
      <c r="DA672" s="155"/>
      <c r="DE672" s="197"/>
      <c r="DF672" s="197"/>
    </row>
    <row r="673" spans="105:110" ht="14.25" customHeight="1" x14ac:dyDescent="0.2">
      <c r="DA673" s="155"/>
      <c r="DE673" s="197"/>
      <c r="DF673" s="197"/>
    </row>
    <row r="674" spans="105:110" ht="14.25" customHeight="1" x14ac:dyDescent="0.2">
      <c r="DA674" s="155"/>
      <c r="DE674" s="197"/>
      <c r="DF674" s="197"/>
    </row>
    <row r="675" spans="105:110" ht="14.25" customHeight="1" x14ac:dyDescent="0.2">
      <c r="DA675" s="155"/>
      <c r="DE675" s="197"/>
      <c r="DF675" s="197"/>
    </row>
    <row r="676" spans="105:110" ht="14.25" customHeight="1" x14ac:dyDescent="0.2">
      <c r="DA676" s="155"/>
      <c r="DE676" s="197"/>
      <c r="DF676" s="197"/>
    </row>
    <row r="677" spans="105:110" ht="14.25" customHeight="1" x14ac:dyDescent="0.2">
      <c r="DA677" s="155"/>
      <c r="DE677" s="197"/>
      <c r="DF677" s="197"/>
    </row>
    <row r="678" spans="105:110" ht="14.25" customHeight="1" x14ac:dyDescent="0.2">
      <c r="DA678" s="155"/>
      <c r="DE678" s="197"/>
      <c r="DF678" s="197"/>
    </row>
    <row r="679" spans="105:110" ht="14.25" customHeight="1" x14ac:dyDescent="0.2">
      <c r="DA679" s="155"/>
      <c r="DE679" s="197"/>
      <c r="DF679" s="197"/>
    </row>
    <row r="680" spans="105:110" ht="14.25" customHeight="1" x14ac:dyDescent="0.2">
      <c r="DA680" s="155"/>
      <c r="DE680" s="197"/>
      <c r="DF680" s="197"/>
    </row>
    <row r="681" spans="105:110" ht="14.25" customHeight="1" x14ac:dyDescent="0.2">
      <c r="DA681" s="155"/>
      <c r="DE681" s="197"/>
      <c r="DF681" s="197"/>
    </row>
    <row r="682" spans="105:110" ht="14.25" customHeight="1" x14ac:dyDescent="0.2">
      <c r="DA682" s="155"/>
      <c r="DE682" s="197"/>
      <c r="DF682" s="197"/>
    </row>
    <row r="683" spans="105:110" ht="14.25" customHeight="1" x14ac:dyDescent="0.2">
      <c r="DA683" s="155"/>
      <c r="DE683" s="197"/>
      <c r="DF683" s="197"/>
    </row>
    <row r="684" spans="105:110" ht="14.25" customHeight="1" x14ac:dyDescent="0.2">
      <c r="DA684" s="155"/>
      <c r="DE684" s="197"/>
      <c r="DF684" s="197"/>
    </row>
    <row r="685" spans="105:110" ht="14.25" customHeight="1" x14ac:dyDescent="0.2">
      <c r="DA685" s="155"/>
      <c r="DE685" s="197"/>
      <c r="DF685" s="197"/>
    </row>
    <row r="686" spans="105:110" ht="14.25" customHeight="1" x14ac:dyDescent="0.2">
      <c r="DA686" s="155"/>
      <c r="DE686" s="197"/>
      <c r="DF686" s="197"/>
    </row>
    <row r="687" spans="105:110" ht="14.25" customHeight="1" x14ac:dyDescent="0.2">
      <c r="DA687" s="155"/>
      <c r="DE687" s="197"/>
      <c r="DF687" s="197"/>
    </row>
    <row r="688" spans="105:110" ht="14.25" customHeight="1" x14ac:dyDescent="0.2">
      <c r="DA688" s="155"/>
      <c r="DE688" s="197"/>
      <c r="DF688" s="197"/>
    </row>
    <row r="689" spans="105:110" ht="14.25" customHeight="1" x14ac:dyDescent="0.2">
      <c r="DA689" s="155"/>
      <c r="DE689" s="197"/>
      <c r="DF689" s="197"/>
    </row>
    <row r="690" spans="105:110" ht="14.25" customHeight="1" x14ac:dyDescent="0.2">
      <c r="DA690" s="155"/>
      <c r="DE690" s="197"/>
      <c r="DF690" s="197"/>
    </row>
    <row r="691" spans="105:110" ht="14.25" customHeight="1" x14ac:dyDescent="0.2">
      <c r="DA691" s="155"/>
      <c r="DE691" s="197"/>
      <c r="DF691" s="197"/>
    </row>
    <row r="692" spans="105:110" ht="14.25" customHeight="1" x14ac:dyDescent="0.2">
      <c r="DA692" s="155"/>
      <c r="DE692" s="197"/>
      <c r="DF692" s="197"/>
    </row>
    <row r="693" spans="105:110" ht="14.25" customHeight="1" x14ac:dyDescent="0.2">
      <c r="DA693" s="155"/>
      <c r="DE693" s="197"/>
      <c r="DF693" s="197"/>
    </row>
    <row r="694" spans="105:110" ht="14.25" customHeight="1" x14ac:dyDescent="0.2">
      <c r="DA694" s="155"/>
      <c r="DE694" s="197"/>
      <c r="DF694" s="197"/>
    </row>
    <row r="695" spans="105:110" ht="14.25" customHeight="1" x14ac:dyDescent="0.2">
      <c r="DA695" s="155"/>
      <c r="DE695" s="197"/>
      <c r="DF695" s="197"/>
    </row>
    <row r="696" spans="105:110" ht="14.25" customHeight="1" x14ac:dyDescent="0.2">
      <c r="DA696" s="155"/>
      <c r="DE696" s="197"/>
      <c r="DF696" s="197"/>
    </row>
    <row r="697" spans="105:110" ht="14.25" customHeight="1" x14ac:dyDescent="0.2">
      <c r="DA697" s="155"/>
      <c r="DE697" s="197"/>
      <c r="DF697" s="197"/>
    </row>
    <row r="698" spans="105:110" ht="14.25" customHeight="1" x14ac:dyDescent="0.2">
      <c r="DA698" s="155"/>
      <c r="DE698" s="197"/>
      <c r="DF698" s="197"/>
    </row>
    <row r="699" spans="105:110" ht="14.25" customHeight="1" x14ac:dyDescent="0.2">
      <c r="DA699" s="155"/>
      <c r="DE699" s="197"/>
      <c r="DF699" s="197"/>
    </row>
    <row r="700" spans="105:110" ht="14.25" customHeight="1" x14ac:dyDescent="0.2">
      <c r="DA700" s="155"/>
      <c r="DE700" s="197"/>
      <c r="DF700" s="197"/>
    </row>
    <row r="701" spans="105:110" ht="14.25" customHeight="1" x14ac:dyDescent="0.2">
      <c r="DA701" s="155"/>
      <c r="DE701" s="197"/>
      <c r="DF701" s="197"/>
    </row>
    <row r="702" spans="105:110" ht="14.25" customHeight="1" x14ac:dyDescent="0.2">
      <c r="DA702" s="155"/>
      <c r="DE702" s="197"/>
      <c r="DF702" s="197"/>
    </row>
    <row r="703" spans="105:110" ht="14.25" customHeight="1" x14ac:dyDescent="0.2">
      <c r="DA703" s="155"/>
      <c r="DE703" s="197"/>
      <c r="DF703" s="197"/>
    </row>
    <row r="704" spans="105:110" ht="14.25" customHeight="1" x14ac:dyDescent="0.2">
      <c r="DA704" s="155"/>
      <c r="DE704" s="197"/>
      <c r="DF704" s="197"/>
    </row>
    <row r="705" spans="105:110" ht="14.25" customHeight="1" x14ac:dyDescent="0.2">
      <c r="DA705" s="155"/>
      <c r="DE705" s="197"/>
      <c r="DF705" s="197"/>
    </row>
    <row r="706" spans="105:110" ht="14.25" customHeight="1" x14ac:dyDescent="0.2">
      <c r="DA706" s="155"/>
      <c r="DE706" s="197"/>
      <c r="DF706" s="197"/>
    </row>
    <row r="707" spans="105:110" ht="14.25" customHeight="1" x14ac:dyDescent="0.2">
      <c r="DA707" s="155"/>
      <c r="DE707" s="197"/>
      <c r="DF707" s="197"/>
    </row>
    <row r="708" spans="105:110" ht="14.25" customHeight="1" x14ac:dyDescent="0.2">
      <c r="DA708" s="155"/>
      <c r="DE708" s="197"/>
      <c r="DF708" s="197"/>
    </row>
    <row r="709" spans="105:110" ht="14.25" customHeight="1" x14ac:dyDescent="0.2">
      <c r="DA709" s="155"/>
      <c r="DE709" s="197"/>
      <c r="DF709" s="197"/>
    </row>
    <row r="710" spans="105:110" ht="14.25" customHeight="1" x14ac:dyDescent="0.2">
      <c r="DA710" s="155"/>
      <c r="DE710" s="197"/>
      <c r="DF710" s="197"/>
    </row>
    <row r="711" spans="105:110" ht="14.25" customHeight="1" x14ac:dyDescent="0.2">
      <c r="DA711" s="155"/>
      <c r="DE711" s="197"/>
      <c r="DF711" s="197"/>
    </row>
    <row r="712" spans="105:110" ht="14.25" customHeight="1" x14ac:dyDescent="0.2">
      <c r="DA712" s="155"/>
      <c r="DE712" s="197"/>
      <c r="DF712" s="197"/>
    </row>
    <row r="713" spans="105:110" ht="14.25" customHeight="1" x14ac:dyDescent="0.2">
      <c r="DA713" s="155"/>
      <c r="DE713" s="197"/>
      <c r="DF713" s="197"/>
    </row>
    <row r="714" spans="105:110" ht="14.25" customHeight="1" x14ac:dyDescent="0.2">
      <c r="DA714" s="155"/>
      <c r="DE714" s="197"/>
      <c r="DF714" s="197"/>
    </row>
    <row r="715" spans="105:110" ht="14.25" customHeight="1" x14ac:dyDescent="0.2">
      <c r="DA715" s="155"/>
      <c r="DE715" s="197"/>
      <c r="DF715" s="197"/>
    </row>
    <row r="716" spans="105:110" ht="14.25" customHeight="1" x14ac:dyDescent="0.2">
      <c r="DA716" s="155"/>
      <c r="DE716" s="197"/>
      <c r="DF716" s="197"/>
    </row>
    <row r="717" spans="105:110" ht="14.25" customHeight="1" x14ac:dyDescent="0.2">
      <c r="DA717" s="155"/>
      <c r="DE717" s="197"/>
      <c r="DF717" s="197"/>
    </row>
    <row r="718" spans="105:110" ht="14.25" customHeight="1" x14ac:dyDescent="0.2">
      <c r="DA718" s="155"/>
      <c r="DE718" s="197"/>
      <c r="DF718" s="197"/>
    </row>
    <row r="719" spans="105:110" ht="14.25" customHeight="1" x14ac:dyDescent="0.2">
      <c r="DA719" s="155"/>
      <c r="DE719" s="197"/>
      <c r="DF719" s="197"/>
    </row>
    <row r="720" spans="105:110" ht="14.25" customHeight="1" x14ac:dyDescent="0.2">
      <c r="DA720" s="155"/>
      <c r="DE720" s="197"/>
      <c r="DF720" s="197"/>
    </row>
    <row r="721" spans="105:110" ht="14.25" customHeight="1" x14ac:dyDescent="0.2">
      <c r="DA721" s="155"/>
      <c r="DE721" s="197"/>
      <c r="DF721" s="197"/>
    </row>
    <row r="722" spans="105:110" ht="14.25" customHeight="1" x14ac:dyDescent="0.2">
      <c r="DA722" s="155"/>
      <c r="DE722" s="197"/>
      <c r="DF722" s="197"/>
    </row>
    <row r="723" spans="105:110" ht="14.25" customHeight="1" x14ac:dyDescent="0.2">
      <c r="DA723" s="155"/>
      <c r="DE723" s="197"/>
      <c r="DF723" s="197"/>
    </row>
    <row r="724" spans="105:110" ht="14.25" customHeight="1" x14ac:dyDescent="0.2">
      <c r="DA724" s="155"/>
      <c r="DE724" s="197"/>
      <c r="DF724" s="197"/>
    </row>
    <row r="725" spans="105:110" ht="14.25" customHeight="1" x14ac:dyDescent="0.2">
      <c r="DA725" s="155"/>
      <c r="DE725" s="197"/>
      <c r="DF725" s="197"/>
    </row>
    <row r="726" spans="105:110" ht="14.25" customHeight="1" x14ac:dyDescent="0.2">
      <c r="DA726" s="155"/>
      <c r="DE726" s="197"/>
      <c r="DF726" s="197"/>
    </row>
    <row r="727" spans="105:110" ht="14.25" customHeight="1" x14ac:dyDescent="0.2">
      <c r="DA727" s="155"/>
      <c r="DE727" s="197"/>
      <c r="DF727" s="197"/>
    </row>
    <row r="728" spans="105:110" ht="14.25" customHeight="1" x14ac:dyDescent="0.2">
      <c r="DA728" s="155"/>
      <c r="DE728" s="197"/>
      <c r="DF728" s="197"/>
    </row>
    <row r="729" spans="105:110" ht="14.25" customHeight="1" x14ac:dyDescent="0.2">
      <c r="DA729" s="155"/>
      <c r="DE729" s="197"/>
      <c r="DF729" s="197"/>
    </row>
    <row r="730" spans="105:110" ht="14.25" customHeight="1" x14ac:dyDescent="0.2">
      <c r="DA730" s="155"/>
      <c r="DE730" s="197"/>
      <c r="DF730" s="197"/>
    </row>
    <row r="731" spans="105:110" ht="14.25" customHeight="1" x14ac:dyDescent="0.2">
      <c r="DA731" s="155"/>
      <c r="DE731" s="197"/>
      <c r="DF731" s="197"/>
    </row>
    <row r="732" spans="105:110" ht="14.25" customHeight="1" x14ac:dyDescent="0.2">
      <c r="DA732" s="155"/>
      <c r="DE732" s="197"/>
      <c r="DF732" s="197"/>
    </row>
    <row r="733" spans="105:110" ht="14.25" customHeight="1" x14ac:dyDescent="0.2">
      <c r="DA733" s="155"/>
      <c r="DE733" s="197"/>
      <c r="DF733" s="197"/>
    </row>
    <row r="734" spans="105:110" ht="14.25" customHeight="1" x14ac:dyDescent="0.2">
      <c r="DA734" s="155"/>
      <c r="DE734" s="197"/>
      <c r="DF734" s="197"/>
    </row>
    <row r="735" spans="105:110" ht="14.25" customHeight="1" x14ac:dyDescent="0.2">
      <c r="DA735" s="155"/>
      <c r="DE735" s="197"/>
      <c r="DF735" s="197"/>
    </row>
    <row r="736" spans="105:110" ht="14.25" customHeight="1" x14ac:dyDescent="0.2">
      <c r="DA736" s="155"/>
      <c r="DE736" s="197"/>
      <c r="DF736" s="197"/>
    </row>
    <row r="737" spans="105:110" ht="14.25" customHeight="1" x14ac:dyDescent="0.2">
      <c r="DA737" s="155"/>
      <c r="DE737" s="197"/>
      <c r="DF737" s="197"/>
    </row>
    <row r="738" spans="105:110" ht="14.25" customHeight="1" x14ac:dyDescent="0.2">
      <c r="DA738" s="155"/>
      <c r="DE738" s="197"/>
      <c r="DF738" s="197"/>
    </row>
    <row r="739" spans="105:110" ht="14.25" customHeight="1" x14ac:dyDescent="0.2">
      <c r="DA739" s="155"/>
      <c r="DE739" s="197"/>
      <c r="DF739" s="197"/>
    </row>
    <row r="740" spans="105:110" ht="14.25" customHeight="1" x14ac:dyDescent="0.2">
      <c r="DA740" s="155"/>
      <c r="DE740" s="197"/>
      <c r="DF740" s="197"/>
    </row>
    <row r="741" spans="105:110" ht="14.25" customHeight="1" x14ac:dyDescent="0.2">
      <c r="DA741" s="155"/>
      <c r="DE741" s="197"/>
      <c r="DF741" s="197"/>
    </row>
    <row r="742" spans="105:110" ht="14.25" customHeight="1" x14ac:dyDescent="0.2">
      <c r="DA742" s="155"/>
      <c r="DE742" s="197"/>
      <c r="DF742" s="197"/>
    </row>
    <row r="743" spans="105:110" ht="14.25" customHeight="1" x14ac:dyDescent="0.2">
      <c r="DA743" s="155"/>
      <c r="DE743" s="197"/>
      <c r="DF743" s="197"/>
    </row>
    <row r="744" spans="105:110" ht="14.25" customHeight="1" x14ac:dyDescent="0.2">
      <c r="DA744" s="155"/>
      <c r="DE744" s="197"/>
      <c r="DF744" s="197"/>
    </row>
    <row r="745" spans="105:110" ht="14.25" customHeight="1" x14ac:dyDescent="0.2">
      <c r="DA745" s="155"/>
      <c r="DE745" s="197"/>
      <c r="DF745" s="197"/>
    </row>
    <row r="746" spans="105:110" ht="14.25" customHeight="1" x14ac:dyDescent="0.2">
      <c r="DA746" s="155"/>
      <c r="DE746" s="197"/>
      <c r="DF746" s="197"/>
    </row>
    <row r="747" spans="105:110" ht="14.25" customHeight="1" x14ac:dyDescent="0.2">
      <c r="DA747" s="155"/>
      <c r="DE747" s="197"/>
      <c r="DF747" s="197"/>
    </row>
    <row r="748" spans="105:110" ht="14.25" customHeight="1" x14ac:dyDescent="0.2">
      <c r="DA748" s="155"/>
      <c r="DE748" s="197"/>
      <c r="DF748" s="197"/>
    </row>
    <row r="749" spans="105:110" ht="14.25" customHeight="1" x14ac:dyDescent="0.2">
      <c r="DA749" s="155"/>
      <c r="DE749" s="197"/>
      <c r="DF749" s="197"/>
    </row>
    <row r="750" spans="105:110" ht="14.25" customHeight="1" x14ac:dyDescent="0.2">
      <c r="DA750" s="155"/>
      <c r="DE750" s="197"/>
      <c r="DF750" s="197"/>
    </row>
    <row r="751" spans="105:110" ht="14.25" customHeight="1" x14ac:dyDescent="0.2">
      <c r="DA751" s="155"/>
      <c r="DE751" s="197"/>
      <c r="DF751" s="197"/>
    </row>
    <row r="752" spans="105:110" ht="14.25" customHeight="1" x14ac:dyDescent="0.2">
      <c r="DA752" s="155"/>
      <c r="DE752" s="197"/>
      <c r="DF752" s="197"/>
    </row>
    <row r="753" spans="105:110" ht="14.25" customHeight="1" x14ac:dyDescent="0.2">
      <c r="DA753" s="155"/>
      <c r="DE753" s="197"/>
      <c r="DF753" s="197"/>
    </row>
    <row r="754" spans="105:110" ht="14.25" customHeight="1" x14ac:dyDescent="0.2">
      <c r="DA754" s="155"/>
      <c r="DE754" s="197"/>
      <c r="DF754" s="197"/>
    </row>
    <row r="755" spans="105:110" ht="14.25" customHeight="1" x14ac:dyDescent="0.2">
      <c r="DA755" s="155"/>
      <c r="DE755" s="197"/>
      <c r="DF755" s="197"/>
    </row>
    <row r="756" spans="105:110" ht="14.25" customHeight="1" x14ac:dyDescent="0.2">
      <c r="DA756" s="155"/>
      <c r="DE756" s="197"/>
      <c r="DF756" s="197"/>
    </row>
    <row r="757" spans="105:110" ht="14.25" customHeight="1" x14ac:dyDescent="0.2">
      <c r="DA757" s="155"/>
      <c r="DE757" s="197"/>
      <c r="DF757" s="197"/>
    </row>
    <row r="758" spans="105:110" ht="14.25" customHeight="1" x14ac:dyDescent="0.2">
      <c r="DA758" s="155"/>
      <c r="DE758" s="197"/>
      <c r="DF758" s="197"/>
    </row>
    <row r="759" spans="105:110" ht="14.25" customHeight="1" x14ac:dyDescent="0.2">
      <c r="DA759" s="155"/>
      <c r="DE759" s="197"/>
      <c r="DF759" s="197"/>
    </row>
    <row r="760" spans="105:110" ht="14.25" customHeight="1" x14ac:dyDescent="0.2">
      <c r="DA760" s="155"/>
      <c r="DE760" s="197"/>
      <c r="DF760" s="197"/>
    </row>
    <row r="761" spans="105:110" ht="14.25" customHeight="1" x14ac:dyDescent="0.2">
      <c r="DA761" s="155"/>
      <c r="DE761" s="197"/>
      <c r="DF761" s="197"/>
    </row>
    <row r="762" spans="105:110" ht="14.25" customHeight="1" x14ac:dyDescent="0.2">
      <c r="DA762" s="155"/>
      <c r="DE762" s="197"/>
      <c r="DF762" s="197"/>
    </row>
    <row r="763" spans="105:110" ht="14.25" customHeight="1" x14ac:dyDescent="0.2">
      <c r="DA763" s="155"/>
      <c r="DE763" s="197"/>
      <c r="DF763" s="197"/>
    </row>
    <row r="764" spans="105:110" ht="14.25" customHeight="1" x14ac:dyDescent="0.2">
      <c r="DA764" s="155"/>
      <c r="DE764" s="197"/>
      <c r="DF764" s="197"/>
    </row>
    <row r="765" spans="105:110" ht="14.25" customHeight="1" x14ac:dyDescent="0.2">
      <c r="DA765" s="155"/>
      <c r="DE765" s="197"/>
      <c r="DF765" s="197"/>
    </row>
    <row r="766" spans="105:110" ht="14.25" customHeight="1" x14ac:dyDescent="0.2">
      <c r="DA766" s="155"/>
      <c r="DE766" s="197"/>
      <c r="DF766" s="197"/>
    </row>
    <row r="767" spans="105:110" ht="14.25" customHeight="1" x14ac:dyDescent="0.2">
      <c r="DA767" s="155"/>
      <c r="DE767" s="197"/>
      <c r="DF767" s="197"/>
    </row>
    <row r="768" spans="105:110" ht="14.25" customHeight="1" x14ac:dyDescent="0.2">
      <c r="DA768" s="155"/>
      <c r="DE768" s="197"/>
      <c r="DF768" s="197"/>
    </row>
    <row r="769" spans="105:110" ht="14.25" customHeight="1" x14ac:dyDescent="0.2">
      <c r="DA769" s="155"/>
      <c r="DE769" s="197"/>
      <c r="DF769" s="197"/>
    </row>
    <row r="770" spans="105:110" ht="14.25" customHeight="1" x14ac:dyDescent="0.2">
      <c r="DA770" s="155"/>
      <c r="DE770" s="197"/>
      <c r="DF770" s="197"/>
    </row>
    <row r="771" spans="105:110" ht="14.25" customHeight="1" x14ac:dyDescent="0.2">
      <c r="DA771" s="155"/>
      <c r="DE771" s="197"/>
      <c r="DF771" s="197"/>
    </row>
    <row r="772" spans="105:110" ht="14.25" customHeight="1" x14ac:dyDescent="0.2">
      <c r="DA772" s="155"/>
      <c r="DE772" s="197"/>
      <c r="DF772" s="197"/>
    </row>
    <row r="773" spans="105:110" ht="14.25" customHeight="1" x14ac:dyDescent="0.2">
      <c r="DA773" s="155"/>
      <c r="DE773" s="197"/>
      <c r="DF773" s="197"/>
    </row>
    <row r="774" spans="105:110" ht="14.25" customHeight="1" x14ac:dyDescent="0.2">
      <c r="DA774" s="155"/>
      <c r="DE774" s="197"/>
      <c r="DF774" s="197"/>
    </row>
    <row r="775" spans="105:110" ht="14.25" customHeight="1" x14ac:dyDescent="0.2">
      <c r="DA775" s="155"/>
      <c r="DE775" s="197"/>
      <c r="DF775" s="197"/>
    </row>
    <row r="776" spans="105:110" ht="14.25" customHeight="1" x14ac:dyDescent="0.2">
      <c r="DA776" s="155"/>
      <c r="DE776" s="197"/>
      <c r="DF776" s="197"/>
    </row>
    <row r="777" spans="105:110" ht="14.25" customHeight="1" x14ac:dyDescent="0.2">
      <c r="DA777" s="155"/>
      <c r="DE777" s="197"/>
      <c r="DF777" s="197"/>
    </row>
    <row r="778" spans="105:110" ht="14.25" customHeight="1" x14ac:dyDescent="0.2">
      <c r="DA778" s="155"/>
      <c r="DE778" s="197"/>
      <c r="DF778" s="197"/>
    </row>
    <row r="779" spans="105:110" ht="14.25" customHeight="1" x14ac:dyDescent="0.2">
      <c r="DA779" s="155"/>
      <c r="DE779" s="197"/>
      <c r="DF779" s="197"/>
    </row>
    <row r="780" spans="105:110" ht="14.25" customHeight="1" x14ac:dyDescent="0.2">
      <c r="DA780" s="155"/>
      <c r="DE780" s="197"/>
      <c r="DF780" s="197"/>
    </row>
    <row r="781" spans="105:110" ht="14.25" customHeight="1" x14ac:dyDescent="0.2">
      <c r="DA781" s="155"/>
      <c r="DE781" s="197"/>
      <c r="DF781" s="197"/>
    </row>
    <row r="782" spans="105:110" ht="14.25" customHeight="1" x14ac:dyDescent="0.2">
      <c r="DA782" s="155"/>
      <c r="DE782" s="197"/>
      <c r="DF782" s="197"/>
    </row>
    <row r="783" spans="105:110" ht="14.25" customHeight="1" x14ac:dyDescent="0.2">
      <c r="DA783" s="155"/>
      <c r="DE783" s="197"/>
      <c r="DF783" s="197"/>
    </row>
    <row r="784" spans="105:110" ht="14.25" customHeight="1" x14ac:dyDescent="0.2">
      <c r="DA784" s="155"/>
      <c r="DE784" s="197"/>
      <c r="DF784" s="197"/>
    </row>
    <row r="785" spans="105:110" ht="14.25" customHeight="1" x14ac:dyDescent="0.2">
      <c r="DA785" s="155"/>
      <c r="DE785" s="197"/>
      <c r="DF785" s="197"/>
    </row>
    <row r="786" spans="105:110" ht="14.25" customHeight="1" x14ac:dyDescent="0.2">
      <c r="DA786" s="155"/>
      <c r="DE786" s="197"/>
      <c r="DF786" s="197"/>
    </row>
    <row r="787" spans="105:110" ht="14.25" customHeight="1" x14ac:dyDescent="0.2">
      <c r="DA787" s="155"/>
      <c r="DE787" s="197"/>
      <c r="DF787" s="197"/>
    </row>
    <row r="788" spans="105:110" ht="14.25" customHeight="1" x14ac:dyDescent="0.2">
      <c r="DA788" s="155"/>
      <c r="DE788" s="197"/>
      <c r="DF788" s="197"/>
    </row>
    <row r="789" spans="105:110" ht="14.25" customHeight="1" x14ac:dyDescent="0.2">
      <c r="DA789" s="155"/>
      <c r="DE789" s="197"/>
      <c r="DF789" s="197"/>
    </row>
    <row r="790" spans="105:110" ht="14.25" customHeight="1" x14ac:dyDescent="0.2">
      <c r="DA790" s="155"/>
      <c r="DE790" s="197"/>
      <c r="DF790" s="197"/>
    </row>
    <row r="791" spans="105:110" ht="14.25" customHeight="1" x14ac:dyDescent="0.2">
      <c r="DA791" s="155"/>
      <c r="DE791" s="197"/>
      <c r="DF791" s="197"/>
    </row>
    <row r="792" spans="105:110" ht="14.25" customHeight="1" x14ac:dyDescent="0.2">
      <c r="DA792" s="155"/>
      <c r="DE792" s="197"/>
      <c r="DF792" s="197"/>
    </row>
    <row r="793" spans="105:110" ht="14.25" customHeight="1" x14ac:dyDescent="0.2">
      <c r="DA793" s="155"/>
      <c r="DE793" s="197"/>
      <c r="DF793" s="197"/>
    </row>
    <row r="794" spans="105:110" ht="14.25" customHeight="1" x14ac:dyDescent="0.2">
      <c r="DA794" s="155"/>
      <c r="DE794" s="197"/>
      <c r="DF794" s="197"/>
    </row>
    <row r="795" spans="105:110" ht="14.25" customHeight="1" x14ac:dyDescent="0.2">
      <c r="DA795" s="155"/>
      <c r="DE795" s="197"/>
      <c r="DF795" s="197"/>
    </row>
    <row r="796" spans="105:110" ht="14.25" customHeight="1" x14ac:dyDescent="0.2">
      <c r="DA796" s="155"/>
      <c r="DE796" s="197"/>
      <c r="DF796" s="197"/>
    </row>
    <row r="797" spans="105:110" ht="14.25" customHeight="1" x14ac:dyDescent="0.2">
      <c r="DA797" s="155"/>
      <c r="DE797" s="197"/>
      <c r="DF797" s="197"/>
    </row>
    <row r="798" spans="105:110" ht="14.25" customHeight="1" x14ac:dyDescent="0.2">
      <c r="DA798" s="155"/>
      <c r="DE798" s="197"/>
      <c r="DF798" s="197"/>
    </row>
    <row r="799" spans="105:110" ht="14.25" customHeight="1" x14ac:dyDescent="0.2">
      <c r="DA799" s="155"/>
      <c r="DE799" s="197"/>
      <c r="DF799" s="197"/>
    </row>
    <row r="800" spans="105:110" ht="14.25" customHeight="1" x14ac:dyDescent="0.2">
      <c r="DA800" s="155"/>
      <c r="DE800" s="197"/>
      <c r="DF800" s="197"/>
    </row>
    <row r="801" spans="105:110" ht="14.25" customHeight="1" x14ac:dyDescent="0.2">
      <c r="DA801" s="155"/>
      <c r="DE801" s="197"/>
      <c r="DF801" s="197"/>
    </row>
    <row r="802" spans="105:110" ht="14.25" customHeight="1" x14ac:dyDescent="0.2">
      <c r="DA802" s="155"/>
      <c r="DE802" s="197"/>
      <c r="DF802" s="197"/>
    </row>
    <row r="803" spans="105:110" ht="14.25" customHeight="1" x14ac:dyDescent="0.2">
      <c r="DA803" s="155"/>
      <c r="DE803" s="197"/>
      <c r="DF803" s="197"/>
    </row>
    <row r="804" spans="105:110" ht="14.25" customHeight="1" x14ac:dyDescent="0.2">
      <c r="DA804" s="155"/>
      <c r="DE804" s="197"/>
      <c r="DF804" s="197"/>
    </row>
    <row r="805" spans="105:110" ht="14.25" customHeight="1" x14ac:dyDescent="0.2">
      <c r="DA805" s="155"/>
      <c r="DE805" s="197"/>
      <c r="DF805" s="197"/>
    </row>
    <row r="806" spans="105:110" ht="14.25" customHeight="1" x14ac:dyDescent="0.2">
      <c r="DA806" s="155"/>
      <c r="DE806" s="197"/>
      <c r="DF806" s="197"/>
    </row>
    <row r="807" spans="105:110" ht="14.25" customHeight="1" x14ac:dyDescent="0.2">
      <c r="DA807" s="155"/>
      <c r="DE807" s="197"/>
      <c r="DF807" s="197"/>
    </row>
    <row r="808" spans="105:110" ht="14.25" customHeight="1" x14ac:dyDescent="0.2">
      <c r="DA808" s="155"/>
      <c r="DE808" s="197"/>
      <c r="DF808" s="197"/>
    </row>
    <row r="809" spans="105:110" ht="14.25" customHeight="1" x14ac:dyDescent="0.2">
      <c r="DA809" s="155"/>
      <c r="DE809" s="197"/>
      <c r="DF809" s="197"/>
    </row>
    <row r="810" spans="105:110" ht="14.25" customHeight="1" x14ac:dyDescent="0.2">
      <c r="DA810" s="155"/>
      <c r="DE810" s="197"/>
      <c r="DF810" s="197"/>
    </row>
    <row r="811" spans="105:110" ht="14.25" customHeight="1" x14ac:dyDescent="0.2">
      <c r="DA811" s="155"/>
      <c r="DE811" s="197"/>
      <c r="DF811" s="197"/>
    </row>
    <row r="812" spans="105:110" ht="14.25" customHeight="1" x14ac:dyDescent="0.2">
      <c r="DA812" s="155"/>
      <c r="DE812" s="197"/>
      <c r="DF812" s="197"/>
    </row>
    <row r="813" spans="105:110" ht="14.25" customHeight="1" x14ac:dyDescent="0.2">
      <c r="DA813" s="155"/>
      <c r="DE813" s="197"/>
      <c r="DF813" s="197"/>
    </row>
    <row r="814" spans="105:110" ht="14.25" customHeight="1" x14ac:dyDescent="0.2">
      <c r="DA814" s="155"/>
      <c r="DE814" s="197"/>
      <c r="DF814" s="197"/>
    </row>
    <row r="815" spans="105:110" ht="14.25" customHeight="1" x14ac:dyDescent="0.2">
      <c r="DA815" s="155"/>
      <c r="DE815" s="197"/>
      <c r="DF815" s="197"/>
    </row>
    <row r="816" spans="105:110" ht="14.25" customHeight="1" x14ac:dyDescent="0.2">
      <c r="DA816" s="155"/>
      <c r="DE816" s="197"/>
      <c r="DF816" s="197"/>
    </row>
    <row r="817" spans="105:110" ht="14.25" customHeight="1" x14ac:dyDescent="0.2">
      <c r="DA817" s="155"/>
      <c r="DE817" s="197"/>
      <c r="DF817" s="197"/>
    </row>
    <row r="818" spans="105:110" ht="14.25" customHeight="1" x14ac:dyDescent="0.2">
      <c r="DA818" s="155"/>
      <c r="DE818" s="197"/>
      <c r="DF818" s="197"/>
    </row>
    <row r="819" spans="105:110" ht="14.25" customHeight="1" x14ac:dyDescent="0.2">
      <c r="DA819" s="155"/>
      <c r="DE819" s="197"/>
      <c r="DF819" s="197"/>
    </row>
    <row r="820" spans="105:110" ht="14.25" customHeight="1" x14ac:dyDescent="0.2">
      <c r="DA820" s="155"/>
      <c r="DE820" s="197"/>
      <c r="DF820" s="197"/>
    </row>
    <row r="821" spans="105:110" ht="14.25" customHeight="1" x14ac:dyDescent="0.2">
      <c r="DA821" s="155"/>
      <c r="DE821" s="197"/>
      <c r="DF821" s="197"/>
    </row>
    <row r="822" spans="105:110" ht="14.25" customHeight="1" x14ac:dyDescent="0.2">
      <c r="DA822" s="155"/>
      <c r="DE822" s="197"/>
      <c r="DF822" s="197"/>
    </row>
    <row r="823" spans="105:110" ht="14.25" customHeight="1" x14ac:dyDescent="0.2">
      <c r="DA823" s="155"/>
      <c r="DE823" s="197"/>
      <c r="DF823" s="197"/>
    </row>
    <row r="824" spans="105:110" ht="14.25" customHeight="1" x14ac:dyDescent="0.2">
      <c r="DA824" s="155"/>
      <c r="DE824" s="197"/>
      <c r="DF824" s="197"/>
    </row>
    <row r="825" spans="105:110" ht="14.25" customHeight="1" x14ac:dyDescent="0.2">
      <c r="DA825" s="155"/>
      <c r="DE825" s="197"/>
      <c r="DF825" s="197"/>
    </row>
    <row r="826" spans="105:110" ht="14.25" customHeight="1" x14ac:dyDescent="0.2">
      <c r="DA826" s="155"/>
      <c r="DE826" s="197"/>
      <c r="DF826" s="197"/>
    </row>
    <row r="827" spans="105:110" ht="14.25" customHeight="1" x14ac:dyDescent="0.2">
      <c r="DA827" s="155"/>
      <c r="DE827" s="197"/>
      <c r="DF827" s="197"/>
    </row>
    <row r="828" spans="105:110" ht="14.25" customHeight="1" x14ac:dyDescent="0.2">
      <c r="DA828" s="155"/>
      <c r="DE828" s="197"/>
      <c r="DF828" s="197"/>
    </row>
    <row r="829" spans="105:110" ht="14.25" customHeight="1" x14ac:dyDescent="0.2">
      <c r="DA829" s="155"/>
      <c r="DE829" s="197"/>
      <c r="DF829" s="197"/>
    </row>
    <row r="830" spans="105:110" ht="14.25" customHeight="1" x14ac:dyDescent="0.2">
      <c r="DA830" s="155"/>
      <c r="DE830" s="197"/>
      <c r="DF830" s="197"/>
    </row>
    <row r="831" spans="105:110" ht="14.25" customHeight="1" x14ac:dyDescent="0.2">
      <c r="DA831" s="155"/>
      <c r="DE831" s="197"/>
      <c r="DF831" s="197"/>
    </row>
    <row r="832" spans="105:110" ht="14.25" customHeight="1" x14ac:dyDescent="0.2">
      <c r="DA832" s="155"/>
      <c r="DE832" s="197"/>
      <c r="DF832" s="197"/>
    </row>
    <row r="833" spans="105:110" ht="14.25" customHeight="1" x14ac:dyDescent="0.2">
      <c r="DA833" s="155"/>
      <c r="DE833" s="197"/>
      <c r="DF833" s="197"/>
    </row>
    <row r="834" spans="105:110" ht="14.25" customHeight="1" x14ac:dyDescent="0.2">
      <c r="DA834" s="155"/>
      <c r="DE834" s="197"/>
      <c r="DF834" s="197"/>
    </row>
    <row r="835" spans="105:110" ht="14.25" customHeight="1" x14ac:dyDescent="0.2">
      <c r="DA835" s="155"/>
      <c r="DE835" s="197"/>
      <c r="DF835" s="197"/>
    </row>
    <row r="836" spans="105:110" ht="14.25" customHeight="1" x14ac:dyDescent="0.2">
      <c r="DA836" s="155"/>
      <c r="DE836" s="197"/>
      <c r="DF836" s="197"/>
    </row>
    <row r="837" spans="105:110" ht="14.25" customHeight="1" x14ac:dyDescent="0.2">
      <c r="DA837" s="155"/>
      <c r="DE837" s="197"/>
      <c r="DF837" s="197"/>
    </row>
    <row r="838" spans="105:110" ht="14.25" customHeight="1" x14ac:dyDescent="0.2">
      <c r="DA838" s="155"/>
      <c r="DE838" s="197"/>
      <c r="DF838" s="197"/>
    </row>
    <row r="839" spans="105:110" ht="14.25" customHeight="1" x14ac:dyDescent="0.2">
      <c r="DA839" s="155"/>
      <c r="DE839" s="197"/>
      <c r="DF839" s="197"/>
    </row>
    <row r="840" spans="105:110" ht="14.25" customHeight="1" x14ac:dyDescent="0.2">
      <c r="DA840" s="155"/>
      <c r="DE840" s="197"/>
      <c r="DF840" s="197"/>
    </row>
    <row r="841" spans="105:110" ht="14.25" customHeight="1" x14ac:dyDescent="0.2">
      <c r="DA841" s="155"/>
      <c r="DE841" s="197"/>
      <c r="DF841" s="197"/>
    </row>
    <row r="842" spans="105:110" ht="14.25" customHeight="1" x14ac:dyDescent="0.2">
      <c r="DA842" s="155"/>
      <c r="DE842" s="197"/>
      <c r="DF842" s="197"/>
    </row>
    <row r="843" spans="105:110" ht="14.25" customHeight="1" x14ac:dyDescent="0.2">
      <c r="DA843" s="155"/>
      <c r="DE843" s="197"/>
      <c r="DF843" s="197"/>
    </row>
    <row r="844" spans="105:110" ht="14.25" customHeight="1" x14ac:dyDescent="0.2">
      <c r="DA844" s="155"/>
      <c r="DE844" s="197"/>
      <c r="DF844" s="197"/>
    </row>
    <row r="845" spans="105:110" ht="14.25" customHeight="1" x14ac:dyDescent="0.2">
      <c r="DA845" s="155"/>
      <c r="DE845" s="197"/>
      <c r="DF845" s="197"/>
    </row>
    <row r="846" spans="105:110" ht="14.25" customHeight="1" x14ac:dyDescent="0.2">
      <c r="DA846" s="155"/>
      <c r="DE846" s="197"/>
      <c r="DF846" s="197"/>
    </row>
    <row r="847" spans="105:110" ht="14.25" customHeight="1" x14ac:dyDescent="0.2">
      <c r="DA847" s="155"/>
      <c r="DE847" s="197"/>
      <c r="DF847" s="197"/>
    </row>
    <row r="848" spans="105:110" ht="14.25" customHeight="1" x14ac:dyDescent="0.2">
      <c r="DA848" s="155"/>
      <c r="DE848" s="197"/>
      <c r="DF848" s="197"/>
    </row>
    <row r="849" spans="105:110" ht="14.25" customHeight="1" x14ac:dyDescent="0.2">
      <c r="DA849" s="155"/>
      <c r="DE849" s="197"/>
      <c r="DF849" s="197"/>
    </row>
    <row r="850" spans="105:110" ht="14.25" customHeight="1" x14ac:dyDescent="0.2">
      <c r="DA850" s="155"/>
      <c r="DE850" s="197"/>
      <c r="DF850" s="197"/>
    </row>
    <row r="851" spans="105:110" ht="14.25" customHeight="1" x14ac:dyDescent="0.2">
      <c r="DA851" s="155"/>
      <c r="DE851" s="197"/>
      <c r="DF851" s="197"/>
    </row>
    <row r="852" spans="105:110" ht="14.25" customHeight="1" x14ac:dyDescent="0.2">
      <c r="DA852" s="155"/>
      <c r="DE852" s="197"/>
      <c r="DF852" s="197"/>
    </row>
    <row r="853" spans="105:110" ht="14.25" customHeight="1" x14ac:dyDescent="0.2">
      <c r="DA853" s="155"/>
      <c r="DE853" s="197"/>
      <c r="DF853" s="197"/>
    </row>
    <row r="854" spans="105:110" ht="14.25" customHeight="1" x14ac:dyDescent="0.2">
      <c r="DA854" s="155"/>
      <c r="DE854" s="197"/>
      <c r="DF854" s="197"/>
    </row>
    <row r="855" spans="105:110" ht="14.25" customHeight="1" x14ac:dyDescent="0.2">
      <c r="DA855" s="155"/>
      <c r="DE855" s="197"/>
      <c r="DF855" s="197"/>
    </row>
    <row r="856" spans="105:110" ht="14.25" customHeight="1" x14ac:dyDescent="0.2">
      <c r="DA856" s="155"/>
      <c r="DE856" s="197"/>
      <c r="DF856" s="197"/>
    </row>
    <row r="857" spans="105:110" ht="14.25" customHeight="1" x14ac:dyDescent="0.2">
      <c r="DA857" s="155"/>
      <c r="DE857" s="197"/>
      <c r="DF857" s="197"/>
    </row>
    <row r="858" spans="105:110" ht="14.25" customHeight="1" x14ac:dyDescent="0.2">
      <c r="DA858" s="155"/>
      <c r="DE858" s="197"/>
      <c r="DF858" s="197"/>
    </row>
    <row r="859" spans="105:110" ht="14.25" customHeight="1" x14ac:dyDescent="0.2">
      <c r="DA859" s="155"/>
      <c r="DE859" s="197"/>
      <c r="DF859" s="197"/>
    </row>
    <row r="860" spans="105:110" ht="14.25" customHeight="1" x14ac:dyDescent="0.2">
      <c r="DA860" s="155"/>
      <c r="DE860" s="197"/>
      <c r="DF860" s="197"/>
    </row>
    <row r="861" spans="105:110" ht="14.25" customHeight="1" x14ac:dyDescent="0.2">
      <c r="DA861" s="155"/>
      <c r="DE861" s="197"/>
      <c r="DF861" s="197"/>
    </row>
    <row r="862" spans="105:110" ht="14.25" customHeight="1" x14ac:dyDescent="0.2">
      <c r="DA862" s="155"/>
      <c r="DE862" s="197"/>
      <c r="DF862" s="197"/>
    </row>
    <row r="863" spans="105:110" ht="14.25" customHeight="1" x14ac:dyDescent="0.2">
      <c r="DA863" s="155"/>
      <c r="DE863" s="197"/>
      <c r="DF863" s="197"/>
    </row>
    <row r="864" spans="105:110" ht="14.25" customHeight="1" x14ac:dyDescent="0.2">
      <c r="DA864" s="155"/>
      <c r="DE864" s="197"/>
      <c r="DF864" s="197"/>
    </row>
    <row r="865" spans="105:110" ht="14.25" customHeight="1" x14ac:dyDescent="0.2">
      <c r="DA865" s="155"/>
      <c r="DE865" s="197"/>
      <c r="DF865" s="197"/>
    </row>
    <row r="866" spans="105:110" ht="14.25" customHeight="1" x14ac:dyDescent="0.2">
      <c r="DA866" s="155"/>
      <c r="DE866" s="197"/>
      <c r="DF866" s="197"/>
    </row>
    <row r="867" spans="105:110" ht="14.25" customHeight="1" x14ac:dyDescent="0.2">
      <c r="DA867" s="155"/>
      <c r="DE867" s="197"/>
      <c r="DF867" s="197"/>
    </row>
    <row r="868" spans="105:110" ht="14.25" customHeight="1" x14ac:dyDescent="0.2">
      <c r="DA868" s="155"/>
      <c r="DE868" s="197"/>
      <c r="DF868" s="197"/>
    </row>
    <row r="869" spans="105:110" ht="14.25" customHeight="1" x14ac:dyDescent="0.2">
      <c r="DA869" s="155"/>
      <c r="DE869" s="197"/>
      <c r="DF869" s="197"/>
    </row>
    <row r="870" spans="105:110" ht="14.25" customHeight="1" x14ac:dyDescent="0.2">
      <c r="DA870" s="155"/>
      <c r="DE870" s="197"/>
      <c r="DF870" s="197"/>
    </row>
    <row r="871" spans="105:110" ht="14.25" customHeight="1" x14ac:dyDescent="0.2">
      <c r="DA871" s="155"/>
      <c r="DE871" s="197"/>
      <c r="DF871" s="197"/>
    </row>
    <row r="872" spans="105:110" ht="14.25" customHeight="1" x14ac:dyDescent="0.2">
      <c r="DA872" s="155"/>
      <c r="DE872" s="197"/>
      <c r="DF872" s="197"/>
    </row>
    <row r="873" spans="105:110" ht="14.25" customHeight="1" x14ac:dyDescent="0.2">
      <c r="DA873" s="155"/>
      <c r="DE873" s="197"/>
      <c r="DF873" s="197"/>
    </row>
    <row r="874" spans="105:110" ht="14.25" customHeight="1" x14ac:dyDescent="0.2">
      <c r="DA874" s="155"/>
      <c r="DE874" s="197"/>
      <c r="DF874" s="197"/>
    </row>
    <row r="875" spans="105:110" ht="14.25" customHeight="1" x14ac:dyDescent="0.2">
      <c r="DA875" s="155"/>
      <c r="DE875" s="197"/>
      <c r="DF875" s="197"/>
    </row>
    <row r="876" spans="105:110" ht="14.25" customHeight="1" x14ac:dyDescent="0.2">
      <c r="DA876" s="155"/>
      <c r="DE876" s="197"/>
      <c r="DF876" s="197"/>
    </row>
    <row r="877" spans="105:110" ht="14.25" customHeight="1" x14ac:dyDescent="0.2">
      <c r="DA877" s="155"/>
      <c r="DE877" s="197"/>
      <c r="DF877" s="197"/>
    </row>
    <row r="878" spans="105:110" ht="14.25" customHeight="1" x14ac:dyDescent="0.2">
      <c r="DA878" s="155"/>
      <c r="DE878" s="197"/>
      <c r="DF878" s="197"/>
    </row>
    <row r="879" spans="105:110" ht="14.25" customHeight="1" x14ac:dyDescent="0.2">
      <c r="DA879" s="155"/>
      <c r="DE879" s="197"/>
      <c r="DF879" s="197"/>
    </row>
    <row r="880" spans="105:110" ht="14.25" customHeight="1" x14ac:dyDescent="0.2">
      <c r="DA880" s="155"/>
      <c r="DE880" s="197"/>
      <c r="DF880" s="197"/>
    </row>
    <row r="881" spans="105:110" ht="14.25" customHeight="1" x14ac:dyDescent="0.2">
      <c r="DA881" s="155"/>
      <c r="DE881" s="197"/>
      <c r="DF881" s="197"/>
    </row>
    <row r="882" spans="105:110" ht="14.25" customHeight="1" x14ac:dyDescent="0.2">
      <c r="DA882" s="155"/>
      <c r="DE882" s="197"/>
      <c r="DF882" s="197"/>
    </row>
    <row r="883" spans="105:110" ht="14.25" customHeight="1" x14ac:dyDescent="0.2">
      <c r="DA883" s="155"/>
      <c r="DE883" s="197"/>
      <c r="DF883" s="197"/>
    </row>
    <row r="884" spans="105:110" ht="14.25" customHeight="1" x14ac:dyDescent="0.2">
      <c r="DA884" s="155"/>
      <c r="DE884" s="197"/>
      <c r="DF884" s="197"/>
    </row>
    <row r="885" spans="105:110" ht="14.25" customHeight="1" x14ac:dyDescent="0.2">
      <c r="DA885" s="155"/>
      <c r="DE885" s="197"/>
      <c r="DF885" s="197"/>
    </row>
    <row r="886" spans="105:110" ht="14.25" customHeight="1" x14ac:dyDescent="0.2">
      <c r="DA886" s="155"/>
      <c r="DE886" s="197"/>
      <c r="DF886" s="197"/>
    </row>
    <row r="887" spans="105:110" ht="14.25" customHeight="1" x14ac:dyDescent="0.2">
      <c r="DA887" s="155"/>
      <c r="DE887" s="197"/>
      <c r="DF887" s="197"/>
    </row>
    <row r="888" spans="105:110" ht="14.25" customHeight="1" x14ac:dyDescent="0.2">
      <c r="DA888" s="155"/>
      <c r="DE888" s="197"/>
      <c r="DF888" s="197"/>
    </row>
    <row r="889" spans="105:110" ht="14.25" customHeight="1" x14ac:dyDescent="0.2">
      <c r="DA889" s="155"/>
      <c r="DE889" s="197"/>
      <c r="DF889" s="197"/>
    </row>
    <row r="890" spans="105:110" ht="14.25" customHeight="1" x14ac:dyDescent="0.2">
      <c r="DA890" s="155"/>
      <c r="DE890" s="197"/>
      <c r="DF890" s="197"/>
    </row>
    <row r="891" spans="105:110" ht="14.25" customHeight="1" x14ac:dyDescent="0.2">
      <c r="DA891" s="155"/>
      <c r="DE891" s="197"/>
      <c r="DF891" s="197"/>
    </row>
    <row r="892" spans="105:110" ht="14.25" customHeight="1" x14ac:dyDescent="0.2">
      <c r="DA892" s="155"/>
      <c r="DE892" s="197"/>
      <c r="DF892" s="197"/>
    </row>
    <row r="893" spans="105:110" ht="14.25" customHeight="1" x14ac:dyDescent="0.2">
      <c r="DA893" s="155"/>
      <c r="DE893" s="197"/>
      <c r="DF893" s="197"/>
    </row>
    <row r="894" spans="105:110" ht="14.25" customHeight="1" x14ac:dyDescent="0.2">
      <c r="DA894" s="155"/>
      <c r="DE894" s="197"/>
      <c r="DF894" s="197"/>
    </row>
    <row r="895" spans="105:110" ht="14.25" customHeight="1" x14ac:dyDescent="0.2">
      <c r="DA895" s="155"/>
      <c r="DE895" s="197"/>
      <c r="DF895" s="197"/>
    </row>
    <row r="896" spans="105:110" ht="14.25" customHeight="1" x14ac:dyDescent="0.2">
      <c r="DA896" s="155"/>
      <c r="DE896" s="197"/>
      <c r="DF896" s="197"/>
    </row>
    <row r="897" spans="105:110" ht="14.25" customHeight="1" x14ac:dyDescent="0.2">
      <c r="DA897" s="155"/>
      <c r="DE897" s="197"/>
      <c r="DF897" s="197"/>
    </row>
    <row r="898" spans="105:110" ht="14.25" customHeight="1" x14ac:dyDescent="0.2">
      <c r="DA898" s="155"/>
      <c r="DE898" s="197"/>
      <c r="DF898" s="197"/>
    </row>
    <row r="899" spans="105:110" ht="14.25" customHeight="1" x14ac:dyDescent="0.2">
      <c r="DA899" s="155"/>
      <c r="DE899" s="197"/>
      <c r="DF899" s="197"/>
    </row>
    <row r="900" spans="105:110" ht="14.25" customHeight="1" x14ac:dyDescent="0.2">
      <c r="DA900" s="155"/>
      <c r="DE900" s="197"/>
      <c r="DF900" s="197"/>
    </row>
    <row r="901" spans="105:110" ht="14.25" customHeight="1" x14ac:dyDescent="0.2">
      <c r="DA901" s="155"/>
      <c r="DE901" s="197"/>
      <c r="DF901" s="197"/>
    </row>
    <row r="902" spans="105:110" ht="14.25" customHeight="1" x14ac:dyDescent="0.2">
      <c r="DA902" s="155"/>
      <c r="DE902" s="197"/>
      <c r="DF902" s="197"/>
    </row>
    <row r="903" spans="105:110" ht="14.25" customHeight="1" x14ac:dyDescent="0.2">
      <c r="DA903" s="155"/>
      <c r="DE903" s="197"/>
      <c r="DF903" s="197"/>
    </row>
    <row r="904" spans="105:110" ht="14.25" customHeight="1" x14ac:dyDescent="0.2">
      <c r="DA904" s="155"/>
      <c r="DE904" s="197"/>
      <c r="DF904" s="197"/>
    </row>
    <row r="905" spans="105:110" ht="14.25" customHeight="1" x14ac:dyDescent="0.2">
      <c r="DA905" s="155"/>
      <c r="DE905" s="197"/>
      <c r="DF905" s="197"/>
    </row>
    <row r="906" spans="105:110" ht="14.25" customHeight="1" x14ac:dyDescent="0.2">
      <c r="DA906" s="155"/>
      <c r="DE906" s="197"/>
      <c r="DF906" s="197"/>
    </row>
    <row r="907" spans="105:110" ht="14.25" customHeight="1" x14ac:dyDescent="0.2">
      <c r="DA907" s="155"/>
      <c r="DE907" s="197"/>
      <c r="DF907" s="197"/>
    </row>
    <row r="908" spans="105:110" ht="14.25" customHeight="1" x14ac:dyDescent="0.2">
      <c r="DA908" s="155"/>
      <c r="DE908" s="197"/>
      <c r="DF908" s="197"/>
    </row>
    <row r="909" spans="105:110" ht="14.25" customHeight="1" x14ac:dyDescent="0.2">
      <c r="DA909" s="155"/>
      <c r="DE909" s="197"/>
      <c r="DF909" s="197"/>
    </row>
    <row r="910" spans="105:110" ht="14.25" customHeight="1" x14ac:dyDescent="0.2">
      <c r="DA910" s="155"/>
      <c r="DE910" s="197"/>
      <c r="DF910" s="197"/>
    </row>
    <row r="911" spans="105:110" ht="14.25" customHeight="1" x14ac:dyDescent="0.2">
      <c r="DA911" s="155"/>
      <c r="DE911" s="197"/>
      <c r="DF911" s="197"/>
    </row>
    <row r="912" spans="105:110" ht="14.25" customHeight="1" x14ac:dyDescent="0.2">
      <c r="DA912" s="155"/>
      <c r="DE912" s="197"/>
      <c r="DF912" s="197"/>
    </row>
    <row r="913" spans="105:110" ht="14.25" customHeight="1" x14ac:dyDescent="0.2">
      <c r="DA913" s="155"/>
      <c r="DE913" s="197"/>
      <c r="DF913" s="197"/>
    </row>
    <row r="914" spans="105:110" ht="14.25" customHeight="1" x14ac:dyDescent="0.2">
      <c r="DA914" s="155"/>
      <c r="DE914" s="197"/>
      <c r="DF914" s="197"/>
    </row>
    <row r="915" spans="105:110" ht="14.25" customHeight="1" x14ac:dyDescent="0.2">
      <c r="DA915" s="155"/>
      <c r="DE915" s="197"/>
      <c r="DF915" s="197"/>
    </row>
    <row r="916" spans="105:110" ht="14.25" customHeight="1" x14ac:dyDescent="0.2">
      <c r="DA916" s="155"/>
      <c r="DE916" s="197"/>
      <c r="DF916" s="197"/>
    </row>
    <row r="917" spans="105:110" ht="14.25" customHeight="1" x14ac:dyDescent="0.2">
      <c r="DA917" s="155"/>
      <c r="DE917" s="197"/>
      <c r="DF917" s="197"/>
    </row>
    <row r="918" spans="105:110" ht="14.25" customHeight="1" x14ac:dyDescent="0.2">
      <c r="DA918" s="155"/>
      <c r="DE918" s="197"/>
      <c r="DF918" s="197"/>
    </row>
    <row r="919" spans="105:110" ht="14.25" customHeight="1" x14ac:dyDescent="0.2">
      <c r="DA919" s="155"/>
      <c r="DE919" s="197"/>
      <c r="DF919" s="197"/>
    </row>
    <row r="920" spans="105:110" ht="14.25" customHeight="1" x14ac:dyDescent="0.2">
      <c r="DA920" s="155"/>
      <c r="DE920" s="197"/>
      <c r="DF920" s="197"/>
    </row>
    <row r="921" spans="105:110" ht="14.25" customHeight="1" x14ac:dyDescent="0.2">
      <c r="DA921" s="155"/>
      <c r="DE921" s="197"/>
      <c r="DF921" s="197"/>
    </row>
    <row r="922" spans="105:110" ht="14.25" customHeight="1" x14ac:dyDescent="0.2">
      <c r="DA922" s="155"/>
      <c r="DE922" s="197"/>
      <c r="DF922" s="197"/>
    </row>
    <row r="923" spans="105:110" ht="14.25" customHeight="1" x14ac:dyDescent="0.2">
      <c r="DA923" s="155"/>
      <c r="DE923" s="197"/>
      <c r="DF923" s="197"/>
    </row>
    <row r="924" spans="105:110" ht="14.25" customHeight="1" x14ac:dyDescent="0.2">
      <c r="DA924" s="155"/>
      <c r="DE924" s="197"/>
      <c r="DF924" s="197"/>
    </row>
    <row r="925" spans="105:110" ht="14.25" customHeight="1" x14ac:dyDescent="0.2">
      <c r="DA925" s="155"/>
      <c r="DE925" s="197"/>
      <c r="DF925" s="197"/>
    </row>
    <row r="926" spans="105:110" ht="14.25" customHeight="1" x14ac:dyDescent="0.2">
      <c r="DA926" s="155"/>
      <c r="DE926" s="197"/>
      <c r="DF926" s="197"/>
    </row>
    <row r="927" spans="105:110" ht="14.25" customHeight="1" x14ac:dyDescent="0.2">
      <c r="DA927" s="155"/>
      <c r="DE927" s="197"/>
      <c r="DF927" s="197"/>
    </row>
    <row r="928" spans="105:110" ht="14.25" customHeight="1" x14ac:dyDescent="0.2">
      <c r="DA928" s="155"/>
      <c r="DE928" s="197"/>
      <c r="DF928" s="197"/>
    </row>
    <row r="929" spans="105:110" ht="14.25" customHeight="1" x14ac:dyDescent="0.2">
      <c r="DA929" s="155"/>
      <c r="DE929" s="197"/>
      <c r="DF929" s="197"/>
    </row>
    <row r="930" spans="105:110" ht="14.25" customHeight="1" x14ac:dyDescent="0.2">
      <c r="DA930" s="155"/>
      <c r="DE930" s="197"/>
      <c r="DF930" s="197"/>
    </row>
    <row r="931" spans="105:110" ht="14.25" customHeight="1" x14ac:dyDescent="0.2">
      <c r="DA931" s="155"/>
      <c r="DE931" s="197"/>
      <c r="DF931" s="197"/>
    </row>
    <row r="932" spans="105:110" ht="14.25" customHeight="1" x14ac:dyDescent="0.2">
      <c r="DA932" s="155"/>
      <c r="DE932" s="197"/>
      <c r="DF932" s="197"/>
    </row>
    <row r="933" spans="105:110" ht="14.25" customHeight="1" x14ac:dyDescent="0.2">
      <c r="DA933" s="155"/>
      <c r="DE933" s="197"/>
      <c r="DF933" s="197"/>
    </row>
    <row r="934" spans="105:110" ht="14.25" customHeight="1" x14ac:dyDescent="0.2">
      <c r="DA934" s="155"/>
      <c r="DE934" s="197"/>
      <c r="DF934" s="197"/>
    </row>
    <row r="935" spans="105:110" ht="14.25" customHeight="1" x14ac:dyDescent="0.2">
      <c r="DA935" s="155"/>
      <c r="DE935" s="197"/>
      <c r="DF935" s="197"/>
    </row>
    <row r="936" spans="105:110" ht="14.25" customHeight="1" x14ac:dyDescent="0.2">
      <c r="DA936" s="155"/>
      <c r="DE936" s="197"/>
      <c r="DF936" s="197"/>
    </row>
    <row r="937" spans="105:110" ht="14.25" customHeight="1" x14ac:dyDescent="0.2">
      <c r="DA937" s="155"/>
      <c r="DE937" s="197"/>
      <c r="DF937" s="197"/>
    </row>
    <row r="938" spans="105:110" ht="14.25" customHeight="1" x14ac:dyDescent="0.2">
      <c r="DA938" s="155"/>
      <c r="DE938" s="197"/>
      <c r="DF938" s="197"/>
    </row>
    <row r="939" spans="105:110" ht="14.25" customHeight="1" x14ac:dyDescent="0.2">
      <c r="DA939" s="155"/>
      <c r="DE939" s="197"/>
      <c r="DF939" s="197"/>
    </row>
    <row r="940" spans="105:110" ht="14.25" customHeight="1" x14ac:dyDescent="0.2">
      <c r="DA940" s="155"/>
      <c r="DE940" s="197"/>
      <c r="DF940" s="197"/>
    </row>
    <row r="941" spans="105:110" ht="14.25" customHeight="1" x14ac:dyDescent="0.2">
      <c r="DA941" s="155"/>
      <c r="DE941" s="197"/>
      <c r="DF941" s="197"/>
    </row>
    <row r="942" spans="105:110" ht="14.25" customHeight="1" x14ac:dyDescent="0.2">
      <c r="DA942" s="155"/>
      <c r="DE942" s="197"/>
      <c r="DF942" s="197"/>
    </row>
    <row r="943" spans="105:110" ht="14.25" customHeight="1" x14ac:dyDescent="0.2">
      <c r="DA943" s="155"/>
      <c r="DE943" s="197"/>
      <c r="DF943" s="197"/>
    </row>
    <row r="944" spans="105:110" ht="14.25" customHeight="1" x14ac:dyDescent="0.2">
      <c r="DA944" s="155"/>
      <c r="DE944" s="197"/>
      <c r="DF944" s="197"/>
    </row>
    <row r="945" spans="105:110" ht="14.25" customHeight="1" x14ac:dyDescent="0.2">
      <c r="DA945" s="155"/>
      <c r="DE945" s="197"/>
      <c r="DF945" s="197"/>
    </row>
    <row r="946" spans="105:110" ht="14.25" customHeight="1" x14ac:dyDescent="0.2">
      <c r="DA946" s="155"/>
      <c r="DE946" s="197"/>
      <c r="DF946" s="197"/>
    </row>
    <row r="947" spans="105:110" ht="14.25" customHeight="1" x14ac:dyDescent="0.2">
      <c r="DA947" s="155"/>
      <c r="DE947" s="197"/>
      <c r="DF947" s="197"/>
    </row>
    <row r="948" spans="105:110" ht="14.25" customHeight="1" x14ac:dyDescent="0.2">
      <c r="DA948" s="155"/>
      <c r="DE948" s="197"/>
      <c r="DF948" s="197"/>
    </row>
    <row r="949" spans="105:110" ht="14.25" customHeight="1" x14ac:dyDescent="0.2">
      <c r="DA949" s="155"/>
      <c r="DE949" s="197"/>
      <c r="DF949" s="197"/>
    </row>
    <row r="950" spans="105:110" ht="14.25" customHeight="1" x14ac:dyDescent="0.2">
      <c r="DA950" s="155"/>
      <c r="DE950" s="197"/>
      <c r="DF950" s="197"/>
    </row>
    <row r="951" spans="105:110" ht="14.25" customHeight="1" x14ac:dyDescent="0.2">
      <c r="DA951" s="155"/>
      <c r="DE951" s="197"/>
      <c r="DF951" s="197"/>
    </row>
    <row r="952" spans="105:110" ht="14.25" customHeight="1" x14ac:dyDescent="0.2">
      <c r="DA952" s="155"/>
      <c r="DE952" s="197"/>
      <c r="DF952" s="197"/>
    </row>
    <row r="953" spans="105:110" ht="14.25" customHeight="1" x14ac:dyDescent="0.2">
      <c r="DA953" s="155"/>
      <c r="DE953" s="197"/>
      <c r="DF953" s="197"/>
    </row>
    <row r="954" spans="105:110" ht="14.25" customHeight="1" x14ac:dyDescent="0.2">
      <c r="DA954" s="155"/>
      <c r="DE954" s="197"/>
      <c r="DF954" s="197"/>
    </row>
    <row r="955" spans="105:110" ht="14.25" customHeight="1" x14ac:dyDescent="0.2">
      <c r="DA955" s="155"/>
      <c r="DE955" s="197"/>
      <c r="DF955" s="197"/>
    </row>
    <row r="956" spans="105:110" ht="14.25" customHeight="1" x14ac:dyDescent="0.2">
      <c r="DA956" s="155"/>
      <c r="DE956" s="197"/>
      <c r="DF956" s="197"/>
    </row>
    <row r="957" spans="105:110" ht="14.25" customHeight="1" x14ac:dyDescent="0.2">
      <c r="DA957" s="155"/>
      <c r="DE957" s="197"/>
      <c r="DF957" s="197"/>
    </row>
    <row r="958" spans="105:110" ht="14.25" customHeight="1" x14ac:dyDescent="0.2">
      <c r="DA958" s="155"/>
      <c r="DE958" s="197"/>
      <c r="DF958" s="197"/>
    </row>
    <row r="959" spans="105:110" ht="14.25" customHeight="1" x14ac:dyDescent="0.2">
      <c r="DA959" s="155"/>
      <c r="DE959" s="197"/>
      <c r="DF959" s="197"/>
    </row>
    <row r="960" spans="105:110" ht="14.25" customHeight="1" x14ac:dyDescent="0.2">
      <c r="DA960" s="155"/>
      <c r="DE960" s="197"/>
      <c r="DF960" s="197"/>
    </row>
    <row r="961" spans="105:110" ht="14.25" customHeight="1" x14ac:dyDescent="0.2">
      <c r="DA961" s="155"/>
      <c r="DE961" s="197"/>
      <c r="DF961" s="197"/>
    </row>
    <row r="962" spans="105:110" ht="14.25" customHeight="1" x14ac:dyDescent="0.2">
      <c r="DA962" s="155"/>
      <c r="DE962" s="197"/>
      <c r="DF962" s="197"/>
    </row>
    <row r="963" spans="105:110" ht="14.25" customHeight="1" x14ac:dyDescent="0.2">
      <c r="DA963" s="155"/>
      <c r="DE963" s="197"/>
      <c r="DF963" s="197"/>
    </row>
    <row r="964" spans="105:110" ht="14.25" customHeight="1" x14ac:dyDescent="0.2">
      <c r="DA964" s="155"/>
      <c r="DE964" s="197"/>
      <c r="DF964" s="197"/>
    </row>
    <row r="965" spans="105:110" ht="14.25" customHeight="1" x14ac:dyDescent="0.2">
      <c r="DA965" s="155"/>
      <c r="DE965" s="197"/>
      <c r="DF965" s="197"/>
    </row>
    <row r="966" spans="105:110" ht="14.25" customHeight="1" x14ac:dyDescent="0.2">
      <c r="DA966" s="155"/>
      <c r="DE966" s="197"/>
      <c r="DF966" s="197"/>
    </row>
    <row r="967" spans="105:110" ht="14.25" customHeight="1" x14ac:dyDescent="0.2">
      <c r="DA967" s="155"/>
      <c r="DE967" s="197"/>
      <c r="DF967" s="197"/>
    </row>
    <row r="968" spans="105:110" ht="14.25" customHeight="1" x14ac:dyDescent="0.2">
      <c r="DA968" s="155"/>
      <c r="DE968" s="197"/>
      <c r="DF968" s="197"/>
    </row>
    <row r="969" spans="105:110" ht="14.25" customHeight="1" x14ac:dyDescent="0.2">
      <c r="DA969" s="155"/>
      <c r="DE969" s="197"/>
      <c r="DF969" s="197"/>
    </row>
    <row r="970" spans="105:110" ht="14.25" customHeight="1" x14ac:dyDescent="0.2">
      <c r="DA970" s="155"/>
      <c r="DE970" s="197"/>
      <c r="DF970" s="197"/>
    </row>
    <row r="971" spans="105:110" ht="14.25" customHeight="1" x14ac:dyDescent="0.2">
      <c r="DA971" s="155"/>
      <c r="DE971" s="197"/>
      <c r="DF971" s="197"/>
    </row>
    <row r="972" spans="105:110" ht="14.25" customHeight="1" x14ac:dyDescent="0.2">
      <c r="DA972" s="155"/>
      <c r="DE972" s="197"/>
      <c r="DF972" s="197"/>
    </row>
    <row r="973" spans="105:110" ht="14.25" customHeight="1" x14ac:dyDescent="0.2">
      <c r="DA973" s="155"/>
      <c r="DE973" s="197"/>
      <c r="DF973" s="197"/>
    </row>
    <row r="974" spans="105:110" ht="14.25" customHeight="1" x14ac:dyDescent="0.2">
      <c r="DA974" s="155"/>
      <c r="DE974" s="197"/>
      <c r="DF974" s="197"/>
    </row>
    <row r="975" spans="105:110" ht="14.25" customHeight="1" x14ac:dyDescent="0.2">
      <c r="DA975" s="155"/>
      <c r="DE975" s="197"/>
      <c r="DF975" s="197"/>
    </row>
    <row r="976" spans="105:110" ht="14.25" customHeight="1" x14ac:dyDescent="0.2">
      <c r="DA976" s="155"/>
      <c r="DE976" s="197"/>
      <c r="DF976" s="197"/>
    </row>
    <row r="977" spans="105:110" ht="14.25" customHeight="1" x14ac:dyDescent="0.2">
      <c r="DA977" s="155"/>
      <c r="DE977" s="197"/>
      <c r="DF977" s="197"/>
    </row>
    <row r="978" spans="105:110" ht="14.25" customHeight="1" x14ac:dyDescent="0.2">
      <c r="DA978" s="155"/>
      <c r="DE978" s="197"/>
      <c r="DF978" s="197"/>
    </row>
    <row r="979" spans="105:110" ht="14.25" customHeight="1" x14ac:dyDescent="0.2">
      <c r="DA979" s="155"/>
      <c r="DE979" s="197"/>
      <c r="DF979" s="197"/>
    </row>
    <row r="980" spans="105:110" ht="14.25" customHeight="1" x14ac:dyDescent="0.2">
      <c r="DA980" s="155"/>
      <c r="DE980" s="197"/>
      <c r="DF980" s="197"/>
    </row>
    <row r="981" spans="105:110" ht="14.25" customHeight="1" x14ac:dyDescent="0.2">
      <c r="DA981" s="155"/>
      <c r="DE981" s="197"/>
      <c r="DF981" s="197"/>
    </row>
    <row r="982" spans="105:110" ht="14.25" customHeight="1" x14ac:dyDescent="0.2">
      <c r="DA982" s="155"/>
      <c r="DE982" s="197"/>
      <c r="DF982" s="197"/>
    </row>
    <row r="983" spans="105:110" ht="14.25" customHeight="1" x14ac:dyDescent="0.2">
      <c r="DA983" s="155"/>
      <c r="DE983" s="197"/>
      <c r="DF983" s="197"/>
    </row>
    <row r="984" spans="105:110" ht="14.25" customHeight="1" x14ac:dyDescent="0.2">
      <c r="DA984" s="155"/>
      <c r="DE984" s="197"/>
      <c r="DF984" s="197"/>
    </row>
    <row r="985" spans="105:110" ht="14.25" customHeight="1" x14ac:dyDescent="0.2">
      <c r="DA985" s="155"/>
      <c r="DE985" s="197"/>
      <c r="DF985" s="197"/>
    </row>
    <row r="986" spans="105:110" ht="14.25" customHeight="1" x14ac:dyDescent="0.2">
      <c r="DA986" s="155"/>
      <c r="DE986" s="197"/>
      <c r="DF986" s="197"/>
    </row>
    <row r="987" spans="105:110" ht="14.25" customHeight="1" x14ac:dyDescent="0.2">
      <c r="DA987" s="155"/>
      <c r="DE987" s="197"/>
      <c r="DF987" s="197"/>
    </row>
    <row r="988" spans="105:110" ht="14.25" customHeight="1" x14ac:dyDescent="0.2">
      <c r="DA988" s="155"/>
      <c r="DE988" s="197"/>
      <c r="DF988" s="197"/>
    </row>
    <row r="989" spans="105:110" ht="14.25" customHeight="1" x14ac:dyDescent="0.2">
      <c r="DA989" s="155"/>
      <c r="DE989" s="197"/>
      <c r="DF989" s="197"/>
    </row>
    <row r="990" spans="105:110" ht="14.25" customHeight="1" x14ac:dyDescent="0.2">
      <c r="DA990" s="155"/>
      <c r="DE990" s="197"/>
      <c r="DF990" s="197"/>
    </row>
    <row r="991" spans="105:110" ht="14.25" customHeight="1" x14ac:dyDescent="0.2">
      <c r="DA991" s="155"/>
      <c r="DE991" s="197"/>
      <c r="DF991" s="197"/>
    </row>
    <row r="992" spans="105:110" ht="14.25" customHeight="1" x14ac:dyDescent="0.2">
      <c r="DA992" s="155"/>
      <c r="DE992" s="197"/>
      <c r="DF992" s="197"/>
    </row>
    <row r="993" spans="105:110" ht="14.25" customHeight="1" x14ac:dyDescent="0.2">
      <c r="DA993" s="155"/>
      <c r="DE993" s="197"/>
      <c r="DF993" s="197"/>
    </row>
    <row r="994" spans="105:110" ht="14.25" customHeight="1" x14ac:dyDescent="0.2">
      <c r="DA994" s="155"/>
      <c r="DE994" s="197"/>
      <c r="DF994" s="197"/>
    </row>
    <row r="995" spans="105:110" ht="14.25" customHeight="1" x14ac:dyDescent="0.2">
      <c r="DA995" s="155"/>
      <c r="DE995" s="197"/>
      <c r="DF995" s="197"/>
    </row>
    <row r="996" spans="105:110" ht="14.25" customHeight="1" x14ac:dyDescent="0.2">
      <c r="DA996" s="155"/>
      <c r="DE996" s="197"/>
      <c r="DF996" s="197"/>
    </row>
    <row r="997" spans="105:110" ht="14.25" customHeight="1" x14ac:dyDescent="0.2">
      <c r="DA997" s="155"/>
      <c r="DE997" s="197"/>
      <c r="DF997" s="197"/>
    </row>
    <row r="998" spans="105:110" ht="14.25" customHeight="1" x14ac:dyDescent="0.2">
      <c r="DA998" s="155"/>
      <c r="DE998" s="197"/>
      <c r="DF998" s="197"/>
    </row>
    <row r="999" spans="105:110" ht="14.25" customHeight="1" x14ac:dyDescent="0.2">
      <c r="DA999" s="155"/>
      <c r="DE999" s="197"/>
      <c r="DF999" s="197"/>
    </row>
    <row r="1000" spans="105:110" ht="14.25" customHeight="1" x14ac:dyDescent="0.2">
      <c r="DA1000" s="155"/>
      <c r="DE1000" s="197"/>
      <c r="DF1000" s="197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7019C-53E0-6944-A166-50FB3B3869DC}">
  <sheetPr>
    <pageSetUpPr fitToPage="1"/>
  </sheetPr>
  <dimension ref="A1:CU1000"/>
  <sheetViews>
    <sheetView zoomScale="85" zoomScaleNormal="85" workbookViewId="0">
      <pane xSplit="11" ySplit="3" topLeftCell="CH4" activePane="bottomRight" state="frozen"/>
      <selection activeCell="J2" sqref="J2:P58"/>
      <selection pane="topRight" activeCell="J2" sqref="J2:P58"/>
      <selection pane="bottomLeft" activeCell="J2" sqref="J2:P58"/>
      <selection pane="bottomRight" activeCell="H33" sqref="H33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1524831.9529599999</v>
      </c>
      <c r="C4" s="18">
        <f t="shared" si="0"/>
        <v>1337430.1059412162</v>
      </c>
      <c r="D4" s="19">
        <f t="shared" si="0"/>
        <v>187401.84701878406</v>
      </c>
      <c r="E4" s="17">
        <f>+L4+S4+Z4+AG4</f>
        <v>529480.08160000003</v>
      </c>
      <c r="F4" s="20">
        <f>+M4+T4+AA4+AH4</f>
        <v>464406.97957136011</v>
      </c>
      <c r="G4" s="21">
        <f>+N4+U4+AB4+AI4</f>
        <v>65073.102028640009</v>
      </c>
      <c r="H4" s="18">
        <f t="shared" ref="H4:J35" si="1">+O4+V4+AC4+AJ4+AQ4+AX4+BE4+BL4+BS4+BZ4+CG4+CN4</f>
        <v>528591.63320799998</v>
      </c>
      <c r="I4" s="20">
        <f t="shared" si="1"/>
        <v>40950.046792000001</v>
      </c>
      <c r="J4" s="20">
        <f t="shared" si="1"/>
        <v>569541.68000000005</v>
      </c>
      <c r="K4" s="25">
        <f t="shared" ref="K4:K54" si="2">IF(E4=0,"",(+J4/E4-1))</f>
        <v>7.5662144417105504E-2</v>
      </c>
      <c r="L4" s="23">
        <f>[1]IG!$E4</f>
        <v>118494.27040000001</v>
      </c>
      <c r="M4" s="18">
        <f>L4-N4</f>
        <v>103931.32456784001</v>
      </c>
      <c r="N4" s="18">
        <f>+L4*12.29%</f>
        <v>14562.945832160001</v>
      </c>
      <c r="O4" s="18">
        <f>+Q4-P4</f>
        <v>106973.49279399999</v>
      </c>
      <c r="P4" s="18">
        <f>+Q4*7.19%</f>
        <v>8287.247206</v>
      </c>
      <c r="Q4" s="20">
        <f>158001.66-Q5-Q6-Q7-Q8-Q9</f>
        <v>115260.73999999999</v>
      </c>
      <c r="R4" s="25">
        <f t="shared" ref="R4:R54" si="3">IF(L4=0,"",(+Q4/L4-1))</f>
        <v>-2.7288495798865386E-2</v>
      </c>
      <c r="S4" s="23">
        <f>[1]IG!$F4</f>
        <v>173997.27040000001</v>
      </c>
      <c r="T4" s="18">
        <f>S4-U4</f>
        <v>152613.00586784002</v>
      </c>
      <c r="U4" s="18">
        <f>+S4*12.29%</f>
        <v>21384.264532159999</v>
      </c>
      <c r="V4" s="18">
        <f>+X4-W4</f>
        <v>109505.02475899999</v>
      </c>
      <c r="W4" s="18">
        <f>+X4*7.19%</f>
        <v>8483.3652409999995</v>
      </c>
      <c r="X4" s="20">
        <f>161289.47-X5-X6-X7-X8-X9</f>
        <v>117988.38999999998</v>
      </c>
      <c r="Y4" s="25">
        <f t="shared" ref="Y4:Y54" si="4">IF(S4=0,"",(+X4/S4-1))</f>
        <v>-0.3218951669255613</v>
      </c>
      <c r="Z4" s="23">
        <f>[1]IG!$G4</f>
        <v>118494.27040000001</v>
      </c>
      <c r="AA4" s="18">
        <f>Z4-AB4</f>
        <v>103931.32456784001</v>
      </c>
      <c r="AB4" s="18">
        <f>+Z4*12.29%</f>
        <v>14562.945832160001</v>
      </c>
      <c r="AC4" s="18">
        <f>+AE4-AD4</f>
        <v>111317.641183</v>
      </c>
      <c r="AD4" s="18">
        <f>+AE4*7.19%</f>
        <v>8623.7888170000006</v>
      </c>
      <c r="AE4" s="20">
        <f>152774.41-AE5-AE6-AE7-AE8-AE9</f>
        <v>119941.43000000001</v>
      </c>
      <c r="AF4" s="25">
        <f t="shared" ref="AF4:AF54" si="5">IF(Z4=0,"",(+AE4/Z4-1))</f>
        <v>1.2212907806553375E-2</v>
      </c>
      <c r="AG4" s="23">
        <f>[1]IG!$H4</f>
        <v>118494.27040000001</v>
      </c>
      <c r="AH4" s="18">
        <f>AG4-AI4</f>
        <v>103931.32456784001</v>
      </c>
      <c r="AI4" s="18">
        <f>+AG4*12.29%</f>
        <v>14562.945832160001</v>
      </c>
      <c r="AJ4" s="18">
        <f>+AL4-AK4</f>
        <v>200795.47447200003</v>
      </c>
      <c r="AK4" s="18">
        <f>+AL4*7.19%</f>
        <v>15555.645528000003</v>
      </c>
      <c r="AL4" s="20">
        <f>251563.23-AL5-AL6-AL7-AL8-AL9</f>
        <v>216351.12000000002</v>
      </c>
      <c r="AM4" s="25">
        <f t="shared" ref="AM4:AM54" si="6">IF(AG4=0,"",(+AL4/AG4-1))</f>
        <v>0.82583612920410032</v>
      </c>
      <c r="AN4" s="23">
        <f>[1]IG!$I4</f>
        <v>118494.27040000001</v>
      </c>
      <c r="AO4" s="18">
        <f>AN4-AP4</f>
        <v>103931.32456784001</v>
      </c>
      <c r="AP4" s="18">
        <f>+AN4*12.29%</f>
        <v>14562.945832160001</v>
      </c>
      <c r="AQ4" s="18">
        <f>+AS4-AR4</f>
        <v>0</v>
      </c>
      <c r="AR4" s="18">
        <f>+AS4*7.19%</f>
        <v>0</v>
      </c>
      <c r="AS4" s="20"/>
      <c r="AT4" s="25">
        <f t="shared" ref="AT4:AT54" si="7">IF(AN4=0,"",(+AS4/AN4-1))</f>
        <v>-1</v>
      </c>
      <c r="AU4" s="23">
        <f>[1]IG!$J4</f>
        <v>118494.27040000001</v>
      </c>
      <c r="AV4" s="18">
        <f>AU4-AW4</f>
        <v>103931.32456784001</v>
      </c>
      <c r="AW4" s="18">
        <f>+AU4*12.29%</f>
        <v>14562.945832160001</v>
      </c>
      <c r="AX4" s="18">
        <f>+AZ4-AY4</f>
        <v>0</v>
      </c>
      <c r="AY4" s="18">
        <f>+AZ4*7.19%</f>
        <v>0</v>
      </c>
      <c r="AZ4" s="20"/>
      <c r="BA4" s="25">
        <f t="shared" ref="BA4:BA54" si="8">IF(AU4=0,"",(+AZ4/AU4-1))</f>
        <v>-1</v>
      </c>
      <c r="BB4" s="23">
        <f>[1]IG!$K4</f>
        <v>118494.27040000001</v>
      </c>
      <c r="BC4" s="18">
        <f>BB4-BD4</f>
        <v>103931.32456784001</v>
      </c>
      <c r="BD4" s="18">
        <f>+BB4*12.29%</f>
        <v>14562.945832160001</v>
      </c>
      <c r="BE4" s="18">
        <f>+BG4-BF4</f>
        <v>0</v>
      </c>
      <c r="BF4" s="18">
        <f>+BG4*7.19%</f>
        <v>0</v>
      </c>
      <c r="BG4" s="24"/>
      <c r="BH4" s="25">
        <f t="shared" ref="BH4:BH54" si="9">IF(BB4=0,"",(+BG4/BB4-1))</f>
        <v>-1</v>
      </c>
      <c r="BI4" s="23">
        <f>[1]IG!$L4</f>
        <v>127973.81203200002</v>
      </c>
      <c r="BJ4" s="18">
        <f>BI4-BK4</f>
        <v>112245.83053326722</v>
      </c>
      <c r="BK4" s="18">
        <f>+BI4*12.29%</f>
        <v>15727.981498732801</v>
      </c>
      <c r="BL4" s="18">
        <f>+BN4-BM4</f>
        <v>0</v>
      </c>
      <c r="BM4" s="18">
        <f>+BN4*7.19%</f>
        <v>0</v>
      </c>
      <c r="BN4" s="20"/>
      <c r="BO4" s="25">
        <f t="shared" ref="BO4:BO54" si="10">IF(BI4=0,"",(+BN4/BI4-1))</f>
        <v>-1</v>
      </c>
      <c r="BP4" s="23">
        <f>[1]IG!$M4</f>
        <v>127973.81203200002</v>
      </c>
      <c r="BQ4" s="18">
        <f>BP4-BR4</f>
        <v>112245.83053326722</v>
      </c>
      <c r="BR4" s="18">
        <f>+BP4*12.29%</f>
        <v>15727.981498732801</v>
      </c>
      <c r="BS4" s="18">
        <f>+BU4-BT4</f>
        <v>0</v>
      </c>
      <c r="BT4" s="18">
        <f>+BU4*7.19%</f>
        <v>0</v>
      </c>
      <c r="BU4" s="20"/>
      <c r="BV4" s="25">
        <f t="shared" ref="BV4:BV54" si="11">IF(BP4=0,"",(+BU4/BP4-1))</f>
        <v>-1</v>
      </c>
      <c r="BW4" s="23">
        <f>[1]IG!$N4</f>
        <v>127973.81203200002</v>
      </c>
      <c r="BX4" s="18">
        <f>BW4-BY4</f>
        <v>112245.83053326722</v>
      </c>
      <c r="BY4" s="18">
        <f>+BW4*12.29%</f>
        <v>15727.981498732801</v>
      </c>
      <c r="BZ4" s="18">
        <f>+CB4-CA4</f>
        <v>0</v>
      </c>
      <c r="CA4" s="18">
        <f>+CB4*7.19%</f>
        <v>0</v>
      </c>
      <c r="CB4" s="20"/>
      <c r="CC4" s="25">
        <f t="shared" ref="CC4:CC54" si="12">IF(BW4=0,"",(+CB4/BW4-1))</f>
        <v>-1</v>
      </c>
      <c r="CD4" s="23">
        <f>[1]IG!$O4</f>
        <v>127973.81203200002</v>
      </c>
      <c r="CE4" s="18">
        <f>CD4-CF4</f>
        <v>112245.83053326722</v>
      </c>
      <c r="CF4" s="18">
        <f>+CD4*12.29%</f>
        <v>15727.981498732801</v>
      </c>
      <c r="CG4" s="18">
        <f>+CI4-CH4</f>
        <v>0</v>
      </c>
      <c r="CH4" s="18">
        <f>+CI4*7.19%</f>
        <v>0</v>
      </c>
      <c r="CI4" s="20"/>
      <c r="CJ4" s="25">
        <f t="shared" ref="CJ4:CJ54" si="13">IF(CD4=0,"",(+CI4/CD4-1))</f>
        <v>-1</v>
      </c>
      <c r="CK4" s="23">
        <f>[1]IG!$P4</f>
        <v>127973.81203200002</v>
      </c>
      <c r="CL4" s="18">
        <f>CK4-CM4</f>
        <v>112245.83053326722</v>
      </c>
      <c r="CM4" s="18">
        <f>+CK4*12.29%</f>
        <v>15727.981498732801</v>
      </c>
      <c r="CN4" s="18">
        <f>+CP4-CO4</f>
        <v>0</v>
      </c>
      <c r="CO4" s="18">
        <f>+CP4*7.19%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99999.999999999985</v>
      </c>
      <c r="C5" s="31">
        <f t="shared" si="0"/>
        <v>87710.000000000015</v>
      </c>
      <c r="D5" s="32">
        <f t="shared" si="0"/>
        <v>12289.999999999998</v>
      </c>
      <c r="E5" s="30">
        <f t="shared" ref="E5:G36" si="15">+L5+S5+Z5+AG5</f>
        <v>33333.333333333336</v>
      </c>
      <c r="F5" s="33">
        <f t="shared" si="15"/>
        <v>29236.666666666668</v>
      </c>
      <c r="G5" s="34">
        <f t="shared" si="15"/>
        <v>4096.666666666667</v>
      </c>
      <c r="H5" s="31">
        <f t="shared" si="1"/>
        <v>27111.601514000002</v>
      </c>
      <c r="I5" s="33">
        <f t="shared" si="1"/>
        <v>2100.3384860000001</v>
      </c>
      <c r="J5" s="33">
        <f t="shared" si="1"/>
        <v>29211.939999999995</v>
      </c>
      <c r="K5" s="37">
        <f t="shared" si="2"/>
        <v>-0.12364180000000025</v>
      </c>
      <c r="L5" s="36">
        <f>[1]IG!$E5</f>
        <v>8333.3333333333339</v>
      </c>
      <c r="M5" s="31">
        <f t="shared" ref="M5:M54" si="16">L5-N5</f>
        <v>7309.166666666667</v>
      </c>
      <c r="N5" s="31">
        <f t="shared" ref="N5:N54" si="17">+L5*12.29%</f>
        <v>1024.1666666666667</v>
      </c>
      <c r="O5" s="31">
        <f t="shared" ref="O5:O54" si="18">+Q5-P5</f>
        <v>8397.5137670000004</v>
      </c>
      <c r="P5" s="31">
        <f t="shared" ref="P5:P54" si="19">+Q5*7.19%</f>
        <v>650.55623300000002</v>
      </c>
      <c r="Q5" s="33">
        <f>7372.54+1675.53</f>
        <v>9048.07</v>
      </c>
      <c r="R5" s="37">
        <f t="shared" si="3"/>
        <v>8.5768399999999856E-2</v>
      </c>
      <c r="S5" s="36">
        <f>[1]IG!$F5</f>
        <v>8333.3333333333339</v>
      </c>
      <c r="T5" s="31">
        <f t="shared" ref="T5:T54" si="20">S5-U5</f>
        <v>7309.166666666667</v>
      </c>
      <c r="U5" s="31">
        <f t="shared" ref="U5:U54" si="21">+S5*12.29%</f>
        <v>1024.1666666666667</v>
      </c>
      <c r="V5" s="31">
        <f t="shared" ref="V5:V54" si="22">+X5-W5</f>
        <v>7462.2488350000003</v>
      </c>
      <c r="W5" s="31">
        <f t="shared" ref="W5:W54" si="23">+X5*7.19%</f>
        <v>578.10116500000004</v>
      </c>
      <c r="X5" s="33">
        <f>6695.67+1344.68</f>
        <v>8040.35</v>
      </c>
      <c r="Y5" s="37">
        <f t="shared" si="4"/>
        <v>-3.5158000000000023E-2</v>
      </c>
      <c r="Z5" s="36">
        <f>[1]IG!$G5</f>
        <v>8333.3333333333339</v>
      </c>
      <c r="AA5" s="31">
        <f t="shared" ref="AA5:AA54" si="24">Z5-AB5</f>
        <v>7309.166666666667</v>
      </c>
      <c r="AB5" s="31">
        <f t="shared" ref="AB5:AB54" si="25">+Z5*12.29%</f>
        <v>1024.1666666666667</v>
      </c>
      <c r="AC5" s="31">
        <f t="shared" ref="AC5:AC54" si="26">+AE5-AD5</f>
        <v>3451.9472969999997</v>
      </c>
      <c r="AD5" s="31">
        <f t="shared" ref="AD5:AD54" si="27">+AE5*7.19%</f>
        <v>267.42270300000001</v>
      </c>
      <c r="AE5" s="33">
        <f>3406.75+312.62</f>
        <v>3719.37</v>
      </c>
      <c r="AF5" s="37">
        <f t="shared" si="5"/>
        <v>-0.55367560000000005</v>
      </c>
      <c r="AG5" s="36">
        <f>[1]IG!$H5</f>
        <v>8333.3333333333339</v>
      </c>
      <c r="AH5" s="31">
        <f t="shared" ref="AH5:AH54" si="28">AG5-AI5</f>
        <v>7309.166666666667</v>
      </c>
      <c r="AI5" s="31">
        <f t="shared" ref="AI5:AI54" si="29">+AG5*12.29%</f>
        <v>1024.1666666666667</v>
      </c>
      <c r="AJ5" s="31">
        <f t="shared" ref="AJ5:AJ54" si="30">+AL5-AK5</f>
        <v>7799.8916149999995</v>
      </c>
      <c r="AK5" s="31">
        <f t="shared" ref="AK5:AK54" si="31">+AL5*7.19%</f>
        <v>604.25838499999998</v>
      </c>
      <c r="AL5" s="33">
        <f>6033.84+2370.31</f>
        <v>8404.15</v>
      </c>
      <c r="AM5" s="37">
        <f t="shared" si="6"/>
        <v>8.4979999999998945E-3</v>
      </c>
      <c r="AN5" s="36">
        <f>[1]IG!$I5</f>
        <v>8333.3333333333339</v>
      </c>
      <c r="AO5" s="31">
        <f t="shared" ref="AO5:AO54" si="32">AN5-AP5</f>
        <v>7309.166666666667</v>
      </c>
      <c r="AP5" s="31">
        <f t="shared" ref="AP5:AP54" si="33">+AN5*12.29%</f>
        <v>1024.1666666666667</v>
      </c>
      <c r="AQ5" s="31">
        <f t="shared" ref="AQ5:AQ54" si="34">+AS5-AR5</f>
        <v>0</v>
      </c>
      <c r="AR5" s="31">
        <f t="shared" ref="AR5:AR54" si="35">+AS5*7.19%</f>
        <v>0</v>
      </c>
      <c r="AS5" s="33"/>
      <c r="AT5" s="37">
        <f t="shared" si="7"/>
        <v>-1</v>
      </c>
      <c r="AU5" s="36">
        <f>[1]IG!$J5</f>
        <v>8333.3333333333339</v>
      </c>
      <c r="AV5" s="31">
        <f t="shared" ref="AV5:AV54" si="36">AU5-AW5</f>
        <v>7309.166666666667</v>
      </c>
      <c r="AW5" s="31">
        <f t="shared" ref="AW5:AW54" si="37">+AU5*12.29%</f>
        <v>1024.1666666666667</v>
      </c>
      <c r="AX5" s="31">
        <f t="shared" ref="AX5:AX54" si="38">+AZ5-AY5</f>
        <v>0</v>
      </c>
      <c r="AY5" s="31">
        <f t="shared" ref="AY5:AY54" si="39">+AZ5*7.19%</f>
        <v>0</v>
      </c>
      <c r="AZ5" s="33"/>
      <c r="BA5" s="37">
        <f t="shared" si="8"/>
        <v>-1</v>
      </c>
      <c r="BB5" s="36">
        <f>[1]IG!$K5</f>
        <v>8333.3333333333339</v>
      </c>
      <c r="BC5" s="31">
        <f t="shared" ref="BC5:BC54" si="40">BB5-BD5</f>
        <v>7309.166666666667</v>
      </c>
      <c r="BD5" s="31">
        <f t="shared" ref="BD5:BD54" si="41">+BB5*12.29%</f>
        <v>1024.1666666666667</v>
      </c>
      <c r="BE5" s="31">
        <f t="shared" ref="BE5:BE54" si="42">+BG5-BF5</f>
        <v>0</v>
      </c>
      <c r="BF5" s="31">
        <f t="shared" ref="BF5:BF54" si="43">+BG5*7.19%</f>
        <v>0</v>
      </c>
      <c r="BG5" s="27"/>
      <c r="BH5" s="37">
        <f t="shared" si="9"/>
        <v>-1</v>
      </c>
      <c r="BI5" s="36">
        <f>[1]IG!$L5</f>
        <v>8333.3333333333339</v>
      </c>
      <c r="BJ5" s="31">
        <f t="shared" ref="BJ5:BJ54" si="44">BI5-BK5</f>
        <v>7309.166666666667</v>
      </c>
      <c r="BK5" s="31">
        <f t="shared" ref="BK5:BK54" si="45">+BI5*12.29%</f>
        <v>1024.1666666666667</v>
      </c>
      <c r="BL5" s="31">
        <f t="shared" ref="BL5:BL54" si="46">+BN5-BM5</f>
        <v>0</v>
      </c>
      <c r="BM5" s="31">
        <f t="shared" ref="BM5:BM54" si="47">+BN5*7.19%</f>
        <v>0</v>
      </c>
      <c r="BN5" s="33"/>
      <c r="BO5" s="37">
        <f t="shared" si="10"/>
        <v>-1</v>
      </c>
      <c r="BP5" s="36">
        <f>[1]IG!$M5</f>
        <v>8333.3333333333339</v>
      </c>
      <c r="BQ5" s="31">
        <f t="shared" ref="BQ5:BQ54" si="48">BP5-BR5</f>
        <v>7309.166666666667</v>
      </c>
      <c r="BR5" s="31">
        <f t="shared" ref="BR5:BR54" si="49">+BP5*12.29%</f>
        <v>1024.1666666666667</v>
      </c>
      <c r="BS5" s="31">
        <f t="shared" ref="BS5:BS54" si="50">+BU5-BT5</f>
        <v>0</v>
      </c>
      <c r="BT5" s="31">
        <f t="shared" ref="BT5:BT54" si="51">+BU5*7.19%</f>
        <v>0</v>
      </c>
      <c r="BU5" s="33"/>
      <c r="BV5" s="37">
        <f t="shared" si="11"/>
        <v>-1</v>
      </c>
      <c r="BW5" s="36">
        <f>[1]IG!$N5</f>
        <v>8333.3333333333339</v>
      </c>
      <c r="BX5" s="31">
        <f t="shared" ref="BX5:BX54" si="52">BW5-BY5</f>
        <v>7309.166666666667</v>
      </c>
      <c r="BY5" s="31">
        <f t="shared" ref="BY5:BY54" si="53">+BW5*12.29%</f>
        <v>1024.1666666666667</v>
      </c>
      <c r="BZ5" s="31">
        <f t="shared" ref="BZ5:BZ54" si="54">+CB5-CA5</f>
        <v>0</v>
      </c>
      <c r="CA5" s="31">
        <f t="shared" ref="CA5:CA54" si="55">+CB5*7.19%</f>
        <v>0</v>
      </c>
      <c r="CB5" s="33"/>
      <c r="CC5" s="37">
        <f t="shared" si="12"/>
        <v>-1</v>
      </c>
      <c r="CD5" s="36">
        <f>[1]IG!$O5</f>
        <v>8333.3333333333339</v>
      </c>
      <c r="CE5" s="31">
        <f t="shared" ref="CE5:CE54" si="56">CD5-CF5</f>
        <v>7309.166666666667</v>
      </c>
      <c r="CF5" s="31">
        <f t="shared" ref="CF5:CF54" si="57">+CD5*12.29%</f>
        <v>1024.1666666666667</v>
      </c>
      <c r="CG5" s="31">
        <f t="shared" ref="CG5:CG54" si="58">+CI5-CH5</f>
        <v>0</v>
      </c>
      <c r="CH5" s="31">
        <f t="shared" ref="CH5:CH54" si="59">+CI5*7.19%</f>
        <v>0</v>
      </c>
      <c r="CI5" s="33"/>
      <c r="CJ5" s="37">
        <f t="shared" si="13"/>
        <v>-1</v>
      </c>
      <c r="CK5" s="36">
        <f>[1]IG!$P5</f>
        <v>8333.3333333333339</v>
      </c>
      <c r="CL5" s="31">
        <f t="shared" ref="CL5:CL54" si="60">CK5-CM5</f>
        <v>7309.166666666667</v>
      </c>
      <c r="CM5" s="31">
        <f t="shared" ref="CM5:CM54" si="61">+CK5*12.29%</f>
        <v>1024.1666666666667</v>
      </c>
      <c r="CN5" s="31">
        <f t="shared" ref="CN5:CN54" si="62">+CP5-CO5</f>
        <v>0</v>
      </c>
      <c r="CO5" s="31">
        <f t="shared" ref="CO5:CO54" si="63">+CP5*7.19%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187020.05501759995</v>
      </c>
      <c r="C6" s="31">
        <f t="shared" si="0"/>
        <v>164035.29025593697</v>
      </c>
      <c r="D6" s="32">
        <f t="shared" si="0"/>
        <v>22984.764761663038</v>
      </c>
      <c r="E6" s="30">
        <f t="shared" si="15"/>
        <v>60447.544629333337</v>
      </c>
      <c r="F6" s="33">
        <f t="shared" si="15"/>
        <v>53018.541394388274</v>
      </c>
      <c r="G6" s="34">
        <f t="shared" si="15"/>
        <v>7429.0032349450667</v>
      </c>
      <c r="H6" s="31">
        <f t="shared" si="1"/>
        <v>58008.774432000006</v>
      </c>
      <c r="I6" s="33">
        <f t="shared" si="1"/>
        <v>4493.945568000001</v>
      </c>
      <c r="J6" s="33">
        <f t="shared" si="1"/>
        <v>62502.720000000001</v>
      </c>
      <c r="K6" s="37">
        <f t="shared" si="2"/>
        <v>3.3999319298560149E-2</v>
      </c>
      <c r="L6" s="36">
        <f>[1]IG!$E6</f>
        <v>15111.886157333334</v>
      </c>
      <c r="M6" s="31">
        <f t="shared" si="16"/>
        <v>13254.635348597069</v>
      </c>
      <c r="N6" s="31">
        <f t="shared" si="17"/>
        <v>1857.2508087362667</v>
      </c>
      <c r="O6" s="31">
        <f t="shared" si="18"/>
        <v>14012.602295999999</v>
      </c>
      <c r="P6" s="31">
        <f t="shared" si="19"/>
        <v>1085.5577040000001</v>
      </c>
      <c r="Q6" s="33">
        <v>15098.16</v>
      </c>
      <c r="R6" s="37">
        <f t="shared" si="3"/>
        <v>-9.0830206040648509E-4</v>
      </c>
      <c r="S6" s="36">
        <f>[1]IG!$F6</f>
        <v>15111.886157333334</v>
      </c>
      <c r="T6" s="31">
        <f t="shared" si="20"/>
        <v>13254.635348597069</v>
      </c>
      <c r="U6" s="31">
        <f t="shared" si="21"/>
        <v>1857.2508087362667</v>
      </c>
      <c r="V6" s="31">
        <f t="shared" si="22"/>
        <v>14319.599214</v>
      </c>
      <c r="W6" s="31">
        <f t="shared" si="23"/>
        <v>1109.3407860000002</v>
      </c>
      <c r="X6" s="33">
        <f>15428.94</f>
        <v>15428.94</v>
      </c>
      <c r="Y6" s="37">
        <f t="shared" si="4"/>
        <v>2.0980428211657021E-2</v>
      </c>
      <c r="Z6" s="36">
        <f>[1]IG!$G6</f>
        <v>15111.886157333334</v>
      </c>
      <c r="AA6" s="31">
        <f t="shared" si="24"/>
        <v>13254.635348597069</v>
      </c>
      <c r="AB6" s="31">
        <f t="shared" si="25"/>
        <v>1857.2508087362667</v>
      </c>
      <c r="AC6" s="31">
        <f t="shared" si="26"/>
        <v>14859.836943</v>
      </c>
      <c r="AD6" s="31">
        <f t="shared" si="27"/>
        <v>1151.1930570000002</v>
      </c>
      <c r="AE6" s="33">
        <v>16011.03</v>
      </c>
      <c r="AF6" s="37">
        <f t="shared" si="5"/>
        <v>5.9499114359747862E-2</v>
      </c>
      <c r="AG6" s="36">
        <f>[1]IG!$H6</f>
        <v>15111.886157333334</v>
      </c>
      <c r="AH6" s="31">
        <f t="shared" si="28"/>
        <v>13254.635348597069</v>
      </c>
      <c r="AI6" s="31">
        <f t="shared" si="29"/>
        <v>1857.2508087362667</v>
      </c>
      <c r="AJ6" s="31">
        <f t="shared" si="30"/>
        <v>14816.735979000001</v>
      </c>
      <c r="AK6" s="31">
        <f t="shared" si="31"/>
        <v>1147.8540210000001</v>
      </c>
      <c r="AL6" s="33">
        <v>15964.59</v>
      </c>
      <c r="AM6" s="37">
        <f t="shared" si="6"/>
        <v>5.6426036683241865E-2</v>
      </c>
      <c r="AN6" s="36">
        <f>[1]IG!$I6</f>
        <v>15111.886157333334</v>
      </c>
      <c r="AO6" s="31">
        <f t="shared" si="32"/>
        <v>13254.635348597069</v>
      </c>
      <c r="AP6" s="31">
        <f t="shared" si="33"/>
        <v>1857.2508087362667</v>
      </c>
      <c r="AQ6" s="31">
        <f t="shared" si="34"/>
        <v>0</v>
      </c>
      <c r="AR6" s="31">
        <f t="shared" si="35"/>
        <v>0</v>
      </c>
      <c r="AS6" s="33"/>
      <c r="AT6" s="37">
        <f t="shared" si="7"/>
        <v>-1</v>
      </c>
      <c r="AU6" s="36">
        <f>[1]IG!$J6</f>
        <v>15111.886157333334</v>
      </c>
      <c r="AV6" s="31">
        <f t="shared" si="36"/>
        <v>13254.635348597069</v>
      </c>
      <c r="AW6" s="31">
        <f t="shared" si="37"/>
        <v>1857.2508087362667</v>
      </c>
      <c r="AX6" s="31">
        <f t="shared" si="38"/>
        <v>0</v>
      </c>
      <c r="AY6" s="31">
        <f t="shared" si="39"/>
        <v>0</v>
      </c>
      <c r="AZ6" s="33"/>
      <c r="BA6" s="37">
        <f t="shared" si="8"/>
        <v>-1</v>
      </c>
      <c r="BB6" s="36">
        <f>[1]IG!$K6</f>
        <v>15111.886157333334</v>
      </c>
      <c r="BC6" s="31">
        <f t="shared" si="40"/>
        <v>13254.635348597069</v>
      </c>
      <c r="BD6" s="31">
        <f t="shared" si="41"/>
        <v>1857.2508087362667</v>
      </c>
      <c r="BE6" s="31">
        <f t="shared" si="42"/>
        <v>0</v>
      </c>
      <c r="BF6" s="31">
        <f t="shared" si="43"/>
        <v>0</v>
      </c>
      <c r="BG6" s="27"/>
      <c r="BH6" s="37">
        <f t="shared" si="9"/>
        <v>-1</v>
      </c>
      <c r="BI6" s="36">
        <f>[1]IG!$L6</f>
        <v>16247.370383253336</v>
      </c>
      <c r="BJ6" s="31">
        <f t="shared" si="44"/>
        <v>14250.568563151501</v>
      </c>
      <c r="BK6" s="31">
        <f t="shared" si="45"/>
        <v>1996.8018201018349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[1]IG!$M6</f>
        <v>16247.370383253336</v>
      </c>
      <c r="BQ6" s="31">
        <f t="shared" si="48"/>
        <v>14250.568563151501</v>
      </c>
      <c r="BR6" s="31">
        <f t="shared" si="49"/>
        <v>1996.8018201018349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[1]IG!$N6</f>
        <v>16247.370383253336</v>
      </c>
      <c r="BX6" s="31">
        <f t="shared" si="52"/>
        <v>14250.568563151501</v>
      </c>
      <c r="BY6" s="31">
        <f t="shared" si="53"/>
        <v>1996.8018201018349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[1]IG!$O6</f>
        <v>16247.370383253336</v>
      </c>
      <c r="CE6" s="31">
        <f t="shared" si="56"/>
        <v>14250.568563151501</v>
      </c>
      <c r="CF6" s="31">
        <f t="shared" si="57"/>
        <v>1996.8018201018349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[1]IG!$P6</f>
        <v>16247.370383253336</v>
      </c>
      <c r="CL6" s="31">
        <f t="shared" si="60"/>
        <v>14250.568563151501</v>
      </c>
      <c r="CM6" s="31">
        <f t="shared" si="61"/>
        <v>1996.8018201018349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145101.76682399999</v>
      </c>
      <c r="C7" s="31">
        <f t="shared" si="0"/>
        <v>127268.7596813304</v>
      </c>
      <c r="D7" s="32">
        <f t="shared" si="0"/>
        <v>17833.007142669598</v>
      </c>
      <c r="E7" s="30">
        <f t="shared" si="15"/>
        <v>46898.957039999994</v>
      </c>
      <c r="F7" s="33">
        <f t="shared" si="15"/>
        <v>41135.075219783997</v>
      </c>
      <c r="G7" s="34">
        <f t="shared" si="15"/>
        <v>5763.8818202159991</v>
      </c>
      <c r="H7" s="31">
        <f t="shared" si="1"/>
        <v>39278.370687000002</v>
      </c>
      <c r="I7" s="33">
        <f t="shared" si="1"/>
        <v>3042.8993130000003</v>
      </c>
      <c r="J7" s="33">
        <f t="shared" si="1"/>
        <v>42321.270000000004</v>
      </c>
      <c r="K7" s="37">
        <f t="shared" si="2"/>
        <v>-9.7607437967025423E-2</v>
      </c>
      <c r="L7" s="36">
        <f>[1]IG!$E7</f>
        <v>11724.739259999998</v>
      </c>
      <c r="M7" s="31">
        <f t="shared" si="16"/>
        <v>10283.768804945999</v>
      </c>
      <c r="N7" s="31">
        <f t="shared" si="17"/>
        <v>1440.9704550539998</v>
      </c>
      <c r="O7" s="31">
        <f t="shared" si="18"/>
        <v>9511.8091889999996</v>
      </c>
      <c r="P7" s="31">
        <f t="shared" si="19"/>
        <v>736.88081100000011</v>
      </c>
      <c r="Q7" s="33">
        <v>10248.69</v>
      </c>
      <c r="R7" s="37">
        <f t="shared" si="3"/>
        <v>-0.1258918622638947</v>
      </c>
      <c r="S7" s="36">
        <f>[1]IG!$F7</f>
        <v>11724.739259999998</v>
      </c>
      <c r="T7" s="31">
        <f t="shared" si="20"/>
        <v>10283.768804945999</v>
      </c>
      <c r="U7" s="31">
        <f t="shared" si="21"/>
        <v>1440.9704550539998</v>
      </c>
      <c r="V7" s="31">
        <f t="shared" si="22"/>
        <v>9672.676762000001</v>
      </c>
      <c r="W7" s="31">
        <f t="shared" si="23"/>
        <v>749.34323800000004</v>
      </c>
      <c r="X7" s="33">
        <v>10422.02</v>
      </c>
      <c r="Y7" s="37">
        <f t="shared" si="4"/>
        <v>-0.11110859108350002</v>
      </c>
      <c r="Z7" s="36">
        <f>[1]IG!$G7</f>
        <v>11724.739259999998</v>
      </c>
      <c r="AA7" s="31">
        <f t="shared" si="24"/>
        <v>10283.768804945999</v>
      </c>
      <c r="AB7" s="31">
        <f t="shared" si="25"/>
        <v>1440.9704550539998</v>
      </c>
      <c r="AC7" s="31">
        <f t="shared" si="26"/>
        <v>10030.153039000001</v>
      </c>
      <c r="AD7" s="31">
        <f t="shared" si="27"/>
        <v>777.03696100000013</v>
      </c>
      <c r="AE7" s="33">
        <v>10807.19</v>
      </c>
      <c r="AF7" s="37">
        <f t="shared" si="5"/>
        <v>-7.8257540713958518E-2</v>
      </c>
      <c r="AG7" s="36">
        <f>[1]IG!$H7</f>
        <v>11724.739259999998</v>
      </c>
      <c r="AH7" s="31">
        <f t="shared" si="28"/>
        <v>10283.768804945999</v>
      </c>
      <c r="AI7" s="31">
        <f t="shared" si="29"/>
        <v>1440.9704550539998</v>
      </c>
      <c r="AJ7" s="31">
        <f t="shared" si="30"/>
        <v>10063.731697000001</v>
      </c>
      <c r="AK7" s="31">
        <f t="shared" si="31"/>
        <v>779.63830300000006</v>
      </c>
      <c r="AL7" s="33">
        <f>10843.37</f>
        <v>10843.37</v>
      </c>
      <c r="AM7" s="37">
        <f t="shared" si="6"/>
        <v>-7.5171757806748674E-2</v>
      </c>
      <c r="AN7" s="36">
        <f>[1]IG!$I7</f>
        <v>11724.739259999998</v>
      </c>
      <c r="AO7" s="31">
        <f t="shared" si="32"/>
        <v>10283.768804945999</v>
      </c>
      <c r="AP7" s="31">
        <f t="shared" si="33"/>
        <v>1440.9704550539998</v>
      </c>
      <c r="AQ7" s="31">
        <f t="shared" si="34"/>
        <v>0</v>
      </c>
      <c r="AR7" s="31">
        <f t="shared" si="35"/>
        <v>0</v>
      </c>
      <c r="AS7" s="33"/>
      <c r="AT7" s="37">
        <f t="shared" si="7"/>
        <v>-1</v>
      </c>
      <c r="AU7" s="36">
        <f>[1]IG!$J7</f>
        <v>11724.739259999998</v>
      </c>
      <c r="AV7" s="31">
        <f t="shared" si="36"/>
        <v>10283.768804945999</v>
      </c>
      <c r="AW7" s="31">
        <f t="shared" si="37"/>
        <v>1440.9704550539998</v>
      </c>
      <c r="AX7" s="31">
        <f t="shared" si="38"/>
        <v>0</v>
      </c>
      <c r="AY7" s="31">
        <f t="shared" si="39"/>
        <v>0</v>
      </c>
      <c r="AZ7" s="33"/>
      <c r="BA7" s="37">
        <f t="shared" si="8"/>
        <v>-1</v>
      </c>
      <c r="BB7" s="36">
        <f>[1]IG!$K7</f>
        <v>11724.739259999998</v>
      </c>
      <c r="BC7" s="31">
        <f t="shared" si="40"/>
        <v>10283.768804945999</v>
      </c>
      <c r="BD7" s="31">
        <f t="shared" si="41"/>
        <v>1440.9704550539998</v>
      </c>
      <c r="BE7" s="31">
        <f t="shared" si="42"/>
        <v>0</v>
      </c>
      <c r="BF7" s="31">
        <f t="shared" si="43"/>
        <v>0</v>
      </c>
      <c r="BG7" s="27"/>
      <c r="BH7" s="37">
        <f t="shared" si="9"/>
        <v>-1</v>
      </c>
      <c r="BI7" s="36">
        <f>[1]IG!$L7</f>
        <v>12605.7184008</v>
      </c>
      <c r="BJ7" s="31">
        <f t="shared" si="44"/>
        <v>11056.47560934168</v>
      </c>
      <c r="BK7" s="31">
        <f t="shared" si="45"/>
        <v>1549.24279145832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[1]IG!$M7</f>
        <v>12605.7184008</v>
      </c>
      <c r="BQ7" s="31">
        <f t="shared" si="48"/>
        <v>11056.47560934168</v>
      </c>
      <c r="BR7" s="31">
        <f t="shared" si="49"/>
        <v>1549.24279145832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[1]IG!$N7</f>
        <v>12605.7184008</v>
      </c>
      <c r="BX7" s="31">
        <f t="shared" si="52"/>
        <v>11056.47560934168</v>
      </c>
      <c r="BY7" s="31">
        <f t="shared" si="53"/>
        <v>1549.24279145832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[1]IG!$O7</f>
        <v>12605.7184008</v>
      </c>
      <c r="CE7" s="31">
        <f t="shared" si="56"/>
        <v>11056.47560934168</v>
      </c>
      <c r="CF7" s="31">
        <f t="shared" si="57"/>
        <v>1549.24279145832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[1]IG!$P7</f>
        <v>12605.7184008</v>
      </c>
      <c r="CL7" s="31">
        <f t="shared" si="60"/>
        <v>11056.47560934168</v>
      </c>
      <c r="CM7" s="31">
        <f t="shared" si="61"/>
        <v>1549.24279145832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141371.09081861336</v>
      </c>
      <c r="C8" s="31">
        <f t="shared" si="0"/>
        <v>123996.58375700578</v>
      </c>
      <c r="D8" s="32">
        <f t="shared" si="0"/>
        <v>17374.507061607583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[1]IG!$E8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[1]IG!$F8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[1]IG!$G8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[1]IG!$H8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33"/>
      <c r="AM8" s="37" t="str">
        <f t="shared" si="6"/>
        <v/>
      </c>
      <c r="AN8" s="36">
        <f>[1]IG!$I8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7"/>
        <v/>
      </c>
      <c r="AU8" s="36">
        <f>[1]IG!$J8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33"/>
      <c r="BA8" s="37" t="str">
        <f t="shared" si="8"/>
        <v/>
      </c>
      <c r="BB8" s="36">
        <f>[1]IG!$K8</f>
        <v>141371.09081861336</v>
      </c>
      <c r="BC8" s="31">
        <f t="shared" si="40"/>
        <v>123996.58375700578</v>
      </c>
      <c r="BD8" s="31">
        <f t="shared" si="41"/>
        <v>17374.507061607583</v>
      </c>
      <c r="BE8" s="31">
        <f t="shared" si="42"/>
        <v>0</v>
      </c>
      <c r="BF8" s="31">
        <f t="shared" si="43"/>
        <v>0</v>
      </c>
      <c r="BG8" s="27"/>
      <c r="BH8" s="37">
        <f t="shared" si="9"/>
        <v>-1</v>
      </c>
      <c r="BI8" s="36">
        <f>[1]IG!$L8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[1]IG!$M8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[1]IG!$N8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[1]IG!$O8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[1]IG!$P8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113705.47809599999</v>
      </c>
      <c r="C9" s="31">
        <f t="shared" si="0"/>
        <v>99731.074838001587</v>
      </c>
      <c r="D9" s="32">
        <f t="shared" si="0"/>
        <v>13974.403257998403</v>
      </c>
      <c r="E9" s="30">
        <f t="shared" si="15"/>
        <v>36751.229493333332</v>
      </c>
      <c r="F9" s="33">
        <f t="shared" si="15"/>
        <v>32234.503388602665</v>
      </c>
      <c r="G9" s="34">
        <f t="shared" si="15"/>
        <v>4516.7261047306665</v>
      </c>
      <c r="H9" s="31">
        <f t="shared" si="1"/>
        <v>18609.481596000001</v>
      </c>
      <c r="I9" s="33">
        <f t="shared" si="1"/>
        <v>1441.6784040000002</v>
      </c>
      <c r="J9" s="33">
        <f t="shared" si="1"/>
        <v>20051.16</v>
      </c>
      <c r="K9" s="37">
        <f t="shared" si="2"/>
        <v>-0.4544084571745477</v>
      </c>
      <c r="L9" s="36">
        <f>[1]IG!$E9</f>
        <v>9187.8073733333331</v>
      </c>
      <c r="M9" s="31">
        <f t="shared" si="16"/>
        <v>8058.6258471506662</v>
      </c>
      <c r="N9" s="31">
        <f t="shared" si="17"/>
        <v>1129.1815261826666</v>
      </c>
      <c r="O9" s="31">
        <f t="shared" si="18"/>
        <v>7745.9225999999999</v>
      </c>
      <c r="P9" s="31">
        <f t="shared" si="19"/>
        <v>600.07740000000001</v>
      </c>
      <c r="Q9" s="33">
        <f>8346</f>
        <v>8346</v>
      </c>
      <c r="R9" s="37">
        <f t="shared" si="3"/>
        <v>-9.1622227058938188E-2</v>
      </c>
      <c r="S9" s="36">
        <f>[1]IG!$F9</f>
        <v>9187.8073733333331</v>
      </c>
      <c r="T9" s="31">
        <f t="shared" si="20"/>
        <v>8058.6258471506662</v>
      </c>
      <c r="U9" s="31">
        <f t="shared" si="21"/>
        <v>1129.1815261826666</v>
      </c>
      <c r="V9" s="31">
        <f t="shared" si="22"/>
        <v>8733.2075370000002</v>
      </c>
      <c r="W9" s="31">
        <f t="shared" si="23"/>
        <v>676.56246300000009</v>
      </c>
      <c r="X9" s="33">
        <f>9409.77</f>
        <v>9409.77</v>
      </c>
      <c r="Y9" s="37">
        <f t="shared" si="4"/>
        <v>2.4158389226889065E-2</v>
      </c>
      <c r="Z9" s="36">
        <f>[1]IG!$G9</f>
        <v>9187.8073733333331</v>
      </c>
      <c r="AA9" s="31">
        <f t="shared" si="24"/>
        <v>8058.6258471506662</v>
      </c>
      <c r="AB9" s="31">
        <f t="shared" si="25"/>
        <v>1129.1815261826666</v>
      </c>
      <c r="AC9" s="31">
        <f t="shared" si="26"/>
        <v>2130.351459</v>
      </c>
      <c r="AD9" s="31">
        <f t="shared" si="27"/>
        <v>165.03854100000001</v>
      </c>
      <c r="AE9" s="33">
        <f>2295.39</f>
        <v>2295.39</v>
      </c>
      <c r="AF9" s="37">
        <f t="shared" si="5"/>
        <v>-0.75016999086614145</v>
      </c>
      <c r="AG9" s="36">
        <f>[1]IG!$H9</f>
        <v>9187.8073733333331</v>
      </c>
      <c r="AH9" s="31">
        <f t="shared" si="28"/>
        <v>8058.6258471506662</v>
      </c>
      <c r="AI9" s="31">
        <f t="shared" si="29"/>
        <v>1129.1815261826666</v>
      </c>
      <c r="AJ9" s="31">
        <f t="shared" si="30"/>
        <v>0</v>
      </c>
      <c r="AK9" s="31">
        <f t="shared" si="31"/>
        <v>0</v>
      </c>
      <c r="AL9" s="33"/>
      <c r="AM9" s="37">
        <f t="shared" si="6"/>
        <v>-1</v>
      </c>
      <c r="AN9" s="36">
        <f>[1]IG!$I9</f>
        <v>9187.8073733333331</v>
      </c>
      <c r="AO9" s="31">
        <f t="shared" si="32"/>
        <v>8058.6258471506662</v>
      </c>
      <c r="AP9" s="31">
        <f t="shared" si="33"/>
        <v>1129.1815261826666</v>
      </c>
      <c r="AQ9" s="31">
        <f t="shared" si="34"/>
        <v>0</v>
      </c>
      <c r="AR9" s="31">
        <f t="shared" si="35"/>
        <v>0</v>
      </c>
      <c r="AS9" s="33"/>
      <c r="AT9" s="37">
        <f t="shared" si="7"/>
        <v>-1</v>
      </c>
      <c r="AU9" s="36">
        <f>[1]IG!$J9</f>
        <v>9187.8073733333331</v>
      </c>
      <c r="AV9" s="31">
        <f t="shared" si="36"/>
        <v>8058.6258471506662</v>
      </c>
      <c r="AW9" s="31">
        <f t="shared" si="37"/>
        <v>1129.1815261826666</v>
      </c>
      <c r="AX9" s="31">
        <f t="shared" si="38"/>
        <v>0</v>
      </c>
      <c r="AY9" s="31">
        <f t="shared" si="39"/>
        <v>0</v>
      </c>
      <c r="AZ9" s="33"/>
      <c r="BA9" s="37">
        <f t="shared" si="8"/>
        <v>-1</v>
      </c>
      <c r="BB9" s="36">
        <f>[1]IG!$K9</f>
        <v>9187.8073733333331</v>
      </c>
      <c r="BC9" s="31">
        <f t="shared" si="40"/>
        <v>8058.6258471506662</v>
      </c>
      <c r="BD9" s="31">
        <f t="shared" si="41"/>
        <v>1129.1815261826666</v>
      </c>
      <c r="BE9" s="31">
        <f t="shared" si="42"/>
        <v>0</v>
      </c>
      <c r="BF9" s="31">
        <f t="shared" si="43"/>
        <v>0</v>
      </c>
      <c r="BG9" s="27"/>
      <c r="BH9" s="37">
        <f t="shared" si="9"/>
        <v>-1</v>
      </c>
      <c r="BI9" s="36">
        <f>[1]IG!$L9</f>
        <v>9878.165296533336</v>
      </c>
      <c r="BJ9" s="31">
        <f t="shared" si="44"/>
        <v>8664.1387815893886</v>
      </c>
      <c r="BK9" s="31">
        <f t="shared" si="45"/>
        <v>1214.0265149439469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[1]IG!$M9</f>
        <v>9878.165296533336</v>
      </c>
      <c r="BQ9" s="31">
        <f t="shared" si="48"/>
        <v>8664.1387815893886</v>
      </c>
      <c r="BR9" s="31">
        <f t="shared" si="49"/>
        <v>1214.0265149439469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[1]IG!$N9</f>
        <v>9878.165296533336</v>
      </c>
      <c r="BX9" s="31">
        <f t="shared" si="52"/>
        <v>8664.1387815893886</v>
      </c>
      <c r="BY9" s="31">
        <f t="shared" si="53"/>
        <v>1214.0265149439469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[1]IG!$O9</f>
        <v>9878.165296533336</v>
      </c>
      <c r="CE9" s="31">
        <f t="shared" si="56"/>
        <v>8664.1387815893886</v>
      </c>
      <c r="CF9" s="31">
        <f t="shared" si="57"/>
        <v>1214.0265149439469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[1]IG!$P9</f>
        <v>9878.165296533336</v>
      </c>
      <c r="CL9" s="31">
        <f t="shared" si="60"/>
        <v>8664.1387815893886</v>
      </c>
      <c r="CM9" s="31">
        <f t="shared" si="61"/>
        <v>1214.0265149439469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120000</v>
      </c>
      <c r="C10" s="31">
        <f t="shared" si="0"/>
        <v>105252</v>
      </c>
      <c r="D10" s="32">
        <f t="shared" si="0"/>
        <v>14748</v>
      </c>
      <c r="E10" s="30">
        <f t="shared" si="15"/>
        <v>40000</v>
      </c>
      <c r="F10" s="33">
        <f t="shared" si="15"/>
        <v>35084</v>
      </c>
      <c r="G10" s="34">
        <f t="shared" si="15"/>
        <v>4916</v>
      </c>
      <c r="H10" s="31">
        <f t="shared" si="1"/>
        <v>30632.497360000001</v>
      </c>
      <c r="I10" s="33">
        <f t="shared" si="1"/>
        <v>2373.1026400000001</v>
      </c>
      <c r="J10" s="33">
        <f t="shared" si="1"/>
        <v>33005.599999999999</v>
      </c>
      <c r="K10" s="37">
        <f t="shared" si="2"/>
        <v>-0.17486000000000002</v>
      </c>
      <c r="L10" s="36">
        <f>[1]IG!$E10</f>
        <v>10000</v>
      </c>
      <c r="M10" s="31">
        <f t="shared" si="16"/>
        <v>8771</v>
      </c>
      <c r="N10" s="31">
        <f t="shared" si="17"/>
        <v>1229</v>
      </c>
      <c r="O10" s="31">
        <f t="shared" si="18"/>
        <v>9423.4076640000003</v>
      </c>
      <c r="P10" s="31">
        <f t="shared" si="19"/>
        <v>730.0323360000001</v>
      </c>
      <c r="Q10" s="33">
        <f>10153.44</f>
        <v>10153.44</v>
      </c>
      <c r="R10" s="37">
        <f t="shared" si="3"/>
        <v>1.5344000000000024E-2</v>
      </c>
      <c r="S10" s="36">
        <f>[1]IG!$F10</f>
        <v>10000</v>
      </c>
      <c r="T10" s="31">
        <f t="shared" si="20"/>
        <v>8771</v>
      </c>
      <c r="U10" s="31">
        <f t="shared" si="21"/>
        <v>1229</v>
      </c>
      <c r="V10" s="31">
        <f t="shared" si="22"/>
        <v>9135.0098699999999</v>
      </c>
      <c r="W10" s="31">
        <f t="shared" si="23"/>
        <v>707.69013000000007</v>
      </c>
      <c r="X10" s="33">
        <f>9842.7</f>
        <v>9842.7000000000007</v>
      </c>
      <c r="Y10" s="37">
        <f t="shared" si="4"/>
        <v>-1.5729999999999911E-2</v>
      </c>
      <c r="Z10" s="36">
        <f>[1]IG!$G10</f>
        <v>10000</v>
      </c>
      <c r="AA10" s="31">
        <f t="shared" si="24"/>
        <v>8771</v>
      </c>
      <c r="AB10" s="31">
        <f t="shared" si="25"/>
        <v>1229</v>
      </c>
      <c r="AC10" s="31">
        <f t="shared" si="26"/>
        <v>1052.688144</v>
      </c>
      <c r="AD10" s="31">
        <f t="shared" si="27"/>
        <v>81.551856000000001</v>
      </c>
      <c r="AE10" s="33">
        <f>1134.24</f>
        <v>1134.24</v>
      </c>
      <c r="AF10" s="37">
        <f t="shared" si="5"/>
        <v>-0.88657600000000003</v>
      </c>
      <c r="AG10" s="36">
        <f>[1]IG!$H10</f>
        <v>10000</v>
      </c>
      <c r="AH10" s="31">
        <f t="shared" si="28"/>
        <v>8771</v>
      </c>
      <c r="AI10" s="31">
        <f t="shared" si="29"/>
        <v>1229</v>
      </c>
      <c r="AJ10" s="31">
        <f t="shared" si="30"/>
        <v>11021.391681999999</v>
      </c>
      <c r="AK10" s="31">
        <f t="shared" si="31"/>
        <v>853.82831799999997</v>
      </c>
      <c r="AL10" s="33">
        <f>11875.22</f>
        <v>11875.22</v>
      </c>
      <c r="AM10" s="37">
        <f t="shared" si="6"/>
        <v>0.18752199999999997</v>
      </c>
      <c r="AN10" s="36">
        <f>[1]IG!$I10</f>
        <v>10000</v>
      </c>
      <c r="AO10" s="31">
        <f t="shared" si="32"/>
        <v>8771</v>
      </c>
      <c r="AP10" s="31">
        <f t="shared" si="33"/>
        <v>1229</v>
      </c>
      <c r="AQ10" s="31">
        <f t="shared" si="34"/>
        <v>0</v>
      </c>
      <c r="AR10" s="31">
        <f t="shared" si="35"/>
        <v>0</v>
      </c>
      <c r="AS10" s="33"/>
      <c r="AT10" s="37">
        <f t="shared" si="7"/>
        <v>-1</v>
      </c>
      <c r="AU10" s="36">
        <f>[1]IG!$J10</f>
        <v>10000</v>
      </c>
      <c r="AV10" s="31">
        <f t="shared" si="36"/>
        <v>8771</v>
      </c>
      <c r="AW10" s="31">
        <f t="shared" si="37"/>
        <v>1229</v>
      </c>
      <c r="AX10" s="31">
        <f t="shared" si="38"/>
        <v>0</v>
      </c>
      <c r="AY10" s="31">
        <f t="shared" si="39"/>
        <v>0</v>
      </c>
      <c r="AZ10" s="33"/>
      <c r="BA10" s="37">
        <f t="shared" si="8"/>
        <v>-1</v>
      </c>
      <c r="BB10" s="36">
        <f>[1]IG!$K10</f>
        <v>10000</v>
      </c>
      <c r="BC10" s="31">
        <f t="shared" si="40"/>
        <v>8771</v>
      </c>
      <c r="BD10" s="31">
        <f t="shared" si="41"/>
        <v>1229</v>
      </c>
      <c r="BE10" s="31">
        <f t="shared" si="42"/>
        <v>0</v>
      </c>
      <c r="BF10" s="31">
        <f t="shared" si="43"/>
        <v>0</v>
      </c>
      <c r="BG10" s="27"/>
      <c r="BH10" s="37">
        <f t="shared" si="9"/>
        <v>-1</v>
      </c>
      <c r="BI10" s="36">
        <f>[1]IG!$L10</f>
        <v>10000</v>
      </c>
      <c r="BJ10" s="31">
        <f t="shared" si="44"/>
        <v>8771</v>
      </c>
      <c r="BK10" s="31">
        <f t="shared" si="45"/>
        <v>1229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[1]IG!$M10</f>
        <v>10000</v>
      </c>
      <c r="BQ10" s="31">
        <f t="shared" si="48"/>
        <v>8771</v>
      </c>
      <c r="BR10" s="31">
        <f t="shared" si="49"/>
        <v>1229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[1]IG!$N10</f>
        <v>10000</v>
      </c>
      <c r="BX10" s="31">
        <f t="shared" si="52"/>
        <v>8771</v>
      </c>
      <c r="BY10" s="31">
        <f t="shared" si="53"/>
        <v>1229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[1]IG!$O10</f>
        <v>10000</v>
      </c>
      <c r="CE10" s="31">
        <f t="shared" si="56"/>
        <v>8771</v>
      </c>
      <c r="CF10" s="31">
        <f t="shared" si="57"/>
        <v>1229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[1]IG!$P10</f>
        <v>10000</v>
      </c>
      <c r="CL10" s="31">
        <f t="shared" si="60"/>
        <v>8771</v>
      </c>
      <c r="CM10" s="31">
        <f t="shared" si="61"/>
        <v>1229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11969.362303</v>
      </c>
      <c r="I11" s="33">
        <f t="shared" si="1"/>
        <v>927.267697</v>
      </c>
      <c r="J11" s="33">
        <f t="shared" si="1"/>
        <v>12896.63</v>
      </c>
      <c r="K11" s="37" t="str">
        <f t="shared" si="2"/>
        <v/>
      </c>
      <c r="L11" s="36">
        <f>[1]IG!$E11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[1]IG!$F11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4"/>
        <v/>
      </c>
      <c r="Z11" s="36">
        <f>[1]IG!$G11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33"/>
      <c r="AF11" s="37" t="str">
        <f t="shared" si="5"/>
        <v/>
      </c>
      <c r="AG11" s="36">
        <f>[1]IG!$H11</f>
        <v>0</v>
      </c>
      <c r="AH11" s="31">
        <f t="shared" si="28"/>
        <v>0</v>
      </c>
      <c r="AI11" s="31">
        <f t="shared" si="29"/>
        <v>0</v>
      </c>
      <c r="AJ11" s="31">
        <f t="shared" si="30"/>
        <v>11969.362303</v>
      </c>
      <c r="AK11" s="31">
        <f t="shared" si="31"/>
        <v>927.267697</v>
      </c>
      <c r="AL11" s="33">
        <f>12896.63</f>
        <v>12896.63</v>
      </c>
      <c r="AM11" s="37" t="str">
        <f t="shared" si="6"/>
        <v/>
      </c>
      <c r="AN11" s="36">
        <f>[1]IG!$I11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7"/>
        <v/>
      </c>
      <c r="AU11" s="36">
        <f>[1]IG!$J11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33"/>
      <c r="BA11" s="37" t="str">
        <f t="shared" si="8"/>
        <v/>
      </c>
      <c r="BB11" s="36">
        <f>[1]IG!$K11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33"/>
      <c r="BH11" s="37" t="str">
        <f t="shared" si="9"/>
        <v/>
      </c>
      <c r="BI11" s="36">
        <f>[1]IG!$L11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[1]IG!$M11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[1]IG!$N11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[1]IG!$O11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[1]IG!$P11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11132.837930000002</v>
      </c>
      <c r="I12" s="33">
        <f t="shared" si="1"/>
        <v>862.46207000000004</v>
      </c>
      <c r="J12" s="33">
        <f t="shared" si="1"/>
        <v>11995.3</v>
      </c>
      <c r="K12" s="37">
        <f t="shared" si="2"/>
        <v>-3.4194847020934005E-2</v>
      </c>
      <c r="L12" s="36">
        <f>[1]IG!$E12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2686.7566900000002</v>
      </c>
      <c r="P12" s="31">
        <f t="shared" si="19"/>
        <v>208.14331000000001</v>
      </c>
      <c r="Q12" s="33">
        <f>2894.9</f>
        <v>2894.9</v>
      </c>
      <c r="R12" s="37">
        <f t="shared" si="3"/>
        <v>-6.766505636070852E-2</v>
      </c>
      <c r="S12" s="36">
        <f>[1]IG!$F12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0</v>
      </c>
      <c r="W12" s="31">
        <f t="shared" si="23"/>
        <v>0</v>
      </c>
      <c r="X12" s="33"/>
      <c r="Y12" s="37">
        <f t="shared" si="4"/>
        <v>-1</v>
      </c>
      <c r="Z12" s="36">
        <f>[1]IG!$G12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2879.6622750000001</v>
      </c>
      <c r="AD12" s="31">
        <f t="shared" si="27"/>
        <v>223.08772500000001</v>
      </c>
      <c r="AE12" s="33">
        <f>3102.75</f>
        <v>3102.75</v>
      </c>
      <c r="AF12" s="37">
        <f t="shared" si="5"/>
        <v>-7.246376811593791E-4</v>
      </c>
      <c r="AG12" s="36">
        <f>[1]IG!$H12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5566.4189649999998</v>
      </c>
      <c r="AK12" s="31">
        <f t="shared" si="31"/>
        <v>431.23103500000002</v>
      </c>
      <c r="AL12" s="33">
        <f>3102.75+2894.9</f>
        <v>5997.65</v>
      </c>
      <c r="AM12" s="37">
        <f t="shared" si="6"/>
        <v>0.93161030595813199</v>
      </c>
      <c r="AN12" s="36">
        <f>[1]IG!$I12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[1]IG!$J12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33"/>
      <c r="BA12" s="37">
        <f t="shared" si="8"/>
        <v>-1</v>
      </c>
      <c r="BB12" s="36">
        <f>[1]IG!$K12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33"/>
      <c r="BH12" s="37">
        <f t="shared" si="9"/>
        <v>-1</v>
      </c>
      <c r="BI12" s="36">
        <f>[1]IG!$L12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[1]IG!$M12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[1]IG!$N12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[1]IG!$O12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[1]IG!$P12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240000</v>
      </c>
      <c r="C13" s="31">
        <f t="shared" si="0"/>
        <v>210504</v>
      </c>
      <c r="D13" s="32">
        <f t="shared" si="0"/>
        <v>29496</v>
      </c>
      <c r="E13" s="30">
        <f t="shared" si="15"/>
        <v>80000</v>
      </c>
      <c r="F13" s="33">
        <f t="shared" si="15"/>
        <v>70168</v>
      </c>
      <c r="G13" s="34">
        <f t="shared" si="15"/>
        <v>9832</v>
      </c>
      <c r="H13" s="31">
        <f t="shared" si="1"/>
        <v>307235.38401400001</v>
      </c>
      <c r="I13" s="33">
        <f t="shared" si="1"/>
        <v>23801.555985999999</v>
      </c>
      <c r="J13" s="33">
        <f t="shared" si="1"/>
        <v>331036.94</v>
      </c>
      <c r="K13" s="37">
        <f t="shared" si="2"/>
        <v>3.1379617499999997</v>
      </c>
      <c r="L13" s="36">
        <f>[1]IG!$E13</f>
        <v>20000</v>
      </c>
      <c r="M13" s="31">
        <f t="shared" si="16"/>
        <v>17542</v>
      </c>
      <c r="N13" s="31">
        <f t="shared" si="17"/>
        <v>2458</v>
      </c>
      <c r="O13" s="31">
        <f t="shared" si="18"/>
        <v>24362.328008</v>
      </c>
      <c r="P13" s="31">
        <f t="shared" si="19"/>
        <v>1887.3519920000001</v>
      </c>
      <c r="Q13" s="33">
        <f>26249.68</f>
        <v>26249.68</v>
      </c>
      <c r="R13" s="37">
        <f t="shared" si="3"/>
        <v>0.31248399999999998</v>
      </c>
      <c r="S13" s="36">
        <f>[1]IG!$F13</f>
        <v>20000</v>
      </c>
      <c r="T13" s="31">
        <f t="shared" si="20"/>
        <v>17542</v>
      </c>
      <c r="U13" s="31">
        <f t="shared" si="21"/>
        <v>2458</v>
      </c>
      <c r="V13" s="31">
        <f t="shared" si="22"/>
        <v>104675.46150799999</v>
      </c>
      <c r="W13" s="31">
        <f t="shared" si="23"/>
        <v>8109.218492</v>
      </c>
      <c r="X13" s="33">
        <f>112784.68</f>
        <v>112784.68</v>
      </c>
      <c r="Y13" s="37">
        <f t="shared" si="4"/>
        <v>4.6392340000000001</v>
      </c>
      <c r="Z13" s="36">
        <f>[1]IG!$G13</f>
        <v>20000</v>
      </c>
      <c r="AA13" s="31">
        <f t="shared" si="24"/>
        <v>17542</v>
      </c>
      <c r="AB13" s="31">
        <f t="shared" si="25"/>
        <v>2458</v>
      </c>
      <c r="AC13" s="31">
        <f t="shared" si="26"/>
        <v>128388.65781400001</v>
      </c>
      <c r="AD13" s="31">
        <f t="shared" si="27"/>
        <v>9946.2821860000004</v>
      </c>
      <c r="AE13" s="33">
        <f>138334.94</f>
        <v>138334.94</v>
      </c>
      <c r="AF13" s="37">
        <f t="shared" si="5"/>
        <v>5.916747</v>
      </c>
      <c r="AG13" s="36">
        <f>[1]IG!$H13</f>
        <v>20000</v>
      </c>
      <c r="AH13" s="31">
        <f t="shared" si="28"/>
        <v>17542</v>
      </c>
      <c r="AI13" s="31">
        <f t="shared" si="29"/>
        <v>2458</v>
      </c>
      <c r="AJ13" s="31">
        <f t="shared" si="30"/>
        <v>49808.936684</v>
      </c>
      <c r="AK13" s="31">
        <f t="shared" si="31"/>
        <v>3858.7033160000001</v>
      </c>
      <c r="AL13" s="33">
        <f>53667.64</f>
        <v>53667.64</v>
      </c>
      <c r="AM13" s="37">
        <f t="shared" si="6"/>
        <v>1.6833819999999999</v>
      </c>
      <c r="AN13" s="36">
        <f>[1]IG!$I13</f>
        <v>20000</v>
      </c>
      <c r="AO13" s="31">
        <f t="shared" si="32"/>
        <v>17542</v>
      </c>
      <c r="AP13" s="31">
        <f t="shared" si="33"/>
        <v>2458</v>
      </c>
      <c r="AQ13" s="31">
        <f t="shared" si="34"/>
        <v>0</v>
      </c>
      <c r="AR13" s="31">
        <f t="shared" si="35"/>
        <v>0</v>
      </c>
      <c r="AS13" s="33"/>
      <c r="AT13" s="37">
        <f t="shared" si="7"/>
        <v>-1</v>
      </c>
      <c r="AU13" s="36">
        <f>[1]IG!$J13</f>
        <v>20000</v>
      </c>
      <c r="AV13" s="31">
        <f t="shared" si="36"/>
        <v>17542</v>
      </c>
      <c r="AW13" s="31">
        <f t="shared" si="37"/>
        <v>2458</v>
      </c>
      <c r="AX13" s="31">
        <f t="shared" si="38"/>
        <v>0</v>
      </c>
      <c r="AY13" s="31">
        <f t="shared" si="39"/>
        <v>0</v>
      </c>
      <c r="AZ13" s="33"/>
      <c r="BA13" s="37">
        <f t="shared" si="8"/>
        <v>-1</v>
      </c>
      <c r="BB13" s="36">
        <f>[1]IG!$K13</f>
        <v>20000</v>
      </c>
      <c r="BC13" s="31">
        <f t="shared" si="40"/>
        <v>17542</v>
      </c>
      <c r="BD13" s="31">
        <f t="shared" si="41"/>
        <v>2458</v>
      </c>
      <c r="BE13" s="31">
        <f t="shared" si="42"/>
        <v>0</v>
      </c>
      <c r="BF13" s="31">
        <f t="shared" si="43"/>
        <v>0</v>
      </c>
      <c r="BG13" s="33"/>
      <c r="BH13" s="37">
        <f t="shared" si="9"/>
        <v>-1</v>
      </c>
      <c r="BI13" s="36">
        <f>[1]IG!$L13</f>
        <v>20000</v>
      </c>
      <c r="BJ13" s="31">
        <f t="shared" si="44"/>
        <v>17542</v>
      </c>
      <c r="BK13" s="31">
        <f t="shared" si="45"/>
        <v>2458</v>
      </c>
      <c r="BL13" s="31">
        <f t="shared" si="46"/>
        <v>0</v>
      </c>
      <c r="BM13" s="31">
        <f t="shared" si="47"/>
        <v>0</v>
      </c>
      <c r="BN13" s="33"/>
      <c r="BO13" s="37">
        <f t="shared" si="10"/>
        <v>-1</v>
      </c>
      <c r="BP13" s="36">
        <f>[1]IG!$M13</f>
        <v>20000</v>
      </c>
      <c r="BQ13" s="31">
        <f t="shared" si="48"/>
        <v>17542</v>
      </c>
      <c r="BR13" s="31">
        <f t="shared" si="49"/>
        <v>2458</v>
      </c>
      <c r="BS13" s="31">
        <f t="shared" si="50"/>
        <v>0</v>
      </c>
      <c r="BT13" s="31">
        <f t="shared" si="51"/>
        <v>0</v>
      </c>
      <c r="BU13" s="33"/>
      <c r="BV13" s="37">
        <f t="shared" si="11"/>
        <v>-1</v>
      </c>
      <c r="BW13" s="36">
        <f>[1]IG!$N13</f>
        <v>20000</v>
      </c>
      <c r="BX13" s="31">
        <f t="shared" si="52"/>
        <v>17542</v>
      </c>
      <c r="BY13" s="31">
        <f t="shared" si="53"/>
        <v>2458</v>
      </c>
      <c r="BZ13" s="31">
        <f t="shared" si="54"/>
        <v>0</v>
      </c>
      <c r="CA13" s="31">
        <f t="shared" si="55"/>
        <v>0</v>
      </c>
      <c r="CB13" s="33"/>
      <c r="CC13" s="37">
        <f t="shared" si="12"/>
        <v>-1</v>
      </c>
      <c r="CD13" s="36">
        <f>[1]IG!$O13</f>
        <v>20000</v>
      </c>
      <c r="CE13" s="31">
        <f t="shared" si="56"/>
        <v>17542</v>
      </c>
      <c r="CF13" s="31">
        <f t="shared" si="57"/>
        <v>2458</v>
      </c>
      <c r="CG13" s="31">
        <f t="shared" si="58"/>
        <v>0</v>
      </c>
      <c r="CH13" s="31">
        <f t="shared" si="59"/>
        <v>0</v>
      </c>
      <c r="CI13" s="33"/>
      <c r="CJ13" s="37">
        <f t="shared" si="13"/>
        <v>-1</v>
      </c>
      <c r="CK13" s="36">
        <f>[1]IG!$P13</f>
        <v>20000</v>
      </c>
      <c r="CL13" s="31">
        <f t="shared" si="60"/>
        <v>17542</v>
      </c>
      <c r="CM13" s="31">
        <f t="shared" si="61"/>
        <v>2458</v>
      </c>
      <c r="CN13" s="31">
        <f t="shared" si="62"/>
        <v>0</v>
      </c>
      <c r="CO13" s="31">
        <f t="shared" si="63"/>
        <v>0</v>
      </c>
      <c r="CP13" s="33"/>
      <c r="CQ13" s="37">
        <f t="shared" si="14"/>
        <v>-1</v>
      </c>
    </row>
    <row r="14" spans="1:99" s="26" customFormat="1" ht="16" customHeight="1" x14ac:dyDescent="0.2">
      <c r="A14" s="39" t="s">
        <v>38</v>
      </c>
      <c r="B14" s="30">
        <f t="shared" si="0"/>
        <v>71530.920000000013</v>
      </c>
      <c r="C14" s="31">
        <f t="shared" si="0"/>
        <v>62739.769932000017</v>
      </c>
      <c r="D14" s="32">
        <f t="shared" si="0"/>
        <v>8791.1500679999972</v>
      </c>
      <c r="E14" s="30">
        <f t="shared" si="15"/>
        <v>23843.64</v>
      </c>
      <c r="F14" s="33">
        <f t="shared" si="15"/>
        <v>20913.256644000001</v>
      </c>
      <c r="G14" s="34">
        <f t="shared" si="15"/>
        <v>2930.3833559999998</v>
      </c>
      <c r="H14" s="31">
        <f t="shared" si="1"/>
        <v>31829.337996000002</v>
      </c>
      <c r="I14" s="33">
        <f t="shared" si="1"/>
        <v>2465.8220040000006</v>
      </c>
      <c r="J14" s="33">
        <f t="shared" si="1"/>
        <v>34295.160000000003</v>
      </c>
      <c r="K14" s="37">
        <f t="shared" si="2"/>
        <v>0.43833575745985121</v>
      </c>
      <c r="L14" s="36">
        <f>[1]IG!$E14</f>
        <v>5960.91</v>
      </c>
      <c r="M14" s="31">
        <f t="shared" si="16"/>
        <v>5228.3141610000002</v>
      </c>
      <c r="N14" s="31">
        <f t="shared" si="17"/>
        <v>732.59583899999996</v>
      </c>
      <c r="O14" s="31">
        <f t="shared" si="18"/>
        <v>3939.2647639999996</v>
      </c>
      <c r="P14" s="31">
        <f t="shared" si="19"/>
        <v>305.17523599999998</v>
      </c>
      <c r="Q14" s="33">
        <f>4244.44</f>
        <v>4244.4399999999996</v>
      </c>
      <c r="R14" s="37">
        <f t="shared" si="3"/>
        <v>-0.28795435596242858</v>
      </c>
      <c r="S14" s="36">
        <f>[1]IG!$F14</f>
        <v>5960.91</v>
      </c>
      <c r="T14" s="31">
        <f t="shared" si="20"/>
        <v>5228.3141610000002</v>
      </c>
      <c r="U14" s="31">
        <f t="shared" si="21"/>
        <v>732.59583899999996</v>
      </c>
      <c r="V14" s="31">
        <f t="shared" si="22"/>
        <v>17186.27737</v>
      </c>
      <c r="W14" s="31">
        <f t="shared" si="23"/>
        <v>1331.4226300000003</v>
      </c>
      <c r="X14" s="33">
        <v>18517.7</v>
      </c>
      <c r="Y14" s="37">
        <f t="shared" si="4"/>
        <v>2.1065223262891069</v>
      </c>
      <c r="Z14" s="36">
        <f>[1]IG!$G14</f>
        <v>5960.91</v>
      </c>
      <c r="AA14" s="31">
        <f t="shared" si="24"/>
        <v>5228.3141610000002</v>
      </c>
      <c r="AB14" s="31">
        <f t="shared" si="25"/>
        <v>732.59583899999996</v>
      </c>
      <c r="AC14" s="31">
        <f t="shared" si="26"/>
        <v>5118.9448309999998</v>
      </c>
      <c r="AD14" s="31">
        <f t="shared" si="27"/>
        <v>396.56516900000003</v>
      </c>
      <c r="AE14" s="33">
        <f>5515.51</f>
        <v>5515.51</v>
      </c>
      <c r="AF14" s="37">
        <f t="shared" si="5"/>
        <v>-7.4720135012942612E-2</v>
      </c>
      <c r="AG14" s="36">
        <f>[1]IG!$H14</f>
        <v>5960.91</v>
      </c>
      <c r="AH14" s="31">
        <f t="shared" si="28"/>
        <v>5228.3141610000002</v>
      </c>
      <c r="AI14" s="31">
        <f t="shared" si="29"/>
        <v>732.59583899999996</v>
      </c>
      <c r="AJ14" s="31">
        <f t="shared" si="30"/>
        <v>5584.8510310000001</v>
      </c>
      <c r="AK14" s="31">
        <f t="shared" si="31"/>
        <v>432.65896900000007</v>
      </c>
      <c r="AL14" s="33">
        <f>6017.51</f>
        <v>6017.51</v>
      </c>
      <c r="AM14" s="37">
        <f t="shared" si="6"/>
        <v>9.4951945256680492E-3</v>
      </c>
      <c r="AN14" s="36">
        <f>[1]IG!$I14</f>
        <v>5960.91</v>
      </c>
      <c r="AO14" s="31">
        <f t="shared" si="32"/>
        <v>5228.3141610000002</v>
      </c>
      <c r="AP14" s="31">
        <f t="shared" si="33"/>
        <v>732.59583899999996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[1]IG!$J14</f>
        <v>5960.91</v>
      </c>
      <c r="AV14" s="31">
        <f t="shared" si="36"/>
        <v>5228.3141610000002</v>
      </c>
      <c r="AW14" s="31">
        <f t="shared" si="37"/>
        <v>732.59583899999996</v>
      </c>
      <c r="AX14" s="31">
        <f t="shared" si="38"/>
        <v>0</v>
      </c>
      <c r="AY14" s="31">
        <f t="shared" si="39"/>
        <v>0</v>
      </c>
      <c r="AZ14" s="33"/>
      <c r="BA14" s="37">
        <f t="shared" si="8"/>
        <v>-1</v>
      </c>
      <c r="BB14" s="36">
        <f>[1]IG!$K14</f>
        <v>5960.91</v>
      </c>
      <c r="BC14" s="31">
        <f t="shared" si="40"/>
        <v>5228.3141610000002</v>
      </c>
      <c r="BD14" s="31">
        <f t="shared" si="41"/>
        <v>732.59583899999996</v>
      </c>
      <c r="BE14" s="31">
        <f t="shared" si="42"/>
        <v>0</v>
      </c>
      <c r="BF14" s="31">
        <f t="shared" si="43"/>
        <v>0</v>
      </c>
      <c r="BG14" s="33"/>
      <c r="BH14" s="37">
        <f t="shared" si="9"/>
        <v>-1</v>
      </c>
      <c r="BI14" s="36">
        <f>[1]IG!$L14</f>
        <v>5960.91</v>
      </c>
      <c r="BJ14" s="31">
        <f t="shared" si="44"/>
        <v>5228.3141610000002</v>
      </c>
      <c r="BK14" s="31">
        <f t="shared" si="45"/>
        <v>732.59583899999996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[1]IG!$M14</f>
        <v>5960.91</v>
      </c>
      <c r="BQ14" s="31">
        <f t="shared" si="48"/>
        <v>5228.3141610000002</v>
      </c>
      <c r="BR14" s="31">
        <f t="shared" si="49"/>
        <v>732.59583899999996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[1]IG!$N14</f>
        <v>5960.91</v>
      </c>
      <c r="BX14" s="31">
        <f t="shared" si="52"/>
        <v>5228.3141610000002</v>
      </c>
      <c r="BY14" s="31">
        <f t="shared" si="53"/>
        <v>732.59583899999996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[1]IG!$O14</f>
        <v>5960.91</v>
      </c>
      <c r="CE14" s="31">
        <f t="shared" si="56"/>
        <v>5228.3141610000002</v>
      </c>
      <c r="CF14" s="31">
        <f t="shared" si="57"/>
        <v>732.59583899999996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[1]IG!$P14</f>
        <v>5960.91</v>
      </c>
      <c r="CL14" s="31">
        <f t="shared" si="60"/>
        <v>5228.3141610000002</v>
      </c>
      <c r="CM14" s="31">
        <f t="shared" si="61"/>
        <v>732.59583899999996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174557.5</v>
      </c>
      <c r="C15" s="31">
        <f t="shared" si="0"/>
        <v>153104.38325000001</v>
      </c>
      <c r="D15" s="32">
        <f t="shared" si="0"/>
        <v>21453.116750000001</v>
      </c>
      <c r="E15" s="30">
        <f t="shared" si="15"/>
        <v>57810</v>
      </c>
      <c r="F15" s="33">
        <f t="shared" si="15"/>
        <v>50705.150999999998</v>
      </c>
      <c r="G15" s="34">
        <f t="shared" si="15"/>
        <v>7104.8490000000002</v>
      </c>
      <c r="H15" s="31">
        <f t="shared" si="1"/>
        <v>63102.642000999993</v>
      </c>
      <c r="I15" s="33">
        <f t="shared" si="1"/>
        <v>4888.567998999999</v>
      </c>
      <c r="J15" s="33">
        <f t="shared" si="1"/>
        <v>67991.209999999992</v>
      </c>
      <c r="K15" s="37">
        <f t="shared" si="2"/>
        <v>0.17611503200138379</v>
      </c>
      <c r="L15" s="36">
        <f>[1]IG!$E15</f>
        <v>14452.5</v>
      </c>
      <c r="M15" s="40">
        <f t="shared" si="16"/>
        <v>12676.28775</v>
      </c>
      <c r="N15" s="40">
        <f t="shared" si="17"/>
        <v>1776.21225</v>
      </c>
      <c r="O15" s="40">
        <f t="shared" si="18"/>
        <v>12018.737223</v>
      </c>
      <c r="P15" s="40">
        <f t="shared" si="19"/>
        <v>931.09277700000007</v>
      </c>
      <c r="Q15" s="115">
        <f>992.25+21372.07-(15.24+9399.25)</f>
        <v>12949.83</v>
      </c>
      <c r="R15" s="37">
        <f t="shared" si="3"/>
        <v>-0.10397301504929946</v>
      </c>
      <c r="S15" s="36">
        <f>[1]IG!$F15</f>
        <v>14452.5</v>
      </c>
      <c r="T15" s="40">
        <f t="shared" si="20"/>
        <v>12676.28775</v>
      </c>
      <c r="U15" s="40">
        <f t="shared" si="21"/>
        <v>1776.21225</v>
      </c>
      <c r="V15" s="40">
        <f t="shared" si="22"/>
        <v>11973.752215999986</v>
      </c>
      <c r="W15" s="40">
        <f t="shared" si="23"/>
        <v>927.60778399999901</v>
      </c>
      <c r="X15" s="115">
        <f>1003.76+126060.27-(34182.46+79980.21)</f>
        <v>12901.359999999986</v>
      </c>
      <c r="Y15" s="37">
        <f t="shared" si="4"/>
        <v>-0.10732676007611242</v>
      </c>
      <c r="Z15" s="36">
        <f>[1]IG!$G15</f>
        <v>14452.5</v>
      </c>
      <c r="AA15" s="40">
        <f t="shared" si="24"/>
        <v>12676.28775</v>
      </c>
      <c r="AB15" s="40">
        <f t="shared" si="25"/>
        <v>1776.21225</v>
      </c>
      <c r="AC15" s="40">
        <f t="shared" si="26"/>
        <v>17937.138113000001</v>
      </c>
      <c r="AD15" s="40">
        <f t="shared" si="27"/>
        <v>1389.591887</v>
      </c>
      <c r="AE15" s="115">
        <f>992.25+18334.48</f>
        <v>19326.73</v>
      </c>
      <c r="AF15" s="37">
        <f t="shared" si="5"/>
        <v>0.33725860577754707</v>
      </c>
      <c r="AG15" s="36">
        <f>[1]IG!$H15</f>
        <v>14452.5</v>
      </c>
      <c r="AH15" s="40">
        <f t="shared" si="28"/>
        <v>12676.28775</v>
      </c>
      <c r="AI15" s="40">
        <f t="shared" si="29"/>
        <v>1776.21225</v>
      </c>
      <c r="AJ15" s="40">
        <f t="shared" si="30"/>
        <v>21173.014449000002</v>
      </c>
      <c r="AK15" s="40">
        <f t="shared" si="31"/>
        <v>1640.2755510000002</v>
      </c>
      <c r="AL15" s="115">
        <f>999.59+21813.7</f>
        <v>22813.29</v>
      </c>
      <c r="AM15" s="37">
        <f t="shared" si="6"/>
        <v>0.57850129735339917</v>
      </c>
      <c r="AN15" s="36">
        <f>[1]IG!$I15</f>
        <v>14452.5</v>
      </c>
      <c r="AO15" s="40">
        <f t="shared" si="32"/>
        <v>12676.28775</v>
      </c>
      <c r="AP15" s="40">
        <f t="shared" si="33"/>
        <v>1776.21225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[1]IG!$J15</f>
        <v>14452.5</v>
      </c>
      <c r="AV15" s="40">
        <f t="shared" si="36"/>
        <v>12676.28775</v>
      </c>
      <c r="AW15" s="40">
        <f t="shared" si="37"/>
        <v>1776.21225</v>
      </c>
      <c r="AX15" s="40">
        <f t="shared" si="38"/>
        <v>0</v>
      </c>
      <c r="AY15" s="40">
        <f t="shared" si="39"/>
        <v>0</v>
      </c>
      <c r="AZ15" s="115"/>
      <c r="BA15" s="37">
        <f t="shared" si="8"/>
        <v>-1</v>
      </c>
      <c r="BB15" s="36">
        <f>[1]IG!$K15</f>
        <v>15580</v>
      </c>
      <c r="BC15" s="40">
        <f t="shared" si="40"/>
        <v>13665.218000000001</v>
      </c>
      <c r="BD15" s="40">
        <f t="shared" si="41"/>
        <v>1914.7819999999999</v>
      </c>
      <c r="BE15" s="40">
        <f t="shared" si="42"/>
        <v>0</v>
      </c>
      <c r="BF15" s="40">
        <f t="shared" si="43"/>
        <v>0</v>
      </c>
      <c r="BG15" s="115"/>
      <c r="BH15" s="37">
        <f t="shared" si="9"/>
        <v>-1</v>
      </c>
      <c r="BI15" s="36">
        <f>[1]IG!$L15</f>
        <v>14452.5</v>
      </c>
      <c r="BJ15" s="40">
        <f t="shared" si="44"/>
        <v>12676.28775</v>
      </c>
      <c r="BK15" s="40">
        <f t="shared" si="45"/>
        <v>1776.21225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[1]IG!$M15</f>
        <v>14452.5</v>
      </c>
      <c r="BQ15" s="40">
        <f t="shared" si="48"/>
        <v>12676.28775</v>
      </c>
      <c r="BR15" s="40">
        <f t="shared" si="49"/>
        <v>1776.21225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[1]IG!$N15</f>
        <v>14452.5</v>
      </c>
      <c r="BX15" s="40">
        <f t="shared" si="52"/>
        <v>12676.28775</v>
      </c>
      <c r="BY15" s="40">
        <f t="shared" si="53"/>
        <v>1776.21225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[1]IG!$O15</f>
        <v>14452.5</v>
      </c>
      <c r="CE15" s="40">
        <f t="shared" si="56"/>
        <v>12676.28775</v>
      </c>
      <c r="CF15" s="40">
        <f t="shared" si="57"/>
        <v>1776.21225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[1]IG!$P15</f>
        <v>14452.5</v>
      </c>
      <c r="CL15" s="40">
        <f t="shared" si="60"/>
        <v>12676.28775</v>
      </c>
      <c r="CM15" s="40">
        <f t="shared" si="61"/>
        <v>1776.21225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30000</v>
      </c>
      <c r="C16" s="31">
        <f t="shared" si="0"/>
        <v>26313</v>
      </c>
      <c r="D16" s="32">
        <f t="shared" si="0"/>
        <v>3687</v>
      </c>
      <c r="E16" s="30">
        <f t="shared" si="15"/>
        <v>10000</v>
      </c>
      <c r="F16" s="33">
        <f t="shared" si="15"/>
        <v>8771</v>
      </c>
      <c r="G16" s="34">
        <f t="shared" si="15"/>
        <v>1229</v>
      </c>
      <c r="H16" s="31">
        <f t="shared" si="1"/>
        <v>12635.608168999999</v>
      </c>
      <c r="I16" s="33">
        <f t="shared" si="1"/>
        <v>978.88183100000015</v>
      </c>
      <c r="J16" s="33">
        <f t="shared" si="1"/>
        <v>13614.49</v>
      </c>
      <c r="K16" s="37">
        <f t="shared" si="2"/>
        <v>0.36144899999999991</v>
      </c>
      <c r="L16" s="36">
        <f>[1]IG!$E16</f>
        <v>2500</v>
      </c>
      <c r="M16" s="31">
        <f t="shared" si="16"/>
        <v>2192.75</v>
      </c>
      <c r="N16" s="31">
        <f t="shared" si="17"/>
        <v>307.25</v>
      </c>
      <c r="O16" s="31">
        <f t="shared" si="18"/>
        <v>2709.4023300000003</v>
      </c>
      <c r="P16" s="31">
        <f t="shared" si="19"/>
        <v>209.89767000000003</v>
      </c>
      <c r="Q16" s="33">
        <f>2919.3</f>
        <v>2919.3</v>
      </c>
      <c r="R16" s="37">
        <f t="shared" si="3"/>
        <v>0.16772000000000009</v>
      </c>
      <c r="S16" s="36">
        <f>[1]IG!$F16</f>
        <v>2500</v>
      </c>
      <c r="T16" s="31">
        <f t="shared" si="20"/>
        <v>2192.75</v>
      </c>
      <c r="U16" s="31">
        <f t="shared" si="21"/>
        <v>307.25</v>
      </c>
      <c r="V16" s="31">
        <f t="shared" si="22"/>
        <v>4807.6508100000001</v>
      </c>
      <c r="W16" s="31">
        <f t="shared" si="23"/>
        <v>372.44919000000004</v>
      </c>
      <c r="X16" s="33">
        <f>5180.1</f>
        <v>5180.1000000000004</v>
      </c>
      <c r="Y16" s="37">
        <f t="shared" si="4"/>
        <v>1.0720400000000003</v>
      </c>
      <c r="Z16" s="36">
        <f>[1]IG!$G16</f>
        <v>2500</v>
      </c>
      <c r="AA16" s="31">
        <f t="shared" si="24"/>
        <v>2192.75</v>
      </c>
      <c r="AB16" s="31">
        <f t="shared" si="25"/>
        <v>307.25</v>
      </c>
      <c r="AC16" s="31">
        <f t="shared" si="26"/>
        <v>98.397161999999994</v>
      </c>
      <c r="AD16" s="31">
        <f t="shared" si="27"/>
        <v>7.6228380000000007</v>
      </c>
      <c r="AE16" s="33">
        <f>106.02</f>
        <v>106.02</v>
      </c>
      <c r="AF16" s="37">
        <f t="shared" si="5"/>
        <v>-0.957592</v>
      </c>
      <c r="AG16" s="36">
        <f>[1]IG!$H16</f>
        <v>2500</v>
      </c>
      <c r="AH16" s="31">
        <f t="shared" si="28"/>
        <v>2192.75</v>
      </c>
      <c r="AI16" s="31">
        <f t="shared" si="29"/>
        <v>307.25</v>
      </c>
      <c r="AJ16" s="31">
        <f t="shared" si="30"/>
        <v>5020.1578669999999</v>
      </c>
      <c r="AK16" s="31">
        <f t="shared" si="31"/>
        <v>388.91213299999998</v>
      </c>
      <c r="AL16" s="33">
        <f>5409.07</f>
        <v>5409.07</v>
      </c>
      <c r="AM16" s="37">
        <f t="shared" si="6"/>
        <v>1.1636279999999997</v>
      </c>
      <c r="AN16" s="36">
        <f>[1]IG!$I16</f>
        <v>2500</v>
      </c>
      <c r="AO16" s="31">
        <f t="shared" si="32"/>
        <v>2192.75</v>
      </c>
      <c r="AP16" s="31">
        <f t="shared" si="33"/>
        <v>307.25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[1]IG!$J16</f>
        <v>2500</v>
      </c>
      <c r="AV16" s="31">
        <f t="shared" si="36"/>
        <v>2192.75</v>
      </c>
      <c r="AW16" s="31">
        <f t="shared" si="37"/>
        <v>307.25</v>
      </c>
      <c r="AX16" s="31">
        <f t="shared" si="38"/>
        <v>0</v>
      </c>
      <c r="AY16" s="31">
        <f t="shared" si="39"/>
        <v>0</v>
      </c>
      <c r="AZ16" s="33"/>
      <c r="BA16" s="37">
        <f t="shared" si="8"/>
        <v>-1</v>
      </c>
      <c r="BB16" s="36">
        <f>[1]IG!$K16</f>
        <v>2500</v>
      </c>
      <c r="BC16" s="31">
        <f t="shared" si="40"/>
        <v>2192.75</v>
      </c>
      <c r="BD16" s="31">
        <f t="shared" si="41"/>
        <v>307.25</v>
      </c>
      <c r="BE16" s="31">
        <f t="shared" si="42"/>
        <v>0</v>
      </c>
      <c r="BF16" s="31">
        <f t="shared" si="43"/>
        <v>0</v>
      </c>
      <c r="BG16" s="33"/>
      <c r="BH16" s="37">
        <f t="shared" si="9"/>
        <v>-1</v>
      </c>
      <c r="BI16" s="36">
        <f>[1]IG!$L16</f>
        <v>2500</v>
      </c>
      <c r="BJ16" s="31">
        <f t="shared" si="44"/>
        <v>2192.75</v>
      </c>
      <c r="BK16" s="31">
        <f t="shared" si="45"/>
        <v>307.25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[1]IG!$M16</f>
        <v>2500</v>
      </c>
      <c r="BQ16" s="31">
        <f t="shared" si="48"/>
        <v>2192.75</v>
      </c>
      <c r="BR16" s="31">
        <f t="shared" si="49"/>
        <v>307.25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[1]IG!$N16</f>
        <v>2500</v>
      </c>
      <c r="BX16" s="31">
        <f t="shared" si="52"/>
        <v>2192.75</v>
      </c>
      <c r="BY16" s="31">
        <f t="shared" si="53"/>
        <v>307.25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[1]IG!$O16</f>
        <v>2500</v>
      </c>
      <c r="CE16" s="31">
        <f t="shared" si="56"/>
        <v>2192.75</v>
      </c>
      <c r="CF16" s="31">
        <f t="shared" si="57"/>
        <v>307.25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[1]IG!$P16</f>
        <v>2500</v>
      </c>
      <c r="CL16" s="31">
        <f t="shared" si="60"/>
        <v>2192.75</v>
      </c>
      <c r="CM16" s="31">
        <f t="shared" si="61"/>
        <v>307.25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927288</v>
      </c>
      <c r="C17" s="31">
        <f t="shared" si="0"/>
        <v>813324.30480000016</v>
      </c>
      <c r="D17" s="32">
        <f t="shared" si="0"/>
        <v>113963.6952</v>
      </c>
      <c r="E17" s="30">
        <f t="shared" si="15"/>
        <v>309096</v>
      </c>
      <c r="F17" s="33">
        <f t="shared" si="15"/>
        <v>271108.10159999999</v>
      </c>
      <c r="G17" s="34">
        <f t="shared" si="15"/>
        <v>37987.898399999998</v>
      </c>
      <c r="H17" s="31">
        <f t="shared" si="1"/>
        <v>345295.771947</v>
      </c>
      <c r="I17" s="33">
        <f t="shared" si="1"/>
        <v>26750.098053000002</v>
      </c>
      <c r="J17" s="33">
        <f t="shared" si="1"/>
        <v>372045.87</v>
      </c>
      <c r="K17" s="37">
        <f t="shared" si="2"/>
        <v>0.20365798975075711</v>
      </c>
      <c r="L17" s="36">
        <f>[1]IG!$E17</f>
        <v>77274</v>
      </c>
      <c r="M17" s="31">
        <f t="shared" si="16"/>
        <v>67777.025399999999</v>
      </c>
      <c r="N17" s="31">
        <f t="shared" si="17"/>
        <v>9496.9745999999996</v>
      </c>
      <c r="O17" s="31">
        <f t="shared" si="18"/>
        <v>92806.955832000007</v>
      </c>
      <c r="P17" s="31">
        <f t="shared" si="19"/>
        <v>7189.7641680000006</v>
      </c>
      <c r="Q17" s="33">
        <f>80737.99+(7440.39+5726.14+5920.52+171.68)</f>
        <v>99996.72</v>
      </c>
      <c r="R17" s="37">
        <f t="shared" si="3"/>
        <v>0.29405388617128669</v>
      </c>
      <c r="S17" s="36">
        <f>[1]IG!$F17</f>
        <v>77274</v>
      </c>
      <c r="T17" s="31">
        <f t="shared" si="20"/>
        <v>67777.025399999999</v>
      </c>
      <c r="U17" s="31">
        <f t="shared" si="21"/>
        <v>9496.9745999999996</v>
      </c>
      <c r="V17" s="31">
        <f t="shared" si="22"/>
        <v>40637.805161999997</v>
      </c>
      <c r="W17" s="31">
        <f t="shared" si="23"/>
        <v>3148.2148379999999</v>
      </c>
      <c r="X17" s="33">
        <v>43786.02</v>
      </c>
      <c r="Y17" s="37">
        <f t="shared" si="4"/>
        <v>-0.43336672101871265</v>
      </c>
      <c r="Z17" s="36">
        <f>[1]IG!$G17</f>
        <v>77274</v>
      </c>
      <c r="AA17" s="31">
        <f t="shared" si="24"/>
        <v>67777.025399999999</v>
      </c>
      <c r="AB17" s="31">
        <f t="shared" si="25"/>
        <v>9496.9745999999996</v>
      </c>
      <c r="AC17" s="31">
        <f t="shared" si="26"/>
        <v>83960.585061999998</v>
      </c>
      <c r="AD17" s="31">
        <f t="shared" si="27"/>
        <v>6504.4349380000012</v>
      </c>
      <c r="AE17" s="33">
        <v>90465.02</v>
      </c>
      <c r="AF17" s="37">
        <f t="shared" si="5"/>
        <v>0.17070450604343002</v>
      </c>
      <c r="AG17" s="36">
        <f>[1]IG!$H17</f>
        <v>77274</v>
      </c>
      <c r="AH17" s="31">
        <f t="shared" si="28"/>
        <v>67777.025399999999</v>
      </c>
      <c r="AI17" s="31">
        <f t="shared" si="29"/>
        <v>9496.9745999999996</v>
      </c>
      <c r="AJ17" s="31">
        <f t="shared" si="30"/>
        <v>127890.42589099999</v>
      </c>
      <c r="AK17" s="31">
        <f t="shared" si="31"/>
        <v>9907.6841089999998</v>
      </c>
      <c r="AL17" s="33">
        <f>137798.11</f>
        <v>137798.10999999999</v>
      </c>
      <c r="AM17" s="37">
        <f t="shared" si="6"/>
        <v>0.78324028780702415</v>
      </c>
      <c r="AN17" s="36">
        <f>[1]IG!$I17</f>
        <v>77274</v>
      </c>
      <c r="AO17" s="31">
        <f t="shared" si="32"/>
        <v>67777.025399999999</v>
      </c>
      <c r="AP17" s="31">
        <f t="shared" si="33"/>
        <v>9496.9745999999996</v>
      </c>
      <c r="AQ17" s="31">
        <f t="shared" si="34"/>
        <v>0</v>
      </c>
      <c r="AR17" s="31">
        <f t="shared" si="35"/>
        <v>0</v>
      </c>
      <c r="AS17" s="33"/>
      <c r="AT17" s="37">
        <f t="shared" si="7"/>
        <v>-1</v>
      </c>
      <c r="AU17" s="36">
        <f>[1]IG!$J17</f>
        <v>77274</v>
      </c>
      <c r="AV17" s="31">
        <f t="shared" si="36"/>
        <v>67777.025399999999</v>
      </c>
      <c r="AW17" s="31">
        <f t="shared" si="37"/>
        <v>9496.9745999999996</v>
      </c>
      <c r="AX17" s="31">
        <f t="shared" si="38"/>
        <v>0</v>
      </c>
      <c r="AY17" s="31">
        <f t="shared" si="39"/>
        <v>0</v>
      </c>
      <c r="AZ17" s="27"/>
      <c r="BA17" s="37">
        <f t="shared" si="8"/>
        <v>-1</v>
      </c>
      <c r="BB17" s="36">
        <f>[1]IG!$K17</f>
        <v>77274</v>
      </c>
      <c r="BC17" s="31">
        <f t="shared" si="40"/>
        <v>67777.025399999999</v>
      </c>
      <c r="BD17" s="31">
        <f t="shared" si="41"/>
        <v>9496.9745999999996</v>
      </c>
      <c r="BE17" s="31">
        <f t="shared" si="42"/>
        <v>0</v>
      </c>
      <c r="BF17" s="31">
        <f t="shared" si="43"/>
        <v>0</v>
      </c>
      <c r="BG17" s="27"/>
      <c r="BH17" s="37">
        <f t="shared" si="9"/>
        <v>-1</v>
      </c>
      <c r="BI17" s="36">
        <f>[1]IG!$L17</f>
        <v>77274</v>
      </c>
      <c r="BJ17" s="31">
        <f t="shared" si="44"/>
        <v>67777.025399999999</v>
      </c>
      <c r="BK17" s="31">
        <f t="shared" si="45"/>
        <v>9496.9745999999996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[1]IG!$M17</f>
        <v>77274</v>
      </c>
      <c r="BQ17" s="31">
        <f t="shared" si="48"/>
        <v>67777.025399999999</v>
      </c>
      <c r="BR17" s="31">
        <f t="shared" si="49"/>
        <v>9496.9745999999996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[1]IG!$N17</f>
        <v>77274</v>
      </c>
      <c r="BX17" s="31">
        <f t="shared" si="52"/>
        <v>67777.025399999999</v>
      </c>
      <c r="BY17" s="31">
        <f t="shared" si="53"/>
        <v>9496.9745999999996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[1]IG!$O17</f>
        <v>77274</v>
      </c>
      <c r="CE17" s="31">
        <f t="shared" si="56"/>
        <v>67777.025399999999</v>
      </c>
      <c r="CF17" s="31">
        <f t="shared" si="57"/>
        <v>9496.9745999999996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[1]IG!$P17</f>
        <v>77274</v>
      </c>
      <c r="CL17" s="31">
        <f t="shared" si="60"/>
        <v>67777.025399999999</v>
      </c>
      <c r="CM17" s="31">
        <f t="shared" si="61"/>
        <v>9496.9745999999996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196934.76000000004</v>
      </c>
      <c r="C18" s="31">
        <f t="shared" si="0"/>
        <v>172731.47799599997</v>
      </c>
      <c r="D18" s="32">
        <f t="shared" si="0"/>
        <v>24203.282004000004</v>
      </c>
      <c r="E18" s="30">
        <f t="shared" si="15"/>
        <v>65644.92</v>
      </c>
      <c r="F18" s="33">
        <f t="shared" si="15"/>
        <v>57577.159331999996</v>
      </c>
      <c r="G18" s="34">
        <f t="shared" si="15"/>
        <v>8067.7606679999999</v>
      </c>
      <c r="H18" s="31">
        <f t="shared" si="1"/>
        <v>83319.639201999991</v>
      </c>
      <c r="I18" s="33">
        <f t="shared" si="1"/>
        <v>6454.7807980000007</v>
      </c>
      <c r="J18" s="33">
        <f t="shared" si="1"/>
        <v>89774.42</v>
      </c>
      <c r="K18" s="37">
        <f t="shared" si="2"/>
        <v>0.36757604396501664</v>
      </c>
      <c r="L18" s="36">
        <f>[1]IG!$E18</f>
        <v>16411.23</v>
      </c>
      <c r="M18" s="31">
        <f t="shared" si="16"/>
        <v>14394.289832999999</v>
      </c>
      <c r="N18" s="31">
        <f t="shared" si="17"/>
        <v>2016.940167</v>
      </c>
      <c r="O18" s="31">
        <f t="shared" si="18"/>
        <v>30482.702019999997</v>
      </c>
      <c r="P18" s="31">
        <f t="shared" si="19"/>
        <v>2361.4979800000001</v>
      </c>
      <c r="Q18" s="33">
        <v>32844.199999999997</v>
      </c>
      <c r="R18" s="37">
        <f t="shared" si="3"/>
        <v>1.0013247026578749</v>
      </c>
      <c r="S18" s="36">
        <f>[1]IG!$F18</f>
        <v>16411.23</v>
      </c>
      <c r="T18" s="31">
        <f t="shared" si="20"/>
        <v>14394.289832999999</v>
      </c>
      <c r="U18" s="31">
        <f t="shared" si="21"/>
        <v>2016.940167</v>
      </c>
      <c r="V18" s="31">
        <f t="shared" si="22"/>
        <v>0</v>
      </c>
      <c r="W18" s="31">
        <f t="shared" si="23"/>
        <v>0</v>
      </c>
      <c r="X18" s="33"/>
      <c r="Y18" s="37">
        <f t="shared" si="4"/>
        <v>-1</v>
      </c>
      <c r="Z18" s="36">
        <f>[1]IG!$G18</f>
        <v>16411.23</v>
      </c>
      <c r="AA18" s="31">
        <f t="shared" si="24"/>
        <v>14394.289832999999</v>
      </c>
      <c r="AB18" s="31">
        <f t="shared" si="25"/>
        <v>2016.940167</v>
      </c>
      <c r="AC18" s="31">
        <f t="shared" si="26"/>
        <v>52836.937182000001</v>
      </c>
      <c r="AD18" s="31">
        <f t="shared" si="27"/>
        <v>4093.2828180000006</v>
      </c>
      <c r="AE18" s="33">
        <v>56930.22</v>
      </c>
      <c r="AF18" s="37">
        <f t="shared" si="5"/>
        <v>2.4689794732021917</v>
      </c>
      <c r="AG18" s="36">
        <f>[1]IG!$H18</f>
        <v>16411.23</v>
      </c>
      <c r="AH18" s="31">
        <f t="shared" si="28"/>
        <v>14394.289832999999</v>
      </c>
      <c r="AI18" s="31">
        <f t="shared" si="29"/>
        <v>2016.940167</v>
      </c>
      <c r="AJ18" s="31">
        <f t="shared" si="30"/>
        <v>0</v>
      </c>
      <c r="AK18" s="31">
        <f t="shared" si="31"/>
        <v>0</v>
      </c>
      <c r="AL18" s="33"/>
      <c r="AM18" s="37">
        <f t="shared" si="6"/>
        <v>-1</v>
      </c>
      <c r="AN18" s="36">
        <f>[1]IG!$I18</f>
        <v>16411.23</v>
      </c>
      <c r="AO18" s="31">
        <f t="shared" si="32"/>
        <v>14394.289832999999</v>
      </c>
      <c r="AP18" s="31">
        <f t="shared" si="33"/>
        <v>2016.940167</v>
      </c>
      <c r="AQ18" s="31">
        <f t="shared" si="34"/>
        <v>0</v>
      </c>
      <c r="AR18" s="31">
        <f t="shared" si="35"/>
        <v>0</v>
      </c>
      <c r="AS18" s="33"/>
      <c r="AT18" s="37">
        <f t="shared" si="7"/>
        <v>-1</v>
      </c>
      <c r="AU18" s="36">
        <f>[1]IG!$J18</f>
        <v>16411.23</v>
      </c>
      <c r="AV18" s="31">
        <f t="shared" si="36"/>
        <v>14394.289832999999</v>
      </c>
      <c r="AW18" s="31">
        <f t="shared" si="37"/>
        <v>2016.940167</v>
      </c>
      <c r="AX18" s="31">
        <f t="shared" si="38"/>
        <v>0</v>
      </c>
      <c r="AY18" s="31">
        <f t="shared" si="39"/>
        <v>0</v>
      </c>
      <c r="AZ18" s="27"/>
      <c r="BA18" s="37">
        <f t="shared" si="8"/>
        <v>-1</v>
      </c>
      <c r="BB18" s="36">
        <f>[1]IG!$K18</f>
        <v>16411.23</v>
      </c>
      <c r="BC18" s="31">
        <f t="shared" si="40"/>
        <v>14394.289832999999</v>
      </c>
      <c r="BD18" s="31">
        <f t="shared" si="41"/>
        <v>2016.940167</v>
      </c>
      <c r="BE18" s="31">
        <f t="shared" si="42"/>
        <v>0</v>
      </c>
      <c r="BF18" s="31">
        <f t="shared" si="43"/>
        <v>0</v>
      </c>
      <c r="BG18" s="27"/>
      <c r="BH18" s="37">
        <f t="shared" si="9"/>
        <v>-1</v>
      </c>
      <c r="BI18" s="36">
        <f>[1]IG!$L18</f>
        <v>16411.23</v>
      </c>
      <c r="BJ18" s="31">
        <f t="shared" si="44"/>
        <v>14394.289832999999</v>
      </c>
      <c r="BK18" s="31">
        <f t="shared" si="45"/>
        <v>2016.940167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[1]IG!$M18</f>
        <v>16411.23</v>
      </c>
      <c r="BQ18" s="31">
        <f t="shared" si="48"/>
        <v>14394.289832999999</v>
      </c>
      <c r="BR18" s="31">
        <f t="shared" si="49"/>
        <v>2016.940167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[1]IG!$N18</f>
        <v>16411.23</v>
      </c>
      <c r="BX18" s="31">
        <f t="shared" si="52"/>
        <v>14394.289832999999</v>
      </c>
      <c r="BY18" s="31">
        <f t="shared" si="53"/>
        <v>2016.940167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[1]IG!$O18</f>
        <v>16411.23</v>
      </c>
      <c r="CE18" s="31">
        <f t="shared" si="56"/>
        <v>14394.289832999999</v>
      </c>
      <c r="CF18" s="31">
        <f t="shared" si="57"/>
        <v>2016.940167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[1]IG!$P18</f>
        <v>16411.23</v>
      </c>
      <c r="CL18" s="31">
        <f t="shared" si="60"/>
        <v>14394.289832999999</v>
      </c>
      <c r="CM18" s="31">
        <f t="shared" si="61"/>
        <v>2016.940167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45000</v>
      </c>
      <c r="C19" s="31">
        <f t="shared" si="0"/>
        <v>39469.5</v>
      </c>
      <c r="D19" s="32">
        <f t="shared" si="0"/>
        <v>5530.5</v>
      </c>
      <c r="E19" s="30">
        <f t="shared" si="15"/>
        <v>15000</v>
      </c>
      <c r="F19" s="33">
        <f t="shared" si="15"/>
        <v>13156.5</v>
      </c>
      <c r="G19" s="34">
        <f t="shared" si="15"/>
        <v>1843.5</v>
      </c>
      <c r="H19" s="31">
        <f t="shared" si="1"/>
        <v>22895.187527999999</v>
      </c>
      <c r="I19" s="33">
        <f t="shared" si="1"/>
        <v>1773.6924720000002</v>
      </c>
      <c r="J19" s="33">
        <f t="shared" si="1"/>
        <v>24668.879999999997</v>
      </c>
      <c r="K19" s="37">
        <f t="shared" si="2"/>
        <v>0.64459199999999983</v>
      </c>
      <c r="L19" s="36">
        <f>[1]IG!$E19</f>
        <v>3750</v>
      </c>
      <c r="M19" s="31">
        <f t="shared" si="16"/>
        <v>3289.125</v>
      </c>
      <c r="N19" s="31">
        <f t="shared" si="17"/>
        <v>460.875</v>
      </c>
      <c r="O19" s="31">
        <f t="shared" si="18"/>
        <v>6553.0542319999977</v>
      </c>
      <c r="P19" s="31">
        <f t="shared" si="19"/>
        <v>507.66576799999984</v>
      </c>
      <c r="Q19" s="33">
        <f>26319.45-(7440.39+5726.14+5920.52+171.68)</f>
        <v>7060.7199999999975</v>
      </c>
      <c r="R19" s="37">
        <f t="shared" si="3"/>
        <v>0.88285866666666601</v>
      </c>
      <c r="S19" s="36">
        <f>[1]IG!$F19</f>
        <v>3750</v>
      </c>
      <c r="T19" s="31">
        <f t="shared" si="20"/>
        <v>3289.125</v>
      </c>
      <c r="U19" s="31">
        <f t="shared" si="21"/>
        <v>460.875</v>
      </c>
      <c r="V19" s="31">
        <f t="shared" si="22"/>
        <v>1339.3039859999999</v>
      </c>
      <c r="W19" s="31">
        <f t="shared" si="23"/>
        <v>103.75601400000001</v>
      </c>
      <c r="X19" s="33">
        <v>1443.06</v>
      </c>
      <c r="Y19" s="37">
        <f t="shared" si="4"/>
        <v>-0.61518399999999995</v>
      </c>
      <c r="Z19" s="36">
        <f>[1]IG!$G19</f>
        <v>3750</v>
      </c>
      <c r="AA19" s="31">
        <f t="shared" si="24"/>
        <v>3289.125</v>
      </c>
      <c r="AB19" s="31">
        <f t="shared" si="25"/>
        <v>460.875</v>
      </c>
      <c r="AC19" s="31">
        <f t="shared" si="26"/>
        <v>3237.9645609999998</v>
      </c>
      <c r="AD19" s="31">
        <f t="shared" si="27"/>
        <v>250.84543900000003</v>
      </c>
      <c r="AE19" s="33">
        <v>3488.81</v>
      </c>
      <c r="AF19" s="37">
        <f t="shared" si="5"/>
        <v>-6.9650666666666639E-2</v>
      </c>
      <c r="AG19" s="36">
        <f>[1]IG!$H19</f>
        <v>3750</v>
      </c>
      <c r="AH19" s="31">
        <f t="shared" si="28"/>
        <v>3289.125</v>
      </c>
      <c r="AI19" s="31">
        <f t="shared" si="29"/>
        <v>460.875</v>
      </c>
      <c r="AJ19" s="31">
        <f t="shared" si="30"/>
        <v>11764.864749</v>
      </c>
      <c r="AK19" s="31">
        <f t="shared" si="31"/>
        <v>911.42525100000012</v>
      </c>
      <c r="AL19" s="33">
        <v>12676.29</v>
      </c>
      <c r="AM19" s="37">
        <f t="shared" si="6"/>
        <v>2.380344</v>
      </c>
      <c r="AN19" s="36">
        <f>[1]IG!$I19</f>
        <v>3750</v>
      </c>
      <c r="AO19" s="31">
        <f t="shared" si="32"/>
        <v>3289.125</v>
      </c>
      <c r="AP19" s="31">
        <f t="shared" si="33"/>
        <v>460.875</v>
      </c>
      <c r="AQ19" s="31">
        <f t="shared" si="34"/>
        <v>0</v>
      </c>
      <c r="AR19" s="31">
        <f t="shared" si="35"/>
        <v>0</v>
      </c>
      <c r="AS19" s="33"/>
      <c r="AT19" s="37">
        <f t="shared" si="7"/>
        <v>-1</v>
      </c>
      <c r="AU19" s="36">
        <f>[1]IG!$J19</f>
        <v>3750</v>
      </c>
      <c r="AV19" s="31">
        <f t="shared" si="36"/>
        <v>3289.125</v>
      </c>
      <c r="AW19" s="31">
        <f t="shared" si="37"/>
        <v>460.875</v>
      </c>
      <c r="AX19" s="31">
        <f t="shared" si="38"/>
        <v>0</v>
      </c>
      <c r="AY19" s="31">
        <f t="shared" si="39"/>
        <v>0</v>
      </c>
      <c r="AZ19" s="27"/>
      <c r="BA19" s="37">
        <f t="shared" si="8"/>
        <v>-1</v>
      </c>
      <c r="BB19" s="36">
        <f>[1]IG!$K19</f>
        <v>3750</v>
      </c>
      <c r="BC19" s="31">
        <f t="shared" si="40"/>
        <v>3289.125</v>
      </c>
      <c r="BD19" s="31">
        <f t="shared" si="41"/>
        <v>460.875</v>
      </c>
      <c r="BE19" s="31">
        <f t="shared" si="42"/>
        <v>0</v>
      </c>
      <c r="BF19" s="31">
        <f t="shared" si="43"/>
        <v>0</v>
      </c>
      <c r="BG19" s="27"/>
      <c r="BH19" s="37">
        <f t="shared" si="9"/>
        <v>-1</v>
      </c>
      <c r="BI19" s="36">
        <f>[1]IG!$L19</f>
        <v>3750</v>
      </c>
      <c r="BJ19" s="31">
        <f t="shared" si="44"/>
        <v>3289.125</v>
      </c>
      <c r="BK19" s="31">
        <f t="shared" si="45"/>
        <v>460.875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[1]IG!$M19</f>
        <v>3750</v>
      </c>
      <c r="BQ19" s="31">
        <f t="shared" si="48"/>
        <v>3289.125</v>
      </c>
      <c r="BR19" s="31">
        <f t="shared" si="49"/>
        <v>460.875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[1]IG!$N19</f>
        <v>3750</v>
      </c>
      <c r="BX19" s="31">
        <f t="shared" si="52"/>
        <v>3289.125</v>
      </c>
      <c r="BY19" s="31">
        <f t="shared" si="53"/>
        <v>460.875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[1]IG!$O19</f>
        <v>3750</v>
      </c>
      <c r="CE19" s="31">
        <f t="shared" si="56"/>
        <v>3289.125</v>
      </c>
      <c r="CF19" s="31">
        <f t="shared" si="57"/>
        <v>460.875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[1]IG!$P19</f>
        <v>3750</v>
      </c>
      <c r="CL19" s="31">
        <f t="shared" si="60"/>
        <v>3289.125</v>
      </c>
      <c r="CM19" s="31">
        <f t="shared" si="61"/>
        <v>460.875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1358763.7348571401</v>
      </c>
      <c r="C20" s="31">
        <f t="shared" si="0"/>
        <v>1191771.6718431981</v>
      </c>
      <c r="D20" s="32">
        <f t="shared" si="0"/>
        <v>166992.06301394256</v>
      </c>
      <c r="E20" s="30">
        <f t="shared" si="15"/>
        <v>636914.16342857096</v>
      </c>
      <c r="F20" s="33">
        <f t="shared" si="15"/>
        <v>558637.41274319962</v>
      </c>
      <c r="G20" s="34">
        <f t="shared" si="15"/>
        <v>78276.750685371371</v>
      </c>
      <c r="H20" s="31">
        <f t="shared" si="1"/>
        <v>365545.36401999998</v>
      </c>
      <c r="I20" s="33">
        <f t="shared" si="1"/>
        <v>28318.835980000003</v>
      </c>
      <c r="J20" s="33">
        <f t="shared" si="1"/>
        <v>393864.2</v>
      </c>
      <c r="K20" s="37">
        <f t="shared" si="2"/>
        <v>-0.38160552455013608</v>
      </c>
      <c r="L20" s="36">
        <f>[1]IG!$E20</f>
        <v>0</v>
      </c>
      <c r="M20" s="31">
        <f t="shared" si="16"/>
        <v>0</v>
      </c>
      <c r="N20" s="31">
        <f t="shared" si="17"/>
        <v>0</v>
      </c>
      <c r="O20" s="31">
        <f t="shared" si="18"/>
        <v>699.67602799999997</v>
      </c>
      <c r="P20" s="31">
        <f t="shared" si="19"/>
        <v>54.203972000000007</v>
      </c>
      <c r="Q20" s="33">
        <f>753.88</f>
        <v>753.88</v>
      </c>
      <c r="R20" s="37" t="str">
        <f t="shared" si="3"/>
        <v/>
      </c>
      <c r="S20" s="36">
        <f>[1]IG!$F20</f>
        <v>0</v>
      </c>
      <c r="T20" s="31">
        <f t="shared" si="20"/>
        <v>0</v>
      </c>
      <c r="U20" s="31">
        <f t="shared" si="21"/>
        <v>0</v>
      </c>
      <c r="V20" s="31">
        <f t="shared" si="22"/>
        <v>2130.1565579999933</v>
      </c>
      <c r="W20" s="31">
        <f t="shared" si="23"/>
        <v>165.02344199999951</v>
      </c>
      <c r="X20" s="33">
        <f>182451.78-180156.6</f>
        <v>2295.179999999993</v>
      </c>
      <c r="Y20" s="37" t="str">
        <f t="shared" si="4"/>
        <v/>
      </c>
      <c r="Z20" s="36">
        <f>[1]IG!$G20</f>
        <v>636914.16342857096</v>
      </c>
      <c r="AA20" s="31">
        <f t="shared" si="24"/>
        <v>558637.41274319962</v>
      </c>
      <c r="AB20" s="31">
        <f t="shared" si="25"/>
        <v>78276.750685371371</v>
      </c>
      <c r="AC20" s="31">
        <f t="shared" si="26"/>
        <v>244364.896947</v>
      </c>
      <c r="AD20" s="31">
        <f t="shared" si="27"/>
        <v>18930.973053000002</v>
      </c>
      <c r="AE20" s="33">
        <v>263295.87</v>
      </c>
      <c r="AF20" s="37">
        <f t="shared" si="5"/>
        <v>-0.58660697921576643</v>
      </c>
      <c r="AG20" s="36">
        <f>[1]IG!$H20</f>
        <v>0</v>
      </c>
      <c r="AH20" s="31">
        <f t="shared" si="28"/>
        <v>0</v>
      </c>
      <c r="AI20" s="31">
        <f t="shared" si="29"/>
        <v>0</v>
      </c>
      <c r="AJ20" s="31">
        <f t="shared" si="30"/>
        <v>118350.634487</v>
      </c>
      <c r="AK20" s="31">
        <f t="shared" si="31"/>
        <v>9168.6355130000011</v>
      </c>
      <c r="AL20" s="33">
        <f>127519.27</f>
        <v>127519.27</v>
      </c>
      <c r="AM20" s="37" t="str">
        <f t="shared" si="6"/>
        <v/>
      </c>
      <c r="AN20" s="36">
        <f>[1]IG!$I20</f>
        <v>14211.175999999999</v>
      </c>
      <c r="AO20" s="31">
        <f t="shared" si="32"/>
        <v>12464.622469599999</v>
      </c>
      <c r="AP20" s="31">
        <f t="shared" si="33"/>
        <v>1746.5535303999998</v>
      </c>
      <c r="AQ20" s="31">
        <f t="shared" si="34"/>
        <v>0</v>
      </c>
      <c r="AR20" s="31">
        <f t="shared" si="35"/>
        <v>0</v>
      </c>
      <c r="AS20" s="33"/>
      <c r="AT20" s="37">
        <f t="shared" si="7"/>
        <v>-1</v>
      </c>
      <c r="AU20" s="36">
        <f>[1]IG!$J20</f>
        <v>14211.175999999999</v>
      </c>
      <c r="AV20" s="31">
        <f t="shared" si="36"/>
        <v>12464.622469599999</v>
      </c>
      <c r="AW20" s="31">
        <f t="shared" si="37"/>
        <v>1746.5535303999998</v>
      </c>
      <c r="AX20" s="31">
        <f t="shared" si="38"/>
        <v>0</v>
      </c>
      <c r="AY20" s="31">
        <f t="shared" si="39"/>
        <v>0</v>
      </c>
      <c r="AZ20" s="27"/>
      <c r="BA20" s="37">
        <f t="shared" si="8"/>
        <v>-1</v>
      </c>
      <c r="BB20" s="36">
        <f>[1]IG!$K20</f>
        <v>302631.17599999899</v>
      </c>
      <c r="BC20" s="31">
        <f t="shared" si="40"/>
        <v>265437.8044695991</v>
      </c>
      <c r="BD20" s="31">
        <f t="shared" si="41"/>
        <v>37193.371530399876</v>
      </c>
      <c r="BE20" s="31">
        <f t="shared" si="42"/>
        <v>0</v>
      </c>
      <c r="BF20" s="31">
        <f t="shared" si="43"/>
        <v>0</v>
      </c>
      <c r="BG20" s="27"/>
      <c r="BH20" s="37">
        <f t="shared" si="9"/>
        <v>-1</v>
      </c>
      <c r="BI20" s="36">
        <f>[1]IG!$L20</f>
        <v>38700.339428571402</v>
      </c>
      <c r="BJ20" s="31">
        <f t="shared" si="44"/>
        <v>33944.067712799981</v>
      </c>
      <c r="BK20" s="31">
        <f t="shared" si="45"/>
        <v>4756.2717157714251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[1]IG!$M20</f>
        <v>309462.17599999899</v>
      </c>
      <c r="BQ20" s="31">
        <f t="shared" si="48"/>
        <v>271429.27456959913</v>
      </c>
      <c r="BR20" s="31">
        <f t="shared" si="49"/>
        <v>38032.901430399877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[1]IG!$N20</f>
        <v>14211.175999999999</v>
      </c>
      <c r="BX20" s="31">
        <f t="shared" si="52"/>
        <v>12464.622469599999</v>
      </c>
      <c r="BY20" s="31">
        <f t="shared" si="53"/>
        <v>1746.5535303999998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[1]IG!$O20</f>
        <v>14211.175999999999</v>
      </c>
      <c r="CE20" s="31">
        <f t="shared" si="56"/>
        <v>12464.622469599999</v>
      </c>
      <c r="CF20" s="31">
        <f t="shared" si="57"/>
        <v>1746.5535303999998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[1]IG!$P20</f>
        <v>14211.175999999999</v>
      </c>
      <c r="CL20" s="31">
        <f t="shared" si="60"/>
        <v>12464.622469599999</v>
      </c>
      <c r="CM20" s="31">
        <f t="shared" si="61"/>
        <v>1746.5535303999998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29735.754000000001</v>
      </c>
      <c r="C21" s="31">
        <f t="shared" si="0"/>
        <v>26081.229833400001</v>
      </c>
      <c r="D21" s="32">
        <f t="shared" si="0"/>
        <v>3654.5241666000002</v>
      </c>
      <c r="E21" s="30">
        <f t="shared" si="15"/>
        <v>29735.754000000001</v>
      </c>
      <c r="F21" s="33">
        <f t="shared" si="15"/>
        <v>26081.229833400001</v>
      </c>
      <c r="G21" s="34">
        <f t="shared" si="15"/>
        <v>3654.5241666000002</v>
      </c>
      <c r="H21" s="31">
        <f t="shared" si="1"/>
        <v>12499.548708999999</v>
      </c>
      <c r="I21" s="33">
        <f t="shared" si="1"/>
        <v>968.34129100000018</v>
      </c>
      <c r="J21" s="33">
        <f t="shared" si="1"/>
        <v>13467.89</v>
      </c>
      <c r="K21" s="37">
        <f t="shared" si="2"/>
        <v>-0.54708093159500848</v>
      </c>
      <c r="L21" s="36">
        <f>[1]IG!$E21</f>
        <v>29735.754000000001</v>
      </c>
      <c r="M21" s="31">
        <f t="shared" si="16"/>
        <v>26081.229833400001</v>
      </c>
      <c r="N21" s="31">
        <f t="shared" si="17"/>
        <v>3654.5241666000002</v>
      </c>
      <c r="O21" s="31">
        <f t="shared" si="18"/>
        <v>8958.9771430000001</v>
      </c>
      <c r="P21" s="31">
        <f t="shared" si="19"/>
        <v>694.05285700000013</v>
      </c>
      <c r="Q21" s="33">
        <f>9653.03</f>
        <v>9653.0300000000007</v>
      </c>
      <c r="R21" s="37">
        <f t="shared" si="3"/>
        <v>-0.67537295338130654</v>
      </c>
      <c r="S21" s="36">
        <f>[1]IG!$F21</f>
        <v>0</v>
      </c>
      <c r="T21" s="31">
        <f t="shared" si="20"/>
        <v>0</v>
      </c>
      <c r="U21" s="31">
        <f t="shared" si="21"/>
        <v>0</v>
      </c>
      <c r="V21" s="31">
        <f t="shared" si="22"/>
        <v>543.77378999999996</v>
      </c>
      <c r="W21" s="31">
        <f t="shared" si="23"/>
        <v>42.12621</v>
      </c>
      <c r="X21" s="33">
        <v>585.9</v>
      </c>
      <c r="Y21" s="37" t="str">
        <f t="shared" si="4"/>
        <v/>
      </c>
      <c r="Z21" s="36">
        <f>[1]IG!$G21</f>
        <v>0</v>
      </c>
      <c r="AA21" s="31">
        <f t="shared" si="24"/>
        <v>0</v>
      </c>
      <c r="AB21" s="31">
        <f t="shared" si="25"/>
        <v>0</v>
      </c>
      <c r="AC21" s="31">
        <f t="shared" si="26"/>
        <v>2996.7977759999999</v>
      </c>
      <c r="AD21" s="31">
        <f t="shared" si="27"/>
        <v>232.16222400000001</v>
      </c>
      <c r="AE21" s="33">
        <v>3228.96</v>
      </c>
      <c r="AF21" s="37" t="str">
        <f t="shared" si="5"/>
        <v/>
      </c>
      <c r="AG21" s="36">
        <f>[1]IG!$H21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33"/>
      <c r="AM21" s="37" t="str">
        <f t="shared" si="6"/>
        <v/>
      </c>
      <c r="AN21" s="36">
        <f>[1]IG!$I21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7"/>
        <v/>
      </c>
      <c r="AU21" s="36">
        <f>[1]IG!$J21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27"/>
      <c r="BA21" s="37" t="str">
        <f t="shared" si="8"/>
        <v/>
      </c>
      <c r="BB21" s="36">
        <f>[1]IG!$K21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9"/>
        <v/>
      </c>
      <c r="BI21" s="36">
        <f>[1]IG!$L21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[1]IG!$M21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[1]IG!$N21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[1]IG!$O21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[1]IG!$P21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359896.59999999887</v>
      </c>
      <c r="C22" s="31">
        <f t="shared" si="0"/>
        <v>315665.30785999895</v>
      </c>
      <c r="D22" s="32">
        <f t="shared" si="0"/>
        <v>44231.292139999852</v>
      </c>
      <c r="E22" s="30">
        <f t="shared" si="15"/>
        <v>119965.53333333295</v>
      </c>
      <c r="F22" s="33">
        <f t="shared" si="15"/>
        <v>105221.76928666633</v>
      </c>
      <c r="G22" s="34">
        <f t="shared" si="15"/>
        <v>14743.764046666618</v>
      </c>
      <c r="H22" s="31">
        <f t="shared" si="1"/>
        <v>376973.40271700005</v>
      </c>
      <c r="I22" s="33">
        <f t="shared" si="1"/>
        <v>29204.167282999999</v>
      </c>
      <c r="J22" s="33">
        <f t="shared" si="1"/>
        <v>406177.57</v>
      </c>
      <c r="K22" s="37">
        <f t="shared" si="2"/>
        <v>2.3857855561847594</v>
      </c>
      <c r="L22" s="36">
        <f>[1]IG!$E22</f>
        <v>29991.383333333237</v>
      </c>
      <c r="M22" s="31">
        <f t="shared" si="16"/>
        <v>26305.442321666582</v>
      </c>
      <c r="N22" s="31">
        <f t="shared" si="17"/>
        <v>3685.9410116666545</v>
      </c>
      <c r="O22" s="31">
        <f t="shared" si="18"/>
        <v>142492.65011700001</v>
      </c>
      <c r="P22" s="31">
        <f t="shared" si="19"/>
        <v>11038.919883</v>
      </c>
      <c r="Q22" s="33">
        <f>27301.57+126230</f>
        <v>153531.57</v>
      </c>
      <c r="R22" s="37">
        <f t="shared" si="3"/>
        <v>4.1191893449396462</v>
      </c>
      <c r="S22" s="36">
        <f>[1]IG!$F22</f>
        <v>29991.383333333237</v>
      </c>
      <c r="T22" s="31">
        <f t="shared" si="20"/>
        <v>26305.442321666582</v>
      </c>
      <c r="U22" s="31">
        <f t="shared" si="21"/>
        <v>3685.9410116666545</v>
      </c>
      <c r="V22" s="31">
        <f t="shared" si="22"/>
        <v>212669.33528500001</v>
      </c>
      <c r="W22" s="31">
        <f t="shared" si="23"/>
        <v>16475.514715000001</v>
      </c>
      <c r="X22" s="33">
        <f>48988.25+180156.6</f>
        <v>229144.85</v>
      </c>
      <c r="Y22" s="37">
        <f t="shared" si="4"/>
        <v>6.6403561467377266</v>
      </c>
      <c r="Z22" s="36">
        <f>[1]IG!$G22</f>
        <v>29991.383333333237</v>
      </c>
      <c r="AA22" s="31">
        <f t="shared" si="24"/>
        <v>26305.442321666582</v>
      </c>
      <c r="AB22" s="31">
        <f t="shared" si="25"/>
        <v>3685.9410116666545</v>
      </c>
      <c r="AC22" s="31">
        <f t="shared" si="26"/>
        <v>13315.144426999999</v>
      </c>
      <c r="AD22" s="31">
        <f t="shared" si="27"/>
        <v>1031.5255730000001</v>
      </c>
      <c r="AE22" s="33">
        <f>14346.67</f>
        <v>14346.67</v>
      </c>
      <c r="AF22" s="37">
        <f t="shared" si="5"/>
        <v>-0.52164027112231526</v>
      </c>
      <c r="AG22" s="36">
        <f>[1]IG!$H22</f>
        <v>29991.383333333237</v>
      </c>
      <c r="AH22" s="31">
        <f t="shared" si="28"/>
        <v>26305.442321666582</v>
      </c>
      <c r="AI22" s="31">
        <f t="shared" si="29"/>
        <v>3685.9410116666545</v>
      </c>
      <c r="AJ22" s="31">
        <f t="shared" si="30"/>
        <v>8496.2728879999995</v>
      </c>
      <c r="AK22" s="31">
        <f t="shared" si="31"/>
        <v>658.20711200000005</v>
      </c>
      <c r="AL22" s="33">
        <v>9154.48</v>
      </c>
      <c r="AM22" s="37">
        <f t="shared" si="6"/>
        <v>-0.69476299581601952</v>
      </c>
      <c r="AN22" s="36">
        <f>[1]IG!$I22</f>
        <v>29991.383333333237</v>
      </c>
      <c r="AO22" s="31">
        <f t="shared" si="32"/>
        <v>26305.442321666582</v>
      </c>
      <c r="AP22" s="31">
        <f t="shared" si="33"/>
        <v>3685.9410116666545</v>
      </c>
      <c r="AQ22" s="31">
        <f t="shared" si="34"/>
        <v>0</v>
      </c>
      <c r="AR22" s="31">
        <f t="shared" si="35"/>
        <v>0</v>
      </c>
      <c r="AS22" s="33"/>
      <c r="AT22" s="37">
        <f t="shared" si="7"/>
        <v>-1</v>
      </c>
      <c r="AU22" s="36">
        <f>[1]IG!$J22</f>
        <v>29991.383333333237</v>
      </c>
      <c r="AV22" s="31">
        <f t="shared" si="36"/>
        <v>26305.442321666582</v>
      </c>
      <c r="AW22" s="31">
        <f t="shared" si="37"/>
        <v>3685.9410116666545</v>
      </c>
      <c r="AX22" s="31">
        <f t="shared" si="38"/>
        <v>0</v>
      </c>
      <c r="AY22" s="31">
        <f t="shared" si="39"/>
        <v>0</v>
      </c>
      <c r="AZ22" s="27"/>
      <c r="BA22" s="37">
        <f t="shared" si="8"/>
        <v>-1</v>
      </c>
      <c r="BB22" s="36">
        <f>[1]IG!$K22</f>
        <v>29991.383333333237</v>
      </c>
      <c r="BC22" s="31">
        <f t="shared" si="40"/>
        <v>26305.442321666582</v>
      </c>
      <c r="BD22" s="31">
        <f t="shared" si="41"/>
        <v>3685.9410116666545</v>
      </c>
      <c r="BE22" s="31">
        <f t="shared" si="42"/>
        <v>0</v>
      </c>
      <c r="BF22" s="31">
        <f t="shared" si="43"/>
        <v>0</v>
      </c>
      <c r="BG22" s="27"/>
      <c r="BH22" s="37">
        <f t="shared" si="9"/>
        <v>-1</v>
      </c>
      <c r="BI22" s="36">
        <f>[1]IG!$L22</f>
        <v>29991.383333333237</v>
      </c>
      <c r="BJ22" s="31">
        <f t="shared" si="44"/>
        <v>26305.442321666582</v>
      </c>
      <c r="BK22" s="31">
        <f t="shared" si="45"/>
        <v>3685.9410116666545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[1]IG!$M22</f>
        <v>29991.383333333237</v>
      </c>
      <c r="BQ22" s="31">
        <f t="shared" si="48"/>
        <v>26305.442321666582</v>
      </c>
      <c r="BR22" s="31">
        <f t="shared" si="49"/>
        <v>3685.9410116666545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[1]IG!$N22</f>
        <v>29991.383333333237</v>
      </c>
      <c r="BX22" s="31">
        <f t="shared" si="52"/>
        <v>26305.442321666582</v>
      </c>
      <c r="BY22" s="31">
        <f t="shared" si="53"/>
        <v>3685.9410116666545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[1]IG!$O22</f>
        <v>29991.383333333237</v>
      </c>
      <c r="CE22" s="31">
        <f t="shared" si="56"/>
        <v>26305.442321666582</v>
      </c>
      <c r="CF22" s="31">
        <f t="shared" si="57"/>
        <v>3685.9410116666545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[1]IG!$P22</f>
        <v>29991.383333333237</v>
      </c>
      <c r="CL22" s="31">
        <f t="shared" si="60"/>
        <v>26305.442321666582</v>
      </c>
      <c r="CM22" s="31">
        <f t="shared" si="61"/>
        <v>3685.9410116666545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[1]IG!$E23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[1]IG!$F23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[1]IG!$G23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[1]IG!$H23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33"/>
      <c r="AM23" s="37" t="str">
        <f t="shared" si="6"/>
        <v/>
      </c>
      <c r="AN23" s="36">
        <f>[1]IG!$I23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7"/>
        <v/>
      </c>
      <c r="AU23" s="36">
        <f>[1]IG!$J23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27"/>
      <c r="BA23" s="37" t="str">
        <f t="shared" si="8"/>
        <v/>
      </c>
      <c r="BB23" s="36">
        <f>[1]IG!$K23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9"/>
        <v/>
      </c>
      <c r="BI23" s="36">
        <f>[1]IG!$L23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[1]IG!$M23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[1]IG!$N23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[1]IG!$O23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[1]IG!$P23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327922.07730707829</v>
      </c>
      <c r="C24" s="31">
        <f t="shared" si="0"/>
        <v>287620.45400603849</v>
      </c>
      <c r="D24" s="32">
        <f t="shared" si="0"/>
        <v>40301.623301039923</v>
      </c>
      <c r="E24" s="30">
        <f t="shared" si="15"/>
        <v>110913.23916635945</v>
      </c>
      <c r="F24" s="33">
        <f t="shared" si="15"/>
        <v>97282.002072813877</v>
      </c>
      <c r="G24" s="34">
        <f t="shared" si="15"/>
        <v>13631.237093545575</v>
      </c>
      <c r="H24" s="31">
        <f t="shared" si="1"/>
        <v>115489.58989800001</v>
      </c>
      <c r="I24" s="33">
        <f t="shared" si="1"/>
        <v>8946.9901019999998</v>
      </c>
      <c r="J24" s="33">
        <f t="shared" si="1"/>
        <v>124436.58</v>
      </c>
      <c r="K24" s="37">
        <f t="shared" si="2"/>
        <v>0.12192720125463841</v>
      </c>
      <c r="L24" s="36">
        <f>[1]IG!$E24</f>
        <v>27728.309791589862</v>
      </c>
      <c r="M24" s="31">
        <f t="shared" si="16"/>
        <v>24320.500518203469</v>
      </c>
      <c r="N24" s="31">
        <f t="shared" si="17"/>
        <v>3407.8092733863937</v>
      </c>
      <c r="O24" s="31">
        <f t="shared" si="18"/>
        <v>38070.439255999998</v>
      </c>
      <c r="P24" s="31">
        <f t="shared" si="19"/>
        <v>2949.3207440000006</v>
      </c>
      <c r="Q24" s="33">
        <f>41019.76</f>
        <v>41019.760000000002</v>
      </c>
      <c r="R24" s="37">
        <f t="shared" si="3"/>
        <v>0.47934584936156144</v>
      </c>
      <c r="S24" s="36">
        <f>[1]IG!$F24</f>
        <v>27728.309791589862</v>
      </c>
      <c r="T24" s="31">
        <f t="shared" si="20"/>
        <v>24320.500518203469</v>
      </c>
      <c r="U24" s="31">
        <f t="shared" si="21"/>
        <v>3407.8092733863937</v>
      </c>
      <c r="V24" s="31">
        <f t="shared" si="22"/>
        <v>11542.983881999999</v>
      </c>
      <c r="W24" s="31">
        <f t="shared" si="23"/>
        <v>894.23611800000003</v>
      </c>
      <c r="X24" s="33">
        <f>12437.22</f>
        <v>12437.22</v>
      </c>
      <c r="Y24" s="37">
        <f t="shared" si="4"/>
        <v>-0.55146130097795321</v>
      </c>
      <c r="Z24" s="36">
        <f>[1]IG!$G24</f>
        <v>27728.309791589862</v>
      </c>
      <c r="AA24" s="31">
        <f t="shared" si="24"/>
        <v>24320.500518203469</v>
      </c>
      <c r="AB24" s="31">
        <f t="shared" si="25"/>
        <v>3407.8092733863937</v>
      </c>
      <c r="AC24" s="31">
        <f t="shared" si="26"/>
        <v>65828.406734000004</v>
      </c>
      <c r="AD24" s="31">
        <f t="shared" si="27"/>
        <v>5099.7332660000002</v>
      </c>
      <c r="AE24" s="33">
        <v>70928.14</v>
      </c>
      <c r="AF24" s="37">
        <f t="shared" si="5"/>
        <v>1.5579683916223726</v>
      </c>
      <c r="AG24" s="36">
        <f>[1]IG!$H24</f>
        <v>27728.309791589862</v>
      </c>
      <c r="AH24" s="31">
        <f t="shared" si="28"/>
        <v>24320.500518203469</v>
      </c>
      <c r="AI24" s="31">
        <f t="shared" si="29"/>
        <v>3407.8092733863937</v>
      </c>
      <c r="AJ24" s="31">
        <f t="shared" si="30"/>
        <v>47.760026000000003</v>
      </c>
      <c r="AK24" s="31">
        <f t="shared" si="31"/>
        <v>3.6999740000000005</v>
      </c>
      <c r="AL24" s="33">
        <v>51.46</v>
      </c>
      <c r="AM24" s="37">
        <f t="shared" si="6"/>
        <v>-0.99814413498742693</v>
      </c>
      <c r="AN24" s="36">
        <f>[1]IG!$I24</f>
        <v>27728.309791589862</v>
      </c>
      <c r="AO24" s="31">
        <f t="shared" si="32"/>
        <v>24320.500518203469</v>
      </c>
      <c r="AP24" s="31">
        <f t="shared" si="33"/>
        <v>3407.8092733863937</v>
      </c>
      <c r="AQ24" s="31">
        <f t="shared" si="34"/>
        <v>0</v>
      </c>
      <c r="AR24" s="31">
        <f t="shared" si="35"/>
        <v>0</v>
      </c>
      <c r="AS24" s="33"/>
      <c r="AT24" s="37">
        <f t="shared" si="7"/>
        <v>-1</v>
      </c>
      <c r="AU24" s="36">
        <f>[1]IG!$J24</f>
        <v>27728.309791589862</v>
      </c>
      <c r="AV24" s="31">
        <f t="shared" si="36"/>
        <v>24320.500518203469</v>
      </c>
      <c r="AW24" s="31">
        <f t="shared" si="37"/>
        <v>3407.8092733863937</v>
      </c>
      <c r="AX24" s="31">
        <f t="shared" si="38"/>
        <v>0</v>
      </c>
      <c r="AY24" s="31">
        <f t="shared" si="39"/>
        <v>0</v>
      </c>
      <c r="AZ24" s="27"/>
      <c r="BA24" s="37">
        <f t="shared" si="8"/>
        <v>-1</v>
      </c>
      <c r="BB24" s="36">
        <f>[1]IG!$K24</f>
        <v>22910.669599589863</v>
      </c>
      <c r="BC24" s="31">
        <f t="shared" si="40"/>
        <v>20094.94830580027</v>
      </c>
      <c r="BD24" s="31">
        <f t="shared" si="41"/>
        <v>2815.7212937895938</v>
      </c>
      <c r="BE24" s="31">
        <f t="shared" si="42"/>
        <v>0</v>
      </c>
      <c r="BF24" s="31">
        <f t="shared" si="43"/>
        <v>0</v>
      </c>
      <c r="BG24" s="27"/>
      <c r="BH24" s="37">
        <f t="shared" si="9"/>
        <v>-1</v>
      </c>
      <c r="BI24" s="36">
        <f>[1]IG!$L24</f>
        <v>27728.309791589862</v>
      </c>
      <c r="BJ24" s="31">
        <f t="shared" si="44"/>
        <v>24320.500518203469</v>
      </c>
      <c r="BK24" s="31">
        <f t="shared" si="45"/>
        <v>3407.8092733863937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[1]IG!$M24</f>
        <v>27728.309791589862</v>
      </c>
      <c r="BQ24" s="31">
        <f t="shared" si="48"/>
        <v>24320.500518203469</v>
      </c>
      <c r="BR24" s="31">
        <f t="shared" si="49"/>
        <v>3407.8092733863937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[1]IG!$N24</f>
        <v>27728.309791589862</v>
      </c>
      <c r="BX24" s="31">
        <f t="shared" si="52"/>
        <v>24320.500518203469</v>
      </c>
      <c r="BY24" s="31">
        <f t="shared" si="53"/>
        <v>3407.8092733863937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[1]IG!$O24</f>
        <v>27728.309791589862</v>
      </c>
      <c r="CE24" s="31">
        <f t="shared" si="56"/>
        <v>24320.500518203469</v>
      </c>
      <c r="CF24" s="31">
        <f t="shared" si="57"/>
        <v>3407.8092733863937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[1]IG!$P24</f>
        <v>27728.309791589862</v>
      </c>
      <c r="CL24" s="31">
        <f t="shared" si="60"/>
        <v>24320.500518203469</v>
      </c>
      <c r="CM24" s="31">
        <f t="shared" si="61"/>
        <v>3407.8092733863937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828071.73089999869</v>
      </c>
      <c r="C25" s="31">
        <f t="shared" si="0"/>
        <v>726301.71517238882</v>
      </c>
      <c r="D25" s="32">
        <f t="shared" si="0"/>
        <v>101770.01572760982</v>
      </c>
      <c r="E25" s="30">
        <f t="shared" si="15"/>
        <v>245822.04359999899</v>
      </c>
      <c r="F25" s="33">
        <f t="shared" si="15"/>
        <v>215610.51444155909</v>
      </c>
      <c r="G25" s="34">
        <f t="shared" si="15"/>
        <v>30211.529158439876</v>
      </c>
      <c r="H25" s="31">
        <f t="shared" si="1"/>
        <v>186372.71694300001</v>
      </c>
      <c r="I25" s="33">
        <f t="shared" si="1"/>
        <v>14438.313057000001</v>
      </c>
      <c r="J25" s="33">
        <f t="shared" si="1"/>
        <v>200811.03</v>
      </c>
      <c r="K25" s="37">
        <f t="shared" si="2"/>
        <v>-0.18310405747517422</v>
      </c>
      <c r="L25" s="36">
        <f>[1]IG!$E25</f>
        <v>0</v>
      </c>
      <c r="M25" s="31">
        <f t="shared" si="16"/>
        <v>0</v>
      </c>
      <c r="N25" s="31">
        <f t="shared" si="17"/>
        <v>0</v>
      </c>
      <c r="O25" s="31">
        <f t="shared" si="18"/>
        <v>10190.825711</v>
      </c>
      <c r="P25" s="31">
        <f t="shared" si="19"/>
        <v>789.48428899999999</v>
      </c>
      <c r="Q25" s="33">
        <f>10980.31</f>
        <v>10980.31</v>
      </c>
      <c r="R25" s="37" t="str">
        <f t="shared" si="3"/>
        <v/>
      </c>
      <c r="S25" s="36">
        <f>[1]IG!$F25</f>
        <v>0</v>
      </c>
      <c r="T25" s="31">
        <f t="shared" si="20"/>
        <v>0</v>
      </c>
      <c r="U25" s="31">
        <f t="shared" si="21"/>
        <v>0</v>
      </c>
      <c r="V25" s="31">
        <f t="shared" si="22"/>
        <v>0</v>
      </c>
      <c r="W25" s="31">
        <f t="shared" si="23"/>
        <v>0</v>
      </c>
      <c r="X25" s="33"/>
      <c r="Y25" s="37" t="str">
        <f t="shared" si="4"/>
        <v/>
      </c>
      <c r="Z25" s="36">
        <f>[1]IG!$G25</f>
        <v>103160.924999999</v>
      </c>
      <c r="AA25" s="31">
        <f t="shared" si="24"/>
        <v>90482.447317499114</v>
      </c>
      <c r="AB25" s="31">
        <f t="shared" si="25"/>
        <v>12678.477682499877</v>
      </c>
      <c r="AC25" s="31">
        <f t="shared" si="26"/>
        <v>11513.776575</v>
      </c>
      <c r="AD25" s="31">
        <f t="shared" si="27"/>
        <v>891.97342500000002</v>
      </c>
      <c r="AE25" s="33">
        <v>12405.75</v>
      </c>
      <c r="AF25" s="37">
        <f t="shared" si="5"/>
        <v>-0.87974371109991378</v>
      </c>
      <c r="AG25" s="36">
        <f>[1]IG!$H25</f>
        <v>142661.11859999999</v>
      </c>
      <c r="AH25" s="31">
        <f t="shared" si="28"/>
        <v>125128.06712405999</v>
      </c>
      <c r="AI25" s="31">
        <f t="shared" si="29"/>
        <v>17533.051475939999</v>
      </c>
      <c r="AJ25" s="31">
        <f t="shared" si="30"/>
        <v>164668.114657</v>
      </c>
      <c r="AK25" s="31">
        <f t="shared" si="31"/>
        <v>12756.855343000001</v>
      </c>
      <c r="AL25" s="33">
        <v>177424.97</v>
      </c>
      <c r="AM25" s="37">
        <f t="shared" si="6"/>
        <v>0.24368133196454567</v>
      </c>
      <c r="AN25" s="36">
        <f>[1]IG!$I25</f>
        <v>142661.11859999999</v>
      </c>
      <c r="AO25" s="31">
        <f t="shared" si="32"/>
        <v>125128.06712405999</v>
      </c>
      <c r="AP25" s="31">
        <f t="shared" si="33"/>
        <v>17533.051475939999</v>
      </c>
      <c r="AQ25" s="31">
        <f t="shared" si="34"/>
        <v>0</v>
      </c>
      <c r="AR25" s="31">
        <f t="shared" si="35"/>
        <v>0</v>
      </c>
      <c r="AS25" s="33"/>
      <c r="AT25" s="37">
        <f t="shared" si="7"/>
        <v>-1</v>
      </c>
      <c r="AU25" s="36">
        <f>[1]IG!$J25</f>
        <v>147891.3198</v>
      </c>
      <c r="AV25" s="31">
        <f t="shared" si="36"/>
        <v>129715.47659658</v>
      </c>
      <c r="AW25" s="31">
        <f t="shared" si="37"/>
        <v>18175.843203419998</v>
      </c>
      <c r="AX25" s="31">
        <f t="shared" si="38"/>
        <v>0</v>
      </c>
      <c r="AY25" s="31">
        <f t="shared" si="39"/>
        <v>0</v>
      </c>
      <c r="AZ25" s="27"/>
      <c r="BA25" s="37">
        <f t="shared" si="8"/>
        <v>-1</v>
      </c>
      <c r="BB25" s="36">
        <f>[1]IG!$K25</f>
        <v>61599.379799999901</v>
      </c>
      <c r="BC25" s="31">
        <f t="shared" si="40"/>
        <v>54028.816022579915</v>
      </c>
      <c r="BD25" s="31">
        <f t="shared" si="41"/>
        <v>7570.5637774199877</v>
      </c>
      <c r="BE25" s="31">
        <f t="shared" si="42"/>
        <v>0</v>
      </c>
      <c r="BF25" s="31">
        <f t="shared" si="43"/>
        <v>0</v>
      </c>
      <c r="BG25" s="27"/>
      <c r="BH25" s="37">
        <f t="shared" si="9"/>
        <v>-1</v>
      </c>
      <c r="BI25" s="36">
        <f>[1]IG!$L25</f>
        <v>61599.379799999901</v>
      </c>
      <c r="BJ25" s="31">
        <f t="shared" si="44"/>
        <v>54028.816022579915</v>
      </c>
      <c r="BK25" s="31">
        <f t="shared" si="45"/>
        <v>7570.5637774199877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[1]IG!$M25</f>
        <v>61599.379799999901</v>
      </c>
      <c r="BQ25" s="31">
        <f t="shared" si="48"/>
        <v>54028.816022579915</v>
      </c>
      <c r="BR25" s="31">
        <f t="shared" si="49"/>
        <v>7570.5637774199877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[1]IG!$N25</f>
        <v>48748.465499999998</v>
      </c>
      <c r="BX25" s="31">
        <f t="shared" si="52"/>
        <v>42757.279090049997</v>
      </c>
      <c r="BY25" s="31">
        <f t="shared" si="53"/>
        <v>5991.1864099499999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[1]IG!$O25</f>
        <v>29075.322</v>
      </c>
      <c r="CE25" s="31">
        <f t="shared" si="56"/>
        <v>25501.964926200002</v>
      </c>
      <c r="CF25" s="31">
        <f t="shared" si="57"/>
        <v>3573.3570737999999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[1]IG!$P25</f>
        <v>29075.322</v>
      </c>
      <c r="CL25" s="31">
        <f t="shared" si="60"/>
        <v>25501.964926200002</v>
      </c>
      <c r="CM25" s="31">
        <f t="shared" si="61"/>
        <v>3573.3570737999999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3812973.7760512633</v>
      </c>
      <c r="C26" s="31">
        <f t="shared" si="0"/>
        <v>3344359.2989745629</v>
      </c>
      <c r="D26" s="32">
        <f t="shared" si="0"/>
        <v>468614.47707670019</v>
      </c>
      <c r="E26" s="30">
        <f t="shared" si="15"/>
        <v>1043648.5573247147</v>
      </c>
      <c r="F26" s="33">
        <f t="shared" si="15"/>
        <v>915384.14962950733</v>
      </c>
      <c r="G26" s="34">
        <f t="shared" si="15"/>
        <v>128264.40769520742</v>
      </c>
      <c r="H26" s="31">
        <f t="shared" si="1"/>
        <v>1180588.249974</v>
      </c>
      <c r="I26" s="33">
        <f t="shared" si="1"/>
        <v>91460.290026000002</v>
      </c>
      <c r="J26" s="33">
        <f t="shared" si="1"/>
        <v>1272048.54</v>
      </c>
      <c r="K26" s="37">
        <f t="shared" si="2"/>
        <v>0.21884760063365105</v>
      </c>
      <c r="L26" s="36">
        <f>[1]IG!$E26</f>
        <v>114279.08114244268</v>
      </c>
      <c r="M26" s="31">
        <f t="shared" si="16"/>
        <v>100234.18207003648</v>
      </c>
      <c r="N26" s="31">
        <f t="shared" si="17"/>
        <v>14044.899072406204</v>
      </c>
      <c r="O26" s="31">
        <f t="shared" si="18"/>
        <v>140211.51953200001</v>
      </c>
      <c r="P26" s="31">
        <f t="shared" si="19"/>
        <v>10862.200468000001</v>
      </c>
      <c r="Q26" s="33">
        <f>90.74+150982.98</f>
        <v>151073.72</v>
      </c>
      <c r="R26" s="37">
        <f t="shared" si="3"/>
        <v>0.32197177724674564</v>
      </c>
      <c r="S26" s="36">
        <f>[1]IG!$F26</f>
        <v>229370.12434244266</v>
      </c>
      <c r="T26" s="31">
        <f t="shared" si="20"/>
        <v>201180.53606075645</v>
      </c>
      <c r="U26" s="31">
        <f t="shared" si="21"/>
        <v>28189.588281686203</v>
      </c>
      <c r="V26" s="31">
        <f t="shared" si="22"/>
        <v>207030.43171</v>
      </c>
      <c r="W26" s="31">
        <f t="shared" si="23"/>
        <v>16038.668290000001</v>
      </c>
      <c r="X26" s="33">
        <f>68.91+221138.19+1862</f>
        <v>223069.1</v>
      </c>
      <c r="Y26" s="37">
        <f t="shared" si="4"/>
        <v>-2.7470989783462074E-2</v>
      </c>
      <c r="Z26" s="36">
        <f>[1]IG!$G26</f>
        <v>351842.41888004262</v>
      </c>
      <c r="AA26" s="31">
        <f t="shared" si="24"/>
        <v>308600.9855996854</v>
      </c>
      <c r="AB26" s="31">
        <f t="shared" si="25"/>
        <v>43241.43328035724</v>
      </c>
      <c r="AC26" s="31">
        <f t="shared" si="26"/>
        <v>317130.40569300001</v>
      </c>
      <c r="AD26" s="31">
        <f t="shared" si="27"/>
        <v>24568.124307000006</v>
      </c>
      <c r="AE26" s="33">
        <f>1862+339836.53</f>
        <v>341698.53</v>
      </c>
      <c r="AF26" s="37">
        <f t="shared" si="5"/>
        <v>-2.8830772913430502E-2</v>
      </c>
      <c r="AG26" s="36">
        <f>[1]IG!$H26</f>
        <v>348156.93295978667</v>
      </c>
      <c r="AH26" s="31">
        <f t="shared" si="28"/>
        <v>305368.44589902891</v>
      </c>
      <c r="AI26" s="31">
        <f t="shared" si="29"/>
        <v>42788.487060757783</v>
      </c>
      <c r="AJ26" s="31">
        <f t="shared" si="30"/>
        <v>516215.89303899993</v>
      </c>
      <c r="AK26" s="31">
        <f t="shared" si="31"/>
        <v>39991.296961</v>
      </c>
      <c r="AL26" s="33">
        <v>556207.18999999994</v>
      </c>
      <c r="AM26" s="37">
        <f t="shared" si="6"/>
        <v>0.5975760852197185</v>
      </c>
      <c r="AN26" s="36">
        <f>[1]IG!$I26</f>
        <v>393997.77634244267</v>
      </c>
      <c r="AO26" s="31">
        <f t="shared" si="32"/>
        <v>345575.44962995645</v>
      </c>
      <c r="AP26" s="31">
        <f t="shared" si="33"/>
        <v>48422.326712486203</v>
      </c>
      <c r="AQ26" s="31">
        <f t="shared" si="34"/>
        <v>0</v>
      </c>
      <c r="AR26" s="31">
        <f t="shared" si="35"/>
        <v>0</v>
      </c>
      <c r="AS26" s="33"/>
      <c r="AT26" s="37">
        <f t="shared" si="7"/>
        <v>-1</v>
      </c>
      <c r="AU26" s="36">
        <f>[1]IG!$J26</f>
        <v>305420.38728004269</v>
      </c>
      <c r="AV26" s="31">
        <f t="shared" si="36"/>
        <v>267884.22168332542</v>
      </c>
      <c r="AW26" s="31">
        <f t="shared" si="37"/>
        <v>37536.165596717248</v>
      </c>
      <c r="AX26" s="31">
        <f t="shared" si="38"/>
        <v>0</v>
      </c>
      <c r="AY26" s="31">
        <f t="shared" si="39"/>
        <v>0</v>
      </c>
      <c r="AZ26" s="27"/>
      <c r="BA26" s="37">
        <f t="shared" si="8"/>
        <v>-1</v>
      </c>
      <c r="BB26" s="36">
        <f>[1]IG!$K26</f>
        <v>259579.5438973867</v>
      </c>
      <c r="BC26" s="31">
        <f t="shared" si="40"/>
        <v>227677.21795239788</v>
      </c>
      <c r="BD26" s="31">
        <f t="shared" si="41"/>
        <v>31902.325944988825</v>
      </c>
      <c r="BE26" s="31">
        <f t="shared" si="42"/>
        <v>0</v>
      </c>
      <c r="BF26" s="31">
        <f t="shared" si="43"/>
        <v>0</v>
      </c>
      <c r="BG26" s="27"/>
      <c r="BH26" s="37">
        <f t="shared" si="9"/>
        <v>-1</v>
      </c>
      <c r="BI26" s="36">
        <f>[1]IG!$L26</f>
        <v>351842.41888004262</v>
      </c>
      <c r="BJ26" s="31">
        <f t="shared" si="44"/>
        <v>308600.9855996854</v>
      </c>
      <c r="BK26" s="31">
        <f t="shared" si="45"/>
        <v>43241.43328035724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[1]IG!$M26</f>
        <v>440539.11108052265</v>
      </c>
      <c r="BQ26" s="31">
        <f t="shared" si="48"/>
        <v>386396.85432872642</v>
      </c>
      <c r="BR26" s="31">
        <f t="shared" si="49"/>
        <v>54142.256751796231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[1]IG!$N26</f>
        <v>414739.42482266575</v>
      </c>
      <c r="BX26" s="31">
        <f t="shared" si="52"/>
        <v>363767.94951196015</v>
      </c>
      <c r="BY26" s="31">
        <f t="shared" si="53"/>
        <v>50971.475310705617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[1]IG!$O26</f>
        <v>305293.90388052264</v>
      </c>
      <c r="CE26" s="31">
        <f t="shared" si="56"/>
        <v>267773.28309360641</v>
      </c>
      <c r="CF26" s="31">
        <f t="shared" si="57"/>
        <v>37520.620786916232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[1]IG!$P26</f>
        <v>297912.65254292265</v>
      </c>
      <c r="CL26" s="31">
        <f t="shared" si="60"/>
        <v>261299.18754539746</v>
      </c>
      <c r="CM26" s="31">
        <f t="shared" si="61"/>
        <v>36613.464997525189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156515.57899599971</v>
      </c>
      <c r="C27" s="31">
        <f t="shared" si="0"/>
        <v>137279.81433739135</v>
      </c>
      <c r="D27" s="32">
        <f t="shared" si="0"/>
        <v>19235.764658608361</v>
      </c>
      <c r="E27" s="30">
        <f t="shared" si="15"/>
        <v>35675.701656000005</v>
      </c>
      <c r="F27" s="33">
        <f t="shared" si="15"/>
        <v>31291.1579224776</v>
      </c>
      <c r="G27" s="34">
        <f t="shared" si="15"/>
        <v>4384.5437335223996</v>
      </c>
      <c r="H27" s="31">
        <f t="shared" si="1"/>
        <v>10943.802522</v>
      </c>
      <c r="I27" s="33">
        <f t="shared" si="1"/>
        <v>847.81747800000016</v>
      </c>
      <c r="J27" s="33">
        <f t="shared" si="1"/>
        <v>11791.619999999999</v>
      </c>
      <c r="K27" s="37">
        <f t="shared" si="2"/>
        <v>-0.66947755888027882</v>
      </c>
      <c r="L27" s="36">
        <f>[1]IG!$E27</f>
        <v>2004.963968</v>
      </c>
      <c r="M27" s="31">
        <f t="shared" si="16"/>
        <v>1758.5538963327999</v>
      </c>
      <c r="N27" s="31">
        <f t="shared" si="17"/>
        <v>246.41007166719999</v>
      </c>
      <c r="O27" s="31">
        <f t="shared" si="18"/>
        <v>0</v>
      </c>
      <c r="P27" s="31">
        <f t="shared" si="19"/>
        <v>0</v>
      </c>
      <c r="Q27" s="33"/>
      <c r="R27" s="37">
        <f t="shared" si="3"/>
        <v>-1</v>
      </c>
      <c r="S27" s="36">
        <f>[1]IG!$F27</f>
        <v>7238.0573439999998</v>
      </c>
      <c r="T27" s="31">
        <f t="shared" si="20"/>
        <v>6348.5000964224</v>
      </c>
      <c r="U27" s="31">
        <f t="shared" si="21"/>
        <v>889.55724757759992</v>
      </c>
      <c r="V27" s="31">
        <f t="shared" si="22"/>
        <v>185.55503300000001</v>
      </c>
      <c r="W27" s="31">
        <f t="shared" si="23"/>
        <v>14.374967000000002</v>
      </c>
      <c r="X27" s="33">
        <v>199.93</v>
      </c>
      <c r="Y27" s="37">
        <f t="shared" si="4"/>
        <v>-0.9723779474936417</v>
      </c>
      <c r="Z27" s="36">
        <f>[1]IG!$G27</f>
        <v>7238.0573439999998</v>
      </c>
      <c r="AA27" s="31">
        <f t="shared" si="24"/>
        <v>6348.5000964224</v>
      </c>
      <c r="AB27" s="31">
        <f t="shared" si="25"/>
        <v>889.55724757759992</v>
      </c>
      <c r="AC27" s="31">
        <f t="shared" si="26"/>
        <v>2638.5233329999996</v>
      </c>
      <c r="AD27" s="31">
        <f t="shared" si="27"/>
        <v>204.406667</v>
      </c>
      <c r="AE27" s="33">
        <v>2842.93</v>
      </c>
      <c r="AF27" s="37">
        <f t="shared" si="5"/>
        <v>-0.60722471999249195</v>
      </c>
      <c r="AG27" s="36">
        <f>[1]IG!$H27</f>
        <v>19194.623</v>
      </c>
      <c r="AH27" s="31">
        <f t="shared" si="28"/>
        <v>16835.6038333</v>
      </c>
      <c r="AI27" s="31">
        <f t="shared" si="29"/>
        <v>2359.0191666999999</v>
      </c>
      <c r="AJ27" s="31">
        <f t="shared" si="30"/>
        <v>8119.7241560000002</v>
      </c>
      <c r="AK27" s="31">
        <f t="shared" si="31"/>
        <v>629.03584400000011</v>
      </c>
      <c r="AL27" s="33">
        <v>8748.76</v>
      </c>
      <c r="AM27" s="37">
        <f t="shared" si="6"/>
        <v>-0.54420777110339702</v>
      </c>
      <c r="AN27" s="36">
        <f>[1]IG!$I27</f>
        <v>7518.9030000000002</v>
      </c>
      <c r="AO27" s="31">
        <f t="shared" si="32"/>
        <v>6594.8298212999998</v>
      </c>
      <c r="AP27" s="31">
        <f t="shared" si="33"/>
        <v>924.07317869999997</v>
      </c>
      <c r="AQ27" s="31">
        <f t="shared" si="34"/>
        <v>0</v>
      </c>
      <c r="AR27" s="31">
        <f t="shared" si="35"/>
        <v>0</v>
      </c>
      <c r="AS27" s="33"/>
      <c r="AT27" s="37">
        <f t="shared" si="7"/>
        <v>-1</v>
      </c>
      <c r="AU27" s="36">
        <f>[1]IG!$J27</f>
        <v>21199.586968</v>
      </c>
      <c r="AV27" s="31">
        <f t="shared" si="36"/>
        <v>18594.1577296328</v>
      </c>
      <c r="AW27" s="31">
        <f t="shared" si="37"/>
        <v>2605.4292383672</v>
      </c>
      <c r="AX27" s="31">
        <f t="shared" si="38"/>
        <v>0</v>
      </c>
      <c r="AY27" s="31">
        <f t="shared" si="39"/>
        <v>0</v>
      </c>
      <c r="AZ27" s="27"/>
      <c r="BA27" s="37">
        <f t="shared" si="8"/>
        <v>-1</v>
      </c>
      <c r="BB27" s="36">
        <f>[1]IG!$K27</f>
        <v>9523.8669680000003</v>
      </c>
      <c r="BC27" s="31">
        <f t="shared" si="40"/>
        <v>8353.3837176327997</v>
      </c>
      <c r="BD27" s="31">
        <f t="shared" si="41"/>
        <v>1170.4832503672001</v>
      </c>
      <c r="BE27" s="31">
        <f t="shared" si="42"/>
        <v>0</v>
      </c>
      <c r="BF27" s="31">
        <f t="shared" si="43"/>
        <v>0</v>
      </c>
      <c r="BG27" s="27"/>
      <c r="BH27" s="37">
        <f t="shared" si="9"/>
        <v>-1</v>
      </c>
      <c r="BI27" s="36">
        <f>[1]IG!$L27</f>
        <v>21199.586968</v>
      </c>
      <c r="BJ27" s="31">
        <f t="shared" si="44"/>
        <v>18594.1577296328</v>
      </c>
      <c r="BK27" s="31">
        <f t="shared" si="45"/>
        <v>2605.4292383672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[1]IG!$M27</f>
        <v>21199.586968</v>
      </c>
      <c r="BQ27" s="31">
        <f t="shared" si="48"/>
        <v>18594.1577296328</v>
      </c>
      <c r="BR27" s="31">
        <f t="shared" si="49"/>
        <v>2605.4292383672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[1]IG!$N27</f>
        <v>14736.0914679999</v>
      </c>
      <c r="BX27" s="31">
        <f t="shared" si="52"/>
        <v>12925.025826582712</v>
      </c>
      <c r="BY27" s="31">
        <f t="shared" si="53"/>
        <v>1811.0656414171876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[1]IG!$O27</f>
        <v>12731.1274999999</v>
      </c>
      <c r="CE27" s="31">
        <f t="shared" si="56"/>
        <v>11166.471930249912</v>
      </c>
      <c r="CF27" s="31">
        <f t="shared" si="57"/>
        <v>1564.6555697499878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[1]IG!$P27</f>
        <v>12731.1274999999</v>
      </c>
      <c r="CL27" s="31">
        <f t="shared" si="60"/>
        <v>11166.471930249912</v>
      </c>
      <c r="CM27" s="31">
        <f t="shared" si="61"/>
        <v>1564.6555697499878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214034.26449999987</v>
      </c>
      <c r="C28" s="31">
        <f t="shared" si="0"/>
        <v>187729.45339294992</v>
      </c>
      <c r="D28" s="32">
        <f t="shared" si="0"/>
        <v>26304.811107049987</v>
      </c>
      <c r="E28" s="30">
        <f t="shared" si="15"/>
        <v>74403.217000000004</v>
      </c>
      <c r="F28" s="33">
        <f t="shared" si="15"/>
        <v>65259.061630700002</v>
      </c>
      <c r="G28" s="34">
        <f t="shared" si="15"/>
        <v>9144.1553692999987</v>
      </c>
      <c r="H28" s="31">
        <f t="shared" si="1"/>
        <v>73407.401268000016</v>
      </c>
      <c r="I28" s="33">
        <f t="shared" si="1"/>
        <v>5686.8787320000001</v>
      </c>
      <c r="J28" s="33">
        <f t="shared" si="1"/>
        <v>79094.280000000013</v>
      </c>
      <c r="K28" s="37">
        <f t="shared" si="2"/>
        <v>6.3049195843239092E-2</v>
      </c>
      <c r="L28" s="36">
        <f>[1]IG!$E28</f>
        <v>15840.425999999999</v>
      </c>
      <c r="M28" s="31">
        <f t="shared" si="16"/>
        <v>13893.637644599999</v>
      </c>
      <c r="N28" s="31">
        <f t="shared" si="17"/>
        <v>1946.7883553999998</v>
      </c>
      <c r="O28" s="31">
        <f t="shared" si="18"/>
        <v>21060.435919000003</v>
      </c>
      <c r="P28" s="31">
        <f t="shared" si="19"/>
        <v>1631.5540810000002</v>
      </c>
      <c r="Q28" s="33">
        <f>22691.99</f>
        <v>22691.99</v>
      </c>
      <c r="R28" s="37">
        <f t="shared" si="3"/>
        <v>0.43253659971013425</v>
      </c>
      <c r="S28" s="36">
        <f>[1]IG!$F28</f>
        <v>15840.425999999999</v>
      </c>
      <c r="T28" s="31">
        <f t="shared" si="20"/>
        <v>13893.637644599999</v>
      </c>
      <c r="U28" s="31">
        <f t="shared" si="21"/>
        <v>1946.7883553999998</v>
      </c>
      <c r="V28" s="31">
        <f t="shared" si="22"/>
        <v>21248.970153000002</v>
      </c>
      <c r="W28" s="31">
        <f t="shared" si="23"/>
        <v>1646.1598470000001</v>
      </c>
      <c r="X28" s="33">
        <f>22895.13</f>
        <v>22895.13</v>
      </c>
      <c r="Y28" s="37">
        <f t="shared" si="4"/>
        <v>0.44536074976771478</v>
      </c>
      <c r="Z28" s="36">
        <f>[1]IG!$G28</f>
        <v>21120.567999999999</v>
      </c>
      <c r="AA28" s="31">
        <f t="shared" si="24"/>
        <v>18524.850192800001</v>
      </c>
      <c r="AB28" s="31">
        <f t="shared" si="25"/>
        <v>2595.7178071999997</v>
      </c>
      <c r="AC28" s="31">
        <f t="shared" si="26"/>
        <v>24468.149970000002</v>
      </c>
      <c r="AD28" s="31">
        <f t="shared" si="27"/>
        <v>1895.5500300000001</v>
      </c>
      <c r="AE28" s="33">
        <v>26363.7</v>
      </c>
      <c r="AF28" s="37">
        <f t="shared" si="5"/>
        <v>0.24824767970255346</v>
      </c>
      <c r="AG28" s="36">
        <f>[1]IG!$H28</f>
        <v>21601.796999999999</v>
      </c>
      <c r="AH28" s="31">
        <f t="shared" si="28"/>
        <v>18946.936148699999</v>
      </c>
      <c r="AI28" s="31">
        <f t="shared" si="29"/>
        <v>2654.8608512999999</v>
      </c>
      <c r="AJ28" s="31">
        <f t="shared" si="30"/>
        <v>6629.8452260000004</v>
      </c>
      <c r="AK28" s="31">
        <f t="shared" si="31"/>
        <v>513.61477400000001</v>
      </c>
      <c r="AL28" s="33">
        <v>7143.46</v>
      </c>
      <c r="AM28" s="37">
        <f t="shared" si="6"/>
        <v>-0.66931177068278158</v>
      </c>
      <c r="AN28" s="36">
        <f>[1]IG!$I28</f>
        <v>18480.496999999999</v>
      </c>
      <c r="AO28" s="31">
        <f t="shared" si="32"/>
        <v>16209.2439187</v>
      </c>
      <c r="AP28" s="31">
        <f t="shared" si="33"/>
        <v>2271.2530812999998</v>
      </c>
      <c r="AQ28" s="31">
        <f t="shared" si="34"/>
        <v>0</v>
      </c>
      <c r="AR28" s="31">
        <f t="shared" si="35"/>
        <v>0</v>
      </c>
      <c r="AS28" s="33"/>
      <c r="AT28" s="37">
        <f t="shared" si="7"/>
        <v>-1</v>
      </c>
      <c r="AU28" s="36">
        <f>[1]IG!$J28</f>
        <v>16321.654999999901</v>
      </c>
      <c r="AV28" s="31">
        <f t="shared" si="36"/>
        <v>14315.723600499912</v>
      </c>
      <c r="AW28" s="31">
        <f t="shared" si="37"/>
        <v>2005.9313994999877</v>
      </c>
      <c r="AX28" s="31">
        <f t="shared" si="38"/>
        <v>0</v>
      </c>
      <c r="AY28" s="31">
        <f t="shared" si="39"/>
        <v>0</v>
      </c>
      <c r="AZ28" s="27"/>
      <c r="BA28" s="37">
        <f t="shared" si="8"/>
        <v>-1</v>
      </c>
      <c r="BB28" s="36">
        <f>[1]IG!$K28</f>
        <v>13200.355</v>
      </c>
      <c r="BC28" s="31">
        <f t="shared" si="40"/>
        <v>11578.031370499999</v>
      </c>
      <c r="BD28" s="31">
        <f t="shared" si="41"/>
        <v>1622.3236294999999</v>
      </c>
      <c r="BE28" s="31">
        <f t="shared" si="42"/>
        <v>0</v>
      </c>
      <c r="BF28" s="31">
        <f t="shared" si="43"/>
        <v>0</v>
      </c>
      <c r="BG28" s="27"/>
      <c r="BH28" s="37">
        <f t="shared" si="9"/>
        <v>-1</v>
      </c>
      <c r="BI28" s="36">
        <f>[1]IG!$L28</f>
        <v>21601.796999999999</v>
      </c>
      <c r="BJ28" s="31">
        <f t="shared" si="44"/>
        <v>18946.936148699999</v>
      </c>
      <c r="BK28" s="31">
        <f t="shared" si="45"/>
        <v>2654.8608512999999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[1]IG!$M28</f>
        <v>21601.796999999999</v>
      </c>
      <c r="BQ28" s="31">
        <f t="shared" si="48"/>
        <v>18946.936148699999</v>
      </c>
      <c r="BR28" s="31">
        <f t="shared" si="49"/>
        <v>2654.8608512999999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[1]IG!$N28</f>
        <v>19661.7435</v>
      </c>
      <c r="BX28" s="31">
        <f t="shared" si="52"/>
        <v>17245.315223850001</v>
      </c>
      <c r="BY28" s="31">
        <f t="shared" si="53"/>
        <v>2416.4282761499999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[1]IG!$O28</f>
        <v>14381.601500000001</v>
      </c>
      <c r="CE28" s="31">
        <f t="shared" si="56"/>
        <v>12614.102675650001</v>
      </c>
      <c r="CF28" s="31">
        <f t="shared" si="57"/>
        <v>1767.4988243499999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[1]IG!$P28</f>
        <v>14381.601500000001</v>
      </c>
      <c r="CL28" s="31">
        <f t="shared" si="60"/>
        <v>12614.102675650001</v>
      </c>
      <c r="CM28" s="31">
        <f t="shared" si="61"/>
        <v>1767.4988243499999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386275</v>
      </c>
      <c r="C29" s="31">
        <f t="shared" si="0"/>
        <v>338801.80249999999</v>
      </c>
      <c r="D29" s="32">
        <f t="shared" si="0"/>
        <v>47473.197500000002</v>
      </c>
      <c r="E29" s="30">
        <f t="shared" si="15"/>
        <v>128758.33333333334</v>
      </c>
      <c r="F29" s="33">
        <f t="shared" si="15"/>
        <v>112933.93416666667</v>
      </c>
      <c r="G29" s="34">
        <f t="shared" si="15"/>
        <v>15824.399166666666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[1]IG!$E29</f>
        <v>29747.333333333332</v>
      </c>
      <c r="M29" s="31">
        <f t="shared" si="16"/>
        <v>26091.386066666666</v>
      </c>
      <c r="N29" s="31">
        <f t="shared" si="17"/>
        <v>3655.9472666666666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[1]IG!$F29</f>
        <v>34631.833333333336</v>
      </c>
      <c r="T29" s="31">
        <f t="shared" si="20"/>
        <v>30375.581016666671</v>
      </c>
      <c r="U29" s="31">
        <f t="shared" si="21"/>
        <v>4256.252316666667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[1]IG!$G29</f>
        <v>29747.333333333332</v>
      </c>
      <c r="AA29" s="31">
        <f t="shared" si="24"/>
        <v>26091.386066666666</v>
      </c>
      <c r="AB29" s="31">
        <f t="shared" si="25"/>
        <v>3655.9472666666666</v>
      </c>
      <c r="AC29" s="31">
        <f t="shared" si="26"/>
        <v>0</v>
      </c>
      <c r="AD29" s="31">
        <f t="shared" si="27"/>
        <v>0</v>
      </c>
      <c r="AE29" s="33"/>
      <c r="AF29" s="37">
        <f t="shared" si="5"/>
        <v>-1</v>
      </c>
      <c r="AG29" s="36">
        <f>[1]IG!$H29</f>
        <v>34631.833333333336</v>
      </c>
      <c r="AH29" s="31">
        <f t="shared" si="28"/>
        <v>30375.581016666671</v>
      </c>
      <c r="AI29" s="31">
        <f t="shared" si="29"/>
        <v>4256.252316666667</v>
      </c>
      <c r="AJ29" s="31">
        <f t="shared" si="30"/>
        <v>0</v>
      </c>
      <c r="AK29" s="31">
        <f t="shared" si="31"/>
        <v>0</v>
      </c>
      <c r="AL29" s="33"/>
      <c r="AM29" s="37">
        <f t="shared" si="6"/>
        <v>-1</v>
      </c>
      <c r="AN29" s="36">
        <f>[1]IG!$I29</f>
        <v>29747.333333333332</v>
      </c>
      <c r="AO29" s="31">
        <f t="shared" si="32"/>
        <v>26091.386066666666</v>
      </c>
      <c r="AP29" s="31">
        <f t="shared" si="33"/>
        <v>3655.9472666666666</v>
      </c>
      <c r="AQ29" s="31">
        <f t="shared" si="34"/>
        <v>0</v>
      </c>
      <c r="AR29" s="31">
        <f t="shared" si="35"/>
        <v>0</v>
      </c>
      <c r="AS29" s="33"/>
      <c r="AT29" s="37">
        <f t="shared" si="7"/>
        <v>-1</v>
      </c>
      <c r="AU29" s="36">
        <f>[1]IG!$J29</f>
        <v>34631.833333333336</v>
      </c>
      <c r="AV29" s="31">
        <f t="shared" si="36"/>
        <v>30375.581016666671</v>
      </c>
      <c r="AW29" s="31">
        <f t="shared" si="37"/>
        <v>4256.252316666667</v>
      </c>
      <c r="AX29" s="31">
        <f t="shared" si="38"/>
        <v>0</v>
      </c>
      <c r="AY29" s="31">
        <f t="shared" si="39"/>
        <v>0</v>
      </c>
      <c r="AZ29" s="27"/>
      <c r="BA29" s="37">
        <f t="shared" si="8"/>
        <v>-1</v>
      </c>
      <c r="BB29" s="36">
        <f>[1]IG!$K29</f>
        <v>29747.333333333332</v>
      </c>
      <c r="BC29" s="31">
        <f t="shared" si="40"/>
        <v>26091.386066666666</v>
      </c>
      <c r="BD29" s="31">
        <f t="shared" si="41"/>
        <v>3655.9472666666666</v>
      </c>
      <c r="BE29" s="31">
        <f t="shared" si="42"/>
        <v>0</v>
      </c>
      <c r="BF29" s="31">
        <f t="shared" si="43"/>
        <v>0</v>
      </c>
      <c r="BG29" s="27"/>
      <c r="BH29" s="37">
        <f t="shared" si="9"/>
        <v>-1</v>
      </c>
      <c r="BI29" s="36">
        <f>[1]IG!$L29</f>
        <v>34631.833333333336</v>
      </c>
      <c r="BJ29" s="31">
        <f t="shared" si="44"/>
        <v>30375.581016666671</v>
      </c>
      <c r="BK29" s="31">
        <f t="shared" si="45"/>
        <v>4256.252316666667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[1]IG!$M29</f>
        <v>29747.333333333332</v>
      </c>
      <c r="BQ29" s="31">
        <f t="shared" si="48"/>
        <v>26091.386066666666</v>
      </c>
      <c r="BR29" s="31">
        <f t="shared" si="49"/>
        <v>3655.9472666666666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[1]IG!$N29</f>
        <v>34631.833333333336</v>
      </c>
      <c r="BX29" s="31">
        <f t="shared" si="52"/>
        <v>30375.581016666671</v>
      </c>
      <c r="BY29" s="31">
        <f t="shared" si="53"/>
        <v>4256.252316666667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[1]IG!$O29</f>
        <v>29747.333333333332</v>
      </c>
      <c r="CE29" s="31">
        <f t="shared" si="56"/>
        <v>26091.386066666666</v>
      </c>
      <c r="CF29" s="31">
        <f t="shared" si="57"/>
        <v>3655.9472666666666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[1]IG!$P29</f>
        <v>34631.833333333336</v>
      </c>
      <c r="CL29" s="31">
        <f t="shared" si="60"/>
        <v>30375.581016666671</v>
      </c>
      <c r="CM29" s="31">
        <f t="shared" si="61"/>
        <v>4256.252316666667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500000.00000000006</v>
      </c>
      <c r="C30" s="31">
        <f t="shared" si="0"/>
        <v>438549.99999999983</v>
      </c>
      <c r="D30" s="32">
        <f t="shared" si="0"/>
        <v>61450.000000000007</v>
      </c>
      <c r="E30" s="30">
        <f t="shared" si="15"/>
        <v>166666.66666666666</v>
      </c>
      <c r="F30" s="33">
        <f t="shared" si="15"/>
        <v>146183.33333333331</v>
      </c>
      <c r="G30" s="34">
        <f t="shared" si="15"/>
        <v>20483.333333333332</v>
      </c>
      <c r="H30" s="31">
        <f t="shared" si="1"/>
        <v>2320.25</v>
      </c>
      <c r="I30" s="33">
        <f t="shared" si="1"/>
        <v>179.75000000000003</v>
      </c>
      <c r="J30" s="33">
        <f t="shared" si="1"/>
        <v>2500</v>
      </c>
      <c r="K30" s="37">
        <f t="shared" si="2"/>
        <v>-0.98499999999999999</v>
      </c>
      <c r="L30" s="36">
        <f>[1]IG!$E30</f>
        <v>41666.666666666664</v>
      </c>
      <c r="M30" s="31">
        <f t="shared" si="16"/>
        <v>36545.833333333328</v>
      </c>
      <c r="N30" s="31">
        <f t="shared" si="17"/>
        <v>5120.833333333333</v>
      </c>
      <c r="O30" s="31">
        <f t="shared" si="18"/>
        <v>928.1</v>
      </c>
      <c r="P30" s="31">
        <f t="shared" si="19"/>
        <v>71.900000000000006</v>
      </c>
      <c r="Q30" s="33">
        <f>1000</f>
        <v>1000</v>
      </c>
      <c r="R30" s="37">
        <f t="shared" si="3"/>
        <v>-0.97599999999999998</v>
      </c>
      <c r="S30" s="36">
        <f>[1]IG!$F30</f>
        <v>41666.666666666664</v>
      </c>
      <c r="T30" s="31">
        <f t="shared" si="20"/>
        <v>36545.833333333328</v>
      </c>
      <c r="U30" s="31">
        <f t="shared" si="21"/>
        <v>5120.833333333333</v>
      </c>
      <c r="V30" s="31">
        <f t="shared" si="22"/>
        <v>696.07500000000005</v>
      </c>
      <c r="W30" s="31">
        <f t="shared" si="23"/>
        <v>53.925000000000004</v>
      </c>
      <c r="X30" s="33">
        <f>750</f>
        <v>750</v>
      </c>
      <c r="Y30" s="37">
        <f t="shared" si="4"/>
        <v>-0.98199999999999998</v>
      </c>
      <c r="Z30" s="36">
        <f>[1]IG!$G30</f>
        <v>41666.666666666664</v>
      </c>
      <c r="AA30" s="31">
        <f t="shared" si="24"/>
        <v>36545.833333333328</v>
      </c>
      <c r="AB30" s="31">
        <f t="shared" si="25"/>
        <v>5120.833333333333</v>
      </c>
      <c r="AC30" s="31">
        <f t="shared" si="26"/>
        <v>696.07500000000005</v>
      </c>
      <c r="AD30" s="31">
        <f t="shared" si="27"/>
        <v>53.925000000000004</v>
      </c>
      <c r="AE30" s="33">
        <v>750</v>
      </c>
      <c r="AF30" s="37">
        <f t="shared" si="5"/>
        <v>-0.98199999999999998</v>
      </c>
      <c r="AG30" s="36">
        <f>[1]IG!$H30</f>
        <v>41666.666666666664</v>
      </c>
      <c r="AH30" s="31">
        <f t="shared" si="28"/>
        <v>36545.833333333328</v>
      </c>
      <c r="AI30" s="31">
        <f t="shared" si="29"/>
        <v>5120.833333333333</v>
      </c>
      <c r="AJ30" s="31">
        <f t="shared" si="30"/>
        <v>0</v>
      </c>
      <c r="AK30" s="31">
        <f t="shared" si="31"/>
        <v>0</v>
      </c>
      <c r="AL30" s="33"/>
      <c r="AM30" s="37">
        <f t="shared" si="6"/>
        <v>-1</v>
      </c>
      <c r="AN30" s="36">
        <f>[1]IG!$I30</f>
        <v>41666.666666666664</v>
      </c>
      <c r="AO30" s="31">
        <f t="shared" si="32"/>
        <v>36545.833333333328</v>
      </c>
      <c r="AP30" s="31">
        <f t="shared" si="33"/>
        <v>5120.833333333333</v>
      </c>
      <c r="AQ30" s="31">
        <f t="shared" si="34"/>
        <v>0</v>
      </c>
      <c r="AR30" s="31">
        <f t="shared" si="35"/>
        <v>0</v>
      </c>
      <c r="AS30" s="33"/>
      <c r="AT30" s="37">
        <f t="shared" si="7"/>
        <v>-1</v>
      </c>
      <c r="AU30" s="36">
        <f>[1]IG!$J30</f>
        <v>41666.666666666664</v>
      </c>
      <c r="AV30" s="31">
        <f t="shared" si="36"/>
        <v>36545.833333333328</v>
      </c>
      <c r="AW30" s="31">
        <f t="shared" si="37"/>
        <v>5120.833333333333</v>
      </c>
      <c r="AX30" s="31">
        <f t="shared" si="38"/>
        <v>0</v>
      </c>
      <c r="AY30" s="31">
        <f t="shared" si="39"/>
        <v>0</v>
      </c>
      <c r="AZ30" s="27"/>
      <c r="BA30" s="37">
        <f t="shared" si="8"/>
        <v>-1</v>
      </c>
      <c r="BB30" s="36">
        <f>[1]IG!$K30</f>
        <v>41666.666666666664</v>
      </c>
      <c r="BC30" s="31">
        <f t="shared" si="40"/>
        <v>36545.833333333328</v>
      </c>
      <c r="BD30" s="31">
        <f t="shared" si="41"/>
        <v>5120.833333333333</v>
      </c>
      <c r="BE30" s="31">
        <f t="shared" si="42"/>
        <v>0</v>
      </c>
      <c r="BF30" s="31">
        <f t="shared" si="43"/>
        <v>0</v>
      </c>
      <c r="BG30" s="33"/>
      <c r="BH30" s="37">
        <f t="shared" si="9"/>
        <v>-1</v>
      </c>
      <c r="BI30" s="36">
        <f>[1]IG!$L30</f>
        <v>41666.666666666664</v>
      </c>
      <c r="BJ30" s="31">
        <f t="shared" si="44"/>
        <v>36545.833333333328</v>
      </c>
      <c r="BK30" s="31">
        <f t="shared" si="45"/>
        <v>5120.833333333333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[1]IG!$M30</f>
        <v>41666.666666666664</v>
      </c>
      <c r="BQ30" s="31">
        <f t="shared" si="48"/>
        <v>36545.833333333328</v>
      </c>
      <c r="BR30" s="31">
        <f t="shared" si="49"/>
        <v>5120.833333333333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[1]IG!$N30</f>
        <v>41666.666666666664</v>
      </c>
      <c r="BX30" s="31">
        <f t="shared" si="52"/>
        <v>36545.833333333328</v>
      </c>
      <c r="BY30" s="31">
        <f t="shared" si="53"/>
        <v>5120.833333333333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[1]IG!$O30</f>
        <v>41666.666666666664</v>
      </c>
      <c r="CE30" s="31">
        <f t="shared" si="56"/>
        <v>36545.833333333328</v>
      </c>
      <c r="CF30" s="31">
        <f t="shared" si="57"/>
        <v>5120.833333333333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[1]IG!$P30</f>
        <v>41666.666666666664</v>
      </c>
      <c r="CL30" s="31">
        <f t="shared" si="60"/>
        <v>36545.833333333328</v>
      </c>
      <c r="CM30" s="31">
        <f t="shared" si="61"/>
        <v>5120.833333333333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20000</v>
      </c>
      <c r="C31" s="31">
        <f t="shared" si="0"/>
        <v>17542.000000000004</v>
      </c>
      <c r="D31" s="32">
        <f t="shared" si="0"/>
        <v>2458</v>
      </c>
      <c r="E31" s="30">
        <f t="shared" si="15"/>
        <v>6666.666666666667</v>
      </c>
      <c r="F31" s="33">
        <f t="shared" si="15"/>
        <v>5847.3333333333339</v>
      </c>
      <c r="G31" s="34">
        <f t="shared" si="15"/>
        <v>819.33333333333337</v>
      </c>
      <c r="H31" s="31">
        <f t="shared" si="1"/>
        <v>10448.456990000001</v>
      </c>
      <c r="I31" s="33">
        <f t="shared" si="1"/>
        <v>809.44301000000007</v>
      </c>
      <c r="J31" s="33">
        <f t="shared" si="1"/>
        <v>11257.9</v>
      </c>
      <c r="K31" s="37">
        <f t="shared" si="2"/>
        <v>0.68868499999999977</v>
      </c>
      <c r="L31" s="36">
        <f>[1]IG!$E31</f>
        <v>1666.6666666666667</v>
      </c>
      <c r="M31" s="31">
        <f t="shared" si="16"/>
        <v>1461.8333333333335</v>
      </c>
      <c r="N31" s="31">
        <f t="shared" si="17"/>
        <v>204.83333333333334</v>
      </c>
      <c r="O31" s="31">
        <f t="shared" si="18"/>
        <v>7622.4853000000003</v>
      </c>
      <c r="P31" s="31">
        <f t="shared" si="19"/>
        <v>590.51470000000006</v>
      </c>
      <c r="Q31" s="33">
        <f>7913+150+150</f>
        <v>8213</v>
      </c>
      <c r="R31" s="37">
        <f t="shared" si="3"/>
        <v>3.9277999999999995</v>
      </c>
      <c r="S31" s="36">
        <f>[1]IG!$F31</f>
        <v>1666.6666666666667</v>
      </c>
      <c r="T31" s="31">
        <f t="shared" si="20"/>
        <v>1461.8333333333335</v>
      </c>
      <c r="U31" s="31">
        <f t="shared" si="21"/>
        <v>204.83333333333334</v>
      </c>
      <c r="V31" s="31">
        <f t="shared" si="22"/>
        <v>2686.7566900000002</v>
      </c>
      <c r="W31" s="31">
        <f t="shared" si="23"/>
        <v>208.14331000000001</v>
      </c>
      <c r="X31" s="33">
        <f>2894.9</f>
        <v>2894.9</v>
      </c>
      <c r="Y31" s="37">
        <f t="shared" si="4"/>
        <v>0.73693999999999993</v>
      </c>
      <c r="Z31" s="36">
        <f>[1]IG!$G31</f>
        <v>1666.6666666666667</v>
      </c>
      <c r="AA31" s="31">
        <f t="shared" si="24"/>
        <v>1461.8333333333335</v>
      </c>
      <c r="AB31" s="31">
        <f t="shared" si="25"/>
        <v>204.83333333333334</v>
      </c>
      <c r="AC31" s="31">
        <f t="shared" si="26"/>
        <v>0</v>
      </c>
      <c r="AD31" s="31">
        <f t="shared" si="27"/>
        <v>0</v>
      </c>
      <c r="AE31" s="33"/>
      <c r="AF31" s="37">
        <f t="shared" si="5"/>
        <v>-1</v>
      </c>
      <c r="AG31" s="36">
        <f>[1]IG!$H31</f>
        <v>1666.6666666666667</v>
      </c>
      <c r="AH31" s="31">
        <f t="shared" si="28"/>
        <v>1461.8333333333335</v>
      </c>
      <c r="AI31" s="31">
        <f t="shared" si="29"/>
        <v>204.83333333333334</v>
      </c>
      <c r="AJ31" s="31">
        <f t="shared" si="30"/>
        <v>139.215</v>
      </c>
      <c r="AK31" s="31">
        <f t="shared" si="31"/>
        <v>10.785</v>
      </c>
      <c r="AL31" s="33">
        <f>150</f>
        <v>150</v>
      </c>
      <c r="AM31" s="37">
        <f t="shared" si="6"/>
        <v>-0.91</v>
      </c>
      <c r="AN31" s="36">
        <f>[1]IG!$I31</f>
        <v>1666.6666666666667</v>
      </c>
      <c r="AO31" s="31">
        <f t="shared" si="32"/>
        <v>1461.8333333333335</v>
      </c>
      <c r="AP31" s="31">
        <f t="shared" si="33"/>
        <v>204.83333333333334</v>
      </c>
      <c r="AQ31" s="31">
        <f t="shared" si="34"/>
        <v>0</v>
      </c>
      <c r="AR31" s="31">
        <f t="shared" si="35"/>
        <v>0</v>
      </c>
      <c r="AS31" s="33"/>
      <c r="AT31" s="37">
        <f t="shared" si="7"/>
        <v>-1</v>
      </c>
      <c r="AU31" s="36">
        <f>[1]IG!$J31</f>
        <v>1666.6666666666667</v>
      </c>
      <c r="AV31" s="31">
        <f t="shared" si="36"/>
        <v>1461.8333333333335</v>
      </c>
      <c r="AW31" s="31">
        <f t="shared" si="37"/>
        <v>204.83333333333334</v>
      </c>
      <c r="AX31" s="31">
        <f t="shared" si="38"/>
        <v>0</v>
      </c>
      <c r="AY31" s="31">
        <f t="shared" si="39"/>
        <v>0</v>
      </c>
      <c r="AZ31" s="33"/>
      <c r="BA31" s="37">
        <f t="shared" si="8"/>
        <v>-1</v>
      </c>
      <c r="BB31" s="36">
        <f>[1]IG!$K31</f>
        <v>1666.6666666666667</v>
      </c>
      <c r="BC31" s="31">
        <f t="shared" si="40"/>
        <v>1461.8333333333335</v>
      </c>
      <c r="BD31" s="31">
        <f t="shared" si="41"/>
        <v>204.83333333333334</v>
      </c>
      <c r="BE31" s="31">
        <f t="shared" si="42"/>
        <v>0</v>
      </c>
      <c r="BF31" s="31">
        <f t="shared" si="43"/>
        <v>0</v>
      </c>
      <c r="BG31" s="33"/>
      <c r="BH31" s="37">
        <f t="shared" si="9"/>
        <v>-1</v>
      </c>
      <c r="BI31" s="36">
        <f>[1]IG!$L31</f>
        <v>1666.6666666666667</v>
      </c>
      <c r="BJ31" s="31">
        <f t="shared" si="44"/>
        <v>1461.8333333333335</v>
      </c>
      <c r="BK31" s="31">
        <f t="shared" si="45"/>
        <v>204.83333333333334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[1]IG!$M31</f>
        <v>1666.6666666666667</v>
      </c>
      <c r="BQ31" s="31">
        <f t="shared" si="48"/>
        <v>1461.8333333333335</v>
      </c>
      <c r="BR31" s="31">
        <f t="shared" si="49"/>
        <v>204.83333333333334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[1]IG!$N31</f>
        <v>1666.6666666666667</v>
      </c>
      <c r="BX31" s="31">
        <f t="shared" si="52"/>
        <v>1461.8333333333335</v>
      </c>
      <c r="BY31" s="31">
        <f t="shared" si="53"/>
        <v>204.83333333333334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[1]IG!$O31</f>
        <v>1666.6666666666667</v>
      </c>
      <c r="CE31" s="31">
        <f t="shared" si="56"/>
        <v>1461.8333333333335</v>
      </c>
      <c r="CF31" s="31">
        <f t="shared" si="57"/>
        <v>204.83333333333334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[1]IG!$P31</f>
        <v>1666.6666666666667</v>
      </c>
      <c r="CL31" s="31">
        <f t="shared" si="60"/>
        <v>1461.8333333333335</v>
      </c>
      <c r="CM31" s="31">
        <f t="shared" si="61"/>
        <v>204.83333333333334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145</v>
      </c>
      <c r="B32" s="30">
        <f t="shared" si="0"/>
        <v>6732486.2879999997</v>
      </c>
      <c r="C32" s="31">
        <f t="shared" si="0"/>
        <v>5905063.7232048009</v>
      </c>
      <c r="D32" s="32">
        <f t="shared" si="0"/>
        <v>827422.56479520001</v>
      </c>
      <c r="E32" s="30">
        <f t="shared" si="15"/>
        <v>3509475.3759999997</v>
      </c>
      <c r="F32" s="33">
        <f t="shared" si="15"/>
        <v>3078160.8522895998</v>
      </c>
      <c r="G32" s="34">
        <f t="shared" si="15"/>
        <v>431314.52371039998</v>
      </c>
      <c r="H32" s="31">
        <f t="shared" si="1"/>
        <v>3829312.1537349997</v>
      </c>
      <c r="I32" s="33">
        <f t="shared" si="1"/>
        <v>296657.19626500004</v>
      </c>
      <c r="J32" s="33">
        <f t="shared" si="1"/>
        <v>4125969.35</v>
      </c>
      <c r="K32" s="37">
        <f t="shared" si="2"/>
        <v>0.17566556477813577</v>
      </c>
      <c r="L32" s="36">
        <f>[1]IG!$E32</f>
        <v>1052686.7119999998</v>
      </c>
      <c r="M32" s="31">
        <f t="shared" si="16"/>
        <v>923311.51509519981</v>
      </c>
      <c r="N32" s="31">
        <f t="shared" si="17"/>
        <v>129375.19690479997</v>
      </c>
      <c r="O32" s="31">
        <f t="shared" si="18"/>
        <v>1259956.2249960001</v>
      </c>
      <c r="P32" s="31">
        <f t="shared" si="19"/>
        <v>97608.935004000014</v>
      </c>
      <c r="Q32" s="33">
        <f>690195.52+630995.72+19419.84+16954.08</f>
        <v>1357565.1600000001</v>
      </c>
      <c r="R32" s="37">
        <f t="shared" si="3"/>
        <v>0.28961935638074277</v>
      </c>
      <c r="S32" s="36">
        <f>[1]IG!$F32</f>
        <v>881237.72</v>
      </c>
      <c r="T32" s="31">
        <f t="shared" si="20"/>
        <v>772933.60421200003</v>
      </c>
      <c r="U32" s="31">
        <f t="shared" si="21"/>
        <v>108304.115788</v>
      </c>
      <c r="V32" s="31">
        <f t="shared" si="22"/>
        <v>858919.42599999998</v>
      </c>
      <c r="W32" s="31">
        <f t="shared" si="23"/>
        <v>66540.574000000008</v>
      </c>
      <c r="X32" s="33">
        <f>872502.35+38378.9+14578.75</f>
        <v>925460</v>
      </c>
      <c r="Y32" s="37">
        <f t="shared" si="4"/>
        <v>5.0182009912149494E-2</v>
      </c>
      <c r="Z32" s="36">
        <f>[1]IG!$G32</f>
        <v>772944.348</v>
      </c>
      <c r="AA32" s="31">
        <f t="shared" si="24"/>
        <v>677949.48763079999</v>
      </c>
      <c r="AB32" s="31">
        <f t="shared" si="25"/>
        <v>94994.860369200003</v>
      </c>
      <c r="AC32" s="31">
        <f t="shared" si="26"/>
        <v>1005698.673025</v>
      </c>
      <c r="AD32" s="31">
        <f t="shared" si="27"/>
        <v>77911.576975000004</v>
      </c>
      <c r="AE32" s="33">
        <f>1041339.35+22641.44+19629.46</f>
        <v>1083610.25</v>
      </c>
      <c r="AF32" s="37">
        <f t="shared" si="5"/>
        <v>0.40192531687934663</v>
      </c>
      <c r="AG32" s="36">
        <f>[1]IG!$H32</f>
        <v>802606.59600000002</v>
      </c>
      <c r="AH32" s="31">
        <f t="shared" si="28"/>
        <v>703966.2453516</v>
      </c>
      <c r="AI32" s="31">
        <f t="shared" si="29"/>
        <v>98640.350648399995</v>
      </c>
      <c r="AJ32" s="31">
        <f t="shared" si="30"/>
        <v>704737.82971399999</v>
      </c>
      <c r="AK32" s="31">
        <f t="shared" si="31"/>
        <v>54596.11028600001</v>
      </c>
      <c r="AL32" s="33">
        <f>725910.43+16043.2+17380.31</f>
        <v>759333.94000000006</v>
      </c>
      <c r="AM32" s="37">
        <f t="shared" si="6"/>
        <v>-5.3915151228086766E-2</v>
      </c>
      <c r="AN32" s="36">
        <f>[1]IG!$I32</f>
        <v>912037.72</v>
      </c>
      <c r="AO32" s="31">
        <f t="shared" si="32"/>
        <v>799948.28421199997</v>
      </c>
      <c r="AP32" s="31">
        <f t="shared" si="33"/>
        <v>112089.43578799999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[1]IG!$J32</f>
        <v>982437.72</v>
      </c>
      <c r="AV32" s="31">
        <f t="shared" si="36"/>
        <v>861696.12421199994</v>
      </c>
      <c r="AW32" s="31">
        <f t="shared" si="37"/>
        <v>120741.59578799999</v>
      </c>
      <c r="AX32" s="31">
        <f t="shared" si="38"/>
        <v>0</v>
      </c>
      <c r="AY32" s="31">
        <f t="shared" si="39"/>
        <v>0</v>
      </c>
      <c r="AZ32" s="27"/>
      <c r="BA32" s="37">
        <f t="shared" si="8"/>
        <v>-1</v>
      </c>
      <c r="BB32" s="36">
        <f>[1]IG!$K32</f>
        <v>1150775.4719999998</v>
      </c>
      <c r="BC32" s="31">
        <f t="shared" si="40"/>
        <v>1009345.1664911999</v>
      </c>
      <c r="BD32" s="31">
        <f t="shared" si="41"/>
        <v>141430.30550879997</v>
      </c>
      <c r="BE32" s="31">
        <f t="shared" si="42"/>
        <v>0</v>
      </c>
      <c r="BF32" s="31">
        <f t="shared" si="43"/>
        <v>0</v>
      </c>
      <c r="BG32" s="33"/>
      <c r="BH32" s="37">
        <f t="shared" si="9"/>
        <v>-1</v>
      </c>
      <c r="BI32" s="36">
        <f>[1]IG!$L32</f>
        <v>160160</v>
      </c>
      <c r="BJ32" s="31">
        <f t="shared" si="44"/>
        <v>140476.33600000001</v>
      </c>
      <c r="BK32" s="31">
        <f t="shared" si="45"/>
        <v>19683.664000000001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[1]IG!$M32</f>
        <v>8800</v>
      </c>
      <c r="BQ32" s="31">
        <f t="shared" si="48"/>
        <v>7718.48</v>
      </c>
      <c r="BR32" s="31">
        <f t="shared" si="49"/>
        <v>1081.52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[1]IG!$N32</f>
        <v>8800</v>
      </c>
      <c r="BX32" s="31">
        <f t="shared" si="52"/>
        <v>7718.48</v>
      </c>
      <c r="BY32" s="31">
        <f t="shared" si="53"/>
        <v>1081.52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[1]IG!$O32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[1]IG!$P32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4240000</v>
      </c>
      <c r="C33" s="31">
        <f t="shared" si="0"/>
        <v>3718904</v>
      </c>
      <c r="D33" s="32">
        <f t="shared" si="0"/>
        <v>521096</v>
      </c>
      <c r="E33" s="30">
        <f t="shared" si="15"/>
        <v>2480000</v>
      </c>
      <c r="F33" s="33">
        <f t="shared" si="15"/>
        <v>2175208</v>
      </c>
      <c r="G33" s="34">
        <f t="shared" si="15"/>
        <v>304792</v>
      </c>
      <c r="H33" s="31">
        <f t="shared" si="1"/>
        <v>2353455.7381390003</v>
      </c>
      <c r="I33" s="33">
        <f t="shared" si="1"/>
        <v>182322.45186100001</v>
      </c>
      <c r="J33" s="33">
        <f t="shared" si="1"/>
        <v>2535778.19</v>
      </c>
      <c r="K33" s="37">
        <f t="shared" si="2"/>
        <v>2.2491205645161161E-2</v>
      </c>
      <c r="L33" s="36">
        <f>[1]IG!$E33</f>
        <v>760000</v>
      </c>
      <c r="M33" s="31">
        <f t="shared" si="16"/>
        <v>666596</v>
      </c>
      <c r="N33" s="31">
        <f t="shared" si="17"/>
        <v>93404</v>
      </c>
      <c r="O33" s="31">
        <f t="shared" si="18"/>
        <v>748884.79025700002</v>
      </c>
      <c r="P33" s="31">
        <f t="shared" si="19"/>
        <v>58016.179743000001</v>
      </c>
      <c r="Q33" s="33">
        <f>263649.47+543251.5</f>
        <v>806900.97</v>
      </c>
      <c r="R33" s="37">
        <f t="shared" si="3"/>
        <v>6.1711802631578827E-2</v>
      </c>
      <c r="S33" s="36">
        <f>[1]IG!$F33</f>
        <v>600000</v>
      </c>
      <c r="T33" s="31">
        <f t="shared" si="20"/>
        <v>526260</v>
      </c>
      <c r="U33" s="31">
        <f t="shared" si="21"/>
        <v>73740</v>
      </c>
      <c r="V33" s="31">
        <f t="shared" si="22"/>
        <v>615507.90121599997</v>
      </c>
      <c r="W33" s="31">
        <f t="shared" si="23"/>
        <v>47683.458784000002</v>
      </c>
      <c r="X33" s="33">
        <v>663191.36</v>
      </c>
      <c r="Y33" s="37">
        <f t="shared" si="4"/>
        <v>0.10531893333333331</v>
      </c>
      <c r="Z33" s="36">
        <f>[1]IG!$G33</f>
        <v>540000</v>
      </c>
      <c r="AA33" s="31">
        <f t="shared" si="24"/>
        <v>473634</v>
      </c>
      <c r="AB33" s="31">
        <f t="shared" si="25"/>
        <v>66366</v>
      </c>
      <c r="AC33" s="31">
        <f t="shared" si="26"/>
        <v>518288.32177700003</v>
      </c>
      <c r="AD33" s="31">
        <f t="shared" si="27"/>
        <v>40151.848223000008</v>
      </c>
      <c r="AE33" s="33">
        <v>558440.17000000004</v>
      </c>
      <c r="AF33" s="37">
        <f t="shared" si="5"/>
        <v>3.4148462962963144E-2</v>
      </c>
      <c r="AG33" s="36">
        <f>[1]IG!$H33</f>
        <v>580000</v>
      </c>
      <c r="AH33" s="31">
        <f t="shared" si="28"/>
        <v>508718</v>
      </c>
      <c r="AI33" s="31">
        <f t="shared" si="29"/>
        <v>71282</v>
      </c>
      <c r="AJ33" s="31">
        <f t="shared" si="30"/>
        <v>470774.724889</v>
      </c>
      <c r="AK33" s="31">
        <f t="shared" si="31"/>
        <v>36470.965111000005</v>
      </c>
      <c r="AL33" s="33">
        <v>507245.69</v>
      </c>
      <c r="AM33" s="37">
        <f t="shared" si="6"/>
        <v>-0.12543846551724136</v>
      </c>
      <c r="AN33" s="36">
        <f>[1]IG!$I33</f>
        <v>600000</v>
      </c>
      <c r="AO33" s="31">
        <f t="shared" si="32"/>
        <v>526260</v>
      </c>
      <c r="AP33" s="31">
        <f t="shared" si="33"/>
        <v>73740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[1]IG!$J33</f>
        <v>600000</v>
      </c>
      <c r="AV33" s="31">
        <f t="shared" si="36"/>
        <v>526260</v>
      </c>
      <c r="AW33" s="31">
        <f t="shared" si="37"/>
        <v>73740</v>
      </c>
      <c r="AX33" s="31">
        <f t="shared" si="38"/>
        <v>0</v>
      </c>
      <c r="AY33" s="31">
        <f t="shared" si="39"/>
        <v>0</v>
      </c>
      <c r="AZ33" s="27"/>
      <c r="BA33" s="37">
        <f t="shared" si="8"/>
        <v>-1</v>
      </c>
      <c r="BB33" s="36">
        <f>[1]IG!$K33</f>
        <v>560000</v>
      </c>
      <c r="BC33" s="31">
        <f t="shared" si="40"/>
        <v>491176</v>
      </c>
      <c r="BD33" s="31">
        <f t="shared" si="41"/>
        <v>68824</v>
      </c>
      <c r="BE33" s="31">
        <f t="shared" si="42"/>
        <v>0</v>
      </c>
      <c r="BF33" s="31">
        <f t="shared" si="43"/>
        <v>0</v>
      </c>
      <c r="BG33" s="33"/>
      <c r="BH33" s="37">
        <f t="shared" si="9"/>
        <v>-1</v>
      </c>
      <c r="BI33" s="36">
        <f>[1]IG!$L33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[1]IG!$M33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[1]IG!$N33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[1]IG!$O33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[1]IG!$P33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[1]IG!$E34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3"/>
        <v/>
      </c>
      <c r="S34" s="36">
        <f>[1]IG!$F34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[1]IG!$G34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33"/>
      <c r="AF34" s="37" t="str">
        <f t="shared" si="5"/>
        <v/>
      </c>
      <c r="AG34" s="36">
        <f>[1]IG!$H34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33"/>
      <c r="AM34" s="37" t="str">
        <f t="shared" si="6"/>
        <v/>
      </c>
      <c r="AN34" s="36">
        <f>[1]IG!$I34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7"/>
        <v/>
      </c>
      <c r="AU34" s="36">
        <f>[1]IG!$J34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27"/>
      <c r="BA34" s="37" t="str">
        <f t="shared" si="8"/>
        <v/>
      </c>
      <c r="BB34" s="36">
        <f>[1]IG!$K34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27"/>
      <c r="BH34" s="37" t="str">
        <f t="shared" si="9"/>
        <v/>
      </c>
      <c r="BI34" s="36">
        <f>[1]IG!$L34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[1]IG!$M34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[1]IG!$N34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[1]IG!$O34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[1]IG!$P34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[1]IG!$E35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3"/>
        <v/>
      </c>
      <c r="S35" s="36">
        <f>[1]IG!$F35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[1]IG!$G35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33"/>
      <c r="AF35" s="37" t="str">
        <f t="shared" si="5"/>
        <v/>
      </c>
      <c r="AG35" s="36">
        <f>[1]IG!$H35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33"/>
      <c r="AM35" s="37" t="str">
        <f t="shared" si="6"/>
        <v/>
      </c>
      <c r="AN35" s="36">
        <f>[1]IG!$I35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7"/>
        <v/>
      </c>
      <c r="AU35" s="36">
        <f>[1]IG!$J35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27"/>
      <c r="BA35" s="37" t="str">
        <f t="shared" si="8"/>
        <v/>
      </c>
      <c r="BB35" s="36">
        <f>[1]IG!$K35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9"/>
        <v/>
      </c>
      <c r="BI35" s="36">
        <f>[1]IG!$L35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[1]IG!$M35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[1]IG!$N35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[1]IG!$O35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[1]IG!$P35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399999.99999999994</v>
      </c>
      <c r="C36" s="31">
        <f t="shared" si="64"/>
        <v>350840.00000000006</v>
      </c>
      <c r="D36" s="32">
        <f t="shared" si="64"/>
        <v>49159.999999999993</v>
      </c>
      <c r="E36" s="30">
        <f t="shared" si="15"/>
        <v>133333.33333333334</v>
      </c>
      <c r="F36" s="33">
        <f t="shared" si="15"/>
        <v>116946.66666666667</v>
      </c>
      <c r="G36" s="34">
        <f t="shared" si="15"/>
        <v>16386.666666666668</v>
      </c>
      <c r="H36" s="31">
        <f t="shared" ref="H36:J54" si="65">+O36+V36+AC36+AJ36+AQ36+AX36+BE36+BL36+BS36+BZ36+CG36+CN36</f>
        <v>176244.19458500002</v>
      </c>
      <c r="I36" s="33">
        <f t="shared" si="65"/>
        <v>13653.655415000001</v>
      </c>
      <c r="J36" s="33">
        <f t="shared" si="65"/>
        <v>189897.84999999998</v>
      </c>
      <c r="K36" s="37">
        <f t="shared" si="2"/>
        <v>0.42423387499999965</v>
      </c>
      <c r="L36" s="36">
        <f>[1]IG!$E36</f>
        <v>33333.333333333336</v>
      </c>
      <c r="M36" s="31">
        <f t="shared" si="16"/>
        <v>29236.666666666668</v>
      </c>
      <c r="N36" s="31">
        <f t="shared" si="17"/>
        <v>4096.666666666667</v>
      </c>
      <c r="O36" s="31">
        <f t="shared" si="18"/>
        <v>60406.103136999998</v>
      </c>
      <c r="P36" s="31">
        <f t="shared" si="19"/>
        <v>4679.6668630000004</v>
      </c>
      <c r="Q36" s="33">
        <f>105.58+330+6900.76+6574.4+3000+506.63+12.41+480+93.53+45.41+368.34+89.95+37.8+138+1506.7+366.67+2633.94+948.98+465.95+1210.7+2818.4+5225+4690+105.52+19.53+102.5+85+1060.82+413.51+110+99.01+400+88.69+970+2519+2890.72+1500+830+101.22+138+958.92+1749.67+4821.4+2019.08+1777.7+531+3245.33</f>
        <v>65085.77</v>
      </c>
      <c r="R36" s="37">
        <f t="shared" si="3"/>
        <v>0.95257309999999973</v>
      </c>
      <c r="S36" s="36">
        <f>[1]IG!$F36</f>
        <v>33333.333333333336</v>
      </c>
      <c r="T36" s="31">
        <f t="shared" si="20"/>
        <v>29236.666666666668</v>
      </c>
      <c r="U36" s="31">
        <f t="shared" si="21"/>
        <v>4096.666666666667</v>
      </c>
      <c r="V36" s="31">
        <f t="shared" si="22"/>
        <v>25268.682625000001</v>
      </c>
      <c r="W36" s="31">
        <f t="shared" si="23"/>
        <v>1957.5673750000001</v>
      </c>
      <c r="X36" s="33">
        <f>680.02+679.85+732.76+629.47+999+1019+114.02+78.47+4680+1200+1770+980+270+380+480+64.06+613.63+96.83+130+499.69+366.67+2480.9+465.95+583.5+432.09+3555+3245.34</f>
        <v>27226.25</v>
      </c>
      <c r="Y36" s="37">
        <f t="shared" si="4"/>
        <v>-0.18321250000000011</v>
      </c>
      <c r="Z36" s="36">
        <f>[1]IG!$G36</f>
        <v>33333.333333333336</v>
      </c>
      <c r="AA36" s="31">
        <f t="shared" si="24"/>
        <v>29236.666666666668</v>
      </c>
      <c r="AB36" s="31">
        <f t="shared" si="25"/>
        <v>4096.666666666667</v>
      </c>
      <c r="AC36" s="31">
        <f t="shared" si="26"/>
        <v>33324.701997000004</v>
      </c>
      <c r="AD36" s="31">
        <f t="shared" si="27"/>
        <v>2581.6680030000002</v>
      </c>
      <c r="AE36" s="33">
        <f>1042+1606+3481.68+296.64+1475+111.56+81.65+950+950+2200+1070+615.66+108.19+84.35+684+8.97+9.23+62.78+94.81+366.66+2883.51+49.33+46.13+12.38+2819.6+51.25+748.37+281.86+410+115.86+2100+1604.47+40.48+78.16+425+4522+79.21+98.7+4155+85.88</f>
        <v>35906.370000000003</v>
      </c>
      <c r="AF36" s="37">
        <f t="shared" si="5"/>
        <v>7.7191100000000068E-2</v>
      </c>
      <c r="AG36" s="36">
        <f>[1]IG!$H36</f>
        <v>33333.333333333336</v>
      </c>
      <c r="AH36" s="31">
        <f t="shared" si="28"/>
        <v>29236.666666666668</v>
      </c>
      <c r="AI36" s="31">
        <f t="shared" si="29"/>
        <v>4096.666666666667</v>
      </c>
      <c r="AJ36" s="31">
        <f t="shared" si="30"/>
        <v>57244.706826000001</v>
      </c>
      <c r="AK36" s="31">
        <f t="shared" si="31"/>
        <v>4434.7531740000004</v>
      </c>
      <c r="AL36" s="33">
        <f>3481.68+729.05+950+3000+12000+106.3+1740.66+98.76+406.4+1550+4.47+1595+39.63+72.72+31.04+3088.52+3731.72+1322.25+782.4+305.72+15.38+74.49+67.04+119.18+74.49+1600+2066+516.02+1300+1500.41+58.52+1151.78+414.67+2150+576+600+1343.83+226.43+3963.14+27.09+89.39+472.44+483.82+1292+1222.98+853.54+3410+974.5</f>
        <v>61679.46</v>
      </c>
      <c r="AM36" s="37">
        <f t="shared" si="6"/>
        <v>0.85038379999999991</v>
      </c>
      <c r="AN36" s="36">
        <f>[1]IG!$I36</f>
        <v>33333.333333333336</v>
      </c>
      <c r="AO36" s="31">
        <f t="shared" si="32"/>
        <v>29236.666666666668</v>
      </c>
      <c r="AP36" s="31">
        <f t="shared" si="33"/>
        <v>4096.666666666667</v>
      </c>
      <c r="AQ36" s="31">
        <f t="shared" si="34"/>
        <v>0</v>
      </c>
      <c r="AR36" s="31">
        <f t="shared" si="35"/>
        <v>0</v>
      </c>
      <c r="AS36" s="33"/>
      <c r="AT36" s="37">
        <f t="shared" si="7"/>
        <v>-1</v>
      </c>
      <c r="AU36" s="36">
        <f>[1]IG!$J36</f>
        <v>33333.333333333336</v>
      </c>
      <c r="AV36" s="31">
        <f t="shared" si="36"/>
        <v>29236.666666666668</v>
      </c>
      <c r="AW36" s="31">
        <f t="shared" si="37"/>
        <v>4096.666666666667</v>
      </c>
      <c r="AX36" s="31">
        <f t="shared" si="38"/>
        <v>0</v>
      </c>
      <c r="AY36" s="31">
        <f t="shared" si="39"/>
        <v>0</v>
      </c>
      <c r="AZ36" s="27"/>
      <c r="BA36" s="37">
        <f t="shared" si="8"/>
        <v>-1</v>
      </c>
      <c r="BB36" s="36">
        <f>[1]IG!$K36</f>
        <v>33333.333333333336</v>
      </c>
      <c r="BC36" s="31">
        <f t="shared" si="40"/>
        <v>29236.666666666668</v>
      </c>
      <c r="BD36" s="31">
        <f t="shared" si="41"/>
        <v>4096.666666666667</v>
      </c>
      <c r="BE36" s="31">
        <f t="shared" si="42"/>
        <v>0</v>
      </c>
      <c r="BF36" s="31">
        <f t="shared" si="43"/>
        <v>0</v>
      </c>
      <c r="BG36" s="33"/>
      <c r="BH36" s="37">
        <f t="shared" si="9"/>
        <v>-1</v>
      </c>
      <c r="BI36" s="36">
        <f>[1]IG!$L36</f>
        <v>33333.333333333336</v>
      </c>
      <c r="BJ36" s="31">
        <f t="shared" si="44"/>
        <v>29236.666666666668</v>
      </c>
      <c r="BK36" s="31">
        <f t="shared" si="45"/>
        <v>4096.666666666667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[1]IG!$M36</f>
        <v>33333.333333333336</v>
      </c>
      <c r="BQ36" s="31">
        <f t="shared" si="48"/>
        <v>29236.666666666668</v>
      </c>
      <c r="BR36" s="31">
        <f t="shared" si="49"/>
        <v>4096.666666666667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[1]IG!$N36</f>
        <v>33333.333333333336</v>
      </c>
      <c r="BX36" s="31">
        <f t="shared" si="52"/>
        <v>29236.666666666668</v>
      </c>
      <c r="BY36" s="31">
        <f t="shared" si="53"/>
        <v>4096.666666666667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[1]IG!$O36</f>
        <v>33333.333333333336</v>
      </c>
      <c r="CE36" s="31">
        <f t="shared" si="56"/>
        <v>29236.666666666668</v>
      </c>
      <c r="CF36" s="31">
        <f t="shared" si="57"/>
        <v>4096.666666666667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[1]IG!$P36</f>
        <v>33333.333333333336</v>
      </c>
      <c r="CL36" s="31">
        <f t="shared" si="60"/>
        <v>29236.666666666668</v>
      </c>
      <c r="CM36" s="31">
        <f t="shared" si="61"/>
        <v>4096.666666666667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450000</v>
      </c>
      <c r="C37" s="31">
        <f t="shared" si="64"/>
        <v>394695</v>
      </c>
      <c r="D37" s="32">
        <f t="shared" si="64"/>
        <v>55305</v>
      </c>
      <c r="E37" s="30">
        <f t="shared" ref="E37:G54" si="66">+L37+S37+Z37+AG37</f>
        <v>150000</v>
      </c>
      <c r="F37" s="33">
        <f t="shared" si="66"/>
        <v>131565</v>
      </c>
      <c r="G37" s="34">
        <f t="shared" si="66"/>
        <v>18435</v>
      </c>
      <c r="H37" s="31">
        <f t="shared" si="65"/>
        <v>163401.85214100001</v>
      </c>
      <c r="I37" s="33">
        <f t="shared" si="65"/>
        <v>12658.757859000001</v>
      </c>
      <c r="J37" s="33">
        <f t="shared" si="65"/>
        <v>176060.61000000002</v>
      </c>
      <c r="K37" s="37">
        <f t="shared" si="2"/>
        <v>0.17373740000000004</v>
      </c>
      <c r="L37" s="36">
        <f>[1]IG!$E37</f>
        <v>37500</v>
      </c>
      <c r="M37" s="31">
        <f t="shared" si="16"/>
        <v>32891.25</v>
      </c>
      <c r="N37" s="31">
        <f t="shared" si="17"/>
        <v>4608.75</v>
      </c>
      <c r="O37" s="31">
        <f t="shared" si="18"/>
        <v>39043.394329000002</v>
      </c>
      <c r="P37" s="31">
        <f t="shared" si="19"/>
        <v>3024.6956710000004</v>
      </c>
      <c r="Q37" s="33">
        <f>107153.86-Q36</f>
        <v>42068.090000000004</v>
      </c>
      <c r="R37" s="37">
        <f t="shared" si="3"/>
        <v>0.1218157333333334</v>
      </c>
      <c r="S37" s="36">
        <f>[1]IG!$F37</f>
        <v>37500</v>
      </c>
      <c r="T37" s="31">
        <f t="shared" si="20"/>
        <v>32891.25</v>
      </c>
      <c r="U37" s="31">
        <f t="shared" si="21"/>
        <v>4608.75</v>
      </c>
      <c r="V37" s="31">
        <f t="shared" si="22"/>
        <v>28947.884488000003</v>
      </c>
      <c r="W37" s="31">
        <f t="shared" si="23"/>
        <v>2242.5955120000003</v>
      </c>
      <c r="X37" s="33">
        <f>58416.73-X36</f>
        <v>31190.480000000003</v>
      </c>
      <c r="Y37" s="37">
        <f t="shared" si="4"/>
        <v>-0.16825386666666653</v>
      </c>
      <c r="Z37" s="36">
        <f>[1]IG!$G37</f>
        <v>37500</v>
      </c>
      <c r="AA37" s="31">
        <f t="shared" si="24"/>
        <v>32891.25</v>
      </c>
      <c r="AB37" s="31">
        <f t="shared" si="25"/>
        <v>4608.75</v>
      </c>
      <c r="AC37" s="31">
        <f t="shared" si="26"/>
        <v>31361.232199000002</v>
      </c>
      <c r="AD37" s="31">
        <f t="shared" si="27"/>
        <v>2429.5578010000004</v>
      </c>
      <c r="AE37" s="33">
        <f>69697.16-AE36</f>
        <v>33790.79</v>
      </c>
      <c r="AF37" s="37">
        <f t="shared" si="5"/>
        <v>-9.8912266666666637E-2</v>
      </c>
      <c r="AG37" s="36">
        <f>[1]IG!$H37</f>
        <v>37500</v>
      </c>
      <c r="AH37" s="31">
        <f t="shared" si="28"/>
        <v>32891.25</v>
      </c>
      <c r="AI37" s="31">
        <f t="shared" si="29"/>
        <v>4608.75</v>
      </c>
      <c r="AJ37" s="31">
        <f t="shared" si="30"/>
        <v>64049.341124999999</v>
      </c>
      <c r="AK37" s="31">
        <f t="shared" si="31"/>
        <v>4961.9088750000001</v>
      </c>
      <c r="AL37" s="33">
        <f>130690.71-AL36</f>
        <v>69011.25</v>
      </c>
      <c r="AM37" s="37">
        <f t="shared" si="6"/>
        <v>0.84030000000000005</v>
      </c>
      <c r="AN37" s="36">
        <f>[1]IG!$I37</f>
        <v>37500</v>
      </c>
      <c r="AO37" s="31">
        <f t="shared" si="32"/>
        <v>32891.25</v>
      </c>
      <c r="AP37" s="31">
        <f t="shared" si="33"/>
        <v>4608.75</v>
      </c>
      <c r="AQ37" s="31">
        <f t="shared" si="34"/>
        <v>0</v>
      </c>
      <c r="AR37" s="31">
        <f t="shared" si="35"/>
        <v>0</v>
      </c>
      <c r="AS37" s="33"/>
      <c r="AT37" s="37">
        <f t="shared" si="7"/>
        <v>-1</v>
      </c>
      <c r="AU37" s="36">
        <f>[1]IG!$J37</f>
        <v>37500</v>
      </c>
      <c r="AV37" s="31">
        <f t="shared" si="36"/>
        <v>32891.25</v>
      </c>
      <c r="AW37" s="31">
        <f t="shared" si="37"/>
        <v>4608.75</v>
      </c>
      <c r="AX37" s="31">
        <f t="shared" si="38"/>
        <v>0</v>
      </c>
      <c r="AY37" s="31">
        <f t="shared" si="39"/>
        <v>0</v>
      </c>
      <c r="AZ37" s="27"/>
      <c r="BA37" s="37">
        <f t="shared" si="8"/>
        <v>-1</v>
      </c>
      <c r="BB37" s="36">
        <f>[1]IG!$K37</f>
        <v>37500</v>
      </c>
      <c r="BC37" s="31">
        <f t="shared" si="40"/>
        <v>32891.25</v>
      </c>
      <c r="BD37" s="31">
        <f t="shared" si="41"/>
        <v>4608.75</v>
      </c>
      <c r="BE37" s="31">
        <f t="shared" si="42"/>
        <v>0</v>
      </c>
      <c r="BF37" s="31">
        <f t="shared" si="43"/>
        <v>0</v>
      </c>
      <c r="BG37" s="33"/>
      <c r="BH37" s="37">
        <f t="shared" si="9"/>
        <v>-1</v>
      </c>
      <c r="BI37" s="36">
        <f>[1]IG!$L37</f>
        <v>37500</v>
      </c>
      <c r="BJ37" s="31">
        <f t="shared" si="44"/>
        <v>32891.25</v>
      </c>
      <c r="BK37" s="31">
        <f t="shared" si="45"/>
        <v>4608.75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[1]IG!$M37</f>
        <v>37500</v>
      </c>
      <c r="BQ37" s="31">
        <f t="shared" si="48"/>
        <v>32891.25</v>
      </c>
      <c r="BR37" s="31">
        <f t="shared" si="49"/>
        <v>4608.75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[1]IG!$N37</f>
        <v>37500</v>
      </c>
      <c r="BX37" s="31">
        <f t="shared" si="52"/>
        <v>32891.25</v>
      </c>
      <c r="BY37" s="31">
        <f t="shared" si="53"/>
        <v>4608.75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[1]IG!$O37</f>
        <v>37500</v>
      </c>
      <c r="CE37" s="31">
        <f t="shared" si="56"/>
        <v>32891.25</v>
      </c>
      <c r="CF37" s="31">
        <f t="shared" si="57"/>
        <v>4608.75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[1]IG!$P37</f>
        <v>37500</v>
      </c>
      <c r="CL37" s="31">
        <f t="shared" si="60"/>
        <v>32891.25</v>
      </c>
      <c r="CM37" s="31">
        <f t="shared" si="61"/>
        <v>4608.75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80000</v>
      </c>
      <c r="C38" s="31">
        <f t="shared" si="64"/>
        <v>70168.000000000015</v>
      </c>
      <c r="D38" s="32">
        <f t="shared" si="64"/>
        <v>9832</v>
      </c>
      <c r="E38" s="30">
        <f t="shared" si="66"/>
        <v>26666.666666666668</v>
      </c>
      <c r="F38" s="33">
        <f t="shared" si="66"/>
        <v>23389.333333333336</v>
      </c>
      <c r="G38" s="34">
        <f t="shared" si="66"/>
        <v>3277.3333333333335</v>
      </c>
      <c r="H38" s="31">
        <f t="shared" si="65"/>
        <v>62629.812175000006</v>
      </c>
      <c r="I38" s="33">
        <f t="shared" si="65"/>
        <v>4851.9378250000009</v>
      </c>
      <c r="J38" s="33">
        <f t="shared" si="65"/>
        <v>67481.75</v>
      </c>
      <c r="K38" s="37">
        <f t="shared" si="2"/>
        <v>1.5305656249999999</v>
      </c>
      <c r="L38" s="36">
        <f>[1]IG!$E38</f>
        <v>6666.666666666667</v>
      </c>
      <c r="M38" s="31">
        <f t="shared" si="16"/>
        <v>5847.3333333333339</v>
      </c>
      <c r="N38" s="31">
        <f t="shared" si="17"/>
        <v>819.33333333333337</v>
      </c>
      <c r="O38" s="31">
        <f t="shared" si="18"/>
        <v>7884.4786490000006</v>
      </c>
      <c r="P38" s="31">
        <f t="shared" si="19"/>
        <v>610.81135100000006</v>
      </c>
      <c r="Q38" s="33">
        <f>8495.29</f>
        <v>8495.2900000000009</v>
      </c>
      <c r="R38" s="37">
        <f t="shared" si="3"/>
        <v>0.27429349999999997</v>
      </c>
      <c r="S38" s="36">
        <f>[1]IG!$F38</f>
        <v>6666.666666666667</v>
      </c>
      <c r="T38" s="31">
        <f t="shared" si="20"/>
        <v>5847.3333333333339</v>
      </c>
      <c r="U38" s="31">
        <f t="shared" si="21"/>
        <v>819.33333333333337</v>
      </c>
      <c r="V38" s="31">
        <f t="shared" si="22"/>
        <v>13057.262561</v>
      </c>
      <c r="W38" s="31">
        <f t="shared" si="23"/>
        <v>1011.5474390000001</v>
      </c>
      <c r="X38" s="33">
        <f>14068.81</f>
        <v>14068.81</v>
      </c>
      <c r="Y38" s="37">
        <f t="shared" si="4"/>
        <v>1.1103215</v>
      </c>
      <c r="Z38" s="36">
        <f>[1]IG!$G38</f>
        <v>6666.666666666667</v>
      </c>
      <c r="AA38" s="31">
        <f t="shared" si="24"/>
        <v>5847.3333333333339</v>
      </c>
      <c r="AB38" s="31">
        <f t="shared" si="25"/>
        <v>819.33333333333337</v>
      </c>
      <c r="AC38" s="31">
        <f t="shared" si="26"/>
        <v>17184.996592</v>
      </c>
      <c r="AD38" s="31">
        <f t="shared" si="27"/>
        <v>1331.323408</v>
      </c>
      <c r="AE38" s="33">
        <f>15621.42+2894.9</f>
        <v>18516.32</v>
      </c>
      <c r="AF38" s="37">
        <f t="shared" si="5"/>
        <v>1.7774479999999997</v>
      </c>
      <c r="AG38" s="36">
        <f>[1]IG!$H38</f>
        <v>6666.666666666667</v>
      </c>
      <c r="AH38" s="31">
        <f t="shared" si="28"/>
        <v>5847.3333333333339</v>
      </c>
      <c r="AI38" s="31">
        <f t="shared" si="29"/>
        <v>819.33333333333337</v>
      </c>
      <c r="AJ38" s="31">
        <f t="shared" si="30"/>
        <v>24503.074373000003</v>
      </c>
      <c r="AK38" s="31">
        <f t="shared" si="31"/>
        <v>1898.2556270000002</v>
      </c>
      <c r="AL38" s="33">
        <f>26401.33</f>
        <v>26401.33</v>
      </c>
      <c r="AM38" s="37">
        <f t="shared" si="6"/>
        <v>2.9601994999999999</v>
      </c>
      <c r="AN38" s="36">
        <f>[1]IG!$I38</f>
        <v>6666.666666666667</v>
      </c>
      <c r="AO38" s="31">
        <f t="shared" si="32"/>
        <v>5847.3333333333339</v>
      </c>
      <c r="AP38" s="31">
        <f t="shared" si="33"/>
        <v>819.33333333333337</v>
      </c>
      <c r="AQ38" s="31">
        <f t="shared" si="34"/>
        <v>0</v>
      </c>
      <c r="AR38" s="31">
        <f t="shared" si="35"/>
        <v>0</v>
      </c>
      <c r="AS38" s="33"/>
      <c r="AT38" s="37">
        <f t="shared" si="7"/>
        <v>-1</v>
      </c>
      <c r="AU38" s="36">
        <f>[1]IG!$J38</f>
        <v>6666.666666666667</v>
      </c>
      <c r="AV38" s="31">
        <f t="shared" si="36"/>
        <v>5847.3333333333339</v>
      </c>
      <c r="AW38" s="31">
        <f t="shared" si="37"/>
        <v>819.33333333333337</v>
      </c>
      <c r="AX38" s="31">
        <f t="shared" si="38"/>
        <v>0</v>
      </c>
      <c r="AY38" s="31">
        <f t="shared" si="39"/>
        <v>0</v>
      </c>
      <c r="AZ38" s="27"/>
      <c r="BA38" s="37">
        <f t="shared" si="8"/>
        <v>-1</v>
      </c>
      <c r="BB38" s="36">
        <f>[1]IG!$K38</f>
        <v>6666.666666666667</v>
      </c>
      <c r="BC38" s="31">
        <f t="shared" si="40"/>
        <v>5847.3333333333339</v>
      </c>
      <c r="BD38" s="31">
        <f t="shared" si="41"/>
        <v>819.33333333333337</v>
      </c>
      <c r="BE38" s="31">
        <f t="shared" si="42"/>
        <v>0</v>
      </c>
      <c r="BF38" s="31">
        <f t="shared" si="43"/>
        <v>0</v>
      </c>
      <c r="BG38" s="33"/>
      <c r="BH38" s="37">
        <f t="shared" si="9"/>
        <v>-1</v>
      </c>
      <c r="BI38" s="36">
        <f>[1]IG!$L38</f>
        <v>6666.666666666667</v>
      </c>
      <c r="BJ38" s="31">
        <f t="shared" si="44"/>
        <v>5847.3333333333339</v>
      </c>
      <c r="BK38" s="31">
        <f t="shared" si="45"/>
        <v>819.33333333333337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[1]IG!$M38</f>
        <v>6666.666666666667</v>
      </c>
      <c r="BQ38" s="31">
        <f t="shared" si="48"/>
        <v>5847.3333333333339</v>
      </c>
      <c r="BR38" s="31">
        <f t="shared" si="49"/>
        <v>819.33333333333337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[1]IG!$N38</f>
        <v>6666.666666666667</v>
      </c>
      <c r="BX38" s="31">
        <f t="shared" si="52"/>
        <v>5847.3333333333339</v>
      </c>
      <c r="BY38" s="31">
        <f t="shared" si="53"/>
        <v>819.33333333333337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[1]IG!$O38</f>
        <v>6666.666666666667</v>
      </c>
      <c r="CE38" s="31">
        <f t="shared" si="56"/>
        <v>5847.3333333333339</v>
      </c>
      <c r="CF38" s="31">
        <f t="shared" si="57"/>
        <v>819.33333333333337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[1]IG!$P38</f>
        <v>6666.666666666667</v>
      </c>
      <c r="CL38" s="31">
        <f t="shared" si="60"/>
        <v>5847.3333333333339</v>
      </c>
      <c r="CM38" s="31">
        <f t="shared" si="61"/>
        <v>819.33333333333337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20000</v>
      </c>
      <c r="C39" s="31">
        <f t="shared" si="64"/>
        <v>17542.000000000004</v>
      </c>
      <c r="D39" s="32">
        <f t="shared" si="64"/>
        <v>2458</v>
      </c>
      <c r="E39" s="30">
        <f t="shared" si="66"/>
        <v>6666.666666666667</v>
      </c>
      <c r="F39" s="33">
        <f t="shared" si="66"/>
        <v>5847.3333333333339</v>
      </c>
      <c r="G39" s="34">
        <f t="shared" si="66"/>
        <v>819.33333333333337</v>
      </c>
      <c r="H39" s="31">
        <f t="shared" si="65"/>
        <v>12572.812923000001</v>
      </c>
      <c r="I39" s="33">
        <f t="shared" si="65"/>
        <v>974.0170770000002</v>
      </c>
      <c r="J39" s="33">
        <f t="shared" si="65"/>
        <v>13546.83</v>
      </c>
      <c r="K39" s="37">
        <f t="shared" si="2"/>
        <v>1.0320244999999999</v>
      </c>
      <c r="L39" s="36">
        <f>[1]IG!$E39</f>
        <v>1666.6666666666667</v>
      </c>
      <c r="M39" s="31">
        <f t="shared" si="16"/>
        <v>1461.8333333333335</v>
      </c>
      <c r="N39" s="31">
        <f t="shared" si="17"/>
        <v>204.83333333333334</v>
      </c>
      <c r="O39" s="31">
        <f t="shared" si="18"/>
        <v>5888.3304500000004</v>
      </c>
      <c r="P39" s="31">
        <f t="shared" si="19"/>
        <v>456.16955000000002</v>
      </c>
      <c r="Q39" s="33">
        <f>6344.5</f>
        <v>6344.5</v>
      </c>
      <c r="R39" s="37">
        <f t="shared" si="3"/>
        <v>2.8066999999999998</v>
      </c>
      <c r="S39" s="36">
        <f>[1]IG!$F39</f>
        <v>1666.6666666666667</v>
      </c>
      <c r="T39" s="31">
        <f t="shared" si="20"/>
        <v>1461.8333333333335</v>
      </c>
      <c r="U39" s="31">
        <f t="shared" si="21"/>
        <v>204.83333333333334</v>
      </c>
      <c r="V39" s="31">
        <f t="shared" si="22"/>
        <v>956.40705000000003</v>
      </c>
      <c r="W39" s="31">
        <f t="shared" si="23"/>
        <v>74.092950000000002</v>
      </c>
      <c r="X39" s="33">
        <f>1030.5</f>
        <v>1030.5</v>
      </c>
      <c r="Y39" s="37">
        <f t="shared" si="4"/>
        <v>-0.38170000000000004</v>
      </c>
      <c r="Z39" s="36">
        <f>[1]IG!$G39</f>
        <v>1666.6666666666667</v>
      </c>
      <c r="AA39" s="31">
        <f t="shared" si="24"/>
        <v>1461.8333333333335</v>
      </c>
      <c r="AB39" s="31">
        <f t="shared" si="25"/>
        <v>204.83333333333334</v>
      </c>
      <c r="AC39" s="31">
        <f t="shared" si="26"/>
        <v>983.22914000000003</v>
      </c>
      <c r="AD39" s="31">
        <f t="shared" si="27"/>
        <v>76.170860000000019</v>
      </c>
      <c r="AE39" s="33">
        <f>1059.4</f>
        <v>1059.4000000000001</v>
      </c>
      <c r="AF39" s="37">
        <f t="shared" si="5"/>
        <v>-0.36436000000000002</v>
      </c>
      <c r="AG39" s="36">
        <f>[1]IG!$H39</f>
        <v>1666.6666666666667</v>
      </c>
      <c r="AH39" s="31">
        <f t="shared" si="28"/>
        <v>1461.8333333333335</v>
      </c>
      <c r="AI39" s="31">
        <f t="shared" si="29"/>
        <v>204.83333333333334</v>
      </c>
      <c r="AJ39" s="31">
        <f t="shared" si="30"/>
        <v>4744.8462829999999</v>
      </c>
      <c r="AK39" s="31">
        <f t="shared" si="31"/>
        <v>367.58371700000004</v>
      </c>
      <c r="AL39" s="33">
        <f>3982.43+1130</f>
        <v>5112.43</v>
      </c>
      <c r="AM39" s="37">
        <f t="shared" si="6"/>
        <v>2.0674580000000002</v>
      </c>
      <c r="AN39" s="36">
        <f>[1]IG!$I39</f>
        <v>1666.6666666666667</v>
      </c>
      <c r="AO39" s="31">
        <f t="shared" si="32"/>
        <v>1461.8333333333335</v>
      </c>
      <c r="AP39" s="31">
        <f t="shared" si="33"/>
        <v>204.83333333333334</v>
      </c>
      <c r="AQ39" s="31">
        <f t="shared" si="34"/>
        <v>0</v>
      </c>
      <c r="AR39" s="31">
        <f t="shared" si="35"/>
        <v>0</v>
      </c>
      <c r="AS39" s="33"/>
      <c r="AT39" s="37">
        <f t="shared" si="7"/>
        <v>-1</v>
      </c>
      <c r="AU39" s="36">
        <f>[1]IG!$J39</f>
        <v>1666.6666666666667</v>
      </c>
      <c r="AV39" s="31">
        <f t="shared" si="36"/>
        <v>1461.8333333333335</v>
      </c>
      <c r="AW39" s="31">
        <f t="shared" si="37"/>
        <v>204.83333333333334</v>
      </c>
      <c r="AX39" s="31">
        <f t="shared" si="38"/>
        <v>0</v>
      </c>
      <c r="AY39" s="31">
        <f t="shared" si="39"/>
        <v>0</v>
      </c>
      <c r="AZ39" s="27"/>
      <c r="BA39" s="37">
        <f t="shared" si="8"/>
        <v>-1</v>
      </c>
      <c r="BB39" s="36">
        <f>[1]IG!$K39</f>
        <v>1666.6666666666667</v>
      </c>
      <c r="BC39" s="31">
        <f t="shared" si="40"/>
        <v>1461.8333333333335</v>
      </c>
      <c r="BD39" s="31">
        <f t="shared" si="41"/>
        <v>204.83333333333334</v>
      </c>
      <c r="BE39" s="31">
        <f t="shared" si="42"/>
        <v>0</v>
      </c>
      <c r="BF39" s="31">
        <f t="shared" si="43"/>
        <v>0</v>
      </c>
      <c r="BG39" s="27"/>
      <c r="BH39" s="37">
        <f t="shared" si="9"/>
        <v>-1</v>
      </c>
      <c r="BI39" s="36">
        <f>[1]IG!$L39</f>
        <v>1666.6666666666667</v>
      </c>
      <c r="BJ39" s="31">
        <f t="shared" si="44"/>
        <v>1461.8333333333335</v>
      </c>
      <c r="BK39" s="31">
        <f t="shared" si="45"/>
        <v>204.83333333333334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[1]IG!$M39</f>
        <v>1666.6666666666667</v>
      </c>
      <c r="BQ39" s="31">
        <f t="shared" si="48"/>
        <v>1461.8333333333335</v>
      </c>
      <c r="BR39" s="31">
        <f t="shared" si="49"/>
        <v>204.83333333333334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[1]IG!$N39</f>
        <v>1666.6666666666667</v>
      </c>
      <c r="BX39" s="31">
        <f t="shared" si="52"/>
        <v>1461.8333333333335</v>
      </c>
      <c r="BY39" s="31">
        <f t="shared" si="53"/>
        <v>204.83333333333334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[1]IG!$O39</f>
        <v>1666.6666666666667</v>
      </c>
      <c r="CE39" s="31">
        <f t="shared" si="56"/>
        <v>1461.8333333333335</v>
      </c>
      <c r="CF39" s="31">
        <f t="shared" si="57"/>
        <v>204.83333333333334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[1]IG!$P39</f>
        <v>1666.6666666666667</v>
      </c>
      <c r="CL39" s="31">
        <f t="shared" si="60"/>
        <v>1461.8333333333335</v>
      </c>
      <c r="CM39" s="31">
        <f t="shared" si="61"/>
        <v>204.83333333333334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80000</v>
      </c>
      <c r="C40" s="31">
        <f t="shared" si="64"/>
        <v>70168.000000000015</v>
      </c>
      <c r="D40" s="32">
        <f t="shared" si="64"/>
        <v>9832</v>
      </c>
      <c r="E40" s="30">
        <f t="shared" si="66"/>
        <v>26666.666666666668</v>
      </c>
      <c r="F40" s="33">
        <f t="shared" si="66"/>
        <v>23389.333333333336</v>
      </c>
      <c r="G40" s="34">
        <f t="shared" si="66"/>
        <v>3277.3333333333335</v>
      </c>
      <c r="H40" s="31">
        <f t="shared" si="65"/>
        <v>78520.517630999995</v>
      </c>
      <c r="I40" s="33">
        <f t="shared" si="65"/>
        <v>6082.9923689999996</v>
      </c>
      <c r="J40" s="33">
        <f t="shared" si="65"/>
        <v>84603.51</v>
      </c>
      <c r="K40" s="37">
        <f t="shared" si="2"/>
        <v>2.1726316249999997</v>
      </c>
      <c r="L40" s="36">
        <f>[1]IG!$E40</f>
        <v>6666.666666666667</v>
      </c>
      <c r="M40" s="31">
        <f t="shared" si="16"/>
        <v>5847.3333333333339</v>
      </c>
      <c r="N40" s="31">
        <f t="shared" si="17"/>
        <v>819.33333333333337</v>
      </c>
      <c r="O40" s="31">
        <f t="shared" si="18"/>
        <v>9409.6346599999997</v>
      </c>
      <c r="P40" s="31">
        <f t="shared" si="19"/>
        <v>728.96534000000008</v>
      </c>
      <c r="Q40" s="33">
        <f>10138.6</f>
        <v>10138.6</v>
      </c>
      <c r="R40" s="37">
        <f t="shared" si="3"/>
        <v>0.52079000000000009</v>
      </c>
      <c r="S40" s="36">
        <f>[1]IG!$F40</f>
        <v>6666.666666666667</v>
      </c>
      <c r="T40" s="31">
        <f t="shared" si="20"/>
        <v>5847.3333333333339</v>
      </c>
      <c r="U40" s="31">
        <f t="shared" si="21"/>
        <v>819.33333333333337</v>
      </c>
      <c r="V40" s="31">
        <f t="shared" si="22"/>
        <v>24922.928250999998</v>
      </c>
      <c r="W40" s="31">
        <f t="shared" si="23"/>
        <v>1930.781749</v>
      </c>
      <c r="X40" s="33">
        <f>26853.71</f>
        <v>26853.71</v>
      </c>
      <c r="Y40" s="37">
        <f t="shared" si="4"/>
        <v>3.0280564999999999</v>
      </c>
      <c r="Z40" s="36">
        <f>[1]IG!$G40</f>
        <v>6666.666666666667</v>
      </c>
      <c r="AA40" s="31">
        <f t="shared" si="24"/>
        <v>5847.3333333333339</v>
      </c>
      <c r="AB40" s="31">
        <f t="shared" si="25"/>
        <v>819.33333333333337</v>
      </c>
      <c r="AC40" s="31">
        <f t="shared" si="26"/>
        <v>24771.545859999998</v>
      </c>
      <c r="AD40" s="31">
        <f t="shared" si="27"/>
        <v>1919.05414</v>
      </c>
      <c r="AE40" s="33">
        <f>26690.6</f>
        <v>26690.6</v>
      </c>
      <c r="AF40" s="37">
        <f t="shared" si="5"/>
        <v>3.00359</v>
      </c>
      <c r="AG40" s="36">
        <f>[1]IG!$H40</f>
        <v>6666.666666666667</v>
      </c>
      <c r="AH40" s="31">
        <f t="shared" si="28"/>
        <v>5847.3333333333339</v>
      </c>
      <c r="AI40" s="31">
        <f t="shared" si="29"/>
        <v>819.33333333333337</v>
      </c>
      <c r="AJ40" s="31">
        <f t="shared" si="30"/>
        <v>19416.40886</v>
      </c>
      <c r="AK40" s="31">
        <f t="shared" si="31"/>
        <v>1504.1911399999999</v>
      </c>
      <c r="AL40" s="33">
        <f>20920.6</f>
        <v>20920.599999999999</v>
      </c>
      <c r="AM40" s="37">
        <f t="shared" si="6"/>
        <v>2.1380899999999996</v>
      </c>
      <c r="AN40" s="36">
        <f>[1]IG!$I40</f>
        <v>6666.666666666667</v>
      </c>
      <c r="AO40" s="31">
        <f t="shared" si="32"/>
        <v>5847.3333333333339</v>
      </c>
      <c r="AP40" s="31">
        <f t="shared" si="33"/>
        <v>819.33333333333337</v>
      </c>
      <c r="AQ40" s="31">
        <f t="shared" si="34"/>
        <v>0</v>
      </c>
      <c r="AR40" s="31">
        <f t="shared" si="35"/>
        <v>0</v>
      </c>
      <c r="AS40" s="33"/>
      <c r="AT40" s="37">
        <f t="shared" si="7"/>
        <v>-1</v>
      </c>
      <c r="AU40" s="36">
        <f>[1]IG!$J40</f>
        <v>6666.666666666667</v>
      </c>
      <c r="AV40" s="31">
        <f t="shared" si="36"/>
        <v>5847.3333333333339</v>
      </c>
      <c r="AW40" s="31">
        <f t="shared" si="37"/>
        <v>819.33333333333337</v>
      </c>
      <c r="AX40" s="31">
        <f t="shared" si="38"/>
        <v>0</v>
      </c>
      <c r="AY40" s="31">
        <f t="shared" si="39"/>
        <v>0</v>
      </c>
      <c r="AZ40" s="27"/>
      <c r="BA40" s="37">
        <f t="shared" si="8"/>
        <v>-1</v>
      </c>
      <c r="BB40" s="36">
        <f>[1]IG!$K40</f>
        <v>6666.666666666667</v>
      </c>
      <c r="BC40" s="31">
        <f t="shared" si="40"/>
        <v>5847.3333333333339</v>
      </c>
      <c r="BD40" s="31">
        <f t="shared" si="41"/>
        <v>819.33333333333337</v>
      </c>
      <c r="BE40" s="31">
        <f t="shared" si="42"/>
        <v>0</v>
      </c>
      <c r="BF40" s="31">
        <f t="shared" si="43"/>
        <v>0</v>
      </c>
      <c r="BG40" s="33"/>
      <c r="BH40" s="37">
        <f t="shared" si="9"/>
        <v>-1</v>
      </c>
      <c r="BI40" s="36">
        <f>[1]IG!$L40</f>
        <v>6666.666666666667</v>
      </c>
      <c r="BJ40" s="31">
        <f t="shared" si="44"/>
        <v>5847.3333333333339</v>
      </c>
      <c r="BK40" s="31">
        <f t="shared" si="45"/>
        <v>819.33333333333337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[1]IG!$M40</f>
        <v>6666.666666666667</v>
      </c>
      <c r="BQ40" s="31">
        <f t="shared" si="48"/>
        <v>5847.3333333333339</v>
      </c>
      <c r="BR40" s="31">
        <f t="shared" si="49"/>
        <v>819.33333333333337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[1]IG!$N40</f>
        <v>6666.666666666667</v>
      </c>
      <c r="BX40" s="31">
        <f t="shared" si="52"/>
        <v>5847.3333333333339</v>
      </c>
      <c r="BY40" s="31">
        <f t="shared" si="53"/>
        <v>819.33333333333337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[1]IG!$O40</f>
        <v>6666.666666666667</v>
      </c>
      <c r="CE40" s="31">
        <f t="shared" si="56"/>
        <v>5847.3333333333339</v>
      </c>
      <c r="CF40" s="31">
        <f t="shared" si="57"/>
        <v>819.33333333333337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[1]IG!$P40</f>
        <v>6666.666666666667</v>
      </c>
      <c r="CL40" s="31">
        <f t="shared" si="60"/>
        <v>5847.3333333333339</v>
      </c>
      <c r="CM40" s="31">
        <f t="shared" si="61"/>
        <v>819.33333333333337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865000.00000000012</v>
      </c>
      <c r="C41" s="31">
        <f t="shared" si="64"/>
        <v>758691.49999999988</v>
      </c>
      <c r="D41" s="32">
        <f t="shared" si="64"/>
        <v>106308.50000000001</v>
      </c>
      <c r="E41" s="30">
        <f t="shared" si="66"/>
        <v>288333.33333333331</v>
      </c>
      <c r="F41" s="33">
        <f t="shared" si="66"/>
        <v>252897.16666666666</v>
      </c>
      <c r="G41" s="34">
        <f t="shared" si="66"/>
        <v>35436.166666666664</v>
      </c>
      <c r="H41" s="31">
        <f t="shared" si="65"/>
        <v>267602.16666666663</v>
      </c>
      <c r="I41" s="33">
        <f t="shared" si="65"/>
        <v>20731.166666666668</v>
      </c>
      <c r="J41" s="33">
        <f t="shared" si="65"/>
        <v>288333.33333333331</v>
      </c>
      <c r="K41" s="37">
        <f t="shared" si="2"/>
        <v>0</v>
      </c>
      <c r="L41" s="46">
        <f>[1]IG!$E41</f>
        <v>72083.333333333328</v>
      </c>
      <c r="M41" s="47">
        <f t="shared" si="16"/>
        <v>63224.291666666664</v>
      </c>
      <c r="N41" s="47">
        <f t="shared" si="17"/>
        <v>8859.0416666666661</v>
      </c>
      <c r="O41" s="47">
        <f t="shared" si="18"/>
        <v>66900.541666666657</v>
      </c>
      <c r="P41" s="47">
        <f t="shared" si="19"/>
        <v>5182.791666666667</v>
      </c>
      <c r="Q41" s="45">
        <v>72083.333333333328</v>
      </c>
      <c r="R41" s="37">
        <f t="shared" si="3"/>
        <v>0</v>
      </c>
      <c r="S41" s="46">
        <f>[1]IG!$F41</f>
        <v>72083.333333333328</v>
      </c>
      <c r="T41" s="47">
        <f t="shared" si="20"/>
        <v>63224.291666666664</v>
      </c>
      <c r="U41" s="47">
        <f t="shared" si="21"/>
        <v>8859.0416666666661</v>
      </c>
      <c r="V41" s="47">
        <f t="shared" si="22"/>
        <v>66900.541666666657</v>
      </c>
      <c r="W41" s="47">
        <f t="shared" si="23"/>
        <v>5182.791666666667</v>
      </c>
      <c r="X41" s="45">
        <v>72083.333333333328</v>
      </c>
      <c r="Y41" s="37">
        <f t="shared" si="4"/>
        <v>0</v>
      </c>
      <c r="Z41" s="46">
        <f>[1]IG!$G41</f>
        <v>72083.333333333328</v>
      </c>
      <c r="AA41" s="47">
        <f t="shared" si="24"/>
        <v>63224.291666666664</v>
      </c>
      <c r="AB41" s="47">
        <f t="shared" si="25"/>
        <v>8859.0416666666661</v>
      </c>
      <c r="AC41" s="47">
        <f t="shared" si="26"/>
        <v>66900.541666666657</v>
      </c>
      <c r="AD41" s="47">
        <f t="shared" si="27"/>
        <v>5182.791666666667</v>
      </c>
      <c r="AE41" s="45">
        <v>72083.333333333328</v>
      </c>
      <c r="AF41" s="37">
        <f t="shared" si="5"/>
        <v>0</v>
      </c>
      <c r="AG41" s="46">
        <f>[1]IG!$H41</f>
        <v>72083.333333333328</v>
      </c>
      <c r="AH41" s="47">
        <f t="shared" si="28"/>
        <v>63224.291666666664</v>
      </c>
      <c r="AI41" s="47">
        <f t="shared" si="29"/>
        <v>8859.0416666666661</v>
      </c>
      <c r="AJ41" s="47">
        <f t="shared" si="30"/>
        <v>66900.541666666657</v>
      </c>
      <c r="AK41" s="47">
        <f t="shared" si="31"/>
        <v>5182.791666666667</v>
      </c>
      <c r="AL41" s="45">
        <v>72083.333333333328</v>
      </c>
      <c r="AM41" s="37">
        <f t="shared" si="6"/>
        <v>0</v>
      </c>
      <c r="AN41" s="46">
        <f>[1]IG!$I41</f>
        <v>72083.333333333328</v>
      </c>
      <c r="AO41" s="47">
        <f t="shared" si="32"/>
        <v>63224.291666666664</v>
      </c>
      <c r="AP41" s="47">
        <f t="shared" si="33"/>
        <v>8859.0416666666661</v>
      </c>
      <c r="AQ41" s="47">
        <f t="shared" si="34"/>
        <v>0</v>
      </c>
      <c r="AR41" s="47">
        <f t="shared" si="35"/>
        <v>0</v>
      </c>
      <c r="AS41" s="45"/>
      <c r="AT41" s="37">
        <f t="shared" si="7"/>
        <v>-1</v>
      </c>
      <c r="AU41" s="46">
        <f>[1]IG!$J41</f>
        <v>72083.333333333328</v>
      </c>
      <c r="AV41" s="47">
        <f t="shared" si="36"/>
        <v>63224.291666666664</v>
      </c>
      <c r="AW41" s="47">
        <f t="shared" si="37"/>
        <v>8859.0416666666661</v>
      </c>
      <c r="AX41" s="47">
        <f t="shared" si="38"/>
        <v>0</v>
      </c>
      <c r="AY41" s="47">
        <f t="shared" si="39"/>
        <v>0</v>
      </c>
      <c r="AZ41" s="48"/>
      <c r="BA41" s="37">
        <f t="shared" si="8"/>
        <v>-1</v>
      </c>
      <c r="BB41" s="46">
        <f>[1]IG!$K41</f>
        <v>72083.333333333328</v>
      </c>
      <c r="BC41" s="47">
        <f t="shared" si="40"/>
        <v>63224.291666666664</v>
      </c>
      <c r="BD41" s="47">
        <f t="shared" si="41"/>
        <v>8859.0416666666661</v>
      </c>
      <c r="BE41" s="47">
        <f t="shared" si="42"/>
        <v>0</v>
      </c>
      <c r="BF41" s="47">
        <f t="shared" si="43"/>
        <v>0</v>
      </c>
      <c r="BG41" s="45"/>
      <c r="BH41" s="37">
        <f t="shared" si="9"/>
        <v>-1</v>
      </c>
      <c r="BI41" s="46">
        <f>[1]IG!$L41</f>
        <v>72083.333333333328</v>
      </c>
      <c r="BJ41" s="47">
        <f t="shared" si="44"/>
        <v>63224.291666666664</v>
      </c>
      <c r="BK41" s="47">
        <f t="shared" si="45"/>
        <v>8859.0416666666661</v>
      </c>
      <c r="BL41" s="47">
        <f t="shared" si="46"/>
        <v>0</v>
      </c>
      <c r="BM41" s="47">
        <f t="shared" si="47"/>
        <v>0</v>
      </c>
      <c r="BN41" s="46"/>
      <c r="BO41" s="37">
        <f t="shared" si="10"/>
        <v>-1</v>
      </c>
      <c r="BP41" s="46">
        <f>[1]IG!$M41</f>
        <v>72083.333333333328</v>
      </c>
      <c r="BQ41" s="47">
        <f t="shared" si="48"/>
        <v>63224.291666666664</v>
      </c>
      <c r="BR41" s="47">
        <f t="shared" si="49"/>
        <v>8859.0416666666661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3">
        <f>[1]IG!$N41</f>
        <v>72083.333333333328</v>
      </c>
      <c r="BX41" s="44">
        <f t="shared" si="52"/>
        <v>63224.291666666664</v>
      </c>
      <c r="BY41" s="44">
        <f t="shared" si="53"/>
        <v>8859.0416666666661</v>
      </c>
      <c r="BZ41" s="47">
        <f t="shared" si="54"/>
        <v>0</v>
      </c>
      <c r="CA41" s="47">
        <f t="shared" si="55"/>
        <v>0</v>
      </c>
      <c r="CB41" s="45"/>
      <c r="CC41" s="37">
        <f t="shared" si="12"/>
        <v>-1</v>
      </c>
      <c r="CD41" s="46">
        <f>[1]IG!$O41</f>
        <v>72083.333333333328</v>
      </c>
      <c r="CE41" s="47">
        <f t="shared" si="56"/>
        <v>63224.291666666664</v>
      </c>
      <c r="CF41" s="47">
        <f t="shared" si="57"/>
        <v>8859.0416666666661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[1]IG!$P41</f>
        <v>72083.333333333328</v>
      </c>
      <c r="CL41" s="47">
        <f t="shared" si="60"/>
        <v>63224.291666666664</v>
      </c>
      <c r="CM41" s="47">
        <f t="shared" si="61"/>
        <v>8859.0416666666661</v>
      </c>
      <c r="CN41" s="47">
        <f t="shared" si="62"/>
        <v>0</v>
      </c>
      <c r="CO41" s="47">
        <f t="shared" si="63"/>
        <v>0</v>
      </c>
      <c r="CP41" s="45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1384347.6000000003</v>
      </c>
      <c r="C42" s="31">
        <f t="shared" si="64"/>
        <v>1214211.27996</v>
      </c>
      <c r="D42" s="32">
        <f t="shared" si="64"/>
        <v>170136.32003999993</v>
      </c>
      <c r="E42" s="30">
        <f t="shared" si="66"/>
        <v>461449.19999999995</v>
      </c>
      <c r="F42" s="33">
        <f t="shared" si="66"/>
        <v>404737.09331999999</v>
      </c>
      <c r="G42" s="34">
        <f t="shared" si="66"/>
        <v>56712.10667999999</v>
      </c>
      <c r="H42" s="31">
        <f t="shared" si="65"/>
        <v>393335.79643599998</v>
      </c>
      <c r="I42" s="33">
        <f t="shared" si="65"/>
        <v>30471.763564000001</v>
      </c>
      <c r="J42" s="33">
        <f t="shared" si="65"/>
        <v>423807.56</v>
      </c>
      <c r="K42" s="37">
        <f t="shared" si="2"/>
        <v>-8.1572662819655917E-2</v>
      </c>
      <c r="L42" s="36">
        <f>[1]IG!$E42</f>
        <v>115362.29999999999</v>
      </c>
      <c r="M42" s="31">
        <f t="shared" si="16"/>
        <v>101184.27333</v>
      </c>
      <c r="N42" s="31">
        <f t="shared" si="17"/>
        <v>14178.026669999997</v>
      </c>
      <c r="O42" s="31">
        <f t="shared" si="18"/>
        <v>98333.949108999994</v>
      </c>
      <c r="P42" s="31">
        <f t="shared" si="19"/>
        <v>7617.9408910000002</v>
      </c>
      <c r="Q42" s="33">
        <f>105951.89</f>
        <v>105951.89</v>
      </c>
      <c r="R42" s="37">
        <f t="shared" si="3"/>
        <v>-8.1572662819655917E-2</v>
      </c>
      <c r="S42" s="36">
        <f>[1]IG!$F42</f>
        <v>115362.29999999999</v>
      </c>
      <c r="T42" s="31">
        <f t="shared" si="20"/>
        <v>101184.27333</v>
      </c>
      <c r="U42" s="31">
        <f t="shared" si="21"/>
        <v>14178.026669999997</v>
      </c>
      <c r="V42" s="31">
        <f t="shared" si="22"/>
        <v>98333.949108999994</v>
      </c>
      <c r="W42" s="31">
        <f t="shared" si="23"/>
        <v>7617.9408910000002</v>
      </c>
      <c r="X42" s="33">
        <f>105951.89</f>
        <v>105951.89</v>
      </c>
      <c r="Y42" s="37">
        <f t="shared" si="4"/>
        <v>-8.1572662819655917E-2</v>
      </c>
      <c r="Z42" s="36">
        <f>[1]IG!$G42</f>
        <v>115362.29999999999</v>
      </c>
      <c r="AA42" s="31">
        <f t="shared" si="24"/>
        <v>101184.27333</v>
      </c>
      <c r="AB42" s="31">
        <f t="shared" si="25"/>
        <v>14178.026669999997</v>
      </c>
      <c r="AC42" s="31">
        <f t="shared" si="26"/>
        <v>98333.949108999994</v>
      </c>
      <c r="AD42" s="31">
        <f t="shared" si="27"/>
        <v>7617.9408910000002</v>
      </c>
      <c r="AE42" s="33">
        <f>105951.89</f>
        <v>105951.89</v>
      </c>
      <c r="AF42" s="37">
        <f t="shared" si="5"/>
        <v>-8.1572662819655917E-2</v>
      </c>
      <c r="AG42" s="36">
        <f>[1]IG!$H42</f>
        <v>115362.29999999999</v>
      </c>
      <c r="AH42" s="31">
        <f t="shared" si="28"/>
        <v>101184.27333</v>
      </c>
      <c r="AI42" s="31">
        <f t="shared" si="29"/>
        <v>14178.026669999997</v>
      </c>
      <c r="AJ42" s="31">
        <f t="shared" si="30"/>
        <v>98333.949108999994</v>
      </c>
      <c r="AK42" s="31">
        <f t="shared" si="31"/>
        <v>7617.9408910000002</v>
      </c>
      <c r="AL42" s="33">
        <f>105951.89</f>
        <v>105951.89</v>
      </c>
      <c r="AM42" s="37">
        <f t="shared" si="6"/>
        <v>-8.1572662819655917E-2</v>
      </c>
      <c r="AN42" s="36">
        <f>[1]IG!$I42</f>
        <v>115362.29999999999</v>
      </c>
      <c r="AO42" s="31">
        <f t="shared" si="32"/>
        <v>101184.27333</v>
      </c>
      <c r="AP42" s="31">
        <f t="shared" si="33"/>
        <v>14178.026669999997</v>
      </c>
      <c r="AQ42" s="31">
        <f t="shared" si="34"/>
        <v>0</v>
      </c>
      <c r="AR42" s="31">
        <f t="shared" si="35"/>
        <v>0</v>
      </c>
      <c r="AS42" s="33"/>
      <c r="AT42" s="37">
        <f t="shared" si="7"/>
        <v>-1</v>
      </c>
      <c r="AU42" s="36">
        <f>[1]IG!$J42</f>
        <v>115362.29999999999</v>
      </c>
      <c r="AV42" s="31">
        <f t="shared" si="36"/>
        <v>101184.27333</v>
      </c>
      <c r="AW42" s="31">
        <f t="shared" si="37"/>
        <v>14178.026669999997</v>
      </c>
      <c r="AX42" s="31">
        <f t="shared" si="38"/>
        <v>0</v>
      </c>
      <c r="AY42" s="31">
        <f t="shared" si="39"/>
        <v>0</v>
      </c>
      <c r="AZ42" s="27"/>
      <c r="BA42" s="37">
        <f t="shared" si="8"/>
        <v>-1</v>
      </c>
      <c r="BB42" s="36">
        <f>[1]IG!$K42</f>
        <v>115362.29999999999</v>
      </c>
      <c r="BC42" s="31">
        <f t="shared" si="40"/>
        <v>101184.27333</v>
      </c>
      <c r="BD42" s="31">
        <f t="shared" si="41"/>
        <v>14178.026669999997</v>
      </c>
      <c r="BE42" s="31">
        <f t="shared" si="42"/>
        <v>0</v>
      </c>
      <c r="BF42" s="31">
        <f t="shared" si="43"/>
        <v>0</v>
      </c>
      <c r="BG42" s="33"/>
      <c r="BH42" s="37">
        <f t="shared" si="9"/>
        <v>-1</v>
      </c>
      <c r="BI42" s="36">
        <f>[1]IG!$L42</f>
        <v>115362.29999999999</v>
      </c>
      <c r="BJ42" s="31">
        <f t="shared" si="44"/>
        <v>101184.27333</v>
      </c>
      <c r="BK42" s="31">
        <f t="shared" si="45"/>
        <v>14178.026669999997</v>
      </c>
      <c r="BL42" s="31">
        <f t="shared" si="46"/>
        <v>0</v>
      </c>
      <c r="BM42" s="31">
        <f t="shared" si="47"/>
        <v>0</v>
      </c>
      <c r="BN42" s="33"/>
      <c r="BO42" s="37">
        <f t="shared" si="10"/>
        <v>-1</v>
      </c>
      <c r="BP42" s="36">
        <f>[1]IG!$M42</f>
        <v>115362.29999999999</v>
      </c>
      <c r="BQ42" s="31">
        <f t="shared" si="48"/>
        <v>101184.27333</v>
      </c>
      <c r="BR42" s="31">
        <f t="shared" si="49"/>
        <v>14178.026669999997</v>
      </c>
      <c r="BS42" s="31">
        <f t="shared" si="50"/>
        <v>0</v>
      </c>
      <c r="BT42" s="31">
        <f t="shared" si="51"/>
        <v>0</v>
      </c>
      <c r="BU42" s="33"/>
      <c r="BV42" s="37">
        <f t="shared" si="11"/>
        <v>-1</v>
      </c>
      <c r="BW42" s="36">
        <f>[1]IG!$N42</f>
        <v>115362.29999999999</v>
      </c>
      <c r="BX42" s="31">
        <f t="shared" si="52"/>
        <v>101184.27333</v>
      </c>
      <c r="BY42" s="31">
        <f t="shared" si="53"/>
        <v>14178.026669999997</v>
      </c>
      <c r="BZ42" s="31">
        <f t="shared" si="54"/>
        <v>0</v>
      </c>
      <c r="CA42" s="31">
        <f t="shared" si="55"/>
        <v>0</v>
      </c>
      <c r="CB42" s="33"/>
      <c r="CC42" s="37">
        <f t="shared" si="12"/>
        <v>-1</v>
      </c>
      <c r="CD42" s="36">
        <f>[1]IG!$O42</f>
        <v>115362.29999999999</v>
      </c>
      <c r="CE42" s="31">
        <f t="shared" si="56"/>
        <v>101184.27333</v>
      </c>
      <c r="CF42" s="31">
        <f t="shared" si="57"/>
        <v>14178.026669999997</v>
      </c>
      <c r="CG42" s="31">
        <f t="shared" si="58"/>
        <v>0</v>
      </c>
      <c r="CH42" s="31">
        <f t="shared" si="59"/>
        <v>0</v>
      </c>
      <c r="CI42" s="33"/>
      <c r="CJ42" s="37">
        <f t="shared" si="13"/>
        <v>-1</v>
      </c>
      <c r="CK42" s="36">
        <f>[1]IG!$P42</f>
        <v>115362.29999999999</v>
      </c>
      <c r="CL42" s="31">
        <f t="shared" si="60"/>
        <v>101184.27333</v>
      </c>
      <c r="CM42" s="31">
        <f t="shared" si="61"/>
        <v>14178.026669999997</v>
      </c>
      <c r="CN42" s="31">
        <f t="shared" si="62"/>
        <v>0</v>
      </c>
      <c r="CO42" s="31">
        <f t="shared" si="63"/>
        <v>0</v>
      </c>
      <c r="CP42" s="33"/>
      <c r="CQ42" s="37">
        <f t="shared" si="14"/>
        <v>-1</v>
      </c>
    </row>
    <row r="43" spans="1:95" s="26" customFormat="1" ht="16" customHeight="1" x14ac:dyDescent="0.2">
      <c r="A43" s="38" t="s">
        <v>67</v>
      </c>
      <c r="B43" s="30">
        <f t="shared" si="64"/>
        <v>108624</v>
      </c>
      <c r="C43" s="31">
        <f t="shared" si="64"/>
        <v>95274.110400000005</v>
      </c>
      <c r="D43" s="32">
        <f t="shared" si="64"/>
        <v>13349.889599999997</v>
      </c>
      <c r="E43" s="30">
        <f t="shared" si="66"/>
        <v>36208</v>
      </c>
      <c r="F43" s="33">
        <f t="shared" si="66"/>
        <v>31758.036800000002</v>
      </c>
      <c r="G43" s="34">
        <f t="shared" si="66"/>
        <v>4449.9632000000001</v>
      </c>
      <c r="H43" s="31">
        <f t="shared" si="65"/>
        <v>49814.069076999993</v>
      </c>
      <c r="I43" s="33">
        <f t="shared" si="65"/>
        <v>3859.100923</v>
      </c>
      <c r="J43" s="33">
        <f t="shared" si="65"/>
        <v>53673.169999999991</v>
      </c>
      <c r="K43" s="37">
        <f t="shared" si="2"/>
        <v>0.48235666151126799</v>
      </c>
      <c r="L43" s="36">
        <f>[1]IG!$E43</f>
        <v>9052</v>
      </c>
      <c r="M43" s="31">
        <f t="shared" si="16"/>
        <v>7939.5092000000004</v>
      </c>
      <c r="N43" s="31">
        <f t="shared" si="17"/>
        <v>1112.4908</v>
      </c>
      <c r="O43" s="31">
        <f t="shared" si="18"/>
        <v>10111.120483000001</v>
      </c>
      <c r="P43" s="31">
        <f t="shared" si="19"/>
        <v>783.30951700000003</v>
      </c>
      <c r="Q43" s="33">
        <f>10894.43</f>
        <v>10894.43</v>
      </c>
      <c r="R43" s="37">
        <f t="shared" si="3"/>
        <v>0.20353844454264247</v>
      </c>
      <c r="S43" s="36">
        <f>[1]IG!$F43</f>
        <v>9052</v>
      </c>
      <c r="T43" s="31">
        <f t="shared" si="20"/>
        <v>7939.5092000000004</v>
      </c>
      <c r="U43" s="31">
        <f t="shared" si="21"/>
        <v>1112.4908</v>
      </c>
      <c r="V43" s="31">
        <f t="shared" si="22"/>
        <v>20850.508979999999</v>
      </c>
      <c r="W43" s="31">
        <f t="shared" si="23"/>
        <v>1615.2910200000001</v>
      </c>
      <c r="X43" s="33">
        <f>22465.8</f>
        <v>22465.8</v>
      </c>
      <c r="Y43" s="37">
        <f t="shared" si="4"/>
        <v>1.4818603623508615</v>
      </c>
      <c r="Z43" s="36">
        <f>[1]IG!$G43</f>
        <v>9052</v>
      </c>
      <c r="AA43" s="31">
        <f t="shared" si="24"/>
        <v>7939.5092000000004</v>
      </c>
      <c r="AB43" s="31">
        <f t="shared" si="25"/>
        <v>1112.4908</v>
      </c>
      <c r="AC43" s="31">
        <f t="shared" si="26"/>
        <v>9041.373861</v>
      </c>
      <c r="AD43" s="31">
        <f t="shared" si="27"/>
        <v>700.43613900000003</v>
      </c>
      <c r="AE43" s="33">
        <f>9741.81</f>
        <v>9741.81</v>
      </c>
      <c r="AF43" s="37">
        <f t="shared" si="5"/>
        <v>7.6205258506407469E-2</v>
      </c>
      <c r="AG43" s="36">
        <f>[1]IG!$H43</f>
        <v>9052</v>
      </c>
      <c r="AH43" s="31">
        <f t="shared" si="28"/>
        <v>7939.5092000000004</v>
      </c>
      <c r="AI43" s="31">
        <f t="shared" si="29"/>
        <v>1112.4908</v>
      </c>
      <c r="AJ43" s="31">
        <f t="shared" si="30"/>
        <v>9811.0657529999989</v>
      </c>
      <c r="AK43" s="31">
        <f t="shared" si="31"/>
        <v>760.06424700000002</v>
      </c>
      <c r="AL43" s="33">
        <f>10571.13</f>
        <v>10571.13</v>
      </c>
      <c r="AM43" s="37">
        <f t="shared" si="6"/>
        <v>0.1678225806451612</v>
      </c>
      <c r="AN43" s="36">
        <f>[1]IG!$I43</f>
        <v>9052</v>
      </c>
      <c r="AO43" s="31">
        <f t="shared" si="32"/>
        <v>7939.5092000000004</v>
      </c>
      <c r="AP43" s="31">
        <f t="shared" si="33"/>
        <v>1112.4908</v>
      </c>
      <c r="AQ43" s="31">
        <f t="shared" si="34"/>
        <v>0</v>
      </c>
      <c r="AR43" s="31">
        <f t="shared" si="35"/>
        <v>0</v>
      </c>
      <c r="AS43" s="33"/>
      <c r="AT43" s="37">
        <f t="shared" si="7"/>
        <v>-1</v>
      </c>
      <c r="AU43" s="36">
        <f>[1]IG!$J43</f>
        <v>9052</v>
      </c>
      <c r="AV43" s="31">
        <f t="shared" si="36"/>
        <v>7939.5092000000004</v>
      </c>
      <c r="AW43" s="31">
        <f t="shared" si="37"/>
        <v>1112.4908</v>
      </c>
      <c r="AX43" s="31">
        <f t="shared" si="38"/>
        <v>0</v>
      </c>
      <c r="AY43" s="31">
        <f t="shared" si="39"/>
        <v>0</v>
      </c>
      <c r="AZ43" s="27"/>
      <c r="BA43" s="37">
        <f t="shared" si="8"/>
        <v>-1</v>
      </c>
      <c r="BB43" s="36">
        <f>[1]IG!$K43</f>
        <v>9052</v>
      </c>
      <c r="BC43" s="31">
        <f t="shared" si="40"/>
        <v>7939.5092000000004</v>
      </c>
      <c r="BD43" s="31">
        <f t="shared" si="41"/>
        <v>1112.4908</v>
      </c>
      <c r="BE43" s="31">
        <f t="shared" si="42"/>
        <v>0</v>
      </c>
      <c r="BF43" s="31">
        <f t="shared" si="43"/>
        <v>0</v>
      </c>
      <c r="BG43" s="33"/>
      <c r="BH43" s="37">
        <f t="shared" si="9"/>
        <v>-1</v>
      </c>
      <c r="BI43" s="36">
        <f>[1]IG!$L43</f>
        <v>9052</v>
      </c>
      <c r="BJ43" s="31">
        <f t="shared" si="44"/>
        <v>7939.5092000000004</v>
      </c>
      <c r="BK43" s="31">
        <f t="shared" si="45"/>
        <v>1112.4908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[1]IG!$M43</f>
        <v>9052</v>
      </c>
      <c r="BQ43" s="31">
        <f t="shared" si="48"/>
        <v>7939.5092000000004</v>
      </c>
      <c r="BR43" s="31">
        <f t="shared" si="49"/>
        <v>1112.4908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[1]IG!$N43</f>
        <v>9052</v>
      </c>
      <c r="BX43" s="31">
        <f t="shared" si="52"/>
        <v>7939.5092000000004</v>
      </c>
      <c r="BY43" s="31">
        <f t="shared" si="53"/>
        <v>1112.4908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[1]IG!$O43</f>
        <v>9052</v>
      </c>
      <c r="CE43" s="31">
        <f t="shared" si="56"/>
        <v>7939.5092000000004</v>
      </c>
      <c r="CF43" s="31">
        <f t="shared" si="57"/>
        <v>1112.4908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[1]IG!$P43</f>
        <v>9052</v>
      </c>
      <c r="CL43" s="31">
        <f t="shared" si="60"/>
        <v>7939.5092000000004</v>
      </c>
      <c r="CM43" s="31">
        <f t="shared" si="61"/>
        <v>1112.4908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[1]IG!$E44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[1]IG!$F44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[1]IG!$G44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33"/>
      <c r="AF44" s="37" t="str">
        <f t="shared" si="5"/>
        <v/>
      </c>
      <c r="AG44" s="36">
        <f>[1]IG!$H44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33"/>
      <c r="AM44" s="37" t="str">
        <f t="shared" si="6"/>
        <v/>
      </c>
      <c r="AN44" s="36">
        <f>[1]IG!$I44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7"/>
        <v/>
      </c>
      <c r="AU44" s="36">
        <f>[1]IG!$J44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27"/>
      <c r="BA44" s="37" t="str">
        <f t="shared" si="8"/>
        <v/>
      </c>
      <c r="BB44" s="36">
        <f>[1]IG!$K44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9"/>
        <v/>
      </c>
      <c r="BI44" s="36">
        <f>[1]IG!$L44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[1]IG!$M44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[1]IG!$N44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[1]IG!$O44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[1]IG!$P44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[1]IG!$E45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[1]IG!$F45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[1]IG!$G45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33"/>
      <c r="AF45" s="37" t="str">
        <f t="shared" si="5"/>
        <v/>
      </c>
      <c r="AG45" s="36">
        <f>[1]IG!$H45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33"/>
      <c r="AM45" s="37" t="str">
        <f t="shared" si="6"/>
        <v/>
      </c>
      <c r="AN45" s="36">
        <f>[1]IG!$I45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7"/>
        <v/>
      </c>
      <c r="AU45" s="36">
        <f>[1]IG!$J45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27"/>
      <c r="BA45" s="37" t="str">
        <f t="shared" si="8"/>
        <v/>
      </c>
      <c r="BB45" s="36">
        <f>[1]IG!$K45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9"/>
        <v/>
      </c>
      <c r="BI45" s="36">
        <f>[1]IG!$L45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[1]IG!$M45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[1]IG!$N45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[1]IG!$O45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[1]IG!$P45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[1]IG!$E46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[1]IG!$F46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[1]IG!$G46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33"/>
      <c r="AF46" s="37" t="str">
        <f t="shared" si="5"/>
        <v/>
      </c>
      <c r="AG46" s="36">
        <f>[1]IG!$H46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33"/>
      <c r="AM46" s="37" t="str">
        <f t="shared" si="6"/>
        <v/>
      </c>
      <c r="AN46" s="36">
        <f>[1]IG!$I46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7"/>
        <v/>
      </c>
      <c r="AU46" s="36">
        <f>[1]IG!$J46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27"/>
      <c r="BA46" s="37" t="str">
        <f t="shared" si="8"/>
        <v/>
      </c>
      <c r="BB46" s="36">
        <f>[1]IG!$K46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9"/>
        <v/>
      </c>
      <c r="BI46" s="36">
        <f>[1]IG!$L46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[1]IG!$M46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[1]IG!$N46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[1]IG!$O46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[1]IG!$P46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[1]IG!$E47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[1]IG!$F47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[1]IG!$G47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33"/>
      <c r="AF47" s="37" t="str">
        <f t="shared" si="5"/>
        <v/>
      </c>
      <c r="AG47" s="36">
        <f>[1]IG!$H47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33"/>
      <c r="AM47" s="37" t="str">
        <f t="shared" si="6"/>
        <v/>
      </c>
      <c r="AN47" s="36">
        <f>[1]IG!$I47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7"/>
        <v/>
      </c>
      <c r="AU47" s="36">
        <f>[1]IG!$J47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27"/>
      <c r="BA47" s="37" t="str">
        <f t="shared" si="8"/>
        <v/>
      </c>
      <c r="BB47" s="36">
        <f>[1]IG!$K47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9"/>
        <v/>
      </c>
      <c r="BI47" s="36">
        <f>[1]IG!$L47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[1]IG!$M47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[1]IG!$N47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[1]IG!$O47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[1]IG!$P47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60000</v>
      </c>
      <c r="C48" s="31">
        <f t="shared" si="64"/>
        <v>52626</v>
      </c>
      <c r="D48" s="32">
        <f t="shared" si="64"/>
        <v>7374</v>
      </c>
      <c r="E48" s="30">
        <f t="shared" si="66"/>
        <v>20000</v>
      </c>
      <c r="F48" s="33">
        <f t="shared" si="66"/>
        <v>17542</v>
      </c>
      <c r="G48" s="34">
        <f t="shared" si="66"/>
        <v>2458</v>
      </c>
      <c r="H48" s="31">
        <f t="shared" si="65"/>
        <v>8086.5445809999992</v>
      </c>
      <c r="I48" s="33">
        <f t="shared" si="65"/>
        <v>626.46541900000011</v>
      </c>
      <c r="J48" s="33">
        <f t="shared" si="65"/>
        <v>8713.01</v>
      </c>
      <c r="K48" s="37">
        <f t="shared" si="2"/>
        <v>-0.56434950000000006</v>
      </c>
      <c r="L48" s="36">
        <f>[1]IG!$E48</f>
        <v>5000</v>
      </c>
      <c r="M48" s="31">
        <f t="shared" si="16"/>
        <v>4385.5</v>
      </c>
      <c r="N48" s="31">
        <f t="shared" si="17"/>
        <v>614.5</v>
      </c>
      <c r="O48" s="31">
        <f t="shared" si="18"/>
        <v>855.80101000000002</v>
      </c>
      <c r="P48" s="31">
        <f t="shared" si="19"/>
        <v>66.298990000000003</v>
      </c>
      <c r="Q48" s="33">
        <f>922.1</f>
        <v>922.1</v>
      </c>
      <c r="R48" s="37">
        <f t="shared" si="3"/>
        <v>-0.81557999999999997</v>
      </c>
      <c r="S48" s="36">
        <f>[1]IG!$F48</f>
        <v>5000</v>
      </c>
      <c r="T48" s="31">
        <f t="shared" si="20"/>
        <v>4385.5</v>
      </c>
      <c r="U48" s="31">
        <f t="shared" si="21"/>
        <v>614.5</v>
      </c>
      <c r="V48" s="31">
        <f t="shared" si="22"/>
        <v>3200.7384699999998</v>
      </c>
      <c r="W48" s="31">
        <f t="shared" si="23"/>
        <v>247.96153000000001</v>
      </c>
      <c r="X48" s="33">
        <f>3448.7</f>
        <v>3448.7</v>
      </c>
      <c r="Y48" s="37">
        <f t="shared" si="4"/>
        <v>-0.31026000000000009</v>
      </c>
      <c r="Z48" s="36">
        <f>[1]IG!$G48</f>
        <v>5000</v>
      </c>
      <c r="AA48" s="31">
        <f t="shared" si="24"/>
        <v>4385.5</v>
      </c>
      <c r="AB48" s="31">
        <f t="shared" si="25"/>
        <v>614.5</v>
      </c>
      <c r="AC48" s="31">
        <f t="shared" si="26"/>
        <v>3618.8568009999999</v>
      </c>
      <c r="AD48" s="31">
        <f t="shared" si="27"/>
        <v>280.35319900000002</v>
      </c>
      <c r="AE48" s="33">
        <f>3899.21</f>
        <v>3899.21</v>
      </c>
      <c r="AF48" s="37">
        <f t="shared" si="5"/>
        <v>-0.22015799999999996</v>
      </c>
      <c r="AG48" s="36">
        <f>[1]IG!$H48</f>
        <v>5000</v>
      </c>
      <c r="AH48" s="31">
        <f t="shared" si="28"/>
        <v>4385.5</v>
      </c>
      <c r="AI48" s="31">
        <f t="shared" si="29"/>
        <v>614.5</v>
      </c>
      <c r="AJ48" s="31">
        <f t="shared" si="30"/>
        <v>411.14830000000001</v>
      </c>
      <c r="AK48" s="31">
        <f t="shared" si="31"/>
        <v>31.851700000000001</v>
      </c>
      <c r="AL48" s="33">
        <f>443</f>
        <v>443</v>
      </c>
      <c r="AM48" s="37">
        <f t="shared" si="6"/>
        <v>-0.91139999999999999</v>
      </c>
      <c r="AN48" s="36">
        <f>[1]IG!$I48</f>
        <v>5000</v>
      </c>
      <c r="AO48" s="31">
        <f t="shared" si="32"/>
        <v>4385.5</v>
      </c>
      <c r="AP48" s="31">
        <f t="shared" si="33"/>
        <v>614.5</v>
      </c>
      <c r="AQ48" s="31">
        <f t="shared" si="34"/>
        <v>0</v>
      </c>
      <c r="AR48" s="31">
        <f t="shared" si="35"/>
        <v>0</v>
      </c>
      <c r="AS48" s="33"/>
      <c r="AT48" s="37">
        <f t="shared" si="7"/>
        <v>-1</v>
      </c>
      <c r="AU48" s="36">
        <f>[1]IG!$J48</f>
        <v>5000</v>
      </c>
      <c r="AV48" s="31">
        <f t="shared" si="36"/>
        <v>4385.5</v>
      </c>
      <c r="AW48" s="31">
        <f t="shared" si="37"/>
        <v>614.5</v>
      </c>
      <c r="AX48" s="31">
        <f t="shared" si="38"/>
        <v>0</v>
      </c>
      <c r="AY48" s="31">
        <f t="shared" si="39"/>
        <v>0</v>
      </c>
      <c r="AZ48" s="27"/>
      <c r="BA48" s="37">
        <f t="shared" si="8"/>
        <v>-1</v>
      </c>
      <c r="BB48" s="36">
        <f>[1]IG!$K48</f>
        <v>5000</v>
      </c>
      <c r="BC48" s="31">
        <f t="shared" si="40"/>
        <v>4385.5</v>
      </c>
      <c r="BD48" s="31">
        <f t="shared" si="41"/>
        <v>614.5</v>
      </c>
      <c r="BE48" s="31">
        <f t="shared" si="42"/>
        <v>0</v>
      </c>
      <c r="BF48" s="31">
        <f t="shared" si="43"/>
        <v>0</v>
      </c>
      <c r="BG48" s="33"/>
      <c r="BH48" s="37">
        <f t="shared" si="9"/>
        <v>-1</v>
      </c>
      <c r="BI48" s="36">
        <f>[1]IG!$L48</f>
        <v>5000</v>
      </c>
      <c r="BJ48" s="31">
        <f t="shared" si="44"/>
        <v>4385.5</v>
      </c>
      <c r="BK48" s="31">
        <f t="shared" si="45"/>
        <v>614.5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[1]IG!$M48</f>
        <v>5000</v>
      </c>
      <c r="BQ48" s="31">
        <f t="shared" si="48"/>
        <v>4385.5</v>
      </c>
      <c r="BR48" s="31">
        <f t="shared" si="49"/>
        <v>614.5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[1]IG!$N48</f>
        <v>5000</v>
      </c>
      <c r="BX48" s="31">
        <f t="shared" si="52"/>
        <v>4385.5</v>
      </c>
      <c r="BY48" s="31">
        <f t="shared" si="53"/>
        <v>614.5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[1]IG!$O48</f>
        <v>5000</v>
      </c>
      <c r="CE48" s="31">
        <f t="shared" si="56"/>
        <v>4385.5</v>
      </c>
      <c r="CF48" s="31">
        <f t="shared" si="57"/>
        <v>614.5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[1]IG!$P48</f>
        <v>5000</v>
      </c>
      <c r="CL48" s="31">
        <f t="shared" si="60"/>
        <v>4385.5</v>
      </c>
      <c r="CM48" s="31">
        <f t="shared" si="61"/>
        <v>614.5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314400</v>
      </c>
      <c r="C49" s="31">
        <f t="shared" si="64"/>
        <v>275760.23999999993</v>
      </c>
      <c r="D49" s="32">
        <f t="shared" si="64"/>
        <v>38639.760000000002</v>
      </c>
      <c r="E49" s="30">
        <f t="shared" si="66"/>
        <v>104800</v>
      </c>
      <c r="F49" s="33">
        <f t="shared" si="66"/>
        <v>91920.08</v>
      </c>
      <c r="G49" s="34">
        <f t="shared" si="66"/>
        <v>12879.92</v>
      </c>
      <c r="H49" s="31">
        <f t="shared" si="65"/>
        <v>98734.990399999995</v>
      </c>
      <c r="I49" s="33">
        <f t="shared" si="65"/>
        <v>7649.0096000000003</v>
      </c>
      <c r="J49" s="33">
        <f t="shared" si="65"/>
        <v>106383.99999999999</v>
      </c>
      <c r="K49" s="37">
        <f t="shared" si="2"/>
        <v>1.511450381679369E-2</v>
      </c>
      <c r="L49" s="36">
        <f>[1]IG!$E49</f>
        <v>26200</v>
      </c>
      <c r="M49" s="31">
        <f t="shared" si="16"/>
        <v>22980.02</v>
      </c>
      <c r="N49" s="31">
        <f t="shared" si="17"/>
        <v>3219.98</v>
      </c>
      <c r="O49" s="31">
        <f t="shared" si="18"/>
        <v>32409.80885999999</v>
      </c>
      <c r="P49" s="31">
        <f t="shared" si="19"/>
        <v>2510.7911399999994</v>
      </c>
      <c r="Q49" s="33">
        <f>R87</f>
        <v>34920.599999999991</v>
      </c>
      <c r="R49" s="37">
        <f t="shared" si="3"/>
        <v>0.33284732824427454</v>
      </c>
      <c r="S49" s="36">
        <f>[1]IG!$F49</f>
        <v>26200</v>
      </c>
      <c r="T49" s="31">
        <f t="shared" si="20"/>
        <v>22980.02</v>
      </c>
      <c r="U49" s="31">
        <f t="shared" si="21"/>
        <v>3219.98</v>
      </c>
      <c r="V49" s="31">
        <f t="shared" si="22"/>
        <v>25218.620911000002</v>
      </c>
      <c r="W49" s="31">
        <f t="shared" si="23"/>
        <v>1953.6890890000002</v>
      </c>
      <c r="X49" s="33">
        <f>Y87</f>
        <v>27172.31</v>
      </c>
      <c r="Y49" s="37">
        <f t="shared" si="4"/>
        <v>3.7111068702290195E-2</v>
      </c>
      <c r="Z49" s="36">
        <f>[1]IG!$G49</f>
        <v>26200</v>
      </c>
      <c r="AA49" s="31">
        <f t="shared" si="24"/>
        <v>22980.02</v>
      </c>
      <c r="AB49" s="31">
        <f t="shared" si="25"/>
        <v>3219.98</v>
      </c>
      <c r="AC49" s="31">
        <f t="shared" si="26"/>
        <v>21462.628054000001</v>
      </c>
      <c r="AD49" s="31">
        <f t="shared" si="27"/>
        <v>1662.7119460000001</v>
      </c>
      <c r="AE49" s="33">
        <f>AF87</f>
        <v>23125.34</v>
      </c>
      <c r="AF49" s="37">
        <f t="shared" si="5"/>
        <v>-0.1173534351145038</v>
      </c>
      <c r="AG49" s="36">
        <f>[1]IG!$H49</f>
        <v>26200</v>
      </c>
      <c r="AH49" s="31">
        <f t="shared" si="28"/>
        <v>22980.02</v>
      </c>
      <c r="AI49" s="31">
        <f t="shared" si="29"/>
        <v>3219.98</v>
      </c>
      <c r="AJ49" s="31">
        <f t="shared" si="30"/>
        <v>19643.932574999995</v>
      </c>
      <c r="AK49" s="31">
        <f t="shared" si="31"/>
        <v>1521.817425</v>
      </c>
      <c r="AL49" s="33">
        <f>AM87</f>
        <v>21165.749999999996</v>
      </c>
      <c r="AM49" s="37">
        <f t="shared" si="6"/>
        <v>-0.19214694656488562</v>
      </c>
      <c r="AN49" s="36">
        <f>[1]IG!$I49</f>
        <v>26200</v>
      </c>
      <c r="AO49" s="31">
        <f t="shared" si="32"/>
        <v>22980.02</v>
      </c>
      <c r="AP49" s="31">
        <f t="shared" si="33"/>
        <v>3219.98</v>
      </c>
      <c r="AQ49" s="31">
        <f t="shared" si="34"/>
        <v>0</v>
      </c>
      <c r="AR49" s="31">
        <f t="shared" si="35"/>
        <v>0</v>
      </c>
      <c r="AS49" s="33"/>
      <c r="AT49" s="37">
        <f t="shared" si="7"/>
        <v>-1</v>
      </c>
      <c r="AU49" s="36">
        <f>[1]IG!$J49</f>
        <v>26200</v>
      </c>
      <c r="AV49" s="31">
        <f t="shared" si="36"/>
        <v>22980.02</v>
      </c>
      <c r="AW49" s="31">
        <f t="shared" si="37"/>
        <v>3219.98</v>
      </c>
      <c r="AX49" s="31">
        <f t="shared" si="38"/>
        <v>0</v>
      </c>
      <c r="AY49" s="31">
        <f t="shared" si="39"/>
        <v>0</v>
      </c>
      <c r="AZ49" s="27"/>
      <c r="BA49" s="37">
        <f t="shared" si="8"/>
        <v>-1</v>
      </c>
      <c r="BB49" s="36">
        <f>[1]IG!$K49</f>
        <v>26200</v>
      </c>
      <c r="BC49" s="31">
        <f t="shared" si="40"/>
        <v>22980.02</v>
      </c>
      <c r="BD49" s="31">
        <f t="shared" si="41"/>
        <v>3219.98</v>
      </c>
      <c r="BE49" s="31">
        <f t="shared" si="42"/>
        <v>0</v>
      </c>
      <c r="BF49" s="31">
        <f t="shared" si="43"/>
        <v>0</v>
      </c>
      <c r="BG49" s="33"/>
      <c r="BH49" s="37">
        <f t="shared" si="9"/>
        <v>-1</v>
      </c>
      <c r="BI49" s="36">
        <f>[1]IG!$L49</f>
        <v>26200</v>
      </c>
      <c r="BJ49" s="31">
        <f t="shared" si="44"/>
        <v>22980.02</v>
      </c>
      <c r="BK49" s="31">
        <f t="shared" si="45"/>
        <v>3219.98</v>
      </c>
      <c r="BL49" s="31">
        <f t="shared" si="46"/>
        <v>0</v>
      </c>
      <c r="BM49" s="31">
        <f t="shared" si="47"/>
        <v>0</v>
      </c>
      <c r="BN49" s="33"/>
      <c r="BO49" s="37">
        <f t="shared" si="10"/>
        <v>-1</v>
      </c>
      <c r="BP49" s="36">
        <f>[1]IG!$M49</f>
        <v>26200</v>
      </c>
      <c r="BQ49" s="31">
        <f t="shared" si="48"/>
        <v>22980.02</v>
      </c>
      <c r="BR49" s="31">
        <f t="shared" si="49"/>
        <v>3219.98</v>
      </c>
      <c r="BS49" s="31">
        <f t="shared" si="50"/>
        <v>0</v>
      </c>
      <c r="BT49" s="31">
        <f t="shared" si="51"/>
        <v>0</v>
      </c>
      <c r="BU49" s="33"/>
      <c r="BV49" s="37">
        <f t="shared" si="11"/>
        <v>-1</v>
      </c>
      <c r="BW49" s="36">
        <f>[1]IG!$N49</f>
        <v>26200</v>
      </c>
      <c r="BX49" s="31">
        <f t="shared" si="52"/>
        <v>22980.02</v>
      </c>
      <c r="BY49" s="31">
        <f t="shared" si="53"/>
        <v>3219.98</v>
      </c>
      <c r="BZ49" s="31">
        <f t="shared" si="54"/>
        <v>0</v>
      </c>
      <c r="CA49" s="31">
        <f t="shared" si="55"/>
        <v>0</v>
      </c>
      <c r="CB49" s="33"/>
      <c r="CC49" s="37">
        <f t="shared" si="12"/>
        <v>-1</v>
      </c>
      <c r="CD49" s="36">
        <f>[1]IG!$O49</f>
        <v>26200</v>
      </c>
      <c r="CE49" s="31">
        <f t="shared" si="56"/>
        <v>22980.02</v>
      </c>
      <c r="CF49" s="31">
        <f t="shared" si="57"/>
        <v>3219.98</v>
      </c>
      <c r="CG49" s="31">
        <f t="shared" si="58"/>
        <v>0</v>
      </c>
      <c r="CH49" s="31">
        <f t="shared" si="59"/>
        <v>0</v>
      </c>
      <c r="CI49" s="33"/>
      <c r="CJ49" s="37">
        <f t="shared" si="13"/>
        <v>-1</v>
      </c>
      <c r="CK49" s="36">
        <f>[1]IG!$P49</f>
        <v>26200</v>
      </c>
      <c r="CL49" s="31">
        <f t="shared" si="60"/>
        <v>22980.02</v>
      </c>
      <c r="CM49" s="31">
        <f t="shared" si="61"/>
        <v>3219.98</v>
      </c>
      <c r="CN49" s="31">
        <f t="shared" si="62"/>
        <v>0</v>
      </c>
      <c r="CO49" s="31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12921.399999999996</v>
      </c>
      <c r="C50" s="31">
        <f t="shared" si="64"/>
        <v>11333.35994</v>
      </c>
      <c r="D50" s="32">
        <f t="shared" si="64"/>
        <v>1588.04006</v>
      </c>
      <c r="E50" s="30">
        <f t="shared" si="66"/>
        <v>4307.1333333333332</v>
      </c>
      <c r="F50" s="33">
        <f t="shared" si="66"/>
        <v>3777.7866466666665</v>
      </c>
      <c r="G50" s="34">
        <f t="shared" si="66"/>
        <v>529.34668666666664</v>
      </c>
      <c r="H50" s="31">
        <f t="shared" si="65"/>
        <v>4808.5139429999999</v>
      </c>
      <c r="I50" s="33">
        <f t="shared" si="65"/>
        <v>372.51605699999999</v>
      </c>
      <c r="J50" s="33">
        <f t="shared" si="65"/>
        <v>5181.0300000000007</v>
      </c>
      <c r="K50" s="37">
        <f t="shared" si="2"/>
        <v>0.20289519711486381</v>
      </c>
      <c r="L50" s="36">
        <f>[1]IG!$E50</f>
        <v>1076.7833333333333</v>
      </c>
      <c r="M50" s="28">
        <f t="shared" si="16"/>
        <v>944.44666166666661</v>
      </c>
      <c r="N50" s="28">
        <f t="shared" si="17"/>
        <v>132.33667166666666</v>
      </c>
      <c r="O50" s="28">
        <f t="shared" si="18"/>
        <v>934.38323700000001</v>
      </c>
      <c r="P50" s="28">
        <f t="shared" si="19"/>
        <v>72.386763000000002</v>
      </c>
      <c r="Q50" s="151">
        <f>1006.77</f>
        <v>1006.77</v>
      </c>
      <c r="R50" s="37">
        <f t="shared" si="3"/>
        <v>-6.5020818177596862E-2</v>
      </c>
      <c r="S50" s="36">
        <f>[1]IG!$F50</f>
        <v>1076.7833333333333</v>
      </c>
      <c r="T50" s="28">
        <f t="shared" si="20"/>
        <v>944.44666166666661</v>
      </c>
      <c r="U50" s="28">
        <f t="shared" si="21"/>
        <v>132.33667166666666</v>
      </c>
      <c r="V50" s="28">
        <f t="shared" si="22"/>
        <v>1082.0903520000002</v>
      </c>
      <c r="W50" s="28">
        <f t="shared" si="23"/>
        <v>83.829648000000006</v>
      </c>
      <c r="X50" s="151">
        <f>1165.92</f>
        <v>1165.92</v>
      </c>
      <c r="Y50" s="37">
        <f t="shared" si="4"/>
        <v>8.2780503660594196E-2</v>
      </c>
      <c r="Z50" s="36">
        <f>[1]IG!$G50</f>
        <v>1076.7833333333333</v>
      </c>
      <c r="AA50" s="28">
        <f t="shared" si="24"/>
        <v>944.44666166666661</v>
      </c>
      <c r="AB50" s="28">
        <f t="shared" si="25"/>
        <v>132.33667166666666</v>
      </c>
      <c r="AC50" s="28">
        <f t="shared" si="26"/>
        <v>1908.3963439999998</v>
      </c>
      <c r="AD50" s="28">
        <f t="shared" si="27"/>
        <v>147.84365600000001</v>
      </c>
      <c r="AE50" s="151">
        <f>2056.24</f>
        <v>2056.2399999999998</v>
      </c>
      <c r="AF50" s="37">
        <f t="shared" si="5"/>
        <v>0.90961350937204921</v>
      </c>
      <c r="AG50" s="36">
        <f>[1]IG!$H50</f>
        <v>1076.7833333333333</v>
      </c>
      <c r="AH50" s="28">
        <f t="shared" si="28"/>
        <v>944.44666166666661</v>
      </c>
      <c r="AI50" s="28">
        <f t="shared" si="29"/>
        <v>132.33667166666666</v>
      </c>
      <c r="AJ50" s="28">
        <f t="shared" si="30"/>
        <v>883.64400999999998</v>
      </c>
      <c r="AK50" s="28">
        <f t="shared" si="31"/>
        <v>68.45599</v>
      </c>
      <c r="AL50" s="151">
        <f>952.1</f>
        <v>952.1</v>
      </c>
      <c r="AM50" s="37">
        <f t="shared" si="6"/>
        <v>-0.11579240639559174</v>
      </c>
      <c r="AN50" s="36">
        <f>[1]IG!$I50</f>
        <v>1076.7833333333333</v>
      </c>
      <c r="AO50" s="28">
        <f t="shared" si="32"/>
        <v>944.44666166666661</v>
      </c>
      <c r="AP50" s="28">
        <f t="shared" si="33"/>
        <v>132.33667166666666</v>
      </c>
      <c r="AQ50" s="28">
        <f t="shared" si="34"/>
        <v>0</v>
      </c>
      <c r="AR50" s="28">
        <f t="shared" si="35"/>
        <v>0</v>
      </c>
      <c r="AS50" s="151"/>
      <c r="AT50" s="37">
        <f t="shared" si="7"/>
        <v>-1</v>
      </c>
      <c r="AU50" s="36">
        <f>[1]IG!$J50</f>
        <v>1076.7833333333333</v>
      </c>
      <c r="AV50" s="28">
        <f t="shared" si="36"/>
        <v>944.44666166666661</v>
      </c>
      <c r="AW50" s="28">
        <f t="shared" si="37"/>
        <v>132.33667166666666</v>
      </c>
      <c r="AX50" s="28">
        <f t="shared" si="38"/>
        <v>0</v>
      </c>
      <c r="AY50" s="28">
        <f t="shared" si="39"/>
        <v>0</v>
      </c>
      <c r="AZ50" s="153"/>
      <c r="BA50" s="37">
        <f t="shared" si="8"/>
        <v>-1</v>
      </c>
      <c r="BB50" s="36">
        <f>[1]IG!$K50</f>
        <v>1076.7833333333333</v>
      </c>
      <c r="BC50" s="28">
        <f t="shared" si="40"/>
        <v>944.44666166666661</v>
      </c>
      <c r="BD50" s="28">
        <f t="shared" si="41"/>
        <v>132.33667166666666</v>
      </c>
      <c r="BE50" s="28">
        <f t="shared" si="42"/>
        <v>0</v>
      </c>
      <c r="BF50" s="28">
        <f t="shared" si="43"/>
        <v>0</v>
      </c>
      <c r="BG50" s="151"/>
      <c r="BH50" s="37">
        <f t="shared" si="9"/>
        <v>-1</v>
      </c>
      <c r="BI50" s="36">
        <f>[1]IG!$L50</f>
        <v>1076.7833333333333</v>
      </c>
      <c r="BJ50" s="28">
        <f t="shared" si="44"/>
        <v>944.44666166666661</v>
      </c>
      <c r="BK50" s="28">
        <f t="shared" si="45"/>
        <v>132.33667166666666</v>
      </c>
      <c r="BL50" s="28">
        <f t="shared" si="46"/>
        <v>0</v>
      </c>
      <c r="BM50" s="28">
        <f t="shared" si="47"/>
        <v>0</v>
      </c>
      <c r="BN50" s="151"/>
      <c r="BO50" s="37">
        <f t="shared" si="10"/>
        <v>-1</v>
      </c>
      <c r="BP50" s="36">
        <f>[1]IG!$M50</f>
        <v>1076.7833333333333</v>
      </c>
      <c r="BQ50" s="28">
        <f t="shared" si="48"/>
        <v>944.44666166666661</v>
      </c>
      <c r="BR50" s="28">
        <f t="shared" si="49"/>
        <v>132.33667166666666</v>
      </c>
      <c r="BS50" s="28">
        <f t="shared" si="50"/>
        <v>0</v>
      </c>
      <c r="BT50" s="28">
        <f t="shared" si="51"/>
        <v>0</v>
      </c>
      <c r="BU50" s="151"/>
      <c r="BV50" s="37">
        <f t="shared" si="11"/>
        <v>-1</v>
      </c>
      <c r="BW50" s="36">
        <f>[1]IG!$N50</f>
        <v>1076.7833333333333</v>
      </c>
      <c r="BX50" s="28">
        <f t="shared" si="52"/>
        <v>944.44666166666661</v>
      </c>
      <c r="BY50" s="28">
        <f t="shared" si="53"/>
        <v>132.33667166666666</v>
      </c>
      <c r="BZ50" s="28">
        <f t="shared" si="54"/>
        <v>0</v>
      </c>
      <c r="CA50" s="28">
        <f t="shared" si="55"/>
        <v>0</v>
      </c>
      <c r="CB50" s="151"/>
      <c r="CC50" s="37">
        <f t="shared" si="12"/>
        <v>-1</v>
      </c>
      <c r="CD50" s="36">
        <f>[1]IG!$O50</f>
        <v>1076.7833333333333</v>
      </c>
      <c r="CE50" s="28">
        <f t="shared" si="56"/>
        <v>944.44666166666661</v>
      </c>
      <c r="CF50" s="28">
        <f t="shared" si="57"/>
        <v>132.33667166666666</v>
      </c>
      <c r="CG50" s="28">
        <f t="shared" si="58"/>
        <v>0</v>
      </c>
      <c r="CH50" s="28">
        <f t="shared" si="59"/>
        <v>0</v>
      </c>
      <c r="CI50" s="151"/>
      <c r="CJ50" s="37">
        <f t="shared" si="13"/>
        <v>-1</v>
      </c>
      <c r="CK50" s="36">
        <f>[1]IG!$P50</f>
        <v>1076.7833333333333</v>
      </c>
      <c r="CL50" s="28">
        <f t="shared" si="60"/>
        <v>944.44666166666661</v>
      </c>
      <c r="CM50" s="28">
        <f t="shared" si="61"/>
        <v>132.33667166666666</v>
      </c>
      <c r="CN50" s="28">
        <f t="shared" si="62"/>
        <v>0</v>
      </c>
      <c r="CO50" s="28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9711.8948999999993</v>
      </c>
      <c r="C51" s="31">
        <f t="shared" si="64"/>
        <v>8518.3030167900015</v>
      </c>
      <c r="D51" s="32">
        <f t="shared" si="64"/>
        <v>1193.5918832100001</v>
      </c>
      <c r="E51" s="30">
        <f t="shared" si="66"/>
        <v>3237.2982999999999</v>
      </c>
      <c r="F51" s="33">
        <f t="shared" si="66"/>
        <v>2839.4343389300002</v>
      </c>
      <c r="G51" s="34">
        <f t="shared" si="66"/>
        <v>397.86396106999996</v>
      </c>
      <c r="H51" s="31">
        <f t="shared" si="65"/>
        <v>3041.2166420000003</v>
      </c>
      <c r="I51" s="33">
        <f t="shared" si="65"/>
        <v>235.60335800000001</v>
      </c>
      <c r="J51" s="33">
        <f t="shared" si="65"/>
        <v>3276.82</v>
      </c>
      <c r="K51" s="37">
        <f t="shared" si="2"/>
        <v>1.2208235490686947E-2</v>
      </c>
      <c r="L51" s="36">
        <f>[1]IG!$E51</f>
        <v>809.32457499999998</v>
      </c>
      <c r="M51" s="31">
        <f t="shared" si="16"/>
        <v>709.85858473250005</v>
      </c>
      <c r="N51" s="31">
        <f t="shared" si="17"/>
        <v>99.46599026749999</v>
      </c>
      <c r="O51" s="31">
        <f t="shared" si="18"/>
        <v>743.94639800000004</v>
      </c>
      <c r="P51" s="31">
        <f t="shared" si="19"/>
        <v>57.63360200000001</v>
      </c>
      <c r="Q51" s="45">
        <f>801.58</f>
        <v>801.58</v>
      </c>
      <c r="R51" s="37">
        <f t="shared" si="3"/>
        <v>-9.5691830437744096E-3</v>
      </c>
      <c r="S51" s="36">
        <f>[1]IG!$F51</f>
        <v>809.32457499999998</v>
      </c>
      <c r="T51" s="31">
        <f t="shared" si="20"/>
        <v>709.85858473250005</v>
      </c>
      <c r="U51" s="31">
        <f t="shared" si="21"/>
        <v>99.46599026749999</v>
      </c>
      <c r="V51" s="31">
        <f t="shared" si="22"/>
        <v>724.586232</v>
      </c>
      <c r="W51" s="31">
        <f t="shared" si="23"/>
        <v>56.133768000000003</v>
      </c>
      <c r="X51" s="45">
        <f>780.72</f>
        <v>780.72</v>
      </c>
      <c r="Y51" s="37">
        <f t="shared" si="4"/>
        <v>-3.5343761802858809E-2</v>
      </c>
      <c r="Z51" s="36">
        <f>[1]IG!$G51</f>
        <v>809.32457499999998</v>
      </c>
      <c r="AA51" s="31">
        <f t="shared" si="24"/>
        <v>709.85858473250005</v>
      </c>
      <c r="AB51" s="31">
        <f t="shared" si="25"/>
        <v>99.46599026749999</v>
      </c>
      <c r="AC51" s="31">
        <f t="shared" si="26"/>
        <v>673.93053399999997</v>
      </c>
      <c r="AD51" s="31">
        <f t="shared" si="27"/>
        <v>52.209466000000006</v>
      </c>
      <c r="AE51" s="45">
        <v>726.14</v>
      </c>
      <c r="AF51" s="37">
        <f t="shared" si="5"/>
        <v>-0.10278271236234238</v>
      </c>
      <c r="AG51" s="36">
        <f>[1]IG!$H51</f>
        <v>809.32457499999998</v>
      </c>
      <c r="AH51" s="31">
        <f t="shared" si="28"/>
        <v>709.85858473250005</v>
      </c>
      <c r="AI51" s="31">
        <f t="shared" si="29"/>
        <v>99.46599026749999</v>
      </c>
      <c r="AJ51" s="31">
        <f t="shared" si="30"/>
        <v>898.75347799999997</v>
      </c>
      <c r="AK51" s="31">
        <f t="shared" si="31"/>
        <v>69.626522000000008</v>
      </c>
      <c r="AL51" s="45">
        <f>968.38</f>
        <v>968.38</v>
      </c>
      <c r="AM51" s="37">
        <f t="shared" si="6"/>
        <v>0.19652859917172294</v>
      </c>
      <c r="AN51" s="36">
        <f>[1]IG!$I51</f>
        <v>809.32457499999998</v>
      </c>
      <c r="AO51" s="31">
        <f t="shared" si="32"/>
        <v>709.85858473250005</v>
      </c>
      <c r="AP51" s="31">
        <f t="shared" si="33"/>
        <v>99.46599026749999</v>
      </c>
      <c r="AQ51" s="31">
        <f t="shared" si="34"/>
        <v>0</v>
      </c>
      <c r="AR51" s="31">
        <f t="shared" si="35"/>
        <v>0</v>
      </c>
      <c r="AS51" s="45"/>
      <c r="AT51" s="37">
        <f t="shared" si="7"/>
        <v>-1</v>
      </c>
      <c r="AU51" s="36">
        <f>[1]IG!$J51</f>
        <v>809.32457499999998</v>
      </c>
      <c r="AV51" s="31">
        <f t="shared" si="36"/>
        <v>709.85858473250005</v>
      </c>
      <c r="AW51" s="31">
        <f t="shared" si="37"/>
        <v>99.46599026749999</v>
      </c>
      <c r="AX51" s="31">
        <f t="shared" si="38"/>
        <v>0</v>
      </c>
      <c r="AY51" s="31">
        <f t="shared" si="39"/>
        <v>0</v>
      </c>
      <c r="AZ51" s="48"/>
      <c r="BA51" s="37">
        <f t="shared" si="8"/>
        <v>-1</v>
      </c>
      <c r="BB51" s="36">
        <f>[1]IG!$K51</f>
        <v>809.32457499999998</v>
      </c>
      <c r="BC51" s="31">
        <f t="shared" si="40"/>
        <v>709.85858473250005</v>
      </c>
      <c r="BD51" s="31">
        <f t="shared" si="41"/>
        <v>99.46599026749999</v>
      </c>
      <c r="BE51" s="31">
        <f t="shared" si="42"/>
        <v>0</v>
      </c>
      <c r="BF51" s="31">
        <f t="shared" si="43"/>
        <v>0</v>
      </c>
      <c r="BG51" s="45"/>
      <c r="BH51" s="37">
        <f t="shared" si="9"/>
        <v>-1</v>
      </c>
      <c r="BI51" s="36">
        <f>[1]IG!$L51</f>
        <v>809.32457499999998</v>
      </c>
      <c r="BJ51" s="31">
        <f t="shared" si="44"/>
        <v>709.85858473250005</v>
      </c>
      <c r="BK51" s="31">
        <f t="shared" si="45"/>
        <v>99.46599026749999</v>
      </c>
      <c r="BL51" s="31">
        <f t="shared" si="46"/>
        <v>0</v>
      </c>
      <c r="BM51" s="31">
        <f t="shared" si="47"/>
        <v>0</v>
      </c>
      <c r="BN51" s="45"/>
      <c r="BO51" s="37">
        <f t="shared" si="10"/>
        <v>-1</v>
      </c>
      <c r="BP51" s="36">
        <f>[1]IG!$M51</f>
        <v>809.32457499999998</v>
      </c>
      <c r="BQ51" s="31">
        <f t="shared" si="48"/>
        <v>709.85858473250005</v>
      </c>
      <c r="BR51" s="31">
        <f t="shared" si="49"/>
        <v>99.46599026749999</v>
      </c>
      <c r="BS51" s="31">
        <f t="shared" si="50"/>
        <v>0</v>
      </c>
      <c r="BT51" s="31">
        <f t="shared" si="51"/>
        <v>0</v>
      </c>
      <c r="BU51" s="45"/>
      <c r="BV51" s="37">
        <f t="shared" si="11"/>
        <v>-1</v>
      </c>
      <c r="BW51" s="36">
        <f>[1]IG!$N51</f>
        <v>809.32457499999998</v>
      </c>
      <c r="BX51" s="31">
        <f t="shared" si="52"/>
        <v>709.85858473250005</v>
      </c>
      <c r="BY51" s="31">
        <f t="shared" si="53"/>
        <v>99.46599026749999</v>
      </c>
      <c r="BZ51" s="31">
        <f t="shared" si="54"/>
        <v>0</v>
      </c>
      <c r="CA51" s="31">
        <f t="shared" si="55"/>
        <v>0</v>
      </c>
      <c r="CB51" s="45"/>
      <c r="CC51" s="37">
        <f t="shared" si="12"/>
        <v>-1</v>
      </c>
      <c r="CD51" s="36">
        <f>[1]IG!$O51</f>
        <v>809.32457499999998</v>
      </c>
      <c r="CE51" s="31">
        <f t="shared" si="56"/>
        <v>709.85858473250005</v>
      </c>
      <c r="CF51" s="31">
        <f t="shared" si="57"/>
        <v>99.46599026749999</v>
      </c>
      <c r="CG51" s="31">
        <f t="shared" si="58"/>
        <v>0</v>
      </c>
      <c r="CH51" s="31">
        <f t="shared" si="59"/>
        <v>0</v>
      </c>
      <c r="CI51" s="45"/>
      <c r="CJ51" s="37">
        <f t="shared" si="13"/>
        <v>-1</v>
      </c>
      <c r="CK51" s="36">
        <f>[1]IG!$P51</f>
        <v>809.32457499999998</v>
      </c>
      <c r="CL51" s="31">
        <f t="shared" si="60"/>
        <v>709.85858473250005</v>
      </c>
      <c r="CM51" s="31">
        <f t="shared" si="61"/>
        <v>99.46599026749999</v>
      </c>
      <c r="CN51" s="31">
        <f t="shared" si="62"/>
        <v>0</v>
      </c>
      <c r="CO51" s="31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49999.999999999993</v>
      </c>
      <c r="C52" s="31">
        <f t="shared" si="64"/>
        <v>43855.000000000007</v>
      </c>
      <c r="D52" s="32">
        <f t="shared" si="64"/>
        <v>6144.9999999999991</v>
      </c>
      <c r="E52" s="30">
        <f t="shared" si="66"/>
        <v>16666.666666666668</v>
      </c>
      <c r="F52" s="33">
        <f t="shared" si="66"/>
        <v>14618.333333333334</v>
      </c>
      <c r="G52" s="34">
        <f t="shared" si="66"/>
        <v>2048.3333333333335</v>
      </c>
      <c r="H52" s="31">
        <f t="shared" si="65"/>
        <v>9704.6590880000003</v>
      </c>
      <c r="I52" s="33">
        <f t="shared" si="65"/>
        <v>751.82091200000002</v>
      </c>
      <c r="J52" s="33">
        <f t="shared" si="65"/>
        <v>10456.48</v>
      </c>
      <c r="K52" s="37">
        <f t="shared" si="2"/>
        <v>-0.37261120000000003</v>
      </c>
      <c r="L52" s="36">
        <f>[1]IG!$E52</f>
        <v>4166.666666666667</v>
      </c>
      <c r="M52" s="31">
        <f t="shared" si="16"/>
        <v>3654.5833333333335</v>
      </c>
      <c r="N52" s="31">
        <f t="shared" si="17"/>
        <v>512.08333333333337</v>
      </c>
      <c r="O52" s="31">
        <f t="shared" si="18"/>
        <v>6672.4171729999998</v>
      </c>
      <c r="P52" s="31">
        <f t="shared" si="19"/>
        <v>516.91282699999999</v>
      </c>
      <c r="Q52" s="33">
        <f>7189.33</f>
        <v>7189.33</v>
      </c>
      <c r="R52" s="37">
        <f t="shared" si="3"/>
        <v>0.72543919999999984</v>
      </c>
      <c r="S52" s="36">
        <f>[1]IG!$F52</f>
        <v>4166.666666666667</v>
      </c>
      <c r="T52" s="31">
        <f t="shared" si="20"/>
        <v>3654.5833333333335</v>
      </c>
      <c r="U52" s="31">
        <f t="shared" si="21"/>
        <v>512.08333333333337</v>
      </c>
      <c r="V52" s="31">
        <f t="shared" si="22"/>
        <v>573.89991599999996</v>
      </c>
      <c r="W52" s="31">
        <f t="shared" si="23"/>
        <v>44.460084000000002</v>
      </c>
      <c r="X52" s="33">
        <f>618.36</f>
        <v>618.36</v>
      </c>
      <c r="Y52" s="37">
        <f t="shared" si="4"/>
        <v>-0.85159359999999995</v>
      </c>
      <c r="Z52" s="36">
        <f>[1]IG!$G52</f>
        <v>4166.666666666667</v>
      </c>
      <c r="AA52" s="31">
        <f t="shared" si="24"/>
        <v>3654.5833333333335</v>
      </c>
      <c r="AB52" s="31">
        <f t="shared" si="25"/>
        <v>512.08333333333337</v>
      </c>
      <c r="AC52" s="31">
        <f t="shared" si="26"/>
        <v>1816.8392789999998</v>
      </c>
      <c r="AD52" s="31">
        <f t="shared" si="27"/>
        <v>140.750721</v>
      </c>
      <c r="AE52" s="33">
        <f>1957.59</f>
        <v>1957.59</v>
      </c>
      <c r="AF52" s="37">
        <f t="shared" si="5"/>
        <v>-0.53017840000000005</v>
      </c>
      <c r="AG52" s="36">
        <f>[1]IG!$H52</f>
        <v>4166.666666666667</v>
      </c>
      <c r="AH52" s="31">
        <f t="shared" si="28"/>
        <v>3654.5833333333335</v>
      </c>
      <c r="AI52" s="31">
        <f t="shared" si="29"/>
        <v>512.08333333333337</v>
      </c>
      <c r="AJ52" s="31">
        <f t="shared" si="30"/>
        <v>641.50272000000007</v>
      </c>
      <c r="AK52" s="31">
        <f t="shared" si="31"/>
        <v>49.697280000000006</v>
      </c>
      <c r="AL52" s="33">
        <f>691.2</f>
        <v>691.2</v>
      </c>
      <c r="AM52" s="37">
        <f t="shared" si="6"/>
        <v>-0.83411199999999996</v>
      </c>
      <c r="AN52" s="36">
        <f>[1]IG!$I52</f>
        <v>4166.666666666667</v>
      </c>
      <c r="AO52" s="31">
        <f t="shared" si="32"/>
        <v>3654.5833333333335</v>
      </c>
      <c r="AP52" s="31">
        <f t="shared" si="33"/>
        <v>512.08333333333337</v>
      </c>
      <c r="AQ52" s="31">
        <f t="shared" si="34"/>
        <v>0</v>
      </c>
      <c r="AR52" s="31">
        <f t="shared" si="35"/>
        <v>0</v>
      </c>
      <c r="AS52" s="33"/>
      <c r="AT52" s="37">
        <f t="shared" si="7"/>
        <v>-1</v>
      </c>
      <c r="AU52" s="36">
        <f>[1]IG!$J52</f>
        <v>4166.666666666667</v>
      </c>
      <c r="AV52" s="31">
        <f t="shared" si="36"/>
        <v>3654.5833333333335</v>
      </c>
      <c r="AW52" s="31">
        <f t="shared" si="37"/>
        <v>512.08333333333337</v>
      </c>
      <c r="AX52" s="31">
        <f t="shared" si="38"/>
        <v>0</v>
      </c>
      <c r="AY52" s="31">
        <f t="shared" si="39"/>
        <v>0</v>
      </c>
      <c r="AZ52" s="27"/>
      <c r="BA52" s="37">
        <f t="shared" si="8"/>
        <v>-1</v>
      </c>
      <c r="BB52" s="36">
        <f>[1]IG!$K52</f>
        <v>4166.666666666667</v>
      </c>
      <c r="BC52" s="31">
        <f t="shared" si="40"/>
        <v>3654.5833333333335</v>
      </c>
      <c r="BD52" s="31">
        <f t="shared" si="41"/>
        <v>512.08333333333337</v>
      </c>
      <c r="BE52" s="31">
        <f t="shared" si="42"/>
        <v>0</v>
      </c>
      <c r="BF52" s="31">
        <f t="shared" si="43"/>
        <v>0</v>
      </c>
      <c r="BG52" s="33"/>
      <c r="BH52" s="37">
        <f t="shared" si="9"/>
        <v>-1</v>
      </c>
      <c r="BI52" s="36">
        <f>[1]IG!$L52</f>
        <v>4166.666666666667</v>
      </c>
      <c r="BJ52" s="31">
        <f t="shared" si="44"/>
        <v>3654.5833333333335</v>
      </c>
      <c r="BK52" s="31">
        <f t="shared" si="45"/>
        <v>512.08333333333337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[1]IG!$M52</f>
        <v>4166.666666666667</v>
      </c>
      <c r="BQ52" s="31">
        <f t="shared" si="48"/>
        <v>3654.5833333333335</v>
      </c>
      <c r="BR52" s="31">
        <f t="shared" si="49"/>
        <v>512.08333333333337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[1]IG!$N52</f>
        <v>4166.666666666667</v>
      </c>
      <c r="BX52" s="31">
        <f t="shared" si="52"/>
        <v>3654.5833333333335</v>
      </c>
      <c r="BY52" s="31">
        <f t="shared" si="53"/>
        <v>512.08333333333337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[1]IG!$O52</f>
        <v>4166.666666666667</v>
      </c>
      <c r="CE52" s="31">
        <f t="shared" si="56"/>
        <v>3654.5833333333335</v>
      </c>
      <c r="CF52" s="31">
        <f t="shared" si="57"/>
        <v>512.08333333333337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[1]IG!$P52</f>
        <v>4166.666666666667</v>
      </c>
      <c r="CL52" s="31">
        <f t="shared" si="60"/>
        <v>3654.5833333333335</v>
      </c>
      <c r="CM52" s="31">
        <f t="shared" si="61"/>
        <v>512.08333333333337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35000.000000000007</v>
      </c>
      <c r="C53" s="31">
        <f t="shared" si="64"/>
        <v>30698.499999999989</v>
      </c>
      <c r="D53" s="32">
        <f t="shared" si="64"/>
        <v>4301.5000000000009</v>
      </c>
      <c r="E53" s="30">
        <f t="shared" si="66"/>
        <v>11666.666666666666</v>
      </c>
      <c r="F53" s="33">
        <f t="shared" si="66"/>
        <v>10232.833333333332</v>
      </c>
      <c r="G53" s="34">
        <f t="shared" si="66"/>
        <v>1433.8333333333333</v>
      </c>
      <c r="H53" s="31">
        <f t="shared" si="65"/>
        <v>204.18199999999999</v>
      </c>
      <c r="I53" s="33">
        <f t="shared" si="65"/>
        <v>15.818000000000001</v>
      </c>
      <c r="J53" s="33">
        <f t="shared" si="65"/>
        <v>220</v>
      </c>
      <c r="K53" s="37">
        <f t="shared" si="2"/>
        <v>-0.98114285714285709</v>
      </c>
      <c r="L53" s="36">
        <f>[1]IG!$E53</f>
        <v>2916.6666666666665</v>
      </c>
      <c r="M53" s="31">
        <f t="shared" si="16"/>
        <v>2558.208333333333</v>
      </c>
      <c r="N53" s="31">
        <f t="shared" si="17"/>
        <v>358.45833333333331</v>
      </c>
      <c r="O53" s="31">
        <f t="shared" si="18"/>
        <v>204.18199999999999</v>
      </c>
      <c r="P53" s="31">
        <f t="shared" si="19"/>
        <v>15.818000000000001</v>
      </c>
      <c r="Q53" s="33">
        <f>220</f>
        <v>220</v>
      </c>
      <c r="R53" s="37">
        <f t="shared" si="3"/>
        <v>-0.9245714285714286</v>
      </c>
      <c r="S53" s="36">
        <f>[1]IG!$F53</f>
        <v>2916.6666666666665</v>
      </c>
      <c r="T53" s="31">
        <f t="shared" si="20"/>
        <v>2558.208333333333</v>
      </c>
      <c r="U53" s="31">
        <f t="shared" si="21"/>
        <v>358.45833333333331</v>
      </c>
      <c r="V53" s="31">
        <f t="shared" si="22"/>
        <v>0</v>
      </c>
      <c r="W53" s="31">
        <f t="shared" si="23"/>
        <v>0</v>
      </c>
      <c r="X53" s="33"/>
      <c r="Y53" s="37">
        <f t="shared" si="4"/>
        <v>-1</v>
      </c>
      <c r="Z53" s="36">
        <f>[1]IG!$G53</f>
        <v>2916.6666666666665</v>
      </c>
      <c r="AA53" s="31">
        <f t="shared" si="24"/>
        <v>2558.208333333333</v>
      </c>
      <c r="AB53" s="31">
        <f t="shared" si="25"/>
        <v>358.45833333333331</v>
      </c>
      <c r="AC53" s="31">
        <f t="shared" si="26"/>
        <v>0</v>
      </c>
      <c r="AD53" s="31">
        <f t="shared" si="27"/>
        <v>0</v>
      </c>
      <c r="AE53" s="33"/>
      <c r="AF53" s="37">
        <f t="shared" si="5"/>
        <v>-1</v>
      </c>
      <c r="AG53" s="36">
        <f>[1]IG!$H53</f>
        <v>2916.6666666666665</v>
      </c>
      <c r="AH53" s="31">
        <f t="shared" si="28"/>
        <v>2558.208333333333</v>
      </c>
      <c r="AI53" s="31">
        <f t="shared" si="29"/>
        <v>358.45833333333331</v>
      </c>
      <c r="AJ53" s="31">
        <f t="shared" si="30"/>
        <v>0</v>
      </c>
      <c r="AK53" s="31">
        <f t="shared" si="31"/>
        <v>0</v>
      </c>
      <c r="AL53" s="33"/>
      <c r="AM53" s="37">
        <f t="shared" si="6"/>
        <v>-1</v>
      </c>
      <c r="AN53" s="36">
        <f>[1]IG!$I53</f>
        <v>2916.6666666666665</v>
      </c>
      <c r="AO53" s="31">
        <f t="shared" si="32"/>
        <v>2558.208333333333</v>
      </c>
      <c r="AP53" s="31">
        <f t="shared" si="33"/>
        <v>358.45833333333331</v>
      </c>
      <c r="AQ53" s="31">
        <f t="shared" si="34"/>
        <v>0</v>
      </c>
      <c r="AR53" s="31">
        <f t="shared" si="35"/>
        <v>0</v>
      </c>
      <c r="AS53" s="33"/>
      <c r="AT53" s="37">
        <f t="shared" si="7"/>
        <v>-1</v>
      </c>
      <c r="AU53" s="36">
        <f>[1]IG!$J53</f>
        <v>2916.6666666666665</v>
      </c>
      <c r="AV53" s="31">
        <f t="shared" si="36"/>
        <v>2558.208333333333</v>
      </c>
      <c r="AW53" s="31">
        <f t="shared" si="37"/>
        <v>358.45833333333331</v>
      </c>
      <c r="AX53" s="31">
        <f t="shared" si="38"/>
        <v>0</v>
      </c>
      <c r="AY53" s="31">
        <f t="shared" si="39"/>
        <v>0</v>
      </c>
      <c r="AZ53" s="27"/>
      <c r="BA53" s="37">
        <f t="shared" si="8"/>
        <v>-1</v>
      </c>
      <c r="BB53" s="36">
        <f>[1]IG!$K53</f>
        <v>2916.6666666666665</v>
      </c>
      <c r="BC53" s="31">
        <f t="shared" si="40"/>
        <v>2558.208333333333</v>
      </c>
      <c r="BD53" s="31">
        <f t="shared" si="41"/>
        <v>358.45833333333331</v>
      </c>
      <c r="BE53" s="31">
        <f t="shared" si="42"/>
        <v>0</v>
      </c>
      <c r="BF53" s="31">
        <f t="shared" si="43"/>
        <v>0</v>
      </c>
      <c r="BG53" s="33"/>
      <c r="BH53" s="37">
        <f t="shared" si="9"/>
        <v>-1</v>
      </c>
      <c r="BI53" s="36">
        <f>[1]IG!$L53</f>
        <v>2916.6666666666665</v>
      </c>
      <c r="BJ53" s="31">
        <f t="shared" si="44"/>
        <v>2558.208333333333</v>
      </c>
      <c r="BK53" s="31">
        <f t="shared" si="45"/>
        <v>358.45833333333331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[1]IG!$M53</f>
        <v>2916.6666666666665</v>
      </c>
      <c r="BQ53" s="31">
        <f t="shared" si="48"/>
        <v>2558.208333333333</v>
      </c>
      <c r="BR53" s="31">
        <f t="shared" si="49"/>
        <v>358.45833333333331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[1]IG!$N53</f>
        <v>2916.6666666666665</v>
      </c>
      <c r="BX53" s="31">
        <f t="shared" si="52"/>
        <v>2558.208333333333</v>
      </c>
      <c r="BY53" s="31">
        <f t="shared" si="53"/>
        <v>358.45833333333331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[1]IG!$O53</f>
        <v>2916.6666666666665</v>
      </c>
      <c r="CE53" s="31">
        <f t="shared" si="56"/>
        <v>2558.208333333333</v>
      </c>
      <c r="CF53" s="31">
        <f t="shared" si="57"/>
        <v>358.45833333333331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[1]IG!$P53</f>
        <v>2916.6666666666665</v>
      </c>
      <c r="CL53" s="31">
        <f t="shared" si="60"/>
        <v>2558.208333333333</v>
      </c>
      <c r="CM53" s="31">
        <f t="shared" si="61"/>
        <v>358.45833333333331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585649.99999999988</v>
      </c>
      <c r="C54" s="40">
        <f t="shared" si="64"/>
        <v>513673.61499999999</v>
      </c>
      <c r="D54" s="51">
        <f t="shared" si="64"/>
        <v>71976.385000000009</v>
      </c>
      <c r="E54" s="52">
        <f t="shared" si="66"/>
        <v>334657.14285714284</v>
      </c>
      <c r="F54" s="53">
        <f t="shared" si="66"/>
        <v>293527.77999999997</v>
      </c>
      <c r="G54" s="54">
        <f t="shared" si="66"/>
        <v>41129.362857142856</v>
      </c>
      <c r="H54" s="40">
        <f t="shared" si="65"/>
        <v>278118.64004677348</v>
      </c>
      <c r="I54" s="53">
        <f t="shared" si="65"/>
        <v>21545.878913223809</v>
      </c>
      <c r="J54" s="53">
        <f t="shared" si="65"/>
        <v>299664.51895999734</v>
      </c>
      <c r="K54" s="60">
        <f t="shared" si="2"/>
        <v>-0.10456260875950585</v>
      </c>
      <c r="L54" s="87">
        <f>[1]IG!$E54</f>
        <v>83664.28571428571</v>
      </c>
      <c r="M54" s="40">
        <f t="shared" si="16"/>
        <v>73381.944999999992</v>
      </c>
      <c r="N54" s="40">
        <f t="shared" si="17"/>
        <v>10282.340714285714</v>
      </c>
      <c r="O54" s="40">
        <f t="shared" si="18"/>
        <v>0</v>
      </c>
      <c r="P54" s="40">
        <f t="shared" si="19"/>
        <v>0</v>
      </c>
      <c r="Q54" s="53"/>
      <c r="R54" s="60">
        <f t="shared" si="3"/>
        <v>-1</v>
      </c>
      <c r="S54" s="87">
        <f>[1]IG!$F54</f>
        <v>83664.28571428571</v>
      </c>
      <c r="T54" s="40">
        <f t="shared" si="20"/>
        <v>73381.944999999992</v>
      </c>
      <c r="U54" s="40">
        <f t="shared" si="21"/>
        <v>10282.340714285714</v>
      </c>
      <c r="V54" s="40">
        <f t="shared" si="22"/>
        <v>121192.996423</v>
      </c>
      <c r="W54" s="40">
        <f t="shared" si="23"/>
        <v>9388.8335770000012</v>
      </c>
      <c r="X54" s="53">
        <v>130581.83</v>
      </c>
      <c r="Y54" s="60">
        <f t="shared" si="4"/>
        <v>0.56078342013147786</v>
      </c>
      <c r="Z54" s="87">
        <f>[1]IG!$G54</f>
        <v>83664.28571428571</v>
      </c>
      <c r="AA54" s="40">
        <f t="shared" si="24"/>
        <v>73381.944999999992</v>
      </c>
      <c r="AB54" s="40">
        <f t="shared" si="25"/>
        <v>10282.340714285714</v>
      </c>
      <c r="AC54" s="40">
        <f t="shared" si="26"/>
        <v>94708.325493773518</v>
      </c>
      <c r="AD54" s="40">
        <f t="shared" si="27"/>
        <v>7337.063466223809</v>
      </c>
      <c r="AE54" s="53">
        <v>102045.38895999733</v>
      </c>
      <c r="AF54" s="60">
        <f t="shared" si="5"/>
        <v>0.21970071325874052</v>
      </c>
      <c r="AG54" s="87">
        <f>[1]IG!$H54</f>
        <v>83664.28571428571</v>
      </c>
      <c r="AH54" s="40">
        <f t="shared" si="28"/>
        <v>73381.944999999992</v>
      </c>
      <c r="AI54" s="40">
        <f t="shared" si="29"/>
        <v>10282.340714285714</v>
      </c>
      <c r="AJ54" s="40">
        <f t="shared" si="30"/>
        <v>62217.31813</v>
      </c>
      <c r="AK54" s="40">
        <f t="shared" si="31"/>
        <v>4819.9818700000005</v>
      </c>
      <c r="AL54" s="53">
        <v>67037.3</v>
      </c>
      <c r="AM54" s="60">
        <f t="shared" si="6"/>
        <v>-0.198734568428242</v>
      </c>
      <c r="AN54" s="56">
        <f>[1]IG!$I54</f>
        <v>83664.28571428571</v>
      </c>
      <c r="AO54" s="40">
        <f t="shared" si="32"/>
        <v>73381.944999999992</v>
      </c>
      <c r="AP54" s="40">
        <f t="shared" si="33"/>
        <v>10282.340714285714</v>
      </c>
      <c r="AQ54" s="40">
        <f t="shared" si="34"/>
        <v>0</v>
      </c>
      <c r="AR54" s="40">
        <f t="shared" si="35"/>
        <v>0</v>
      </c>
      <c r="AS54" s="58"/>
      <c r="AT54" s="60">
        <f t="shared" si="7"/>
        <v>-1</v>
      </c>
      <c r="AU54" s="56">
        <f>[1]IG!$J54</f>
        <v>83664.28571428571</v>
      </c>
      <c r="AV54" s="40">
        <f t="shared" si="36"/>
        <v>73381.944999999992</v>
      </c>
      <c r="AW54" s="40">
        <f t="shared" si="37"/>
        <v>10282.340714285714</v>
      </c>
      <c r="AX54" s="40">
        <f t="shared" si="38"/>
        <v>0</v>
      </c>
      <c r="AY54" s="40">
        <f t="shared" si="39"/>
        <v>0</v>
      </c>
      <c r="AZ54" s="59"/>
      <c r="BA54" s="60">
        <f t="shared" si="8"/>
        <v>-1</v>
      </c>
      <c r="BB54" s="56">
        <f>[1]IG!$K54</f>
        <v>83664.28571428571</v>
      </c>
      <c r="BC54" s="40">
        <f t="shared" si="40"/>
        <v>73381.944999999992</v>
      </c>
      <c r="BD54" s="40">
        <f t="shared" si="41"/>
        <v>10282.340714285714</v>
      </c>
      <c r="BE54" s="40">
        <f t="shared" si="42"/>
        <v>0</v>
      </c>
      <c r="BF54" s="40">
        <f t="shared" si="43"/>
        <v>0</v>
      </c>
      <c r="BG54" s="59"/>
      <c r="BH54" s="60">
        <f t="shared" si="9"/>
        <v>-1</v>
      </c>
      <c r="BI54" s="56">
        <f>[1]IG!$L54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10"/>
        <v/>
      </c>
      <c r="BP54" s="56">
        <f>[1]IG!$M54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1"/>
        <v/>
      </c>
      <c r="BW54" s="87">
        <f>[1]IG!$N54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2"/>
        <v/>
      </c>
      <c r="CD54" s="87">
        <f>[1]IG!$O54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3"/>
        <v/>
      </c>
      <c r="CK54" s="87">
        <f>[1]IG!$P54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27476931.223227691</v>
      </c>
      <c r="C55" s="64">
        <f t="shared" si="67"/>
        <v>24100016.375893004</v>
      </c>
      <c r="D55" s="65">
        <f t="shared" si="67"/>
        <v>3376914.8473346829</v>
      </c>
      <c r="E55" s="63">
        <f t="shared" si="67"/>
        <v>11534029.732762117</v>
      </c>
      <c r="F55" s="66">
        <f t="shared" si="67"/>
        <v>10116497.478605654</v>
      </c>
      <c r="G55" s="67">
        <f t="shared" si="67"/>
        <v>1417532.2541564642</v>
      </c>
      <c r="H55" s="64">
        <f t="shared" si="67"/>
        <v>11715824.773137437</v>
      </c>
      <c r="I55" s="66">
        <f t="shared" si="67"/>
        <v>907626.11915589077</v>
      </c>
      <c r="J55" s="66">
        <f t="shared" si="67"/>
        <v>12623450.89229333</v>
      </c>
      <c r="K55" s="120">
        <f>+J55/E55-1</f>
        <v>9.4452778844217766E-2</v>
      </c>
      <c r="L55" s="121">
        <f t="shared" ref="L55:X55" si="68">SUM(L4:L54)</f>
        <v>2827817.6670486508</v>
      </c>
      <c r="M55" s="121">
        <f t="shared" si="68"/>
        <v>2480278.8757683719</v>
      </c>
      <c r="N55" s="121">
        <f t="shared" si="68"/>
        <v>347538.79128027917</v>
      </c>
      <c r="O55" s="122">
        <f t="shared" si="68"/>
        <v>3050498.1648296667</v>
      </c>
      <c r="P55" s="122">
        <f t="shared" si="68"/>
        <v>236322.39850366663</v>
      </c>
      <c r="Q55" s="123">
        <f t="shared" si="68"/>
        <v>3286820.5633333344</v>
      </c>
      <c r="R55" s="120">
        <f>+Q55/L55-1</f>
        <v>0.16231700566597618</v>
      </c>
      <c r="S55" s="121">
        <f t="shared" si="68"/>
        <v>2647344.5576246507</v>
      </c>
      <c r="T55" s="121">
        <f t="shared" si="68"/>
        <v>2321985.9114925815</v>
      </c>
      <c r="U55" s="121">
        <f t="shared" si="68"/>
        <v>325358.64613206964</v>
      </c>
      <c r="V55" s="122">
        <f t="shared" si="68"/>
        <v>2703840.4803806669</v>
      </c>
      <c r="W55" s="122">
        <f t="shared" si="68"/>
        <v>209466.79295266667</v>
      </c>
      <c r="X55" s="123">
        <f t="shared" si="68"/>
        <v>2913307.2733333339</v>
      </c>
      <c r="Y55" s="120">
        <f>+X55/S55-1</f>
        <v>0.1004639592314045</v>
      </c>
      <c r="Z55" s="121">
        <f t="shared" ref="Z55:AE55" si="69">SUM(Z4:Z54)</f>
        <v>3286491.2105908212</v>
      </c>
      <c r="AA55" s="121">
        <f t="shared" si="69"/>
        <v>2882581.4408092089</v>
      </c>
      <c r="AB55" s="121">
        <f t="shared" si="69"/>
        <v>403909.76978161198</v>
      </c>
      <c r="AC55" s="122">
        <f t="shared" si="69"/>
        <v>3050330.6232524402</v>
      </c>
      <c r="AD55" s="122">
        <f t="shared" si="69"/>
        <v>236309.41904089047</v>
      </c>
      <c r="AE55" s="123">
        <f t="shared" si="69"/>
        <v>3286640.0422933311</v>
      </c>
      <c r="AF55" s="120">
        <f>+AE55/Z55-1</f>
        <v>4.5285897017022236E-5</v>
      </c>
      <c r="AG55" s="121">
        <f t="shared" ref="AG55:AL55" si="70">SUM(AG4:AG54)</f>
        <v>2772376.2974979947</v>
      </c>
      <c r="AH55" s="121">
        <f t="shared" si="70"/>
        <v>2431651.2505354919</v>
      </c>
      <c r="AI55" s="121">
        <f t="shared" si="70"/>
        <v>340725.04696250358</v>
      </c>
      <c r="AJ55" s="122">
        <f t="shared" si="70"/>
        <v>2911155.5046746661</v>
      </c>
      <c r="AK55" s="122">
        <f t="shared" si="70"/>
        <v>225527.50865866669</v>
      </c>
      <c r="AL55" s="123">
        <f t="shared" si="70"/>
        <v>3136683.0133333337</v>
      </c>
      <c r="AM55" s="120">
        <f>+AL55/AG55-1</f>
        <v>0.13140594087610591</v>
      </c>
      <c r="AN55" s="121">
        <f t="shared" ref="AN55:AS55" si="71">SUM(AN4:AN54)</f>
        <v>2942177.9208806506</v>
      </c>
      <c r="AO55" s="121">
        <f t="shared" si="71"/>
        <v>2580584.2544044191</v>
      </c>
      <c r="AP55" s="121">
        <f t="shared" si="71"/>
        <v>361593.666476232</v>
      </c>
      <c r="AQ55" s="122">
        <f t="shared" si="71"/>
        <v>0</v>
      </c>
      <c r="AR55" s="122">
        <f t="shared" si="71"/>
        <v>0</v>
      </c>
      <c r="AS55" s="123">
        <f t="shared" si="71"/>
        <v>0</v>
      </c>
      <c r="AT55" s="120">
        <f>+AS55/AN55-1</f>
        <v>-1</v>
      </c>
      <c r="AU55" s="121">
        <f t="shared" ref="AU55:AZ55" si="72">SUM(AU4:AU54)</f>
        <v>2945637.0749862506</v>
      </c>
      <c r="AV55" s="121">
        <f t="shared" si="72"/>
        <v>2583618.2784704417</v>
      </c>
      <c r="AW55" s="121">
        <f t="shared" si="72"/>
        <v>362018.79651581025</v>
      </c>
      <c r="AX55" s="122">
        <f t="shared" si="72"/>
        <v>0</v>
      </c>
      <c r="AY55" s="122">
        <f t="shared" si="72"/>
        <v>0</v>
      </c>
      <c r="AZ55" s="123">
        <f t="shared" si="72"/>
        <v>0</v>
      </c>
      <c r="BA55" s="120">
        <f>+AZ55/AU55-1</f>
        <v>-1</v>
      </c>
      <c r="BB55" s="121">
        <f t="shared" ref="BB55:BG55" si="73">SUM(BB4:BB54)</f>
        <v>3348261.474230207</v>
      </c>
      <c r="BC55" s="121">
        <f t="shared" si="73"/>
        <v>2936760.1390473153</v>
      </c>
      <c r="BD55" s="121">
        <f t="shared" si="73"/>
        <v>411501.33518289245</v>
      </c>
      <c r="BE55" s="122">
        <f t="shared" si="73"/>
        <v>0</v>
      </c>
      <c r="BF55" s="122">
        <f t="shared" si="73"/>
        <v>0</v>
      </c>
      <c r="BG55" s="123">
        <f t="shared" si="73"/>
        <v>0</v>
      </c>
      <c r="BH55" s="120">
        <f>+BG55/BB55-1</f>
        <v>-1</v>
      </c>
      <c r="BI55" s="121">
        <f t="shared" ref="BI55:BN55" si="74">SUM(BI4:BI54)</f>
        <v>1441780.8292224573</v>
      </c>
      <c r="BJ55" s="121">
        <f t="shared" si="74"/>
        <v>1264585.9653110169</v>
      </c>
      <c r="BK55" s="121">
        <f t="shared" si="74"/>
        <v>177194.86391144001</v>
      </c>
      <c r="BL55" s="121">
        <f t="shared" si="74"/>
        <v>0</v>
      </c>
      <c r="BM55" s="122">
        <f t="shared" si="74"/>
        <v>0</v>
      </c>
      <c r="BN55" s="123">
        <f t="shared" si="74"/>
        <v>0</v>
      </c>
      <c r="BO55" s="120">
        <f>+BN55/BI55-1</f>
        <v>-1</v>
      </c>
      <c r="BP55" s="121">
        <f t="shared" ref="BP55:BU55" si="75">SUM(BP4:BP54)</f>
        <v>1644994.857994365</v>
      </c>
      <c r="BQ55" s="121">
        <f t="shared" si="75"/>
        <v>1442824.9899468569</v>
      </c>
      <c r="BR55" s="121">
        <f t="shared" si="75"/>
        <v>202169.86804750745</v>
      </c>
      <c r="BS55" s="121">
        <f t="shared" si="75"/>
        <v>0</v>
      </c>
      <c r="BT55" s="122">
        <f t="shared" si="75"/>
        <v>0</v>
      </c>
      <c r="BU55" s="123">
        <f t="shared" si="75"/>
        <v>0</v>
      </c>
      <c r="BV55" s="120">
        <f>+BU55/BP55-1</f>
        <v>-1</v>
      </c>
      <c r="BW55" s="121">
        <f t="shared" ref="BW55:CB55" si="76">SUM(BW4:BW54)</f>
        <v>1307574.2084365091</v>
      </c>
      <c r="BX55" s="121">
        <f t="shared" si="76"/>
        <v>1146873.338219662</v>
      </c>
      <c r="BY55" s="121">
        <f t="shared" si="76"/>
        <v>160700.87021684693</v>
      </c>
      <c r="BZ55" s="121">
        <f t="shared" si="76"/>
        <v>0</v>
      </c>
      <c r="CA55" s="122">
        <f t="shared" si="76"/>
        <v>0</v>
      </c>
      <c r="CB55" s="123">
        <f t="shared" si="76"/>
        <v>0</v>
      </c>
      <c r="CC55" s="120">
        <f>+CB55/BW55-1</f>
        <v>-1</v>
      </c>
      <c r="CD55" s="121">
        <f t="shared" ref="CD55:CI55" si="77">SUM(CD4:CD54)</f>
        <v>1157485.9380263658</v>
      </c>
      <c r="CE55" s="121">
        <f t="shared" si="77"/>
        <v>1015230.9162429256</v>
      </c>
      <c r="CF55" s="121">
        <f t="shared" si="77"/>
        <v>142255.02178344034</v>
      </c>
      <c r="CG55" s="122">
        <f t="shared" si="77"/>
        <v>0</v>
      </c>
      <c r="CH55" s="122">
        <f t="shared" si="77"/>
        <v>0</v>
      </c>
      <c r="CI55" s="123">
        <f t="shared" si="77"/>
        <v>0</v>
      </c>
      <c r="CJ55" s="120">
        <f>+CI55/CD55-1</f>
        <v>-1</v>
      </c>
      <c r="CK55" s="121">
        <f t="shared" ref="CK55:CP55" si="78">SUM(CK4:CK54)</f>
        <v>1154989.1866887659</v>
      </c>
      <c r="CL55" s="121">
        <f t="shared" si="78"/>
        <v>1013041.0156447167</v>
      </c>
      <c r="CM55" s="121">
        <f t="shared" si="78"/>
        <v>141948.17104404932</v>
      </c>
      <c r="CN55" s="122">
        <f t="shared" si="78"/>
        <v>0</v>
      </c>
      <c r="CO55" s="122">
        <f t="shared" si="78"/>
        <v>0</v>
      </c>
      <c r="CP55" s="123">
        <f t="shared" si="78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-550173.0103806227</v>
      </c>
      <c r="C56" s="76">
        <f t="shared" ref="C56:D57" si="79">+M56+T56+AA56+AH56+AO56+AV56+BC56+BJ56+BQ56+BX56+CE56+CL56</f>
        <v>-482556.74740484421</v>
      </c>
      <c r="D56" s="77">
        <f t="shared" si="79"/>
        <v>-67616.262975778533</v>
      </c>
      <c r="E56" s="75">
        <f>+L56+S56+Z56+AG56</f>
        <v>-183391.0034602076</v>
      </c>
      <c r="F56" s="78">
        <f t="shared" ref="F56:G57" si="80">+M56+T56+AA56+AH56</f>
        <v>-160852.2491349481</v>
      </c>
      <c r="G56" s="79">
        <f t="shared" si="80"/>
        <v>-22538.754325259513</v>
      </c>
      <c r="H56" s="76">
        <f t="shared" ref="H56:J57" si="81">+O56+V56+AC56+AJ56+AQ56+AX56+BE56+BL56+BS56+BZ56+CG56+CN56</f>
        <v>-276000.65184499999</v>
      </c>
      <c r="I56" s="78">
        <f t="shared" si="81"/>
        <v>-21381.798155</v>
      </c>
      <c r="J56" s="78">
        <f t="shared" si="81"/>
        <v>-297382.44999999995</v>
      </c>
      <c r="K56" s="25">
        <f t="shared" ref="K56:K57" si="82">IF(E56=0,"",(+J56/E56-1))</f>
        <v>0.62157600094339593</v>
      </c>
      <c r="L56" s="23">
        <f>[1]IG!$E56</f>
        <v>-45847.750865051901</v>
      </c>
      <c r="M56" s="18">
        <f t="shared" ref="M56:M57" si="83">L56-N56</f>
        <v>-40213.062283737025</v>
      </c>
      <c r="N56" s="18">
        <f t="shared" ref="N56:N57" si="84">+L56*12.29%</f>
        <v>-5634.6885813148783</v>
      </c>
      <c r="O56" s="18">
        <f t="shared" ref="O56:O57" si="85">+Q56-P56</f>
        <v>0</v>
      </c>
      <c r="P56" s="18">
        <f t="shared" ref="P56:P57" si="86">+Q56*7.19%</f>
        <v>0</v>
      </c>
      <c r="Q56" s="20"/>
      <c r="R56" s="25">
        <f t="shared" ref="R56:R57" si="87">IF(L56=0,"",(+Q56/L56-1))</f>
        <v>-1</v>
      </c>
      <c r="S56" s="23">
        <f>[1]IG!$F56</f>
        <v>-45847.750865051901</v>
      </c>
      <c r="T56" s="18">
        <f t="shared" ref="T56:T57" si="88">S56-U56</f>
        <v>-40213.062283737025</v>
      </c>
      <c r="U56" s="18">
        <f t="shared" ref="U56:U57" si="89">+S56*12.29%</f>
        <v>-5634.6885813148783</v>
      </c>
      <c r="V56" s="18">
        <f t="shared" ref="V56:V57" si="90">+X56-W56</f>
        <v>-144609.92464700001</v>
      </c>
      <c r="W56" s="18">
        <f t="shared" ref="W56:W57" si="91">+X56*7.19%</f>
        <v>-11202.945353000001</v>
      </c>
      <c r="X56" s="20">
        <v>-155812.87</v>
      </c>
      <c r="Y56" s="25">
        <f>IF(S56=0,"",(+X56/S56-1))</f>
        <v>2.3984844852830189</v>
      </c>
      <c r="Z56" s="23">
        <f>[1]IG!$G56</f>
        <v>-45847.750865051901</v>
      </c>
      <c r="AA56" s="18">
        <f t="shared" ref="AA56:AA57" si="92">Z56-AB56</f>
        <v>-40213.062283737025</v>
      </c>
      <c r="AB56" s="18">
        <f t="shared" ref="AB56:AB57" si="93">+Z56*12.29%</f>
        <v>-5634.6885813148783</v>
      </c>
      <c r="AC56" s="18">
        <f t="shared" ref="AC56:AC57" si="94">+AE56-AD56</f>
        <v>772.698936</v>
      </c>
      <c r="AD56" s="18">
        <f t="shared" ref="AD56:AD57" si="95">+AE56*7.19%</f>
        <v>59.861063999999999</v>
      </c>
      <c r="AE56" s="20">
        <f>832.56</f>
        <v>832.56</v>
      </c>
      <c r="AF56" s="25">
        <f t="shared" ref="AF56:AF57" si="96">IF(Z56=0,"",(+AE56/Z56-1))</f>
        <v>-1.0181592332075471</v>
      </c>
      <c r="AG56" s="23">
        <f>[1]IG!$H56</f>
        <v>-45847.750865051901</v>
      </c>
      <c r="AH56" s="18">
        <f t="shared" ref="AH56:AH57" si="97">AG56-AI56</f>
        <v>-40213.062283737025</v>
      </c>
      <c r="AI56" s="18">
        <f t="shared" ref="AI56:AI57" si="98">+AG56*12.29%</f>
        <v>-5634.6885813148783</v>
      </c>
      <c r="AJ56" s="18">
        <f t="shared" ref="AJ56:AJ57" si="99">+AL56-AK56</f>
        <v>-132163.42613399998</v>
      </c>
      <c r="AK56" s="18">
        <f t="shared" ref="AK56:AK57" si="100">+AL56*7.19%</f>
        <v>-10238.713866</v>
      </c>
      <c r="AL56" s="20">
        <f>-143381.99+979.85</f>
        <v>-142402.13999999998</v>
      </c>
      <c r="AM56" s="25">
        <f t="shared" ref="AM56:AM57" si="101">IF(AG56=0,"",(+AL56/AG56-1))</f>
        <v>2.105978751698113</v>
      </c>
      <c r="AN56" s="23">
        <f>[1]IG!$I56</f>
        <v>-45847.750865051901</v>
      </c>
      <c r="AO56" s="18">
        <f t="shared" ref="AO56:AO57" si="102">AN56-AP56</f>
        <v>-40213.062283737025</v>
      </c>
      <c r="AP56" s="18">
        <f t="shared" ref="AP56:AP57" si="103">+AN56*12.29%</f>
        <v>-5634.6885813148783</v>
      </c>
      <c r="AQ56" s="18">
        <f t="shared" ref="AQ56:AQ57" si="104">+AS56-AR56</f>
        <v>0</v>
      </c>
      <c r="AR56" s="18">
        <f t="shared" ref="AR56:AR57" si="105">+AS56*7.19%</f>
        <v>0</v>
      </c>
      <c r="AS56" s="20"/>
      <c r="AT56" s="25">
        <f t="shared" ref="AT56:AT57" si="106">IF(AN56=0,"",(+AS56/AN56-1))</f>
        <v>-1</v>
      </c>
      <c r="AU56" s="23">
        <f>[1]IG!$J56</f>
        <v>-45847.750865051901</v>
      </c>
      <c r="AV56" s="18">
        <f t="shared" ref="AV56:AV57" si="107">AU56-AW56</f>
        <v>-40213.062283737025</v>
      </c>
      <c r="AW56" s="18">
        <f t="shared" ref="AW56:AW57" si="108">+AU56*12.29%</f>
        <v>-5634.6885813148783</v>
      </c>
      <c r="AX56" s="18">
        <f t="shared" ref="AX56:AX57" si="109">+AZ56-AY56</f>
        <v>0</v>
      </c>
      <c r="AY56" s="18">
        <f t="shared" ref="AY56:AY57" si="110">+AZ56*7.19%</f>
        <v>0</v>
      </c>
      <c r="AZ56" s="20"/>
      <c r="BA56" s="25">
        <f t="shared" ref="BA56:BA57" si="111">IF(AU56=0,"",(+AZ56/AU56-1))</f>
        <v>-1</v>
      </c>
      <c r="BB56" s="23">
        <f>[1]IG!$K56</f>
        <v>-45847.750865051901</v>
      </c>
      <c r="BC56" s="18">
        <f t="shared" ref="BC56:BC57" si="112">BB56-BD56</f>
        <v>-40213.062283737025</v>
      </c>
      <c r="BD56" s="18">
        <f t="shared" ref="BD56:BD57" si="113">+BB56*12.29%</f>
        <v>-5634.6885813148783</v>
      </c>
      <c r="BE56" s="18">
        <f t="shared" ref="BE56:BE57" si="114">+BG56-BF56</f>
        <v>0</v>
      </c>
      <c r="BF56" s="18">
        <f t="shared" ref="BF56:BF57" si="115">+BG56*7.19%</f>
        <v>0</v>
      </c>
      <c r="BG56" s="20"/>
      <c r="BH56" s="25">
        <f t="shared" ref="BH56:BH57" si="116">IF(BB56=0,"",(+BG56/BB56-1))</f>
        <v>-1</v>
      </c>
      <c r="BI56" s="23">
        <f>[1]IG!$L56</f>
        <v>-45847.750865051901</v>
      </c>
      <c r="BJ56" s="18">
        <f t="shared" ref="BJ56:BJ57" si="117">BI56-BK56</f>
        <v>-40213.062283737025</v>
      </c>
      <c r="BK56" s="18">
        <f t="shared" ref="BK56:BK57" si="118">+BI56*12.29%</f>
        <v>-5634.6885813148783</v>
      </c>
      <c r="BL56" s="18">
        <f t="shared" ref="BL56:BL57" si="119">+BN56-BM56</f>
        <v>0</v>
      </c>
      <c r="BM56" s="18">
        <f t="shared" ref="BM56:BM57" si="120">+BN56*7.19%</f>
        <v>0</v>
      </c>
      <c r="BN56" s="20"/>
      <c r="BO56" s="25">
        <f t="shared" ref="BO56:BO57" si="121">IF(BI56=0,"",(+BN56/BI56-1))</f>
        <v>-1</v>
      </c>
      <c r="BP56" s="23">
        <f>[1]IG!$M56</f>
        <v>-45847.750865051901</v>
      </c>
      <c r="BQ56" s="18">
        <f t="shared" ref="BQ56:BQ57" si="122">BP56-BR56</f>
        <v>-40213.062283737025</v>
      </c>
      <c r="BR56" s="18">
        <f t="shared" ref="BR56:BR57" si="123">+BP56*12.29%</f>
        <v>-5634.6885813148783</v>
      </c>
      <c r="BS56" s="18">
        <f t="shared" ref="BS56:BS57" si="124">+BU56-BT56</f>
        <v>0</v>
      </c>
      <c r="BT56" s="18">
        <f t="shared" ref="BT56:BT57" si="125">+BU56*7.19%</f>
        <v>0</v>
      </c>
      <c r="BU56" s="20"/>
      <c r="BV56" s="25">
        <f t="shared" ref="BV56:BV57" si="126">IF(BP56=0,"",(+BU56/BP56-1))</f>
        <v>-1</v>
      </c>
      <c r="BW56" s="23">
        <f>[1]IG!$N56</f>
        <v>-45847.750865051901</v>
      </c>
      <c r="BX56" s="18">
        <f t="shared" ref="BX56:BX57" si="127">BW56-BY56</f>
        <v>-40213.062283737025</v>
      </c>
      <c r="BY56" s="18">
        <f t="shared" ref="BY56:BY57" si="128">+BW56*12.29%</f>
        <v>-5634.6885813148783</v>
      </c>
      <c r="BZ56" s="18">
        <f t="shared" ref="BZ56:BZ57" si="129">+CB56-CA56</f>
        <v>0</v>
      </c>
      <c r="CA56" s="18">
        <f t="shared" ref="CA56:CA57" si="130">+CB56*7.19%</f>
        <v>0</v>
      </c>
      <c r="CB56" s="20"/>
      <c r="CC56" s="25">
        <f t="shared" ref="CC56:CC57" si="131">IF(BW56=0,"",(+CB56/BW56-1))</f>
        <v>-1</v>
      </c>
      <c r="CD56" s="23">
        <f>[1]IG!$O56</f>
        <v>-45847.750865051901</v>
      </c>
      <c r="CE56" s="18">
        <f t="shared" ref="CE56:CE57" si="132">CD56-CF56</f>
        <v>-40213.062283737025</v>
      </c>
      <c r="CF56" s="18">
        <f t="shared" ref="CF56:CF57" si="133">+CD56*12.29%</f>
        <v>-5634.6885813148783</v>
      </c>
      <c r="CG56" s="18">
        <f t="shared" ref="CG56:CG57" si="134">+CI56-CH56</f>
        <v>0</v>
      </c>
      <c r="CH56" s="18">
        <f t="shared" ref="CH56:CH57" si="135">+CI56*7.19%</f>
        <v>0</v>
      </c>
      <c r="CI56" s="20"/>
      <c r="CJ56" s="25">
        <f t="shared" ref="CJ56:CJ57" si="136">IF(CD56=0,"",(+CI56/CD56-1))</f>
        <v>-1</v>
      </c>
      <c r="CK56" s="23">
        <f>[1]IG!$P56</f>
        <v>-45847.750865051901</v>
      </c>
      <c r="CL56" s="18">
        <f t="shared" ref="CL56:CL57" si="137">CK56-CM56</f>
        <v>-40213.062283737025</v>
      </c>
      <c r="CM56" s="18">
        <f t="shared" ref="CM56:CM57" si="138">+CK56*12.29%</f>
        <v>-5634.6885813148783</v>
      </c>
      <c r="CN56" s="18">
        <f t="shared" ref="CN56:CN57" si="139">+CP56-CO56</f>
        <v>0</v>
      </c>
      <c r="CO56" s="18">
        <f t="shared" ref="CO56:CO57" si="140">+CP56*7.19%</f>
        <v>0</v>
      </c>
      <c r="CP56" s="20"/>
      <c r="CQ56" s="25">
        <f t="shared" ref="CQ56:CQ57" si="141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-183391.0034602076</v>
      </c>
      <c r="C57" s="40">
        <f t="shared" si="79"/>
        <v>-160852.24913494804</v>
      </c>
      <c r="D57" s="51">
        <f t="shared" si="79"/>
        <v>-22538.75432525951</v>
      </c>
      <c r="E57" s="50">
        <f>+L57+S57+Z57+AG57</f>
        <v>-61130.334486735868</v>
      </c>
      <c r="F57" s="58">
        <f t="shared" si="80"/>
        <v>-53617.416378316033</v>
      </c>
      <c r="G57" s="85">
        <f t="shared" si="80"/>
        <v>-7512.9181084198381</v>
      </c>
      <c r="H57" s="57">
        <f t="shared" si="81"/>
        <v>-100517.981872</v>
      </c>
      <c r="I57" s="58">
        <f t="shared" si="81"/>
        <v>-7787.1381280000005</v>
      </c>
      <c r="J57" s="58">
        <f t="shared" si="81"/>
        <v>-108305.12</v>
      </c>
      <c r="K57" s="127">
        <f t="shared" si="82"/>
        <v>0.77170828377358491</v>
      </c>
      <c r="L57" s="56">
        <f>[1]IG!$E57</f>
        <v>-15282.583621683967</v>
      </c>
      <c r="M57" s="57">
        <f t="shared" si="83"/>
        <v>-13404.354094579008</v>
      </c>
      <c r="N57" s="57">
        <f t="shared" si="84"/>
        <v>-1878.2295271049595</v>
      </c>
      <c r="O57" s="57">
        <f t="shared" si="85"/>
        <v>-55925.199213</v>
      </c>
      <c r="P57" s="57">
        <f t="shared" si="86"/>
        <v>-4332.5307870000006</v>
      </c>
      <c r="Q57" s="58">
        <v>-60257.73</v>
      </c>
      <c r="R57" s="127">
        <f t="shared" si="87"/>
        <v>2.9429020309433964</v>
      </c>
      <c r="S57" s="56">
        <f>[1]IG!$F57</f>
        <v>-15282.583621683967</v>
      </c>
      <c r="T57" s="57">
        <f t="shared" si="88"/>
        <v>-13404.354094579008</v>
      </c>
      <c r="U57" s="57">
        <f t="shared" si="89"/>
        <v>-1878.2295271049595</v>
      </c>
      <c r="V57" s="57">
        <f t="shared" si="90"/>
        <v>-8263.004234</v>
      </c>
      <c r="W57" s="57">
        <f t="shared" si="91"/>
        <v>-640.13576599999999</v>
      </c>
      <c r="X57" s="58">
        <v>-8903.14</v>
      </c>
      <c r="Y57" s="127">
        <f>IF(S57=0,"",(+X57/S57-1))</f>
        <v>-0.41743227320754717</v>
      </c>
      <c r="Z57" s="56">
        <f>[1]IG!$G57</f>
        <v>-15282.583621683967</v>
      </c>
      <c r="AA57" s="57">
        <f t="shared" si="92"/>
        <v>-13404.354094579008</v>
      </c>
      <c r="AB57" s="57">
        <f t="shared" si="93"/>
        <v>-1878.2295271049595</v>
      </c>
      <c r="AC57" s="57">
        <f t="shared" si="94"/>
        <v>-36329.778424999997</v>
      </c>
      <c r="AD57" s="57">
        <f t="shared" si="95"/>
        <v>-2814.471575</v>
      </c>
      <c r="AE57" s="58">
        <v>-39144.25</v>
      </c>
      <c r="AF57" s="127">
        <f t="shared" si="96"/>
        <v>1.5613633773584907</v>
      </c>
      <c r="AG57" s="56">
        <f>[1]IG!$H57</f>
        <v>-15282.583621683967</v>
      </c>
      <c r="AH57" s="57">
        <f t="shared" si="97"/>
        <v>-13404.354094579008</v>
      </c>
      <c r="AI57" s="57">
        <f t="shared" si="98"/>
        <v>-1878.2295271049595</v>
      </c>
      <c r="AJ57" s="57">
        <f t="shared" si="99"/>
        <v>0</v>
      </c>
      <c r="AK57" s="57">
        <f t="shared" si="100"/>
        <v>0</v>
      </c>
      <c r="AL57" s="58"/>
      <c r="AM57" s="127">
        <f t="shared" si="101"/>
        <v>-1</v>
      </c>
      <c r="AN57" s="56">
        <f>[1]IG!$I57</f>
        <v>-15282.583621683967</v>
      </c>
      <c r="AO57" s="57">
        <f t="shared" si="102"/>
        <v>-13404.354094579008</v>
      </c>
      <c r="AP57" s="57">
        <f t="shared" si="103"/>
        <v>-1878.2295271049595</v>
      </c>
      <c r="AQ57" s="57">
        <f t="shared" si="104"/>
        <v>0</v>
      </c>
      <c r="AR57" s="57">
        <f t="shared" si="105"/>
        <v>0</v>
      </c>
      <c r="AS57" s="58"/>
      <c r="AT57" s="127">
        <f t="shared" si="106"/>
        <v>-1</v>
      </c>
      <c r="AU57" s="56">
        <f>[1]IG!$J57</f>
        <v>-15282.583621683967</v>
      </c>
      <c r="AV57" s="57">
        <f t="shared" si="107"/>
        <v>-13404.354094579008</v>
      </c>
      <c r="AW57" s="57">
        <f t="shared" si="108"/>
        <v>-1878.2295271049595</v>
      </c>
      <c r="AX57" s="57">
        <f t="shared" si="109"/>
        <v>0</v>
      </c>
      <c r="AY57" s="57">
        <f t="shared" si="110"/>
        <v>0</v>
      </c>
      <c r="AZ57" s="58"/>
      <c r="BA57" s="127">
        <f t="shared" si="111"/>
        <v>-1</v>
      </c>
      <c r="BB57" s="56">
        <f>[1]IG!$K57</f>
        <v>-15282.583621683967</v>
      </c>
      <c r="BC57" s="57">
        <f t="shared" si="112"/>
        <v>-13404.354094579008</v>
      </c>
      <c r="BD57" s="57">
        <f t="shared" si="113"/>
        <v>-1878.2295271049595</v>
      </c>
      <c r="BE57" s="57">
        <f t="shared" si="114"/>
        <v>0</v>
      </c>
      <c r="BF57" s="57">
        <f t="shared" si="115"/>
        <v>0</v>
      </c>
      <c r="BG57" s="58"/>
      <c r="BH57" s="127">
        <f t="shared" si="116"/>
        <v>-1</v>
      </c>
      <c r="BI57" s="56">
        <f>[1]IG!$L57</f>
        <v>-15282.583621683967</v>
      </c>
      <c r="BJ57" s="57">
        <f t="shared" si="117"/>
        <v>-13404.354094579008</v>
      </c>
      <c r="BK57" s="57">
        <f t="shared" si="118"/>
        <v>-1878.2295271049595</v>
      </c>
      <c r="BL57" s="57">
        <f t="shared" si="119"/>
        <v>0</v>
      </c>
      <c r="BM57" s="57">
        <f t="shared" si="120"/>
        <v>0</v>
      </c>
      <c r="BN57" s="58"/>
      <c r="BO57" s="127">
        <f t="shared" si="121"/>
        <v>-1</v>
      </c>
      <c r="BP57" s="56">
        <f>[1]IG!$M57</f>
        <v>-15282.583621683967</v>
      </c>
      <c r="BQ57" s="57">
        <f t="shared" si="122"/>
        <v>-13404.354094579008</v>
      </c>
      <c r="BR57" s="57">
        <f t="shared" si="123"/>
        <v>-1878.2295271049595</v>
      </c>
      <c r="BS57" s="57">
        <f t="shared" si="124"/>
        <v>0</v>
      </c>
      <c r="BT57" s="57">
        <f t="shared" si="125"/>
        <v>0</v>
      </c>
      <c r="BU57" s="58"/>
      <c r="BV57" s="127">
        <f t="shared" si="126"/>
        <v>-1</v>
      </c>
      <c r="BW57" s="56">
        <f>[1]IG!$N57</f>
        <v>-15282.583621683967</v>
      </c>
      <c r="BX57" s="57">
        <f t="shared" si="127"/>
        <v>-13404.354094579008</v>
      </c>
      <c r="BY57" s="57">
        <f t="shared" si="128"/>
        <v>-1878.2295271049595</v>
      </c>
      <c r="BZ57" s="57">
        <f t="shared" si="129"/>
        <v>0</v>
      </c>
      <c r="CA57" s="57">
        <f t="shared" si="130"/>
        <v>0</v>
      </c>
      <c r="CB57" s="58"/>
      <c r="CC57" s="127">
        <f t="shared" si="131"/>
        <v>-1</v>
      </c>
      <c r="CD57" s="56">
        <f>[1]IG!$O57</f>
        <v>-15282.583621683967</v>
      </c>
      <c r="CE57" s="57">
        <f t="shared" si="132"/>
        <v>-13404.354094579008</v>
      </c>
      <c r="CF57" s="57">
        <f t="shared" si="133"/>
        <v>-1878.2295271049595</v>
      </c>
      <c r="CG57" s="57">
        <f t="shared" si="134"/>
        <v>0</v>
      </c>
      <c r="CH57" s="57">
        <f t="shared" si="135"/>
        <v>0</v>
      </c>
      <c r="CI57" s="58"/>
      <c r="CJ57" s="127">
        <f t="shared" si="136"/>
        <v>-1</v>
      </c>
      <c r="CK57" s="56">
        <f>[1]IG!$P57</f>
        <v>-15282.583621683967</v>
      </c>
      <c r="CL57" s="57">
        <f t="shared" si="137"/>
        <v>-13404.354094579008</v>
      </c>
      <c r="CM57" s="57">
        <f t="shared" si="138"/>
        <v>-1878.2295271049595</v>
      </c>
      <c r="CN57" s="57">
        <f t="shared" si="139"/>
        <v>0</v>
      </c>
      <c r="CO57" s="57">
        <f t="shared" si="140"/>
        <v>0</v>
      </c>
      <c r="CP57" s="58"/>
      <c r="CQ57" s="127">
        <f t="shared" si="141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26743367.209386863</v>
      </c>
      <c r="C58" s="90">
        <f t="shared" ref="C58:D58" si="142">+C55+C56+C57</f>
        <v>23456607.379353214</v>
      </c>
      <c r="D58" s="91">
        <f t="shared" si="142"/>
        <v>3286759.830033645</v>
      </c>
      <c r="E58" s="92">
        <f t="shared" ref="E58:J58" si="143">SUM(E55:E57)</f>
        <v>11289508.394815173</v>
      </c>
      <c r="F58" s="93">
        <f t="shared" si="143"/>
        <v>9902027.8130923901</v>
      </c>
      <c r="G58" s="94">
        <f t="shared" si="143"/>
        <v>1387480.581722785</v>
      </c>
      <c r="H58" s="95">
        <f t="shared" si="143"/>
        <v>11339306.139420437</v>
      </c>
      <c r="I58" s="96">
        <f t="shared" si="143"/>
        <v>878457.18287289084</v>
      </c>
      <c r="J58" s="96">
        <f t="shared" si="143"/>
        <v>12217763.322293332</v>
      </c>
      <c r="K58" s="132">
        <f>+J58/E55-1</f>
        <v>5.9279679814686626E-2</v>
      </c>
      <c r="L58" s="133">
        <f t="shared" ref="L58:X58" si="144">SUM(L55:L57)</f>
        <v>2766687.3325619148</v>
      </c>
      <c r="M58" s="133">
        <f t="shared" si="144"/>
        <v>2426661.4593900559</v>
      </c>
      <c r="N58" s="133">
        <f t="shared" si="144"/>
        <v>340025.87317185936</v>
      </c>
      <c r="O58" s="95">
        <f t="shared" si="144"/>
        <v>2994572.9656166667</v>
      </c>
      <c r="P58" s="95">
        <f t="shared" si="144"/>
        <v>231989.86771666663</v>
      </c>
      <c r="Q58" s="96">
        <f t="shared" si="144"/>
        <v>3226562.8333333344</v>
      </c>
      <c r="R58" s="132">
        <f>+Q58/L55-1</f>
        <v>0.14100808935847975</v>
      </c>
      <c r="S58" s="133">
        <f t="shared" si="144"/>
        <v>2586214.2231379147</v>
      </c>
      <c r="T58" s="133">
        <f t="shared" si="144"/>
        <v>2268368.4951142655</v>
      </c>
      <c r="U58" s="133">
        <f t="shared" si="144"/>
        <v>317845.72802364983</v>
      </c>
      <c r="V58" s="95">
        <f t="shared" si="144"/>
        <v>2550967.5514996666</v>
      </c>
      <c r="W58" s="95">
        <f t="shared" si="144"/>
        <v>197623.71183366669</v>
      </c>
      <c r="X58" s="96">
        <f t="shared" si="144"/>
        <v>2748591.2633333337</v>
      </c>
      <c r="Y58" s="132">
        <f>+X58/S55-1</f>
        <v>3.8244627212230764E-2</v>
      </c>
      <c r="Z58" s="133">
        <f t="shared" ref="Z58:AE58" si="145">SUM(Z55:Z57)</f>
        <v>3225360.8761040852</v>
      </c>
      <c r="AA58" s="133">
        <f t="shared" si="145"/>
        <v>2828964.0244308929</v>
      </c>
      <c r="AB58" s="133">
        <f t="shared" si="145"/>
        <v>396396.85167319217</v>
      </c>
      <c r="AC58" s="95">
        <f t="shared" si="145"/>
        <v>3014773.5437634401</v>
      </c>
      <c r="AD58" s="95">
        <f t="shared" si="145"/>
        <v>233554.80852989046</v>
      </c>
      <c r="AE58" s="96">
        <f t="shared" si="145"/>
        <v>3248328.3522933312</v>
      </c>
      <c r="AF58" s="132">
        <f>+AE58/Z55-1</f>
        <v>-1.1612037231229833E-2</v>
      </c>
      <c r="AG58" s="133">
        <f t="shared" ref="AG58:AL58" si="146">SUM(AG55:AG57)</f>
        <v>2711245.9630112587</v>
      </c>
      <c r="AH58" s="133">
        <f t="shared" si="146"/>
        <v>2378033.8341571759</v>
      </c>
      <c r="AI58" s="133">
        <f t="shared" si="146"/>
        <v>333212.12885408377</v>
      </c>
      <c r="AJ58" s="95">
        <f t="shared" si="146"/>
        <v>2778992.078540666</v>
      </c>
      <c r="AK58" s="95">
        <f t="shared" si="146"/>
        <v>215288.79479266668</v>
      </c>
      <c r="AL58" s="96">
        <f t="shared" si="146"/>
        <v>2994280.8733333335</v>
      </c>
      <c r="AM58" s="132">
        <f>+AL58/AG55-1</f>
        <v>8.0041290222976791E-2</v>
      </c>
      <c r="AN58" s="133">
        <f t="shared" ref="AN58:AS58" si="147">SUM(AN55:AN57)</f>
        <v>2881047.5863939147</v>
      </c>
      <c r="AO58" s="133">
        <f t="shared" si="147"/>
        <v>2526966.8380261031</v>
      </c>
      <c r="AP58" s="133">
        <f t="shared" si="147"/>
        <v>354080.74836781219</v>
      </c>
      <c r="AQ58" s="95">
        <f t="shared" si="147"/>
        <v>0</v>
      </c>
      <c r="AR58" s="95">
        <f t="shared" si="147"/>
        <v>0</v>
      </c>
      <c r="AS58" s="96">
        <f t="shared" si="147"/>
        <v>0</v>
      </c>
      <c r="AT58" s="132">
        <f>+AS58/AN55-1</f>
        <v>-1</v>
      </c>
      <c r="AU58" s="133">
        <f t="shared" ref="AU58:AZ58" si="148">SUM(AU55:AU57)</f>
        <v>2884506.7404995146</v>
      </c>
      <c r="AV58" s="133">
        <f t="shared" si="148"/>
        <v>2530000.8620921257</v>
      </c>
      <c r="AW58" s="133">
        <f t="shared" si="148"/>
        <v>354505.87840739044</v>
      </c>
      <c r="AX58" s="95">
        <f t="shared" si="148"/>
        <v>0</v>
      </c>
      <c r="AY58" s="95">
        <f t="shared" si="148"/>
        <v>0</v>
      </c>
      <c r="AZ58" s="96">
        <f t="shared" si="148"/>
        <v>0</v>
      </c>
      <c r="BA58" s="132">
        <f>+AZ58/AU55-1</f>
        <v>-1</v>
      </c>
      <c r="BB58" s="133">
        <f t="shared" ref="BB58:BG58" si="149">SUM(BB55:BB57)</f>
        <v>3287131.1397434711</v>
      </c>
      <c r="BC58" s="133">
        <f t="shared" si="149"/>
        <v>2883142.7226689993</v>
      </c>
      <c r="BD58" s="133">
        <f t="shared" si="149"/>
        <v>403988.41707447264</v>
      </c>
      <c r="BE58" s="95">
        <f t="shared" si="149"/>
        <v>0</v>
      </c>
      <c r="BF58" s="95">
        <f t="shared" si="149"/>
        <v>0</v>
      </c>
      <c r="BG58" s="96">
        <f t="shared" si="149"/>
        <v>0</v>
      </c>
      <c r="BH58" s="132">
        <f>+BG58/BB55-1</f>
        <v>-1</v>
      </c>
      <c r="BI58" s="133">
        <f t="shared" ref="BI58:BN58" si="150">SUM(BI55:BI57)</f>
        <v>1380650.4947357213</v>
      </c>
      <c r="BJ58" s="133">
        <f t="shared" si="150"/>
        <v>1210968.5489327007</v>
      </c>
      <c r="BK58" s="133">
        <f t="shared" si="150"/>
        <v>169681.94580302018</v>
      </c>
      <c r="BL58" s="95">
        <f t="shared" si="150"/>
        <v>0</v>
      </c>
      <c r="BM58" s="95">
        <f t="shared" si="150"/>
        <v>0</v>
      </c>
      <c r="BN58" s="96">
        <f t="shared" si="150"/>
        <v>0</v>
      </c>
      <c r="BO58" s="132">
        <f>+BN58/BI55-1</f>
        <v>-1</v>
      </c>
      <c r="BP58" s="133">
        <f t="shared" ref="BP58:BU58" si="151">SUM(BP55:BP57)</f>
        <v>1583864.5235076291</v>
      </c>
      <c r="BQ58" s="133">
        <f t="shared" si="151"/>
        <v>1389207.5735685406</v>
      </c>
      <c r="BR58" s="133">
        <f t="shared" si="151"/>
        <v>194656.94993908762</v>
      </c>
      <c r="BS58" s="95">
        <f t="shared" si="151"/>
        <v>0</v>
      </c>
      <c r="BT58" s="95">
        <f t="shared" si="151"/>
        <v>0</v>
      </c>
      <c r="BU58" s="96">
        <f t="shared" si="151"/>
        <v>0</v>
      </c>
      <c r="BV58" s="132">
        <f>+BU58/BP55-1</f>
        <v>-1</v>
      </c>
      <c r="BW58" s="133">
        <f t="shared" ref="BW58:CB58" si="152">SUM(BW55:BW57)</f>
        <v>1246443.8739497731</v>
      </c>
      <c r="BX58" s="133">
        <f t="shared" si="152"/>
        <v>1093255.9218413457</v>
      </c>
      <c r="BY58" s="133">
        <f t="shared" si="152"/>
        <v>153187.9521084271</v>
      </c>
      <c r="BZ58" s="95">
        <f t="shared" si="152"/>
        <v>0</v>
      </c>
      <c r="CA58" s="95">
        <f t="shared" si="152"/>
        <v>0</v>
      </c>
      <c r="CB58" s="96">
        <f t="shared" si="152"/>
        <v>0</v>
      </c>
      <c r="CC58" s="132">
        <f>+CB58/BW55-1</f>
        <v>-1</v>
      </c>
      <c r="CD58" s="133">
        <f t="shared" ref="CD58:CI58" si="153">SUM(CD55:CD57)</f>
        <v>1096355.6035396298</v>
      </c>
      <c r="CE58" s="133">
        <f t="shared" si="153"/>
        <v>961613.49986460956</v>
      </c>
      <c r="CF58" s="133">
        <f t="shared" si="153"/>
        <v>134742.10367502051</v>
      </c>
      <c r="CG58" s="95">
        <f t="shared" si="153"/>
        <v>0</v>
      </c>
      <c r="CH58" s="95">
        <f t="shared" si="153"/>
        <v>0</v>
      </c>
      <c r="CI58" s="96">
        <f t="shared" si="153"/>
        <v>0</v>
      </c>
      <c r="CJ58" s="132">
        <f>+CI58/CD55-1</f>
        <v>-1</v>
      </c>
      <c r="CK58" s="133">
        <f t="shared" ref="CK58:CP58" si="154">SUM(CK55:CK57)</f>
        <v>1093858.8522020299</v>
      </c>
      <c r="CL58" s="133">
        <f t="shared" si="154"/>
        <v>959423.59926640068</v>
      </c>
      <c r="CM58" s="133">
        <f t="shared" si="154"/>
        <v>134435.25293562948</v>
      </c>
      <c r="CN58" s="95">
        <f t="shared" si="154"/>
        <v>0</v>
      </c>
      <c r="CO58" s="95">
        <f t="shared" si="154"/>
        <v>0</v>
      </c>
      <c r="CP58" s="96">
        <f t="shared" si="154"/>
        <v>0</v>
      </c>
      <c r="CQ58" s="132">
        <f>+CP58/CK55-1</f>
        <v>-1</v>
      </c>
    </row>
    <row r="59" spans="1:99" s="105" customFormat="1" ht="14.25" customHeight="1" x14ac:dyDescent="0.2">
      <c r="B59" s="104"/>
      <c r="C59" s="104"/>
      <c r="D59" s="104"/>
      <c r="J59" s="104">
        <f>J58-'[2]IGARATÁ - CITROS'!$N$106</f>
        <v>0</v>
      </c>
      <c r="L59" s="171"/>
      <c r="M59" s="171"/>
      <c r="N59" s="171"/>
      <c r="O59" s="171"/>
      <c r="P59" s="171"/>
      <c r="Q59" s="171">
        <f>+Q58-'[2]IGARATÁ - CITROS'!$N$222</f>
        <v>0</v>
      </c>
      <c r="R59" s="171"/>
      <c r="S59" s="171"/>
      <c r="T59" s="171"/>
      <c r="U59" s="171"/>
      <c r="V59" s="171"/>
      <c r="W59" s="171"/>
      <c r="X59" s="171">
        <f>+X58-'[2]IGARATÁ - CITROS'!$N$332</f>
        <v>0</v>
      </c>
      <c r="Y59" s="171"/>
      <c r="Z59" s="171"/>
      <c r="AA59" s="171"/>
      <c r="AB59" s="171"/>
      <c r="AC59" s="171"/>
      <c r="AD59" s="171"/>
      <c r="AE59" s="171">
        <f>AE58-'[2]IGARATÁ - CITROS'!$N$442</f>
        <v>0</v>
      </c>
      <c r="AF59" s="171"/>
      <c r="AG59" s="171"/>
      <c r="AH59" s="171"/>
      <c r="AI59" s="171"/>
      <c r="AJ59" s="171"/>
      <c r="AK59" s="171"/>
      <c r="AL59" s="171">
        <f>AL58-'[2]IGARATÁ - CITROS'!$N$554</f>
        <v>0</v>
      </c>
      <c r="AM59" s="171"/>
      <c r="AN59" s="171"/>
      <c r="AO59" s="171"/>
      <c r="AP59" s="171"/>
      <c r="AQ59" s="171"/>
      <c r="AR59" s="171"/>
      <c r="AS59" s="171">
        <f>AS58-'[3]IGARATÁ - CITROS'!$N$659</f>
        <v>0</v>
      </c>
      <c r="AT59" s="171"/>
      <c r="AU59" s="171"/>
      <c r="AV59" s="171"/>
      <c r="AW59" s="171"/>
      <c r="AX59" s="171"/>
      <c r="AY59" s="171"/>
      <c r="AZ59" s="171">
        <f>AZ58-'[3]IGARATÁ - CITROS'!$N$769</f>
        <v>0</v>
      </c>
      <c r="BA59" s="171"/>
      <c r="BB59" s="171"/>
      <c r="BC59" s="171"/>
      <c r="BD59" s="171"/>
      <c r="BE59" s="171"/>
      <c r="BF59" s="171"/>
      <c r="BG59" s="171">
        <f>BG58-'[3]IGARATÁ - CITROS'!$N$879</f>
        <v>0</v>
      </c>
      <c r="BH59" s="171"/>
      <c r="BI59" s="171"/>
      <c r="BJ59" s="171"/>
      <c r="BK59" s="171"/>
      <c r="BL59" s="171"/>
      <c r="BM59" s="171"/>
      <c r="BN59" s="171">
        <f>BN58-'[3]IGARATÁ - CITROS'!$N$989</f>
        <v>0</v>
      </c>
      <c r="BO59" s="171"/>
      <c r="BP59" s="171"/>
      <c r="BQ59" s="171"/>
      <c r="BR59" s="171"/>
      <c r="BS59" s="171"/>
      <c r="BT59" s="171"/>
      <c r="BU59" s="171">
        <f>BU58-'[3]IGARATÁ - CITROS'!$N$1099</f>
        <v>0</v>
      </c>
      <c r="BV59" s="171"/>
      <c r="BW59" s="171"/>
      <c r="BX59" s="171"/>
      <c r="BY59" s="171"/>
      <c r="BZ59" s="171"/>
      <c r="CA59" s="171"/>
      <c r="CB59" s="171">
        <f>CB58-'[3]IGARATÁ - CITROS'!$N$1209</f>
        <v>0</v>
      </c>
      <c r="CC59" s="171"/>
      <c r="CD59" s="171"/>
      <c r="CE59" s="171"/>
      <c r="CF59" s="171"/>
      <c r="CG59" s="171"/>
      <c r="CH59" s="171"/>
      <c r="CI59" s="171">
        <f>CI58-'[3]IGARATÁ - CITROS'!$N$1319</f>
        <v>0</v>
      </c>
      <c r="CJ59" s="171"/>
      <c r="CK59" s="171"/>
      <c r="CL59" s="171"/>
      <c r="CM59" s="171"/>
      <c r="CN59" s="171"/>
      <c r="CO59" s="171"/>
      <c r="CP59" s="171">
        <f>CP58-'[3]IGARATÁ - CITROS'!$N$1429</f>
        <v>0</v>
      </c>
      <c r="CQ59" s="171"/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9"/>
      <c r="R61" s="114">
        <f>26.04+1619.47+93.85+8.12+151.41+6.15+1461.95+430.3+229.49+768.39+91.18+15.37+13.11+83.64+953.65+115.86+2.18+1619.47+13.47+1462.47+7.75</f>
        <v>9173.32</v>
      </c>
      <c r="S61" s="107" t="s">
        <v>84</v>
      </c>
      <c r="T61" s="108"/>
      <c r="U61" s="108"/>
      <c r="V61" s="108"/>
      <c r="W61" s="108"/>
      <c r="X61" s="109"/>
      <c r="Y61" s="114">
        <f>36.88+28.31+45.08+151.42+34.32+30.74+1573.88+98.79+773.82+148.94+10.27+55.33+1619.47+184.41+8.12+53.84+6.15+16.39+768.39+15.37</f>
        <v>5659.92</v>
      </c>
      <c r="Z61" s="107" t="s">
        <v>84</v>
      </c>
      <c r="AA61" s="108"/>
      <c r="AB61" s="108"/>
      <c r="AC61" s="108"/>
      <c r="AD61" s="108"/>
      <c r="AE61" s="109"/>
      <c r="AF61" s="114">
        <f>37.91+8.12+40.9+6.15+245.88+768.39+15.37+80.15+1619.47+22.54+83.87+664.01+115.97</f>
        <v>3708.73</v>
      </c>
      <c r="AG61" s="107" t="s">
        <v>84</v>
      </c>
      <c r="AH61" s="108"/>
      <c r="AI61" s="108"/>
      <c r="AJ61" s="108"/>
      <c r="AK61" s="108"/>
      <c r="AL61" s="109"/>
      <c r="AM61" s="114">
        <f>75.99+102.82+24.8+8.12+430.3+59.33+10.67+6.15+1494.27+768.39+15.37+344.24+67.61+870.67+1619.47+37.91</f>
        <v>5936.11</v>
      </c>
      <c r="AN61" s="107"/>
      <c r="AO61" s="108"/>
      <c r="AP61" s="108"/>
      <c r="AQ61" s="108"/>
      <c r="AR61" s="108"/>
      <c r="AS61" s="109"/>
      <c r="AT61" s="114"/>
      <c r="AU61" s="107"/>
      <c r="AV61" s="108"/>
      <c r="AW61" s="108"/>
      <c r="AX61" s="108"/>
      <c r="AY61" s="108"/>
      <c r="AZ61" s="109"/>
      <c r="BA61" s="114"/>
      <c r="BB61" s="107"/>
      <c r="BC61" s="108"/>
      <c r="BD61" s="108"/>
      <c r="BE61" s="108"/>
      <c r="BF61" s="108"/>
      <c r="BG61" s="109"/>
      <c r="BH61" s="114"/>
      <c r="BI61" s="107"/>
      <c r="BJ61" s="108"/>
      <c r="BK61" s="108"/>
      <c r="BL61" s="108"/>
      <c r="BM61" s="108"/>
      <c r="BN61" s="109"/>
      <c r="BO61" s="114"/>
      <c r="BP61" s="107"/>
      <c r="BQ61" s="108"/>
      <c r="BR61" s="108"/>
      <c r="BS61" s="108"/>
      <c r="BT61" s="108"/>
      <c r="BU61" s="109"/>
      <c r="BV61" s="114"/>
      <c r="BW61" s="107"/>
      <c r="BX61" s="108"/>
      <c r="BY61" s="108"/>
      <c r="BZ61" s="108"/>
      <c r="CA61" s="108"/>
      <c r="CB61" s="109"/>
      <c r="CC61" s="114"/>
      <c r="CD61" s="107"/>
      <c r="CE61" s="108"/>
      <c r="CF61" s="108"/>
      <c r="CG61" s="108"/>
      <c r="CH61" s="108"/>
      <c r="CI61" s="109"/>
      <c r="CJ61" s="114"/>
      <c r="CK61" s="107"/>
      <c r="CL61" s="108"/>
      <c r="CM61" s="108"/>
      <c r="CN61" s="108"/>
      <c r="CO61" s="108"/>
      <c r="CP61" s="109"/>
      <c r="CQ61" s="114"/>
    </row>
    <row r="62" spans="1:99" ht="14.25" customHeight="1" x14ac:dyDescent="0.2">
      <c r="L62" s="107" t="s">
        <v>86</v>
      </c>
      <c r="M62" s="108"/>
      <c r="N62" s="108"/>
      <c r="O62" s="108"/>
      <c r="P62" s="108"/>
      <c r="Q62" s="109"/>
      <c r="R62" s="114">
        <f>918.74</f>
        <v>918.74</v>
      </c>
      <c r="S62" s="107" t="s">
        <v>86</v>
      </c>
      <c r="T62" s="108"/>
      <c r="U62" s="108"/>
      <c r="V62" s="108"/>
      <c r="W62" s="108"/>
      <c r="X62" s="109"/>
      <c r="Y62" s="114">
        <f>725.05</f>
        <v>725.05</v>
      </c>
      <c r="Z62" s="107" t="s">
        <v>86</v>
      </c>
      <c r="AA62" s="108"/>
      <c r="AB62" s="108"/>
      <c r="AC62" s="108"/>
      <c r="AD62" s="108"/>
      <c r="AE62" s="109"/>
      <c r="AF62" s="114">
        <f>939.38</f>
        <v>939.38</v>
      </c>
      <c r="AG62" s="107" t="s">
        <v>86</v>
      </c>
      <c r="AH62" s="108"/>
      <c r="AI62" s="108"/>
      <c r="AJ62" s="108"/>
      <c r="AK62" s="108"/>
      <c r="AL62" s="109"/>
      <c r="AM62" s="114">
        <f>876.71</f>
        <v>876.71</v>
      </c>
      <c r="AN62" s="107"/>
      <c r="AO62" s="108"/>
      <c r="AP62" s="108"/>
      <c r="AQ62" s="108"/>
      <c r="AR62" s="108"/>
      <c r="AS62" s="109"/>
      <c r="AT62" s="114"/>
      <c r="AU62" s="107"/>
      <c r="AV62" s="108"/>
      <c r="AW62" s="108"/>
      <c r="AX62" s="108"/>
      <c r="AY62" s="108"/>
      <c r="AZ62" s="109"/>
      <c r="BA62" s="114"/>
      <c r="BB62" s="107"/>
      <c r="BC62" s="108"/>
      <c r="BD62" s="108"/>
      <c r="BE62" s="108"/>
      <c r="BF62" s="108"/>
      <c r="BG62" s="109"/>
      <c r="BH62" s="114"/>
      <c r="BI62" s="107"/>
      <c r="BJ62" s="108"/>
      <c r="BK62" s="108"/>
      <c r="BL62" s="108"/>
      <c r="BM62" s="108"/>
      <c r="BN62" s="109"/>
      <c r="BO62" s="114"/>
      <c r="BP62" s="107"/>
      <c r="BQ62" s="108"/>
      <c r="BR62" s="108"/>
      <c r="BS62" s="108"/>
      <c r="BT62" s="108"/>
      <c r="BU62" s="109"/>
      <c r="BV62" s="114"/>
      <c r="BW62" s="107"/>
      <c r="BX62" s="108"/>
      <c r="BY62" s="108"/>
      <c r="BZ62" s="108"/>
      <c r="CA62" s="108"/>
      <c r="CB62" s="109"/>
      <c r="CC62" s="114"/>
      <c r="CD62" s="107"/>
      <c r="CE62" s="108"/>
      <c r="CF62" s="108"/>
      <c r="CG62" s="108"/>
      <c r="CH62" s="108"/>
      <c r="CI62" s="109"/>
      <c r="CJ62" s="114"/>
      <c r="CK62" s="107"/>
      <c r="CL62" s="108"/>
      <c r="CM62" s="108"/>
      <c r="CN62" s="108"/>
      <c r="CO62" s="108"/>
      <c r="CP62" s="109"/>
      <c r="CQ62" s="114"/>
    </row>
    <row r="63" spans="1:99" ht="14.25" customHeight="1" x14ac:dyDescent="0.2">
      <c r="L63" s="107" t="s">
        <v>87</v>
      </c>
      <c r="M63" s="108"/>
      <c r="N63" s="108"/>
      <c r="O63" s="108"/>
      <c r="P63" s="108"/>
      <c r="Q63" s="109"/>
      <c r="R63" s="167">
        <f>424.46</f>
        <v>424.46</v>
      </c>
      <c r="S63" s="107" t="s">
        <v>87</v>
      </c>
      <c r="T63" s="108"/>
      <c r="U63" s="108"/>
      <c r="V63" s="108"/>
      <c r="W63" s="108"/>
      <c r="X63" s="109"/>
      <c r="Y63" s="167">
        <f>1401.12</f>
        <v>1401.12</v>
      </c>
      <c r="Z63" s="107" t="s">
        <v>87</v>
      </c>
      <c r="AA63" s="108"/>
      <c r="AB63" s="108"/>
      <c r="AC63" s="108"/>
      <c r="AD63" s="108"/>
      <c r="AE63" s="109"/>
      <c r="AF63" s="167">
        <f>713.93</f>
        <v>713.93</v>
      </c>
      <c r="AG63" s="107" t="s">
        <v>87</v>
      </c>
      <c r="AH63" s="108"/>
      <c r="AI63" s="108"/>
      <c r="AJ63" s="108"/>
      <c r="AK63" s="108"/>
      <c r="AL63" s="109"/>
      <c r="AM63" s="167">
        <f>574.74+120</f>
        <v>694.74</v>
      </c>
      <c r="AN63" s="107"/>
      <c r="AO63" s="108"/>
      <c r="AP63" s="108"/>
      <c r="AQ63" s="108"/>
      <c r="AR63" s="108"/>
      <c r="AS63" s="109"/>
      <c r="AT63" s="167"/>
      <c r="AU63" s="107"/>
      <c r="AV63" s="108"/>
      <c r="AW63" s="108"/>
      <c r="AX63" s="108"/>
      <c r="AY63" s="108"/>
      <c r="AZ63" s="109"/>
      <c r="BA63" s="167"/>
      <c r="BB63" s="107"/>
      <c r="BC63" s="108"/>
      <c r="BD63" s="108"/>
      <c r="BE63" s="108"/>
      <c r="BF63" s="108"/>
      <c r="BG63" s="109"/>
      <c r="BH63" s="167"/>
      <c r="BI63" s="107"/>
      <c r="BJ63" s="108"/>
      <c r="BK63" s="108"/>
      <c r="BL63" s="108"/>
      <c r="BM63" s="108"/>
      <c r="BN63" s="109"/>
      <c r="BO63" s="167"/>
      <c r="BP63" s="107"/>
      <c r="BQ63" s="108"/>
      <c r="BR63" s="108"/>
      <c r="BS63" s="108"/>
      <c r="BT63" s="108"/>
      <c r="BU63" s="109"/>
      <c r="BV63" s="167"/>
      <c r="BW63" s="107"/>
      <c r="BX63" s="108"/>
      <c r="BY63" s="108"/>
      <c r="BZ63" s="108"/>
      <c r="CA63" s="108"/>
      <c r="CB63" s="109"/>
      <c r="CC63" s="167"/>
      <c r="CD63" s="107"/>
      <c r="CE63" s="108"/>
      <c r="CF63" s="108"/>
      <c r="CG63" s="108"/>
      <c r="CH63" s="108"/>
      <c r="CI63" s="109"/>
      <c r="CJ63" s="167"/>
      <c r="CK63" s="107"/>
      <c r="CL63" s="108"/>
      <c r="CM63" s="108"/>
      <c r="CN63" s="108"/>
      <c r="CO63" s="108"/>
      <c r="CP63" s="109"/>
      <c r="CQ63" s="167"/>
    </row>
    <row r="64" spans="1:99" ht="14.25" customHeight="1" x14ac:dyDescent="0.2">
      <c r="L64" s="107" t="s">
        <v>146</v>
      </c>
      <c r="M64" s="108"/>
      <c r="N64" s="108"/>
      <c r="O64" s="108"/>
      <c r="P64" s="108"/>
      <c r="Q64" s="109"/>
      <c r="R64" s="167">
        <f>308+374+198</f>
        <v>880</v>
      </c>
      <c r="S64" s="107" t="s">
        <v>146</v>
      </c>
      <c r="T64" s="108"/>
      <c r="U64" s="108"/>
      <c r="V64" s="108"/>
      <c r="W64" s="108"/>
      <c r="X64" s="109"/>
      <c r="Y64" s="167">
        <f>88</f>
        <v>88</v>
      </c>
      <c r="Z64" s="107" t="s">
        <v>146</v>
      </c>
      <c r="AA64" s="108"/>
      <c r="AB64" s="108"/>
      <c r="AC64" s="108"/>
      <c r="AD64" s="108"/>
      <c r="AE64" s="109"/>
      <c r="AF64" s="167"/>
      <c r="AG64" s="107" t="s">
        <v>146</v>
      </c>
      <c r="AH64" s="108"/>
      <c r="AI64" s="108"/>
      <c r="AJ64" s="108"/>
      <c r="AK64" s="108"/>
      <c r="AL64" s="109"/>
      <c r="AM64" s="167"/>
      <c r="AN64" s="107"/>
      <c r="AO64" s="108"/>
      <c r="AP64" s="108"/>
      <c r="AQ64" s="108"/>
      <c r="AR64" s="108"/>
      <c r="AS64" s="109"/>
      <c r="AT64" s="167"/>
      <c r="AU64" s="107"/>
      <c r="AV64" s="108"/>
      <c r="AW64" s="108"/>
      <c r="AX64" s="108"/>
      <c r="AY64" s="108"/>
      <c r="AZ64" s="109"/>
      <c r="BA64" s="167"/>
      <c r="BB64" s="107"/>
      <c r="BC64" s="108"/>
      <c r="BD64" s="108"/>
      <c r="BE64" s="108"/>
      <c r="BF64" s="108"/>
      <c r="BG64" s="109"/>
      <c r="BH64" s="167"/>
      <c r="BI64" s="107"/>
      <c r="BJ64" s="108"/>
      <c r="BK64" s="108"/>
      <c r="BL64" s="108"/>
      <c r="BM64" s="108"/>
      <c r="BN64" s="109"/>
      <c r="BO64" s="167"/>
      <c r="BP64" s="107"/>
      <c r="BQ64" s="108"/>
      <c r="BR64" s="108"/>
      <c r="BS64" s="108"/>
      <c r="BT64" s="108"/>
      <c r="BU64" s="109"/>
      <c r="BV64" s="167"/>
      <c r="BW64" s="107"/>
      <c r="BX64" s="108"/>
      <c r="BY64" s="108"/>
      <c r="BZ64" s="108"/>
      <c r="CA64" s="108"/>
      <c r="CB64" s="109"/>
      <c r="CC64" s="167"/>
      <c r="CD64" s="107"/>
      <c r="CE64" s="108"/>
      <c r="CF64" s="108"/>
      <c r="CG64" s="108"/>
      <c r="CH64" s="108"/>
      <c r="CI64" s="109"/>
      <c r="CJ64" s="167"/>
      <c r="CK64" s="107"/>
      <c r="CL64" s="108"/>
      <c r="CM64" s="108"/>
      <c r="CN64" s="108"/>
      <c r="CO64" s="108"/>
      <c r="CP64" s="109"/>
      <c r="CQ64" s="167"/>
    </row>
    <row r="65" spans="12:95" ht="14.25" customHeight="1" x14ac:dyDescent="0.2">
      <c r="L65" s="107" t="s">
        <v>88</v>
      </c>
      <c r="M65" s="108"/>
      <c r="N65" s="108"/>
      <c r="O65" s="108"/>
      <c r="P65" s="108"/>
      <c r="Q65" s="109"/>
      <c r="R65" s="167">
        <f>590+360+75</f>
        <v>1025</v>
      </c>
      <c r="S65" s="107" t="s">
        <v>88</v>
      </c>
      <c r="T65" s="108"/>
      <c r="U65" s="108"/>
      <c r="V65" s="108"/>
      <c r="W65" s="108"/>
      <c r="X65" s="109"/>
      <c r="Y65" s="167"/>
      <c r="Z65" s="107" t="s">
        <v>88</v>
      </c>
      <c r="AA65" s="108"/>
      <c r="AB65" s="108"/>
      <c r="AC65" s="108"/>
      <c r="AD65" s="108"/>
      <c r="AE65" s="109"/>
      <c r="AF65" s="167">
        <f>330+480</f>
        <v>810</v>
      </c>
      <c r="AG65" s="107" t="s">
        <v>88</v>
      </c>
      <c r="AH65" s="108"/>
      <c r="AI65" s="108"/>
      <c r="AJ65" s="108"/>
      <c r="AK65" s="108"/>
      <c r="AL65" s="109"/>
      <c r="AM65" s="167"/>
      <c r="AN65" s="107"/>
      <c r="AO65" s="108"/>
      <c r="AP65" s="108"/>
      <c r="AQ65" s="108"/>
      <c r="AR65" s="108"/>
      <c r="AS65" s="109"/>
      <c r="AT65" s="167"/>
      <c r="AU65" s="107"/>
      <c r="AV65" s="108"/>
      <c r="AW65" s="108"/>
      <c r="AX65" s="108"/>
      <c r="AY65" s="108"/>
      <c r="AZ65" s="109"/>
      <c r="BA65" s="167"/>
      <c r="BB65" s="107"/>
      <c r="BC65" s="108"/>
      <c r="BD65" s="108"/>
      <c r="BE65" s="108"/>
      <c r="BF65" s="108"/>
      <c r="BG65" s="109"/>
      <c r="BH65" s="167"/>
      <c r="BI65" s="107"/>
      <c r="BJ65" s="108"/>
      <c r="BK65" s="108"/>
      <c r="BL65" s="108"/>
      <c r="BM65" s="108"/>
      <c r="BN65" s="109"/>
      <c r="BO65" s="167"/>
      <c r="BP65" s="107"/>
      <c r="BQ65" s="108"/>
      <c r="BR65" s="108"/>
      <c r="BS65" s="108"/>
      <c r="BT65" s="108"/>
      <c r="BU65" s="109"/>
      <c r="BV65" s="167"/>
      <c r="BW65" s="107"/>
      <c r="BX65" s="108"/>
      <c r="BY65" s="108"/>
      <c r="BZ65" s="108"/>
      <c r="CA65" s="108"/>
      <c r="CB65" s="109"/>
      <c r="CC65" s="167"/>
      <c r="CD65" s="107"/>
      <c r="CE65" s="108"/>
      <c r="CF65" s="108"/>
      <c r="CG65" s="108"/>
      <c r="CH65" s="108"/>
      <c r="CI65" s="109"/>
      <c r="CJ65" s="167"/>
      <c r="CK65" s="107"/>
      <c r="CL65" s="108"/>
      <c r="CM65" s="108"/>
      <c r="CN65" s="108"/>
      <c r="CO65" s="108"/>
      <c r="CP65" s="109"/>
      <c r="CQ65" s="167"/>
    </row>
    <row r="66" spans="12:95" ht="14.25" customHeight="1" x14ac:dyDescent="0.2">
      <c r="L66" s="107" t="s">
        <v>131</v>
      </c>
      <c r="M66" s="108"/>
      <c r="N66" s="108"/>
      <c r="O66" s="108"/>
      <c r="P66" s="108"/>
      <c r="Q66" s="109"/>
      <c r="R66" s="167">
        <f>129.85</f>
        <v>129.85</v>
      </c>
      <c r="S66" s="107" t="s">
        <v>131</v>
      </c>
      <c r="T66" s="108"/>
      <c r="U66" s="108"/>
      <c r="V66" s="108"/>
      <c r="W66" s="108"/>
      <c r="X66" s="109"/>
      <c r="Y66" s="167">
        <f>917.03+435.06+382.75+1602.95</f>
        <v>3337.79</v>
      </c>
      <c r="Z66" s="107" t="s">
        <v>131</v>
      </c>
      <c r="AA66" s="108"/>
      <c r="AB66" s="108"/>
      <c r="AC66" s="108"/>
      <c r="AD66" s="108"/>
      <c r="AE66" s="109"/>
      <c r="AF66" s="167">
        <f>586.64</f>
        <v>586.64</v>
      </c>
      <c r="AG66" s="107" t="s">
        <v>131</v>
      </c>
      <c r="AH66" s="108"/>
      <c r="AI66" s="108"/>
      <c r="AJ66" s="108"/>
      <c r="AK66" s="108"/>
      <c r="AL66" s="109"/>
      <c r="AM66" s="167">
        <f>164.82</f>
        <v>164.82</v>
      </c>
      <c r="AN66" s="107"/>
      <c r="AO66" s="108"/>
      <c r="AP66" s="108"/>
      <c r="AQ66" s="108"/>
      <c r="AR66" s="108"/>
      <c r="AS66" s="109"/>
      <c r="AT66" s="167"/>
      <c r="AU66" s="107"/>
      <c r="AV66" s="108"/>
      <c r="AW66" s="108"/>
      <c r="AX66" s="108"/>
      <c r="AY66" s="108"/>
      <c r="AZ66" s="109"/>
      <c r="BA66" s="167"/>
      <c r="BB66" s="107"/>
      <c r="BC66" s="108"/>
      <c r="BD66" s="108"/>
      <c r="BE66" s="108"/>
      <c r="BF66" s="108"/>
      <c r="BG66" s="109"/>
      <c r="BH66" s="167"/>
      <c r="BI66" s="107"/>
      <c r="BJ66" s="108"/>
      <c r="BK66" s="108"/>
      <c r="BL66" s="108"/>
      <c r="BM66" s="108"/>
      <c r="BN66" s="109"/>
      <c r="BO66" s="167"/>
      <c r="BP66" s="107"/>
      <c r="BQ66" s="108"/>
      <c r="BR66" s="108"/>
      <c r="BS66" s="108"/>
      <c r="BT66" s="108"/>
      <c r="BU66" s="109"/>
      <c r="BV66" s="167"/>
      <c r="BW66" s="107"/>
      <c r="BX66" s="108"/>
      <c r="BY66" s="108"/>
      <c r="BZ66" s="108"/>
      <c r="CA66" s="108"/>
      <c r="CB66" s="109"/>
      <c r="CC66" s="167"/>
      <c r="CD66" s="107"/>
      <c r="CE66" s="108"/>
      <c r="CF66" s="108"/>
      <c r="CG66" s="108"/>
      <c r="CH66" s="108"/>
      <c r="CI66" s="109"/>
      <c r="CJ66" s="167"/>
      <c r="CK66" s="107"/>
      <c r="CL66" s="108"/>
      <c r="CM66" s="108"/>
      <c r="CN66" s="108"/>
      <c r="CO66" s="108"/>
      <c r="CP66" s="109"/>
      <c r="CQ66" s="167"/>
    </row>
    <row r="67" spans="12:95" ht="14.25" customHeight="1" x14ac:dyDescent="0.2">
      <c r="L67" s="107" t="s">
        <v>99</v>
      </c>
      <c r="M67" s="108"/>
      <c r="N67" s="108"/>
      <c r="O67" s="108"/>
      <c r="P67" s="108"/>
      <c r="Q67" s="109"/>
      <c r="R67" s="167">
        <f>797.5</f>
        <v>797.5</v>
      </c>
      <c r="S67" s="107" t="s">
        <v>99</v>
      </c>
      <c r="T67" s="108"/>
      <c r="U67" s="108"/>
      <c r="V67" s="108"/>
      <c r="W67" s="108"/>
      <c r="X67" s="109"/>
      <c r="Y67" s="167">
        <f>751.51+960</f>
        <v>1711.51</v>
      </c>
      <c r="Z67" s="107" t="s">
        <v>99</v>
      </c>
      <c r="AA67" s="108"/>
      <c r="AB67" s="108"/>
      <c r="AC67" s="108"/>
      <c r="AD67" s="108"/>
      <c r="AE67" s="109"/>
      <c r="AF67" s="167"/>
      <c r="AG67" s="107" t="s">
        <v>99</v>
      </c>
      <c r="AH67" s="108"/>
      <c r="AI67" s="108"/>
      <c r="AJ67" s="108"/>
      <c r="AK67" s="108"/>
      <c r="AL67" s="109"/>
      <c r="AM67" s="167">
        <f>103.31+880</f>
        <v>983.31</v>
      </c>
      <c r="AN67" s="107"/>
      <c r="AO67" s="108"/>
      <c r="AP67" s="108"/>
      <c r="AQ67" s="108"/>
      <c r="AR67" s="108"/>
      <c r="AS67" s="109"/>
      <c r="AT67" s="167"/>
      <c r="AU67" s="107"/>
      <c r="AV67" s="108"/>
      <c r="AW67" s="108"/>
      <c r="AX67" s="108"/>
      <c r="AY67" s="108"/>
      <c r="AZ67" s="109"/>
      <c r="BA67" s="167"/>
      <c r="BB67" s="107"/>
      <c r="BC67" s="108"/>
      <c r="BD67" s="108"/>
      <c r="BE67" s="108"/>
      <c r="BF67" s="108"/>
      <c r="BG67" s="109"/>
      <c r="BH67" s="167"/>
      <c r="BI67" s="107"/>
      <c r="BJ67" s="108"/>
      <c r="BK67" s="108"/>
      <c r="BL67" s="108"/>
      <c r="BM67" s="108"/>
      <c r="BN67" s="109"/>
      <c r="BO67" s="167"/>
      <c r="BP67" s="107"/>
      <c r="BQ67" s="108"/>
      <c r="BR67" s="108"/>
      <c r="BS67" s="108"/>
      <c r="BT67" s="108"/>
      <c r="BU67" s="109"/>
      <c r="BV67" s="167"/>
      <c r="BW67" s="107"/>
      <c r="BX67" s="108"/>
      <c r="BY67" s="108"/>
      <c r="BZ67" s="108"/>
      <c r="CA67" s="108"/>
      <c r="CB67" s="109"/>
      <c r="CC67" s="167"/>
      <c r="CD67" s="107"/>
      <c r="CE67" s="108"/>
      <c r="CF67" s="108"/>
      <c r="CG67" s="108"/>
      <c r="CH67" s="108"/>
      <c r="CI67" s="109"/>
      <c r="CJ67" s="167"/>
      <c r="CK67" s="107"/>
      <c r="CL67" s="108"/>
      <c r="CM67" s="108"/>
      <c r="CN67" s="108"/>
      <c r="CO67" s="108"/>
      <c r="CP67" s="109"/>
      <c r="CQ67" s="167"/>
    </row>
    <row r="68" spans="12:95" ht="14.25" customHeight="1" x14ac:dyDescent="0.2">
      <c r="L68" s="107" t="s">
        <v>110</v>
      </c>
      <c r="M68" s="108"/>
      <c r="N68" s="108"/>
      <c r="O68" s="108"/>
      <c r="P68" s="108"/>
      <c r="Q68" s="109"/>
      <c r="R68" s="167">
        <f>158.56</f>
        <v>158.56</v>
      </c>
      <c r="S68" s="107" t="s">
        <v>110</v>
      </c>
      <c r="T68" s="108"/>
      <c r="U68" s="108"/>
      <c r="V68" s="108"/>
      <c r="W68" s="108"/>
      <c r="X68" s="109"/>
      <c r="Y68" s="167">
        <f>158.56</f>
        <v>158.56</v>
      </c>
      <c r="Z68" s="107" t="s">
        <v>110</v>
      </c>
      <c r="AA68" s="108"/>
      <c r="AB68" s="108"/>
      <c r="AC68" s="108"/>
      <c r="AD68" s="108"/>
      <c r="AE68" s="109"/>
      <c r="AF68" s="167"/>
      <c r="AG68" s="107" t="s">
        <v>110</v>
      </c>
      <c r="AH68" s="108"/>
      <c r="AI68" s="108"/>
      <c r="AJ68" s="108"/>
      <c r="AK68" s="108"/>
      <c r="AL68" s="109"/>
      <c r="AM68" s="167">
        <f>158.56</f>
        <v>158.56</v>
      </c>
      <c r="AN68" s="107"/>
      <c r="AO68" s="108"/>
      <c r="AP68" s="108"/>
      <c r="AQ68" s="108"/>
      <c r="AR68" s="108"/>
      <c r="AS68" s="109"/>
      <c r="AT68" s="167"/>
      <c r="AU68" s="107"/>
      <c r="AV68" s="108"/>
      <c r="AW68" s="108"/>
      <c r="AX68" s="108"/>
      <c r="AY68" s="108"/>
      <c r="AZ68" s="109"/>
      <c r="BA68" s="167"/>
      <c r="BB68" s="107"/>
      <c r="BC68" s="108"/>
      <c r="BD68" s="108"/>
      <c r="BE68" s="108"/>
      <c r="BF68" s="108"/>
      <c r="BG68" s="109"/>
      <c r="BH68" s="167"/>
      <c r="BI68" s="107"/>
      <c r="BJ68" s="108"/>
      <c r="BK68" s="108"/>
      <c r="BL68" s="108"/>
      <c r="BM68" s="108"/>
      <c r="BN68" s="109"/>
      <c r="BO68" s="167"/>
      <c r="BP68" s="107"/>
      <c r="BQ68" s="108"/>
      <c r="BR68" s="108"/>
      <c r="BS68" s="108"/>
      <c r="BT68" s="108"/>
      <c r="BU68" s="109"/>
      <c r="BV68" s="167"/>
      <c r="BW68" s="107"/>
      <c r="BX68" s="108"/>
      <c r="BY68" s="108"/>
      <c r="BZ68" s="108"/>
      <c r="CA68" s="108"/>
      <c r="CB68" s="109"/>
      <c r="CC68" s="167"/>
      <c r="CD68" s="107"/>
      <c r="CE68" s="108"/>
      <c r="CF68" s="108"/>
      <c r="CG68" s="108"/>
      <c r="CH68" s="108"/>
      <c r="CI68" s="109"/>
      <c r="CJ68" s="167"/>
      <c r="CK68" s="107"/>
      <c r="CL68" s="108"/>
      <c r="CM68" s="108"/>
      <c r="CN68" s="108"/>
      <c r="CO68" s="108"/>
      <c r="CP68" s="109"/>
      <c r="CQ68" s="167"/>
    </row>
    <row r="69" spans="12:95" ht="14.25" customHeight="1" x14ac:dyDescent="0.2">
      <c r="L69" s="107" t="s">
        <v>147</v>
      </c>
      <c r="M69" s="108"/>
      <c r="N69" s="108"/>
      <c r="O69" s="108"/>
      <c r="P69" s="108"/>
      <c r="Q69" s="109"/>
      <c r="R69" s="167">
        <f>330.8</f>
        <v>330.8</v>
      </c>
      <c r="S69" s="107" t="s">
        <v>147</v>
      </c>
      <c r="T69" s="108"/>
      <c r="U69" s="108"/>
      <c r="V69" s="108"/>
      <c r="W69" s="108"/>
      <c r="X69" s="109"/>
      <c r="Y69" s="167">
        <f>214.4+97.2</f>
        <v>311.60000000000002</v>
      </c>
      <c r="Z69" s="107" t="s">
        <v>147</v>
      </c>
      <c r="AA69" s="108"/>
      <c r="AB69" s="108"/>
      <c r="AC69" s="108"/>
      <c r="AD69" s="108"/>
      <c r="AE69" s="109"/>
      <c r="AF69" s="167"/>
      <c r="AG69" s="107" t="s">
        <v>147</v>
      </c>
      <c r="AH69" s="108"/>
      <c r="AI69" s="108"/>
      <c r="AJ69" s="108"/>
      <c r="AK69" s="108"/>
      <c r="AL69" s="109"/>
      <c r="AM69" s="167"/>
      <c r="AN69" s="107"/>
      <c r="AO69" s="108"/>
      <c r="AP69" s="108"/>
      <c r="AQ69" s="108"/>
      <c r="AR69" s="108"/>
      <c r="AS69" s="109"/>
      <c r="AT69" s="167"/>
      <c r="AU69" s="107"/>
      <c r="AV69" s="108"/>
      <c r="AW69" s="108"/>
      <c r="AX69" s="108"/>
      <c r="AY69" s="108"/>
      <c r="AZ69" s="109"/>
      <c r="BA69" s="167"/>
      <c r="BB69" s="107"/>
      <c r="BC69" s="108"/>
      <c r="BD69" s="108"/>
      <c r="BE69" s="108"/>
      <c r="BF69" s="108"/>
      <c r="BG69" s="109"/>
      <c r="BH69" s="167"/>
      <c r="BI69" s="107"/>
      <c r="BJ69" s="108"/>
      <c r="BK69" s="108"/>
      <c r="BL69" s="108"/>
      <c r="BM69" s="108"/>
      <c r="BN69" s="109"/>
      <c r="BO69" s="167"/>
      <c r="BP69" s="107"/>
      <c r="BQ69" s="108"/>
      <c r="BR69" s="108"/>
      <c r="BS69" s="108"/>
      <c r="BT69" s="108"/>
      <c r="BU69" s="109"/>
      <c r="BV69" s="167"/>
      <c r="BW69" s="107"/>
      <c r="BX69" s="108"/>
      <c r="BY69" s="108"/>
      <c r="BZ69" s="108"/>
      <c r="CA69" s="108"/>
      <c r="CB69" s="109"/>
      <c r="CC69" s="167"/>
      <c r="CD69" s="107"/>
      <c r="CE69" s="108"/>
      <c r="CF69" s="108"/>
      <c r="CG69" s="108"/>
      <c r="CH69" s="108"/>
      <c r="CI69" s="109"/>
      <c r="CJ69" s="167"/>
      <c r="CK69" s="107"/>
      <c r="CL69" s="108"/>
      <c r="CM69" s="108"/>
      <c r="CN69" s="108"/>
      <c r="CO69" s="108"/>
      <c r="CP69" s="109"/>
      <c r="CQ69" s="167"/>
    </row>
    <row r="70" spans="12:95" ht="14.25" customHeight="1" x14ac:dyDescent="0.2">
      <c r="L70" s="107" t="s">
        <v>132</v>
      </c>
      <c r="M70" s="108"/>
      <c r="N70" s="108"/>
      <c r="O70" s="108"/>
      <c r="P70" s="108"/>
      <c r="Q70" s="109"/>
      <c r="R70" s="167">
        <f>2930</f>
        <v>2930</v>
      </c>
      <c r="S70" s="107" t="s">
        <v>148</v>
      </c>
      <c r="T70" s="108"/>
      <c r="U70" s="108"/>
      <c r="V70" s="108"/>
      <c r="W70" s="108"/>
      <c r="X70" s="109"/>
      <c r="Y70" s="167">
        <f>1008</f>
        <v>1008</v>
      </c>
      <c r="Z70" s="107" t="s">
        <v>148</v>
      </c>
      <c r="AA70" s="108"/>
      <c r="AB70" s="108"/>
      <c r="AC70" s="108"/>
      <c r="AD70" s="108"/>
      <c r="AE70" s="109"/>
      <c r="AF70" s="167"/>
      <c r="AG70" s="107" t="s">
        <v>148</v>
      </c>
      <c r="AH70" s="108"/>
      <c r="AI70" s="108"/>
      <c r="AJ70" s="108"/>
      <c r="AK70" s="108"/>
      <c r="AL70" s="109"/>
      <c r="AM70" s="167"/>
      <c r="AN70" s="107"/>
      <c r="AO70" s="108"/>
      <c r="AP70" s="108"/>
      <c r="AQ70" s="108"/>
      <c r="AR70" s="108"/>
      <c r="AS70" s="109"/>
      <c r="AT70" s="167"/>
      <c r="AU70" s="107"/>
      <c r="AV70" s="108"/>
      <c r="AW70" s="108"/>
      <c r="AX70" s="108"/>
      <c r="AY70" s="108"/>
      <c r="AZ70" s="109"/>
      <c r="BA70" s="167"/>
      <c r="BB70" s="107"/>
      <c r="BC70" s="108"/>
      <c r="BD70" s="108"/>
      <c r="BE70" s="108"/>
      <c r="BF70" s="108"/>
      <c r="BG70" s="109"/>
      <c r="BH70" s="167"/>
      <c r="BI70" s="107"/>
      <c r="BJ70" s="108"/>
      <c r="BK70" s="108"/>
      <c r="BL70" s="108"/>
      <c r="BM70" s="108"/>
      <c r="BN70" s="109"/>
      <c r="BO70" s="167"/>
      <c r="BP70" s="107"/>
      <c r="BQ70" s="108"/>
      <c r="BR70" s="108"/>
      <c r="BS70" s="108"/>
      <c r="BT70" s="108"/>
      <c r="BU70" s="109"/>
      <c r="BV70" s="167"/>
      <c r="BW70" s="107"/>
      <c r="BX70" s="108"/>
      <c r="BY70" s="108"/>
      <c r="BZ70" s="108"/>
      <c r="CA70" s="108"/>
      <c r="CB70" s="109"/>
      <c r="CC70" s="167"/>
      <c r="CD70" s="107"/>
      <c r="CE70" s="108"/>
      <c r="CF70" s="108"/>
      <c r="CG70" s="108"/>
      <c r="CH70" s="108"/>
      <c r="CI70" s="109"/>
      <c r="CJ70" s="167"/>
      <c r="CK70" s="107"/>
      <c r="CL70" s="108"/>
      <c r="CM70" s="108"/>
      <c r="CN70" s="108"/>
      <c r="CO70" s="108"/>
      <c r="CP70" s="109"/>
      <c r="CQ70" s="167"/>
    </row>
    <row r="71" spans="12:95" ht="14.25" customHeight="1" x14ac:dyDescent="0.2">
      <c r="L71" s="107" t="s">
        <v>149</v>
      </c>
      <c r="M71" s="108"/>
      <c r="N71" s="108"/>
      <c r="O71" s="108"/>
      <c r="P71" s="108"/>
      <c r="Q71" s="109"/>
      <c r="R71" s="167">
        <f>476.75</f>
        <v>476.75</v>
      </c>
      <c r="S71" s="107" t="s">
        <v>149</v>
      </c>
      <c r="T71" s="108"/>
      <c r="U71" s="108"/>
      <c r="V71" s="108"/>
      <c r="W71" s="108"/>
      <c r="X71" s="109"/>
      <c r="Y71" s="167">
        <f>318.35</f>
        <v>318.35000000000002</v>
      </c>
      <c r="Z71" s="107" t="s">
        <v>149</v>
      </c>
      <c r="AA71" s="108"/>
      <c r="AB71" s="108"/>
      <c r="AC71" s="108"/>
      <c r="AD71" s="108"/>
      <c r="AE71" s="109"/>
      <c r="AF71" s="167">
        <f>273.05</f>
        <v>273.05</v>
      </c>
      <c r="AG71" s="107" t="s">
        <v>149</v>
      </c>
      <c r="AH71" s="108"/>
      <c r="AI71" s="108"/>
      <c r="AJ71" s="108"/>
      <c r="AK71" s="108"/>
      <c r="AL71" s="109"/>
      <c r="AM71" s="167">
        <f>102.22</f>
        <v>102.22</v>
      </c>
      <c r="AN71" s="107"/>
      <c r="AO71" s="108"/>
      <c r="AP71" s="108"/>
      <c r="AQ71" s="108"/>
      <c r="AR71" s="108"/>
      <c r="AS71" s="109"/>
      <c r="AT71" s="167"/>
      <c r="AU71" s="107"/>
      <c r="AV71" s="108"/>
      <c r="AW71" s="108"/>
      <c r="AX71" s="108"/>
      <c r="AY71" s="108"/>
      <c r="AZ71" s="109"/>
      <c r="BA71" s="167"/>
      <c r="BB71" s="107"/>
      <c r="BC71" s="108"/>
      <c r="BD71" s="108"/>
      <c r="BE71" s="108"/>
      <c r="BF71" s="108"/>
      <c r="BG71" s="109"/>
      <c r="BH71" s="167"/>
      <c r="BI71" s="107"/>
      <c r="BJ71" s="108"/>
      <c r="BK71" s="108"/>
      <c r="BL71" s="108"/>
      <c r="BM71" s="108"/>
      <c r="BN71" s="109"/>
      <c r="BO71" s="167"/>
      <c r="BP71" s="107"/>
      <c r="BQ71" s="108"/>
      <c r="BR71" s="108"/>
      <c r="BS71" s="108"/>
      <c r="BT71" s="108"/>
      <c r="BU71" s="109"/>
      <c r="BV71" s="167"/>
      <c r="BW71" s="107"/>
      <c r="BX71" s="108"/>
      <c r="BY71" s="108"/>
      <c r="BZ71" s="108"/>
      <c r="CA71" s="108"/>
      <c r="CB71" s="109"/>
      <c r="CC71" s="167"/>
      <c r="CD71" s="107"/>
      <c r="CE71" s="108"/>
      <c r="CF71" s="108"/>
      <c r="CG71" s="108"/>
      <c r="CH71" s="108"/>
      <c r="CI71" s="109"/>
      <c r="CJ71" s="167"/>
      <c r="CK71" s="107"/>
      <c r="CL71" s="108"/>
      <c r="CM71" s="108"/>
      <c r="CN71" s="108"/>
      <c r="CO71" s="108"/>
      <c r="CP71" s="109"/>
      <c r="CQ71" s="167"/>
    </row>
    <row r="72" spans="12:95" ht="14.25" customHeight="1" x14ac:dyDescent="0.2">
      <c r="L72" s="107" t="s">
        <v>150</v>
      </c>
      <c r="M72" s="108"/>
      <c r="N72" s="108"/>
      <c r="O72" s="108"/>
      <c r="P72" s="108"/>
      <c r="Q72" s="109"/>
      <c r="R72" s="167">
        <f>3210.51</f>
        <v>3210.51</v>
      </c>
      <c r="S72" s="107" t="s">
        <v>150</v>
      </c>
      <c r="T72" s="108"/>
      <c r="U72" s="108"/>
      <c r="V72" s="108"/>
      <c r="W72" s="108"/>
      <c r="X72" s="109"/>
      <c r="Y72" s="167">
        <f>3210.51</f>
        <v>3210.51</v>
      </c>
      <c r="Z72" s="107" t="s">
        <v>150</v>
      </c>
      <c r="AA72" s="108"/>
      <c r="AB72" s="108"/>
      <c r="AC72" s="108"/>
      <c r="AD72" s="108"/>
      <c r="AE72" s="109"/>
      <c r="AF72" s="167">
        <f>3210.51</f>
        <v>3210.51</v>
      </c>
      <c r="AG72" s="107" t="s">
        <v>150</v>
      </c>
      <c r="AH72" s="108"/>
      <c r="AI72" s="108"/>
      <c r="AJ72" s="108"/>
      <c r="AK72" s="108"/>
      <c r="AL72" s="109"/>
      <c r="AM72" s="167"/>
      <c r="AN72" s="107"/>
      <c r="AO72" s="108"/>
      <c r="AP72" s="108"/>
      <c r="AQ72" s="108"/>
      <c r="AR72" s="108"/>
      <c r="AS72" s="109"/>
      <c r="AT72" s="167"/>
      <c r="AU72" s="107"/>
      <c r="AV72" s="108"/>
      <c r="AW72" s="108"/>
      <c r="AX72" s="108"/>
      <c r="AY72" s="108"/>
      <c r="AZ72" s="109"/>
      <c r="BA72" s="167"/>
      <c r="BB72" s="107"/>
      <c r="BC72" s="108"/>
      <c r="BD72" s="108"/>
      <c r="BE72" s="108"/>
      <c r="BF72" s="108"/>
      <c r="BG72" s="109"/>
      <c r="BH72" s="167"/>
      <c r="BI72" s="107"/>
      <c r="BJ72" s="108"/>
      <c r="BK72" s="108"/>
      <c r="BL72" s="108"/>
      <c r="BM72" s="108"/>
      <c r="BN72" s="109"/>
      <c r="BO72" s="167"/>
      <c r="BP72" s="107"/>
      <c r="BQ72" s="108"/>
      <c r="BR72" s="108"/>
      <c r="BS72" s="108"/>
      <c r="BT72" s="108"/>
      <c r="BU72" s="109"/>
      <c r="BV72" s="167"/>
      <c r="BW72" s="107"/>
      <c r="BX72" s="108"/>
      <c r="BY72" s="108"/>
      <c r="BZ72" s="108"/>
      <c r="CA72" s="108"/>
      <c r="CB72" s="109"/>
      <c r="CC72" s="167"/>
      <c r="CD72" s="107"/>
      <c r="CE72" s="108"/>
      <c r="CF72" s="108"/>
      <c r="CG72" s="108"/>
      <c r="CH72" s="108"/>
      <c r="CI72" s="109"/>
      <c r="CJ72" s="167"/>
      <c r="CK72" s="107"/>
      <c r="CL72" s="108"/>
      <c r="CM72" s="108"/>
      <c r="CN72" s="108"/>
      <c r="CO72" s="108"/>
      <c r="CP72" s="109"/>
      <c r="CQ72" s="167"/>
    </row>
    <row r="73" spans="12:95" ht="14.25" customHeight="1" x14ac:dyDescent="0.2">
      <c r="L73" s="107" t="s">
        <v>94</v>
      </c>
      <c r="M73" s="108"/>
      <c r="N73" s="108"/>
      <c r="O73" s="108"/>
      <c r="P73" s="108"/>
      <c r="Q73" s="109"/>
      <c r="R73" s="167">
        <f>281.26</f>
        <v>281.26</v>
      </c>
      <c r="S73" s="107" t="s">
        <v>94</v>
      </c>
      <c r="T73" s="108"/>
      <c r="U73" s="108"/>
      <c r="V73" s="108"/>
      <c r="W73" s="108"/>
      <c r="X73" s="109"/>
      <c r="Y73" s="167"/>
      <c r="Z73" s="107" t="s">
        <v>94</v>
      </c>
      <c r="AA73" s="108"/>
      <c r="AB73" s="108"/>
      <c r="AC73" s="108"/>
      <c r="AD73" s="108"/>
      <c r="AE73" s="109"/>
      <c r="AF73" s="167"/>
      <c r="AG73" s="107" t="s">
        <v>94</v>
      </c>
      <c r="AH73" s="108"/>
      <c r="AI73" s="108"/>
      <c r="AJ73" s="108"/>
      <c r="AK73" s="108"/>
      <c r="AL73" s="109"/>
      <c r="AM73" s="167"/>
      <c r="AN73" s="107"/>
      <c r="AO73" s="108"/>
      <c r="AP73" s="108"/>
      <c r="AQ73" s="108"/>
      <c r="AR73" s="108"/>
      <c r="AS73" s="109"/>
      <c r="AT73" s="167"/>
      <c r="AU73" s="107"/>
      <c r="AV73" s="108"/>
      <c r="AW73" s="108"/>
      <c r="AX73" s="108"/>
      <c r="AY73" s="108"/>
      <c r="AZ73" s="109"/>
      <c r="BA73" s="167"/>
      <c r="BB73" s="107"/>
      <c r="BC73" s="108"/>
      <c r="BD73" s="108"/>
      <c r="BE73" s="108"/>
      <c r="BF73" s="108"/>
      <c r="BG73" s="109"/>
      <c r="BH73" s="167"/>
      <c r="BI73" s="107"/>
      <c r="BJ73" s="108"/>
      <c r="BK73" s="108"/>
      <c r="BL73" s="108"/>
      <c r="BM73" s="108"/>
      <c r="BN73" s="109"/>
      <c r="BO73" s="167"/>
      <c r="BP73" s="107"/>
      <c r="BQ73" s="108"/>
      <c r="BR73" s="108"/>
      <c r="BS73" s="108"/>
      <c r="BT73" s="108"/>
      <c r="BU73" s="109"/>
      <c r="BV73" s="167"/>
      <c r="BW73" s="107"/>
      <c r="BX73" s="108"/>
      <c r="BY73" s="108"/>
      <c r="BZ73" s="108"/>
      <c r="CA73" s="108"/>
      <c r="CB73" s="109"/>
      <c r="CC73" s="167"/>
      <c r="CD73" s="107"/>
      <c r="CE73" s="108"/>
      <c r="CF73" s="108"/>
      <c r="CG73" s="108"/>
      <c r="CH73" s="108"/>
      <c r="CI73" s="109"/>
      <c r="CJ73" s="167"/>
      <c r="CK73" s="107"/>
      <c r="CL73" s="108"/>
      <c r="CM73" s="108"/>
      <c r="CN73" s="108"/>
      <c r="CO73" s="108"/>
      <c r="CP73" s="109"/>
      <c r="CQ73" s="167"/>
    </row>
    <row r="74" spans="12:95" ht="14.25" customHeight="1" x14ac:dyDescent="0.2">
      <c r="L74" s="107" t="s">
        <v>95</v>
      </c>
      <c r="M74" s="108"/>
      <c r="N74" s="108"/>
      <c r="O74" s="108"/>
      <c r="P74" s="108"/>
      <c r="Q74" s="109"/>
      <c r="R74" s="167">
        <f>904.96</f>
        <v>904.96</v>
      </c>
      <c r="S74" s="107" t="s">
        <v>95</v>
      </c>
      <c r="T74" s="108"/>
      <c r="U74" s="108"/>
      <c r="V74" s="108"/>
      <c r="W74" s="108"/>
      <c r="X74" s="109"/>
      <c r="Y74" s="167"/>
      <c r="Z74" s="107" t="s">
        <v>95</v>
      </c>
      <c r="AA74" s="108"/>
      <c r="AB74" s="108"/>
      <c r="AC74" s="108"/>
      <c r="AD74" s="108"/>
      <c r="AE74" s="109"/>
      <c r="AF74" s="167">
        <f>1159.48</f>
        <v>1159.48</v>
      </c>
      <c r="AG74" s="107" t="s">
        <v>95</v>
      </c>
      <c r="AH74" s="108"/>
      <c r="AI74" s="108"/>
      <c r="AJ74" s="108"/>
      <c r="AK74" s="108"/>
      <c r="AL74" s="109"/>
      <c r="AM74" s="167">
        <f>1159.48</f>
        <v>1159.48</v>
      </c>
      <c r="AN74" s="107"/>
      <c r="AO74" s="108"/>
      <c r="AP74" s="108"/>
      <c r="AQ74" s="108"/>
      <c r="AR74" s="108"/>
      <c r="AS74" s="109"/>
      <c r="AT74" s="167"/>
      <c r="AU74" s="107"/>
      <c r="AV74" s="108"/>
      <c r="AW74" s="108"/>
      <c r="AX74" s="108"/>
      <c r="AY74" s="108"/>
      <c r="AZ74" s="109"/>
      <c r="BA74" s="167"/>
      <c r="BB74" s="107"/>
      <c r="BC74" s="108"/>
      <c r="BD74" s="108"/>
      <c r="BE74" s="108"/>
      <c r="BF74" s="108"/>
      <c r="BG74" s="109"/>
      <c r="BH74" s="167"/>
      <c r="BI74" s="107"/>
      <c r="BJ74" s="108"/>
      <c r="BK74" s="108"/>
      <c r="BL74" s="108"/>
      <c r="BM74" s="108"/>
      <c r="BN74" s="109"/>
      <c r="BO74" s="167"/>
      <c r="BP74" s="107"/>
      <c r="BQ74" s="108"/>
      <c r="BR74" s="108"/>
      <c r="BS74" s="108"/>
      <c r="BT74" s="108"/>
      <c r="BU74" s="109"/>
      <c r="BV74" s="167"/>
      <c r="BW74" s="107"/>
      <c r="BX74" s="108"/>
      <c r="BY74" s="108"/>
      <c r="BZ74" s="108"/>
      <c r="CA74" s="108"/>
      <c r="CB74" s="109"/>
      <c r="CC74" s="167"/>
      <c r="CD74" s="107"/>
      <c r="CE74" s="108"/>
      <c r="CF74" s="108"/>
      <c r="CG74" s="108"/>
      <c r="CH74" s="108"/>
      <c r="CI74" s="109"/>
      <c r="CJ74" s="167"/>
      <c r="CK74" s="107"/>
      <c r="CL74" s="108"/>
      <c r="CM74" s="108"/>
      <c r="CN74" s="108"/>
      <c r="CO74" s="108"/>
      <c r="CP74" s="109"/>
      <c r="CQ74" s="167"/>
    </row>
    <row r="75" spans="12:95" ht="14.25" customHeight="1" x14ac:dyDescent="0.2">
      <c r="L75" s="107" t="s">
        <v>151</v>
      </c>
      <c r="M75" s="108"/>
      <c r="N75" s="108"/>
      <c r="O75" s="108"/>
      <c r="P75" s="108"/>
      <c r="Q75" s="109"/>
      <c r="R75" s="167">
        <f>540</f>
        <v>540</v>
      </c>
      <c r="S75" s="107" t="s">
        <v>152</v>
      </c>
      <c r="T75" s="108"/>
      <c r="U75" s="108"/>
      <c r="V75" s="108"/>
      <c r="W75" s="108"/>
      <c r="X75" s="109"/>
      <c r="Y75" s="167">
        <v>440</v>
      </c>
      <c r="Z75" s="107" t="s">
        <v>152</v>
      </c>
      <c r="AA75" s="108"/>
      <c r="AB75" s="108"/>
      <c r="AC75" s="108"/>
      <c r="AD75" s="108"/>
      <c r="AE75" s="109"/>
      <c r="AF75" s="167"/>
      <c r="AG75" s="107" t="s">
        <v>152</v>
      </c>
      <c r="AH75" s="108"/>
      <c r="AI75" s="108"/>
      <c r="AJ75" s="108"/>
      <c r="AK75" s="108"/>
      <c r="AL75" s="109"/>
      <c r="AM75" s="167"/>
      <c r="AN75" s="107"/>
      <c r="AO75" s="108"/>
      <c r="AP75" s="108"/>
      <c r="AQ75" s="108"/>
      <c r="AR75" s="108"/>
      <c r="AS75" s="109"/>
      <c r="AT75" s="167"/>
      <c r="AU75" s="107"/>
      <c r="AV75" s="108"/>
      <c r="AW75" s="108"/>
      <c r="AX75" s="108"/>
      <c r="AY75" s="108"/>
      <c r="AZ75" s="109"/>
      <c r="BA75" s="167"/>
      <c r="BB75" s="107"/>
      <c r="BC75" s="108"/>
      <c r="BD75" s="108"/>
      <c r="BE75" s="108"/>
      <c r="BF75" s="108"/>
      <c r="BG75" s="109"/>
      <c r="BH75" s="167"/>
      <c r="BI75" s="107"/>
      <c r="BJ75" s="108"/>
      <c r="BK75" s="108"/>
      <c r="BL75" s="108"/>
      <c r="BM75" s="108"/>
      <c r="BN75" s="109"/>
      <c r="BO75" s="167"/>
      <c r="BP75" s="107"/>
      <c r="BQ75" s="108"/>
      <c r="BR75" s="108"/>
      <c r="BS75" s="108"/>
      <c r="BT75" s="108"/>
      <c r="BU75" s="109"/>
      <c r="BV75" s="167"/>
      <c r="BW75" s="107"/>
      <c r="BX75" s="108"/>
      <c r="BY75" s="108"/>
      <c r="BZ75" s="108"/>
      <c r="CA75" s="108"/>
      <c r="CB75" s="109"/>
      <c r="CC75" s="167"/>
      <c r="CD75" s="107"/>
      <c r="CE75" s="108"/>
      <c r="CF75" s="108"/>
      <c r="CG75" s="108"/>
      <c r="CH75" s="108"/>
      <c r="CI75" s="109"/>
      <c r="CJ75" s="167"/>
      <c r="CK75" s="107"/>
      <c r="CL75" s="108"/>
      <c r="CM75" s="108"/>
      <c r="CN75" s="108"/>
      <c r="CO75" s="108"/>
      <c r="CP75" s="109"/>
      <c r="CQ75" s="167"/>
    </row>
    <row r="76" spans="12:95" ht="14.25" customHeight="1" x14ac:dyDescent="0.2">
      <c r="L76" s="107" t="s">
        <v>97</v>
      </c>
      <c r="M76" s="108"/>
      <c r="N76" s="108"/>
      <c r="O76" s="108"/>
      <c r="P76" s="108"/>
      <c r="Q76" s="109"/>
      <c r="R76" s="167">
        <f>1224</f>
        <v>1224</v>
      </c>
      <c r="S76" s="107" t="s">
        <v>97</v>
      </c>
      <c r="T76" s="108"/>
      <c r="U76" s="108"/>
      <c r="V76" s="108"/>
      <c r="W76" s="108"/>
      <c r="X76" s="109"/>
      <c r="Y76" s="167"/>
      <c r="Z76" s="107" t="s">
        <v>97</v>
      </c>
      <c r="AA76" s="108"/>
      <c r="AB76" s="108"/>
      <c r="AC76" s="108"/>
      <c r="AD76" s="108"/>
      <c r="AE76" s="109"/>
      <c r="AF76" s="167"/>
      <c r="AG76" s="107" t="s">
        <v>97</v>
      </c>
      <c r="AH76" s="108"/>
      <c r="AI76" s="108"/>
      <c r="AJ76" s="108"/>
      <c r="AK76" s="108"/>
      <c r="AL76" s="109"/>
      <c r="AM76" s="167">
        <f>1838.4</f>
        <v>1838.4</v>
      </c>
      <c r="AN76" s="107"/>
      <c r="AO76" s="108"/>
      <c r="AP76" s="108"/>
      <c r="AQ76" s="108"/>
      <c r="AR76" s="108"/>
      <c r="AS76" s="109"/>
      <c r="AT76" s="167"/>
      <c r="AU76" s="107"/>
      <c r="AV76" s="108"/>
      <c r="AW76" s="108"/>
      <c r="AX76" s="108"/>
      <c r="AY76" s="108"/>
      <c r="AZ76" s="109"/>
      <c r="BA76" s="167"/>
      <c r="BB76" s="107"/>
      <c r="BC76" s="108"/>
      <c r="BD76" s="108"/>
      <c r="BE76" s="108"/>
      <c r="BF76" s="108"/>
      <c r="BG76" s="109"/>
      <c r="BH76" s="167"/>
      <c r="BI76" s="107"/>
      <c r="BJ76" s="108"/>
      <c r="BK76" s="108"/>
      <c r="BL76" s="108"/>
      <c r="BM76" s="108"/>
      <c r="BN76" s="109"/>
      <c r="BO76" s="167"/>
      <c r="BP76" s="107"/>
      <c r="BQ76" s="108"/>
      <c r="BR76" s="108"/>
      <c r="BS76" s="108"/>
      <c r="BT76" s="108"/>
      <c r="BU76" s="109"/>
      <c r="BV76" s="167"/>
      <c r="BW76" s="107"/>
      <c r="BX76" s="108"/>
      <c r="BY76" s="108"/>
      <c r="BZ76" s="108"/>
      <c r="CA76" s="108"/>
      <c r="CB76" s="109"/>
      <c r="CC76" s="167"/>
      <c r="CD76" s="107"/>
      <c r="CE76" s="108"/>
      <c r="CF76" s="108"/>
      <c r="CG76" s="108"/>
      <c r="CH76" s="108"/>
      <c r="CI76" s="109"/>
      <c r="CJ76" s="167"/>
      <c r="CK76" s="107"/>
      <c r="CL76" s="108"/>
      <c r="CM76" s="108"/>
      <c r="CN76" s="108"/>
      <c r="CO76" s="108"/>
      <c r="CP76" s="109"/>
      <c r="CQ76" s="167"/>
    </row>
    <row r="77" spans="12:95" ht="14.25" customHeight="1" x14ac:dyDescent="0.2">
      <c r="L77" s="107" t="s">
        <v>98</v>
      </c>
      <c r="M77" s="108"/>
      <c r="N77" s="108"/>
      <c r="O77" s="108"/>
      <c r="P77" s="108"/>
      <c r="Q77" s="109"/>
      <c r="R77" s="167">
        <v>194.57</v>
      </c>
      <c r="S77" s="107" t="s">
        <v>98</v>
      </c>
      <c r="T77" s="108"/>
      <c r="U77" s="108"/>
      <c r="V77" s="108"/>
      <c r="W77" s="108"/>
      <c r="X77" s="109"/>
      <c r="Y77" s="167">
        <f>102.35</f>
        <v>102.35</v>
      </c>
      <c r="Z77" s="107" t="s">
        <v>98</v>
      </c>
      <c r="AA77" s="108"/>
      <c r="AB77" s="108"/>
      <c r="AC77" s="108"/>
      <c r="AD77" s="108"/>
      <c r="AE77" s="109"/>
      <c r="AF77" s="167">
        <f>102.35</f>
        <v>102.35</v>
      </c>
      <c r="AG77" s="107" t="s">
        <v>98</v>
      </c>
      <c r="AH77" s="108"/>
      <c r="AI77" s="108"/>
      <c r="AJ77" s="108"/>
      <c r="AK77" s="108"/>
      <c r="AL77" s="109"/>
      <c r="AM77" s="167">
        <v>102.35</v>
      </c>
      <c r="AN77" s="107"/>
      <c r="AO77" s="108"/>
      <c r="AP77" s="108"/>
      <c r="AQ77" s="108"/>
      <c r="AR77" s="108"/>
      <c r="AS77" s="109"/>
      <c r="AT77" s="167"/>
      <c r="AU77" s="107"/>
      <c r="AV77" s="108"/>
      <c r="AW77" s="108"/>
      <c r="AX77" s="108"/>
      <c r="AY77" s="108"/>
      <c r="AZ77" s="109"/>
      <c r="BA77" s="167"/>
      <c r="BB77" s="107"/>
      <c r="BC77" s="108"/>
      <c r="BD77" s="108"/>
      <c r="BE77" s="108"/>
      <c r="BF77" s="108"/>
      <c r="BG77" s="109"/>
      <c r="BH77" s="167"/>
      <c r="BI77" s="107"/>
      <c r="BJ77" s="108"/>
      <c r="BK77" s="108"/>
      <c r="BL77" s="108"/>
      <c r="BM77" s="108"/>
      <c r="BN77" s="109"/>
      <c r="BO77" s="167"/>
      <c r="BP77" s="107"/>
      <c r="BQ77" s="108"/>
      <c r="BR77" s="108"/>
      <c r="BS77" s="108"/>
      <c r="BT77" s="108"/>
      <c r="BU77" s="109"/>
      <c r="BV77" s="167"/>
      <c r="BW77" s="107"/>
      <c r="BX77" s="108"/>
      <c r="BY77" s="108"/>
      <c r="BZ77" s="108"/>
      <c r="CA77" s="108"/>
      <c r="CB77" s="109"/>
      <c r="CC77" s="167"/>
      <c r="CD77" s="107"/>
      <c r="CE77" s="108"/>
      <c r="CF77" s="108"/>
      <c r="CG77" s="108"/>
      <c r="CH77" s="108"/>
      <c r="CI77" s="109"/>
      <c r="CJ77" s="167"/>
      <c r="CK77" s="107"/>
      <c r="CL77" s="108"/>
      <c r="CM77" s="108"/>
      <c r="CN77" s="108"/>
      <c r="CO77" s="108"/>
      <c r="CP77" s="109"/>
      <c r="CQ77" s="167"/>
    </row>
    <row r="78" spans="12:95" ht="14.25" customHeight="1" x14ac:dyDescent="0.2">
      <c r="L78" s="107" t="s">
        <v>153</v>
      </c>
      <c r="M78" s="108"/>
      <c r="N78" s="108"/>
      <c r="O78" s="108"/>
      <c r="P78" s="108"/>
      <c r="Q78" s="109"/>
      <c r="R78" s="167">
        <v>11320.32</v>
      </c>
      <c r="S78" s="107" t="s">
        <v>153</v>
      </c>
      <c r="T78" s="108"/>
      <c r="U78" s="108"/>
      <c r="V78" s="108"/>
      <c r="W78" s="108"/>
      <c r="X78" s="109"/>
      <c r="Y78" s="167">
        <v>8447.5499999999993</v>
      </c>
      <c r="Z78" s="107" t="s">
        <v>153</v>
      </c>
      <c r="AA78" s="108"/>
      <c r="AB78" s="108"/>
      <c r="AC78" s="108"/>
      <c r="AD78" s="108"/>
      <c r="AE78" s="109"/>
      <c r="AF78" s="167">
        <f>6908.57</f>
        <v>6908.57</v>
      </c>
      <c r="AG78" s="107" t="s">
        <v>153</v>
      </c>
      <c r="AH78" s="108"/>
      <c r="AI78" s="108"/>
      <c r="AJ78" s="108"/>
      <c r="AK78" s="108"/>
      <c r="AL78" s="109"/>
      <c r="AM78" s="167">
        <f>3599.42</f>
        <v>3599.42</v>
      </c>
      <c r="AN78" s="107"/>
      <c r="AO78" s="108"/>
      <c r="AP78" s="108"/>
      <c r="AQ78" s="108"/>
      <c r="AR78" s="108"/>
      <c r="AS78" s="109"/>
      <c r="AT78" s="167"/>
      <c r="AU78" s="107"/>
      <c r="AV78" s="108"/>
      <c r="AW78" s="108"/>
      <c r="AX78" s="108"/>
      <c r="AY78" s="108"/>
      <c r="AZ78" s="109"/>
      <c r="BA78" s="167"/>
      <c r="BB78" s="107"/>
      <c r="BC78" s="108"/>
      <c r="BD78" s="108"/>
      <c r="BE78" s="108"/>
      <c r="BF78" s="108"/>
      <c r="BG78" s="109"/>
      <c r="BH78" s="167"/>
      <c r="BI78" s="107"/>
      <c r="BJ78" s="108"/>
      <c r="BK78" s="108"/>
      <c r="BL78" s="108"/>
      <c r="BM78" s="108"/>
      <c r="BN78" s="109"/>
      <c r="BO78" s="167"/>
      <c r="BP78" s="107"/>
      <c r="BQ78" s="108"/>
      <c r="BR78" s="108"/>
      <c r="BS78" s="108"/>
      <c r="BT78" s="108"/>
      <c r="BU78" s="109"/>
      <c r="BV78" s="167"/>
      <c r="BW78" s="107"/>
      <c r="BX78" s="108"/>
      <c r="BY78" s="108"/>
      <c r="BZ78" s="108"/>
      <c r="CA78" s="108"/>
      <c r="CB78" s="109"/>
      <c r="CC78" s="167"/>
      <c r="CD78" s="107"/>
      <c r="CE78" s="108"/>
      <c r="CF78" s="108"/>
      <c r="CG78" s="108"/>
      <c r="CH78" s="108"/>
      <c r="CI78" s="109"/>
      <c r="CJ78" s="167"/>
      <c r="CK78" s="107"/>
      <c r="CL78" s="108"/>
      <c r="CM78" s="108"/>
      <c r="CN78" s="108"/>
      <c r="CO78" s="108"/>
      <c r="CP78" s="109"/>
      <c r="CQ78" s="167"/>
    </row>
    <row r="79" spans="12:95" ht="14.25" customHeight="1" x14ac:dyDescent="0.2">
      <c r="L79" s="107"/>
      <c r="M79" s="108"/>
      <c r="N79" s="108"/>
      <c r="O79" s="108"/>
      <c r="P79" s="108"/>
      <c r="Q79" s="109"/>
      <c r="R79" s="167"/>
      <c r="S79" s="107" t="s">
        <v>109</v>
      </c>
      <c r="T79" s="108"/>
      <c r="U79" s="108"/>
      <c r="V79" s="108"/>
      <c r="W79" s="108"/>
      <c r="X79" s="109"/>
      <c r="Y79" s="167">
        <f>252</f>
        <v>252</v>
      </c>
      <c r="Z79" s="107" t="s">
        <v>109</v>
      </c>
      <c r="AA79" s="108"/>
      <c r="AB79" s="108"/>
      <c r="AC79" s="108"/>
      <c r="AD79" s="108"/>
      <c r="AE79" s="109"/>
      <c r="AF79" s="167"/>
      <c r="AG79" s="107" t="s">
        <v>109</v>
      </c>
      <c r="AH79" s="108"/>
      <c r="AI79" s="108"/>
      <c r="AJ79" s="108"/>
      <c r="AK79" s="108"/>
      <c r="AL79" s="109"/>
      <c r="AM79" s="167">
        <f>84+126</f>
        <v>210</v>
      </c>
      <c r="AN79" s="107"/>
      <c r="AO79" s="108"/>
      <c r="AP79" s="108"/>
      <c r="AQ79" s="108"/>
      <c r="AR79" s="108"/>
      <c r="AS79" s="109"/>
      <c r="AT79" s="167"/>
      <c r="AU79" s="107"/>
      <c r="AV79" s="108"/>
      <c r="AW79" s="108"/>
      <c r="AX79" s="108"/>
      <c r="AY79" s="108"/>
      <c r="AZ79" s="109"/>
      <c r="BA79" s="167"/>
      <c r="BB79" s="107"/>
      <c r="BC79" s="108"/>
      <c r="BD79" s="108"/>
      <c r="BE79" s="108"/>
      <c r="BF79" s="108"/>
      <c r="BG79" s="109"/>
      <c r="BH79" s="167"/>
      <c r="BI79" s="107"/>
      <c r="BJ79" s="108"/>
      <c r="BK79" s="108"/>
      <c r="BL79" s="108"/>
      <c r="BM79" s="108"/>
      <c r="BN79" s="109"/>
      <c r="BO79" s="167"/>
      <c r="BP79" s="107"/>
      <c r="BQ79" s="108"/>
      <c r="BR79" s="108"/>
      <c r="BS79" s="108"/>
      <c r="BT79" s="108"/>
      <c r="BU79" s="109"/>
      <c r="BV79" s="167"/>
      <c r="BW79" s="107"/>
      <c r="BX79" s="108"/>
      <c r="BY79" s="108"/>
      <c r="BZ79" s="108"/>
      <c r="CA79" s="108"/>
      <c r="CB79" s="109"/>
      <c r="CC79" s="167"/>
      <c r="CD79" s="107"/>
      <c r="CE79" s="108"/>
      <c r="CF79" s="108"/>
      <c r="CG79" s="108"/>
      <c r="CH79" s="108"/>
      <c r="CI79" s="109"/>
      <c r="CJ79" s="167"/>
      <c r="CK79" s="107"/>
      <c r="CL79" s="108"/>
      <c r="CM79" s="108"/>
      <c r="CN79" s="108"/>
      <c r="CO79" s="108"/>
      <c r="CP79" s="109"/>
      <c r="CQ79" s="167"/>
    </row>
    <row r="80" spans="12:95" ht="14.25" customHeight="1" x14ac:dyDescent="0.2">
      <c r="L80" s="107"/>
      <c r="M80" s="108"/>
      <c r="N80" s="108"/>
      <c r="O80" s="108"/>
      <c r="P80" s="108"/>
      <c r="Q80" s="109"/>
      <c r="R80" s="167"/>
      <c r="S80" s="107"/>
      <c r="T80" s="108"/>
      <c r="U80" s="108"/>
      <c r="V80" s="108"/>
      <c r="W80" s="108"/>
      <c r="X80" s="109"/>
      <c r="Y80" s="167"/>
      <c r="Z80" s="107" t="s">
        <v>122</v>
      </c>
      <c r="AA80" s="108"/>
      <c r="AB80" s="108"/>
      <c r="AC80" s="108"/>
      <c r="AD80" s="108"/>
      <c r="AE80" s="109"/>
      <c r="AF80" s="167">
        <f>225.7</f>
        <v>225.7</v>
      </c>
      <c r="AG80" s="107" t="s">
        <v>122</v>
      </c>
      <c r="AH80" s="108"/>
      <c r="AI80" s="108"/>
      <c r="AJ80" s="108"/>
      <c r="AK80" s="108"/>
      <c r="AL80" s="109"/>
      <c r="AM80" s="167">
        <f>12+229.94+232.8</f>
        <v>474.74</v>
      </c>
      <c r="AN80" s="107"/>
      <c r="AO80" s="108"/>
      <c r="AP80" s="108"/>
      <c r="AQ80" s="108"/>
      <c r="AR80" s="108"/>
      <c r="AS80" s="109"/>
      <c r="AT80" s="167"/>
      <c r="AU80" s="107"/>
      <c r="AV80" s="108"/>
      <c r="AW80" s="108"/>
      <c r="AX80" s="108"/>
      <c r="AY80" s="108"/>
      <c r="AZ80" s="109"/>
      <c r="BA80" s="167"/>
      <c r="BB80" s="107"/>
      <c r="BC80" s="108"/>
      <c r="BD80" s="108"/>
      <c r="BE80" s="108"/>
      <c r="BF80" s="108"/>
      <c r="BG80" s="109"/>
      <c r="BH80" s="167"/>
      <c r="BI80" s="107"/>
      <c r="BJ80" s="108"/>
      <c r="BK80" s="108"/>
      <c r="BL80" s="108"/>
      <c r="BM80" s="108"/>
      <c r="BN80" s="109"/>
      <c r="BO80" s="167"/>
      <c r="BP80" s="107"/>
      <c r="BQ80" s="108"/>
      <c r="BR80" s="108"/>
      <c r="BS80" s="108"/>
      <c r="BT80" s="108"/>
      <c r="BU80" s="109"/>
      <c r="BV80" s="167"/>
      <c r="BW80" s="107"/>
      <c r="BX80" s="108"/>
      <c r="BY80" s="108"/>
      <c r="BZ80" s="108"/>
      <c r="CA80" s="108"/>
      <c r="CB80" s="109"/>
      <c r="CC80" s="167"/>
      <c r="CD80" s="107"/>
      <c r="CE80" s="108"/>
      <c r="CF80" s="108"/>
      <c r="CG80" s="108"/>
      <c r="CH80" s="108"/>
      <c r="CI80" s="109"/>
      <c r="CJ80" s="167"/>
      <c r="CK80" s="107"/>
      <c r="CL80" s="108"/>
      <c r="CM80" s="108"/>
      <c r="CN80" s="108"/>
      <c r="CO80" s="108"/>
      <c r="CP80" s="109"/>
      <c r="CQ80" s="167"/>
    </row>
    <row r="81" spans="12:99" ht="14.25" customHeight="1" x14ac:dyDescent="0.2">
      <c r="L81" s="107"/>
      <c r="M81" s="108"/>
      <c r="N81" s="108"/>
      <c r="O81" s="108"/>
      <c r="P81" s="108"/>
      <c r="Q81" s="108"/>
      <c r="R81" s="167"/>
      <c r="S81" s="107"/>
      <c r="T81" s="108"/>
      <c r="U81" s="108"/>
      <c r="V81" s="108"/>
      <c r="W81" s="108"/>
      <c r="X81" s="108"/>
      <c r="Y81" s="167"/>
      <c r="Z81" s="107" t="s">
        <v>90</v>
      </c>
      <c r="AA81" s="108"/>
      <c r="AB81" s="108"/>
      <c r="AC81" s="108"/>
      <c r="AD81" s="108"/>
      <c r="AE81" s="108"/>
      <c r="AF81" s="167">
        <f>2561+1926</f>
        <v>4487</v>
      </c>
      <c r="AG81" s="107" t="s">
        <v>90</v>
      </c>
      <c r="AH81" s="108"/>
      <c r="AI81" s="108"/>
      <c r="AJ81" s="108"/>
      <c r="AK81" s="108"/>
      <c r="AL81" s="108"/>
      <c r="AM81" s="167">
        <f>554+388</f>
        <v>942</v>
      </c>
      <c r="AN81" s="107"/>
      <c r="AO81" s="108"/>
      <c r="AP81" s="108"/>
      <c r="AQ81" s="108"/>
      <c r="AR81" s="108"/>
      <c r="AS81" s="108"/>
      <c r="AT81" s="167"/>
      <c r="AU81" s="107"/>
      <c r="AV81" s="108"/>
      <c r="AW81" s="108"/>
      <c r="AX81" s="108"/>
      <c r="AY81" s="108"/>
      <c r="AZ81" s="108"/>
      <c r="BA81" s="167"/>
      <c r="BB81" s="107"/>
      <c r="BC81" s="108"/>
      <c r="BD81" s="108"/>
      <c r="BE81" s="108"/>
      <c r="BF81" s="108"/>
      <c r="BG81" s="108"/>
      <c r="BH81" s="167"/>
      <c r="BI81" s="107"/>
      <c r="BJ81" s="108"/>
      <c r="BK81" s="108"/>
      <c r="BL81" s="108"/>
      <c r="BM81" s="108"/>
      <c r="BN81" s="108"/>
      <c r="BO81" s="167"/>
      <c r="BP81" s="107"/>
      <c r="BQ81" s="108"/>
      <c r="BR81" s="108"/>
      <c r="BS81" s="108"/>
      <c r="BT81" s="108"/>
      <c r="BU81" s="108"/>
      <c r="BV81" s="167"/>
      <c r="BW81" s="107"/>
      <c r="BX81" s="108"/>
      <c r="BY81" s="108"/>
      <c r="BZ81" s="108"/>
      <c r="CA81" s="108"/>
      <c r="CB81" s="108"/>
      <c r="CC81" s="167"/>
      <c r="CD81" s="107"/>
      <c r="CE81" s="108"/>
      <c r="CF81" s="108"/>
      <c r="CG81" s="108"/>
      <c r="CH81" s="108"/>
      <c r="CI81" s="108"/>
      <c r="CJ81" s="167"/>
      <c r="CK81" s="107"/>
      <c r="CL81" s="108"/>
      <c r="CM81" s="108"/>
      <c r="CN81" s="108"/>
      <c r="CO81" s="108"/>
      <c r="CP81" s="108"/>
      <c r="CQ81" s="167"/>
    </row>
    <row r="82" spans="12:99" ht="14.25" customHeight="1" x14ac:dyDescent="0.2">
      <c r="L82" s="107"/>
      <c r="M82" s="108"/>
      <c r="N82" s="108"/>
      <c r="O82" s="108"/>
      <c r="P82" s="108"/>
      <c r="Q82" s="108"/>
      <c r="R82" s="167"/>
      <c r="S82" s="107"/>
      <c r="T82" s="108"/>
      <c r="U82" s="108"/>
      <c r="V82" s="108"/>
      <c r="W82" s="108"/>
      <c r="X82" s="108"/>
      <c r="Y82" s="167"/>
      <c r="Z82" s="107"/>
      <c r="AA82" s="108"/>
      <c r="AB82" s="108"/>
      <c r="AC82" s="108"/>
      <c r="AD82" s="108"/>
      <c r="AE82" s="108"/>
      <c r="AF82" s="167"/>
      <c r="AG82" s="107" t="s">
        <v>154</v>
      </c>
      <c r="AH82" s="108"/>
      <c r="AI82" s="108"/>
      <c r="AJ82" s="108"/>
      <c r="AK82" s="108"/>
      <c r="AL82" s="108"/>
      <c r="AM82" s="167">
        <f>400</f>
        <v>400</v>
      </c>
      <c r="AN82" s="107"/>
      <c r="AO82" s="108"/>
      <c r="AP82" s="108"/>
      <c r="AQ82" s="108"/>
      <c r="AR82" s="108"/>
      <c r="AS82" s="108"/>
      <c r="AT82" s="167"/>
      <c r="AU82" s="107"/>
      <c r="AV82" s="108"/>
      <c r="AW82" s="108"/>
      <c r="AX82" s="108"/>
      <c r="AY82" s="108"/>
      <c r="AZ82" s="108"/>
      <c r="BA82" s="167"/>
      <c r="BB82" s="107"/>
      <c r="BC82" s="108"/>
      <c r="BD82" s="108"/>
      <c r="BE82" s="108"/>
      <c r="BF82" s="108"/>
      <c r="BG82" s="108"/>
      <c r="BH82" s="167"/>
      <c r="BI82" s="107"/>
      <c r="BJ82" s="108"/>
      <c r="BK82" s="108"/>
      <c r="BL82" s="108"/>
      <c r="BM82" s="108"/>
      <c r="BN82" s="108"/>
      <c r="BO82" s="167"/>
      <c r="BP82" s="107"/>
      <c r="BQ82" s="108"/>
      <c r="BR82" s="108"/>
      <c r="BS82" s="108"/>
      <c r="BT82" s="108"/>
      <c r="BU82" s="108"/>
      <c r="BV82" s="167"/>
      <c r="BW82" s="107"/>
      <c r="BX82" s="108"/>
      <c r="BY82" s="108"/>
      <c r="BZ82" s="108"/>
      <c r="CA82" s="108"/>
      <c r="CB82" s="108"/>
      <c r="CC82" s="167"/>
      <c r="CD82" s="107"/>
      <c r="CE82" s="108"/>
      <c r="CF82" s="108"/>
      <c r="CG82" s="108"/>
      <c r="CH82" s="108"/>
      <c r="CI82" s="108"/>
      <c r="CJ82" s="167"/>
      <c r="CK82" s="107"/>
      <c r="CL82" s="108"/>
      <c r="CM82" s="108"/>
      <c r="CN82" s="108"/>
      <c r="CO82" s="108"/>
      <c r="CP82" s="108"/>
      <c r="CQ82" s="167"/>
    </row>
    <row r="83" spans="12:99" ht="14.25" customHeight="1" x14ac:dyDescent="0.2">
      <c r="L83" s="107"/>
      <c r="M83" s="108"/>
      <c r="N83" s="108"/>
      <c r="O83" s="108"/>
      <c r="P83" s="108"/>
      <c r="Q83" s="108"/>
      <c r="R83" s="167"/>
      <c r="S83" s="107"/>
      <c r="T83" s="108"/>
      <c r="U83" s="108"/>
      <c r="V83" s="108"/>
      <c r="W83" s="108"/>
      <c r="X83" s="108"/>
      <c r="Y83" s="167"/>
      <c r="Z83" s="107"/>
      <c r="AA83" s="108"/>
      <c r="AB83" s="108"/>
      <c r="AC83" s="108"/>
      <c r="AD83" s="108"/>
      <c r="AE83" s="108"/>
      <c r="AF83" s="167"/>
      <c r="AG83" s="107" t="s">
        <v>155</v>
      </c>
      <c r="AH83" s="108"/>
      <c r="AI83" s="108"/>
      <c r="AJ83" s="108"/>
      <c r="AK83" s="108"/>
      <c r="AL83" s="108"/>
      <c r="AM83" s="167">
        <f>3210.51</f>
        <v>3210.51</v>
      </c>
      <c r="AN83" s="107"/>
      <c r="AO83" s="108"/>
      <c r="AP83" s="108"/>
      <c r="AQ83" s="108"/>
      <c r="AR83" s="108"/>
      <c r="AS83" s="108"/>
      <c r="AT83" s="167"/>
      <c r="AU83" s="107"/>
      <c r="AV83" s="108"/>
      <c r="AW83" s="108"/>
      <c r="AX83" s="108"/>
      <c r="AY83" s="108"/>
      <c r="AZ83" s="108"/>
      <c r="BA83" s="167"/>
      <c r="BB83" s="107"/>
      <c r="BC83" s="108"/>
      <c r="BD83" s="108"/>
      <c r="BE83" s="108"/>
      <c r="BF83" s="108"/>
      <c r="BG83" s="108"/>
      <c r="BH83" s="167"/>
      <c r="BI83" s="107"/>
      <c r="BJ83" s="108"/>
      <c r="BK83" s="108"/>
      <c r="BL83" s="108"/>
      <c r="BM83" s="108"/>
      <c r="BN83" s="108"/>
      <c r="BO83" s="167"/>
      <c r="BP83" s="107"/>
      <c r="BQ83" s="108"/>
      <c r="BR83" s="108"/>
      <c r="BS83" s="108"/>
      <c r="BT83" s="108"/>
      <c r="BU83" s="108"/>
      <c r="BV83" s="167"/>
      <c r="BW83" s="107"/>
      <c r="BX83" s="108"/>
      <c r="BY83" s="108"/>
      <c r="BZ83" s="108"/>
      <c r="CA83" s="108"/>
      <c r="CB83" s="108"/>
      <c r="CC83" s="167"/>
      <c r="CD83" s="107"/>
      <c r="CE83" s="108"/>
      <c r="CF83" s="108"/>
      <c r="CG83" s="108"/>
      <c r="CH83" s="108"/>
      <c r="CI83" s="108"/>
      <c r="CJ83" s="167"/>
      <c r="CK83" s="107"/>
      <c r="CL83" s="108"/>
      <c r="CM83" s="108"/>
      <c r="CN83" s="108"/>
      <c r="CO83" s="108"/>
      <c r="CP83" s="108"/>
      <c r="CQ83" s="167"/>
    </row>
    <row r="84" spans="12:99" ht="14.25" customHeight="1" x14ac:dyDescent="0.2">
      <c r="L84" s="107"/>
      <c r="M84" s="108"/>
      <c r="N84" s="108"/>
      <c r="O84" s="108"/>
      <c r="P84" s="108"/>
      <c r="Q84" s="108"/>
      <c r="R84" s="167"/>
      <c r="S84" s="107"/>
      <c r="T84" s="108"/>
      <c r="U84" s="108"/>
      <c r="V84" s="108"/>
      <c r="W84" s="108"/>
      <c r="X84" s="108"/>
      <c r="Y84" s="167"/>
      <c r="Z84" s="107"/>
      <c r="AA84" s="108"/>
      <c r="AB84" s="108"/>
      <c r="AC84" s="108"/>
      <c r="AD84" s="108"/>
      <c r="AE84" s="108"/>
      <c r="AF84" s="167"/>
      <c r="AG84" s="107" t="s">
        <v>121</v>
      </c>
      <c r="AH84" s="108"/>
      <c r="AI84" s="108"/>
      <c r="AJ84" s="108"/>
      <c r="AK84" s="108"/>
      <c r="AL84" s="108"/>
      <c r="AM84" s="167">
        <f>156.19+156.19</f>
        <v>312.38</v>
      </c>
      <c r="AN84" s="107"/>
      <c r="AO84" s="108"/>
      <c r="AP84" s="108"/>
      <c r="AQ84" s="108"/>
      <c r="AR84" s="108"/>
      <c r="AS84" s="108"/>
      <c r="AT84" s="167"/>
      <c r="AU84" s="107"/>
      <c r="AV84" s="108"/>
      <c r="AW84" s="108"/>
      <c r="AX84" s="108"/>
      <c r="AY84" s="108"/>
      <c r="AZ84" s="108"/>
      <c r="BA84" s="167"/>
      <c r="BB84" s="107"/>
      <c r="BC84" s="108"/>
      <c r="BD84" s="108"/>
      <c r="BE84" s="108"/>
      <c r="BF84" s="108"/>
      <c r="BG84" s="108"/>
      <c r="BH84" s="167"/>
      <c r="BI84" s="107"/>
      <c r="BJ84" s="108"/>
      <c r="BK84" s="108"/>
      <c r="BL84" s="108"/>
      <c r="BM84" s="108"/>
      <c r="BN84" s="108"/>
      <c r="BO84" s="167"/>
      <c r="BP84" s="107"/>
      <c r="BQ84" s="108"/>
      <c r="BR84" s="108"/>
      <c r="BS84" s="108"/>
      <c r="BT84" s="108"/>
      <c r="BU84" s="108"/>
      <c r="BV84" s="167"/>
      <c r="BW84" s="107"/>
      <c r="BX84" s="108"/>
      <c r="BY84" s="108"/>
      <c r="BZ84" s="108"/>
      <c r="CA84" s="108"/>
      <c r="CB84" s="108"/>
      <c r="CC84" s="167"/>
      <c r="CD84" s="107"/>
      <c r="CE84" s="108"/>
      <c r="CF84" s="108"/>
      <c r="CG84" s="108"/>
      <c r="CH84" s="108"/>
      <c r="CI84" s="108"/>
      <c r="CJ84" s="167"/>
      <c r="CK84" s="107"/>
      <c r="CL84" s="108"/>
      <c r="CM84" s="108"/>
      <c r="CN84" s="108"/>
      <c r="CO84" s="108"/>
      <c r="CP84" s="108"/>
      <c r="CQ84" s="167"/>
    </row>
    <row r="85" spans="12:99" ht="14.25" customHeight="1" x14ac:dyDescent="0.2">
      <c r="L85" s="107"/>
      <c r="M85" s="108"/>
      <c r="N85" s="108"/>
      <c r="O85" s="108"/>
      <c r="P85" s="108"/>
      <c r="Q85" s="108"/>
      <c r="R85" s="167"/>
      <c r="S85" s="107"/>
      <c r="T85" s="108"/>
      <c r="U85" s="108"/>
      <c r="V85" s="108"/>
      <c r="W85" s="108"/>
      <c r="X85" s="108"/>
      <c r="Y85" s="167"/>
      <c r="Z85" s="107"/>
      <c r="AA85" s="108"/>
      <c r="AB85" s="108"/>
      <c r="AC85" s="108"/>
      <c r="AD85" s="108"/>
      <c r="AE85" s="108"/>
      <c r="AF85" s="167"/>
      <c r="AG85" s="107"/>
      <c r="AH85" s="108"/>
      <c r="AI85" s="108"/>
      <c r="AJ85" s="108"/>
      <c r="AK85" s="108"/>
      <c r="AL85" s="108"/>
      <c r="AM85" s="167"/>
      <c r="AN85" s="107"/>
      <c r="AO85" s="108"/>
      <c r="AP85" s="108"/>
      <c r="AQ85" s="108"/>
      <c r="AR85" s="108"/>
      <c r="AS85" s="108"/>
      <c r="AT85" s="167"/>
      <c r="AU85" s="107"/>
      <c r="AV85" s="108"/>
      <c r="AW85" s="108"/>
      <c r="AX85" s="108"/>
      <c r="AY85" s="108"/>
      <c r="AZ85" s="108"/>
      <c r="BA85" s="167"/>
      <c r="BB85" s="107"/>
      <c r="BC85" s="108"/>
      <c r="BD85" s="108"/>
      <c r="BE85" s="108"/>
      <c r="BF85" s="108"/>
      <c r="BG85" s="108"/>
      <c r="BH85" s="167"/>
      <c r="BI85" s="107"/>
      <c r="BJ85" s="108"/>
      <c r="BK85" s="108"/>
      <c r="BL85" s="108"/>
      <c r="BM85" s="108"/>
      <c r="BN85" s="108"/>
      <c r="BO85" s="167"/>
      <c r="BP85" s="107"/>
      <c r="BQ85" s="108"/>
      <c r="BR85" s="108"/>
      <c r="BS85" s="108"/>
      <c r="BT85" s="108"/>
      <c r="BU85" s="108"/>
      <c r="BV85" s="167"/>
      <c r="BW85" s="107"/>
      <c r="BX85" s="108"/>
      <c r="BY85" s="108"/>
      <c r="BZ85" s="108"/>
      <c r="CA85" s="108"/>
      <c r="CB85" s="108"/>
      <c r="CC85" s="167"/>
      <c r="CD85" s="107"/>
      <c r="CE85" s="108"/>
      <c r="CF85" s="108"/>
      <c r="CG85" s="108"/>
      <c r="CH85" s="108"/>
      <c r="CI85" s="108"/>
      <c r="CJ85" s="167"/>
      <c r="CK85" s="107"/>
      <c r="CL85" s="108"/>
      <c r="CM85" s="108"/>
      <c r="CN85" s="108"/>
      <c r="CO85" s="108"/>
      <c r="CP85" s="108"/>
      <c r="CQ85" s="167"/>
    </row>
    <row r="86" spans="12:99" ht="14.25" customHeight="1" x14ac:dyDescent="0.2">
      <c r="L86" s="107"/>
      <c r="M86" s="108"/>
      <c r="N86" s="108"/>
      <c r="O86" s="108"/>
      <c r="P86" s="108"/>
      <c r="Q86" s="108"/>
      <c r="R86" s="167"/>
      <c r="S86" s="107"/>
      <c r="T86" s="108"/>
      <c r="U86" s="108"/>
      <c r="V86" s="108"/>
      <c r="W86" s="108"/>
      <c r="X86" s="108"/>
      <c r="Y86" s="167"/>
      <c r="Z86" s="107"/>
      <c r="AA86" s="108"/>
      <c r="AB86" s="108"/>
      <c r="AC86" s="108"/>
      <c r="AD86" s="108"/>
      <c r="AE86" s="108"/>
      <c r="AF86" s="167"/>
      <c r="AG86" s="107"/>
      <c r="AH86" s="108"/>
      <c r="AI86" s="108"/>
      <c r="AJ86" s="108"/>
      <c r="AK86" s="108"/>
      <c r="AL86" s="108"/>
      <c r="AM86" s="167"/>
      <c r="AN86" s="107"/>
      <c r="AO86" s="108"/>
      <c r="AP86" s="108"/>
      <c r="AQ86" s="108"/>
      <c r="AR86" s="108"/>
      <c r="AS86" s="108"/>
      <c r="AT86" s="167"/>
      <c r="AU86" s="107"/>
      <c r="AV86" s="108"/>
      <c r="AW86" s="108"/>
      <c r="AX86" s="108"/>
      <c r="AY86" s="108"/>
      <c r="AZ86" s="108"/>
      <c r="BA86" s="167"/>
      <c r="BB86" s="107"/>
      <c r="BC86" s="108"/>
      <c r="BD86" s="108"/>
      <c r="BE86" s="108"/>
      <c r="BF86" s="108"/>
      <c r="BG86" s="108"/>
      <c r="BH86" s="167"/>
      <c r="BI86" s="107"/>
      <c r="BJ86" s="108"/>
      <c r="BK86" s="108"/>
      <c r="BL86" s="108"/>
      <c r="BM86" s="108"/>
      <c r="BN86" s="108"/>
      <c r="BO86" s="167"/>
      <c r="BP86" s="107"/>
      <c r="BQ86" s="108"/>
      <c r="BR86" s="108"/>
      <c r="BS86" s="108"/>
      <c r="BT86" s="108"/>
      <c r="BU86" s="108"/>
      <c r="BV86" s="167"/>
      <c r="BW86" s="107"/>
      <c r="BX86" s="108"/>
      <c r="BY86" s="108"/>
      <c r="BZ86" s="108"/>
      <c r="CA86" s="108"/>
      <c r="CB86" s="108"/>
      <c r="CC86" s="167"/>
      <c r="CD86" s="107"/>
      <c r="CE86" s="108"/>
      <c r="CF86" s="108"/>
      <c r="CG86" s="108"/>
      <c r="CH86" s="108"/>
      <c r="CI86" s="108"/>
      <c r="CJ86" s="167"/>
      <c r="CK86" s="107"/>
      <c r="CL86" s="108"/>
      <c r="CM86" s="108"/>
      <c r="CN86" s="108"/>
      <c r="CO86" s="108"/>
      <c r="CP86" s="108"/>
      <c r="CQ86" s="167"/>
      <c r="CU86" s="155"/>
    </row>
    <row r="87" spans="12:99" ht="14.25" customHeight="1" x14ac:dyDescent="0.2">
      <c r="L87" s="107" t="s">
        <v>82</v>
      </c>
      <c r="M87" s="108"/>
      <c r="N87" s="108"/>
      <c r="O87" s="108"/>
      <c r="P87" s="108"/>
      <c r="Q87" s="108"/>
      <c r="R87" s="167">
        <f>SUM(R61:R86)</f>
        <v>34920.599999999991</v>
      </c>
      <c r="S87" s="107" t="s">
        <v>82</v>
      </c>
      <c r="T87" s="108"/>
      <c r="U87" s="108"/>
      <c r="V87" s="108"/>
      <c r="W87" s="108"/>
      <c r="X87" s="172"/>
      <c r="Y87" s="167">
        <f>SUM(Y61:Y86)</f>
        <v>27172.31</v>
      </c>
      <c r="Z87" s="107" t="s">
        <v>82</v>
      </c>
      <c r="AA87" s="108"/>
      <c r="AB87" s="108"/>
      <c r="AC87" s="108"/>
      <c r="AD87" s="108"/>
      <c r="AE87" s="108"/>
      <c r="AF87" s="167">
        <f>SUM(AF61:AF86)</f>
        <v>23125.34</v>
      </c>
      <c r="AG87" s="107" t="s">
        <v>82</v>
      </c>
      <c r="AH87" s="108"/>
      <c r="AI87" s="108"/>
      <c r="AJ87" s="108"/>
      <c r="AK87" s="108"/>
      <c r="AL87" s="108"/>
      <c r="AM87" s="167">
        <f>SUM(AM61:AM86)</f>
        <v>21165.749999999996</v>
      </c>
      <c r="AN87" s="107" t="s">
        <v>82</v>
      </c>
      <c r="AO87" s="108"/>
      <c r="AP87" s="108"/>
      <c r="AQ87" s="108"/>
      <c r="AR87" s="108"/>
      <c r="AS87" s="108"/>
      <c r="AT87" s="167">
        <f>SUM(AT61:AT86)</f>
        <v>0</v>
      </c>
      <c r="AU87" s="107" t="s">
        <v>82</v>
      </c>
      <c r="AV87" s="108"/>
      <c r="AW87" s="108"/>
      <c r="AX87" s="108"/>
      <c r="AY87" s="108"/>
      <c r="AZ87" s="108"/>
      <c r="BA87" s="167">
        <f>SUM(BA61:BA86)</f>
        <v>0</v>
      </c>
      <c r="BB87" s="107" t="s">
        <v>82</v>
      </c>
      <c r="BC87" s="108"/>
      <c r="BD87" s="108"/>
      <c r="BE87" s="108"/>
      <c r="BF87" s="108"/>
      <c r="BG87" s="108"/>
      <c r="BH87" s="167">
        <f>SUM(BH61:BH86)</f>
        <v>0</v>
      </c>
      <c r="BI87" s="107" t="s">
        <v>82</v>
      </c>
      <c r="BJ87" s="108"/>
      <c r="BK87" s="108"/>
      <c r="BL87" s="108"/>
      <c r="BM87" s="108"/>
      <c r="BN87" s="108"/>
      <c r="BO87" s="167">
        <f>SUM(BO61:BO86)</f>
        <v>0</v>
      </c>
      <c r="BP87" s="107" t="s">
        <v>82</v>
      </c>
      <c r="BQ87" s="108"/>
      <c r="BR87" s="108"/>
      <c r="BS87" s="108"/>
      <c r="BT87" s="108"/>
      <c r="BU87" s="108"/>
      <c r="BV87" s="167">
        <f>SUM(BV61:BV86)</f>
        <v>0</v>
      </c>
      <c r="BW87" s="107" t="s">
        <v>82</v>
      </c>
      <c r="BX87" s="108"/>
      <c r="BY87" s="108"/>
      <c r="BZ87" s="108"/>
      <c r="CA87" s="108"/>
      <c r="CB87" s="108"/>
      <c r="CC87" s="167">
        <f>SUM(CC61:CC86)</f>
        <v>0</v>
      </c>
      <c r="CD87" s="107" t="s">
        <v>82</v>
      </c>
      <c r="CE87" s="108"/>
      <c r="CF87" s="108"/>
      <c r="CG87" s="108"/>
      <c r="CH87" s="108"/>
      <c r="CI87" s="108"/>
      <c r="CJ87" s="167">
        <f>SUM(CJ61:CJ86)</f>
        <v>0</v>
      </c>
      <c r="CK87" s="107" t="s">
        <v>82</v>
      </c>
      <c r="CL87" s="108"/>
      <c r="CM87" s="108"/>
      <c r="CN87" s="108"/>
      <c r="CO87" s="108"/>
      <c r="CP87" s="108"/>
      <c r="CQ87" s="167">
        <f>SUM(CQ61:CQ86)</f>
        <v>0</v>
      </c>
      <c r="CU87" s="155"/>
    </row>
    <row r="88" spans="12:99" ht="14.25" customHeight="1" x14ac:dyDescent="0.2">
      <c r="AM88" s="104"/>
      <c r="AT88" s="139"/>
      <c r="BA88" s="139"/>
      <c r="BH88" s="139"/>
      <c r="BO88" s="139"/>
      <c r="BV88" s="156"/>
      <c r="CC88" s="156"/>
      <c r="CJ88" s="139"/>
      <c r="CU88" s="155"/>
    </row>
    <row r="89" spans="12:99" ht="14.25" customHeight="1" x14ac:dyDescent="0.2">
      <c r="Y89" s="141"/>
      <c r="AF89" s="104"/>
      <c r="AM89" s="104"/>
      <c r="AT89" s="139"/>
      <c r="BA89" s="139"/>
      <c r="BH89" s="139"/>
      <c r="BO89" s="139"/>
      <c r="BV89" s="156"/>
      <c r="CC89" s="156"/>
      <c r="CJ89" s="139"/>
      <c r="CU89" s="155"/>
    </row>
    <row r="90" spans="12:99" ht="14.25" customHeight="1" x14ac:dyDescent="0.2">
      <c r="AF90" s="104"/>
      <c r="AM90" s="104"/>
      <c r="AT90" s="139"/>
      <c r="BA90" s="139"/>
      <c r="BH90" s="139"/>
      <c r="BO90" s="139"/>
      <c r="BV90" s="156"/>
      <c r="CC90" s="156"/>
      <c r="CJ90" s="139"/>
      <c r="CU90" s="155"/>
    </row>
    <row r="91" spans="12:99" ht="14.25" customHeight="1" x14ac:dyDescent="0.2">
      <c r="AF91" s="141"/>
      <c r="AM91" s="142"/>
      <c r="AT91" s="139"/>
      <c r="BA91" s="139"/>
      <c r="BH91" s="140"/>
      <c r="BO91" s="140"/>
      <c r="BV91" s="156"/>
      <c r="CC91" s="140"/>
      <c r="CJ91" s="139"/>
    </row>
    <row r="92" spans="12:99" ht="14.25" customHeight="1" x14ac:dyDescent="0.2">
      <c r="AT92" s="139"/>
      <c r="BA92" s="139"/>
      <c r="BV92" s="156"/>
      <c r="CC92" s="139"/>
      <c r="CJ92" s="139"/>
    </row>
    <row r="93" spans="12:99" ht="14.25" customHeight="1" x14ac:dyDescent="0.2">
      <c r="AT93" s="140"/>
      <c r="BA93" s="140"/>
      <c r="BV93" s="156"/>
      <c r="CJ93" s="139"/>
    </row>
    <row r="94" spans="12:99" ht="14.25" customHeight="1" x14ac:dyDescent="0.2">
      <c r="AT94" s="139"/>
      <c r="BA94" s="139"/>
      <c r="BV94" s="156"/>
      <c r="CJ94" s="139"/>
    </row>
    <row r="95" spans="12:99" ht="14.25" customHeight="1" x14ac:dyDescent="0.2">
      <c r="AT95" s="139"/>
      <c r="BA95" s="139"/>
      <c r="BV95" s="139"/>
      <c r="CJ95" s="139"/>
    </row>
    <row r="96" spans="12:99" ht="14.25" customHeight="1" x14ac:dyDescent="0.2">
      <c r="AT96" s="139"/>
      <c r="BA96" s="139"/>
      <c r="BV96" s="140"/>
      <c r="CJ96" s="139"/>
    </row>
    <row r="97" spans="46:88" ht="14.25" customHeight="1" x14ac:dyDescent="0.2">
      <c r="AT97" s="139"/>
      <c r="CJ97" s="140"/>
    </row>
    <row r="98" spans="46:88" ht="14.25" customHeight="1" x14ac:dyDescent="0.2">
      <c r="AT98" s="139"/>
    </row>
    <row r="99" spans="46:88" ht="14.25" customHeight="1" x14ac:dyDescent="0.2">
      <c r="AT99" s="139"/>
    </row>
    <row r="100" spans="46:88" ht="14.25" customHeight="1" x14ac:dyDescent="0.2"/>
    <row r="101" spans="46:88" ht="14.25" customHeight="1" x14ac:dyDescent="0.2">
      <c r="BA101" s="139"/>
    </row>
    <row r="102" spans="46:88" ht="14.25" customHeight="1" x14ac:dyDescent="0.2">
      <c r="BA102" s="139"/>
    </row>
    <row r="103" spans="46:88" ht="14.25" customHeight="1" x14ac:dyDescent="0.2">
      <c r="BA103" s="139"/>
    </row>
    <row r="104" spans="46:88" ht="14.25" customHeight="1" x14ac:dyDescent="0.2"/>
    <row r="105" spans="46:88" ht="14.25" customHeight="1" x14ac:dyDescent="0.2"/>
    <row r="106" spans="46:88" ht="14.25" customHeight="1" x14ac:dyDescent="0.2"/>
    <row r="107" spans="46:88" ht="14.25" customHeight="1" x14ac:dyDescent="0.2"/>
    <row r="108" spans="46:88" ht="14.25" customHeight="1" x14ac:dyDescent="0.2"/>
    <row r="109" spans="46:88" ht="14.25" customHeight="1" x14ac:dyDescent="0.2"/>
    <row r="110" spans="46:88" ht="14.25" customHeight="1" x14ac:dyDescent="0.2"/>
    <row r="111" spans="46:88" ht="14.25" customHeight="1" x14ac:dyDescent="0.2"/>
    <row r="112" spans="46:88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/>
    <row r="194" spans="99:99" ht="14.25" customHeight="1" x14ac:dyDescent="0.2"/>
    <row r="195" spans="99:99" ht="14.25" customHeight="1" x14ac:dyDescent="0.2"/>
    <row r="196" spans="99:99" ht="14.25" customHeight="1" x14ac:dyDescent="0.2"/>
    <row r="197" spans="99:99" ht="14.25" customHeight="1" x14ac:dyDescent="0.2"/>
    <row r="198" spans="99:99" ht="14.25" customHeight="1" x14ac:dyDescent="0.2"/>
    <row r="199" spans="99:99" ht="14.25" customHeight="1" x14ac:dyDescent="0.2"/>
    <row r="200" spans="99:99" ht="14.25" customHeight="1" x14ac:dyDescent="0.2"/>
    <row r="201" spans="99:99" ht="14.25" customHeight="1" x14ac:dyDescent="0.2"/>
    <row r="202" spans="99:99" ht="14.25" customHeight="1" x14ac:dyDescent="0.2"/>
    <row r="203" spans="99:99" ht="14.25" customHeight="1" x14ac:dyDescent="0.2"/>
    <row r="204" spans="99:99" ht="14.25" customHeight="1" x14ac:dyDescent="0.2"/>
    <row r="205" spans="99:99" ht="14.25" customHeight="1" x14ac:dyDescent="0.2"/>
    <row r="206" spans="99:99" ht="14.25" customHeight="1" x14ac:dyDescent="0.2"/>
    <row r="207" spans="99:99" ht="14.25" customHeight="1" x14ac:dyDescent="0.2"/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264D5-61F9-EF43-A853-0E3FA1CADD8C}">
  <sheetPr>
    <pageSetUpPr fitToPage="1"/>
  </sheetPr>
  <dimension ref="A1:CU1000"/>
  <sheetViews>
    <sheetView zoomScale="85" zoomScaleNormal="85" workbookViewId="0">
      <pane xSplit="11" ySplit="3" topLeftCell="CJ35" activePane="bottomRight" state="frozen"/>
      <selection activeCell="J2" sqref="J2:P58"/>
      <selection pane="topRight" activeCell="J2" sqref="J2:P58"/>
      <selection pane="bottomLeft" activeCell="J2" sqref="J2:P58"/>
      <selection pane="bottomRight" activeCell="CU58" sqref="CU58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744802.80984320003</v>
      </c>
      <c r="C4" s="18">
        <f t="shared" si="0"/>
        <v>653266.54451347073</v>
      </c>
      <c r="D4" s="19">
        <f t="shared" si="0"/>
        <v>91536.265329729271</v>
      </c>
      <c r="E4" s="17">
        <f>+L4+S4+Z4+AG4</f>
        <v>257232.39027199999</v>
      </c>
      <c r="F4" s="20">
        <f>+M4+T4+AA4+AH4</f>
        <v>225618.52950757122</v>
      </c>
      <c r="G4" s="21">
        <f>+N4+U4+AB4+AI4</f>
        <v>31613.860764428799</v>
      </c>
      <c r="H4" s="18">
        <f t="shared" ref="H4:J35" si="1">+O4+V4+AC4+AJ4+AQ4+AX4+BE4+BL4+BS4+BZ4+CG4+CN4</f>
        <v>228495.52689599997</v>
      </c>
      <c r="I4" s="20">
        <f t="shared" si="1"/>
        <v>15832.453104</v>
      </c>
      <c r="J4" s="20">
        <f t="shared" si="1"/>
        <v>244327.97999999998</v>
      </c>
      <c r="K4" s="25">
        <f t="shared" ref="K4:K54" si="2">IF(E4=0,"",(+J4/E4-1))</f>
        <v>-5.0166350584212038E-2</v>
      </c>
      <c r="L4" s="23">
        <f>[1]PN!$E4</f>
        <v>58044.097568000005</v>
      </c>
      <c r="M4" s="18">
        <f>L4-N4</f>
        <v>50910.477976892806</v>
      </c>
      <c r="N4" s="18">
        <f>+L4*12.29%</f>
        <v>7133.6195911072</v>
      </c>
      <c r="O4" s="18">
        <f>+Q4-P4</f>
        <v>38974.721855999996</v>
      </c>
      <c r="P4" s="18">
        <f>+Q4*6.48%</f>
        <v>2700.5581440000005</v>
      </c>
      <c r="Q4" s="20">
        <f>71588.51-Q5-Q6-Q7-Q8-Q9</f>
        <v>41675.279999999999</v>
      </c>
      <c r="R4" s="25">
        <f t="shared" ref="R4:R54" si="3">IF(L4=0,"",(+Q4/L4-1))</f>
        <v>-0.2820065821304838</v>
      </c>
      <c r="S4" s="23">
        <f>[1]PN!$F4</f>
        <v>83100.097567999997</v>
      </c>
      <c r="T4" s="18">
        <f>S4-U4</f>
        <v>72887.095576892796</v>
      </c>
      <c r="U4" s="18">
        <f>+S4*12.29%</f>
        <v>10213.0019911072</v>
      </c>
      <c r="V4" s="18">
        <f>+X4-W4</f>
        <v>67649.964535999999</v>
      </c>
      <c r="W4" s="18">
        <f>+X4*6.48%</f>
        <v>4687.4654639999999</v>
      </c>
      <c r="X4" s="20">
        <f>85697.37-X5-X6-X7-X8-X9</f>
        <v>72337.429999999993</v>
      </c>
      <c r="Y4" s="25">
        <f t="shared" ref="Y4:Y54" si="4">IF(S4=0,"",(+X4/S4-1))</f>
        <v>-0.12951449977772911</v>
      </c>
      <c r="Z4" s="23">
        <f>[1]PN!$G4</f>
        <v>58044.097568000005</v>
      </c>
      <c r="AA4" s="18">
        <f>Z4-AB4</f>
        <v>50910.477976892806</v>
      </c>
      <c r="AB4" s="18">
        <f>+Z4*12.29%</f>
        <v>7133.6195911072</v>
      </c>
      <c r="AC4" s="18">
        <f>+AE4-AD4</f>
        <v>39427.162263999999</v>
      </c>
      <c r="AD4" s="18">
        <f>+AE4*6.48%</f>
        <v>2731.9077360000006</v>
      </c>
      <c r="AE4" s="20">
        <f>71943.39-AE5-AE6-AE7-AE8-AE9</f>
        <v>42159.07</v>
      </c>
      <c r="AF4" s="25">
        <f t="shared" ref="AF4:AF54" si="5">IF(Z4=0,"",(+AE4/Z4-1))</f>
        <v>-0.27367171225963716</v>
      </c>
      <c r="AG4" s="23">
        <f>[1]PN!$H4</f>
        <v>58044.097568000005</v>
      </c>
      <c r="AH4" s="18">
        <f>AG4-AI4</f>
        <v>50910.477976892806</v>
      </c>
      <c r="AI4" s="18">
        <f>+AG4*12.29%</f>
        <v>7133.6195911072</v>
      </c>
      <c r="AJ4" s="18">
        <f>+AL4-AK4</f>
        <v>82443.678239999994</v>
      </c>
      <c r="AK4" s="18">
        <f>+AL4*6.48%</f>
        <v>5712.5217600000005</v>
      </c>
      <c r="AL4" s="24">
        <f>111283.97-AL5-AL6-AL7-AL8-AL9</f>
        <v>88156.2</v>
      </c>
      <c r="AM4" s="25">
        <f t="shared" ref="AM4:AM54" si="6">IF(AG4=0,"",(+AL4/AG4-1))</f>
        <v>0.51877975011538369</v>
      </c>
      <c r="AN4" s="23">
        <f>[1]PN!$I4</f>
        <v>58044.097568000005</v>
      </c>
      <c r="AO4" s="18">
        <f>AN4-AP4</f>
        <v>50910.477976892806</v>
      </c>
      <c r="AP4" s="18">
        <f>+AN4*12.29%</f>
        <v>7133.6195911072</v>
      </c>
      <c r="AQ4" s="18">
        <f>+AS4-AR4</f>
        <v>0</v>
      </c>
      <c r="AR4" s="18">
        <f>+AS4*6.48%</f>
        <v>0</v>
      </c>
      <c r="AS4" s="20"/>
      <c r="AT4" s="25">
        <f t="shared" ref="AT4:AT54" si="7">IF(AN4=0,"",(+AS4/AN4-1))</f>
        <v>-1</v>
      </c>
      <c r="AU4" s="23">
        <f>[1]PN!$J4</f>
        <v>58044.097568000005</v>
      </c>
      <c r="AV4" s="18">
        <f>AU4-AW4</f>
        <v>50910.477976892806</v>
      </c>
      <c r="AW4" s="18">
        <f>+AU4*12.29%</f>
        <v>7133.6195911072</v>
      </c>
      <c r="AX4" s="18">
        <f>+AZ4-AY4</f>
        <v>0</v>
      </c>
      <c r="AY4" s="18">
        <f>+AZ4*6.48%</f>
        <v>0</v>
      </c>
      <c r="AZ4" s="20"/>
      <c r="BA4" s="25">
        <f t="shared" ref="BA4:BA54" si="8">IF(AU4=0,"",(+AZ4/AU4-1))</f>
        <v>-1</v>
      </c>
      <c r="BB4" s="23">
        <f>[1]PN!$K4</f>
        <v>58044.097568000005</v>
      </c>
      <c r="BC4" s="18">
        <f>BB4-BD4</f>
        <v>50910.477976892806</v>
      </c>
      <c r="BD4" s="18">
        <f>+BB4*12.29%</f>
        <v>7133.6195911072</v>
      </c>
      <c r="BE4" s="18">
        <f>+BG4-BF4</f>
        <v>0</v>
      </c>
      <c r="BF4" s="18">
        <f>+BG4*6.48%</f>
        <v>0</v>
      </c>
      <c r="BG4" s="24"/>
      <c r="BH4" s="25">
        <f t="shared" ref="BH4:BH54" si="9">IF(BB4=0,"",(+BG4/BB4-1))</f>
        <v>-1</v>
      </c>
      <c r="BI4" s="23">
        <f>[1]PN!$L$4</f>
        <v>62687.625373440009</v>
      </c>
      <c r="BJ4" s="18">
        <f>BI4-BK4</f>
        <v>54983.316215044229</v>
      </c>
      <c r="BK4" s="18">
        <f>+BI4*12.29%</f>
        <v>7704.3091583957766</v>
      </c>
      <c r="BL4" s="18">
        <f>+BN4-BM4</f>
        <v>0</v>
      </c>
      <c r="BM4" s="18">
        <f>+BN4*6.48%</f>
        <v>0</v>
      </c>
      <c r="BN4" s="20"/>
      <c r="BO4" s="25">
        <f t="shared" ref="BO4:BO54" si="10">IF(BI4=0,"",(+BN4/BI4-1))</f>
        <v>-1</v>
      </c>
      <c r="BP4" s="23">
        <f>[1]PN!$M4</f>
        <v>62687.625373440009</v>
      </c>
      <c r="BQ4" s="18">
        <f>BP4-BR4</f>
        <v>54983.316215044229</v>
      </c>
      <c r="BR4" s="18">
        <f>+BP4*12.29%</f>
        <v>7704.3091583957766</v>
      </c>
      <c r="BS4" s="18">
        <f>+BU4-BT4</f>
        <v>0</v>
      </c>
      <c r="BT4" s="18">
        <f>+BU4*6.48%</f>
        <v>0</v>
      </c>
      <c r="BU4" s="20"/>
      <c r="BV4" s="25">
        <f t="shared" ref="BV4:BV54" si="11">IF(BP4=0,"",(+BU4/BP4-1))</f>
        <v>-1</v>
      </c>
      <c r="BW4" s="23">
        <f>[1]PN!$N4</f>
        <v>62687.625373440009</v>
      </c>
      <c r="BX4" s="18">
        <f>BW4-BY4</f>
        <v>54983.316215044229</v>
      </c>
      <c r="BY4" s="18">
        <f>+BW4*12.29%</f>
        <v>7704.3091583957766</v>
      </c>
      <c r="BZ4" s="18">
        <f>+CB4-CA4</f>
        <v>0</v>
      </c>
      <c r="CA4" s="18">
        <f>+CB4*6.48%</f>
        <v>0</v>
      </c>
      <c r="CB4" s="20"/>
      <c r="CC4" s="25">
        <f t="shared" ref="CC4:CC54" si="12">IF(BW4=0,"",(+CB4/BW4-1))</f>
        <v>-1</v>
      </c>
      <c r="CD4" s="23">
        <f>[1]PN!$O4</f>
        <v>62687.625373440009</v>
      </c>
      <c r="CE4" s="18">
        <f>CD4-CF4</f>
        <v>54983.316215044229</v>
      </c>
      <c r="CF4" s="18">
        <f>+CD4*12.29%</f>
        <v>7704.3091583957766</v>
      </c>
      <c r="CG4" s="18">
        <f>+CI4-CH4</f>
        <v>0</v>
      </c>
      <c r="CH4" s="18">
        <f>+CI4*6.48%</f>
        <v>0</v>
      </c>
      <c r="CI4" s="20"/>
      <c r="CJ4" s="25">
        <f t="shared" ref="CJ4:CJ54" si="13">IF(CD4=0,"",(+CI4/CD4-1))</f>
        <v>-1</v>
      </c>
      <c r="CK4" s="23">
        <f>[1]PN!$P4</f>
        <v>62687.625373440009</v>
      </c>
      <c r="CL4" s="18">
        <f>CK4-CM4</f>
        <v>54983.316215044229</v>
      </c>
      <c r="CM4" s="18">
        <f>+CK4*12.29%</f>
        <v>7704.3091583957766</v>
      </c>
      <c r="CN4" s="18">
        <f>+CP4-CO4</f>
        <v>0</v>
      </c>
      <c r="CO4" s="18">
        <f>+CP4*6.48%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45000</v>
      </c>
      <c r="C5" s="31">
        <f t="shared" si="0"/>
        <v>39469.5</v>
      </c>
      <c r="D5" s="32">
        <f t="shared" si="0"/>
        <v>5530.5</v>
      </c>
      <c r="E5" s="30">
        <f t="shared" ref="E5:G36" si="15">+L5+S5+Z5+AG5</f>
        <v>15000</v>
      </c>
      <c r="F5" s="33">
        <f t="shared" si="15"/>
        <v>13156.5</v>
      </c>
      <c r="G5" s="34">
        <f t="shared" si="15"/>
        <v>1843.5</v>
      </c>
      <c r="H5" s="31">
        <f t="shared" si="1"/>
        <v>17063.004560000001</v>
      </c>
      <c r="I5" s="33">
        <f t="shared" si="1"/>
        <v>1182.2954400000003</v>
      </c>
      <c r="J5" s="33">
        <f t="shared" si="1"/>
        <v>18245.3</v>
      </c>
      <c r="K5" s="37">
        <f t="shared" si="2"/>
        <v>0.21635333333333318</v>
      </c>
      <c r="L5" s="36">
        <f>[1]PN!$E5</f>
        <v>3750</v>
      </c>
      <c r="M5" s="31">
        <f t="shared" ref="M5:M54" si="16">L5-N5</f>
        <v>3289.125</v>
      </c>
      <c r="N5" s="31">
        <f t="shared" ref="N5:N54" si="17">+L5*12.29%</f>
        <v>460.875</v>
      </c>
      <c r="O5" s="31">
        <f t="shared" ref="O5:O54" si="18">+Q5-P5</f>
        <v>4073.5535120000004</v>
      </c>
      <c r="P5" s="31">
        <f t="shared" ref="P5:P54" si="19">+Q5*6.48%</f>
        <v>282.25648800000005</v>
      </c>
      <c r="Q5" s="33">
        <f>4355.81</f>
        <v>4355.8100000000004</v>
      </c>
      <c r="R5" s="37">
        <f t="shared" si="3"/>
        <v>0.16154933333333354</v>
      </c>
      <c r="S5" s="36">
        <f>[1]PN!$F5</f>
        <v>3750</v>
      </c>
      <c r="T5" s="31">
        <f t="shared" ref="T5:T54" si="20">S5-U5</f>
        <v>3289.125</v>
      </c>
      <c r="U5" s="31">
        <f t="shared" ref="U5:U54" si="21">+S5*12.29%</f>
        <v>460.875</v>
      </c>
      <c r="V5" s="31">
        <f t="shared" ref="V5:V54" si="22">+X5-W5</f>
        <v>1774.6355199999998</v>
      </c>
      <c r="W5" s="31">
        <f t="shared" ref="W5:W54" si="23">+X5*6.48%</f>
        <v>122.96448000000001</v>
      </c>
      <c r="X5" s="33">
        <f>1897.6</f>
        <v>1897.6</v>
      </c>
      <c r="Y5" s="37">
        <f t="shared" si="4"/>
        <v>-0.49397333333333338</v>
      </c>
      <c r="Z5" s="36">
        <f>[1]PN!$G5</f>
        <v>3750</v>
      </c>
      <c r="AA5" s="31">
        <f t="shared" ref="AA5:AA54" si="24">Z5-AB5</f>
        <v>3289.125</v>
      </c>
      <c r="AB5" s="31">
        <f t="shared" ref="AB5:AB54" si="25">+Z5*12.29%</f>
        <v>460.875</v>
      </c>
      <c r="AC5" s="31">
        <f t="shared" ref="AC5:AC54" si="26">+AE5-AD5</f>
        <v>3735.0391680000002</v>
      </c>
      <c r="AD5" s="31">
        <f t="shared" ref="AD5:AD54" si="27">+AE5*6.48%</f>
        <v>258.80083200000007</v>
      </c>
      <c r="AE5" s="33">
        <f>3484.84+509</f>
        <v>3993.84</v>
      </c>
      <c r="AF5" s="37">
        <f t="shared" si="5"/>
        <v>6.5023999999999971E-2</v>
      </c>
      <c r="AG5" s="36">
        <f>[1]PN!$H5</f>
        <v>3750</v>
      </c>
      <c r="AH5" s="31">
        <f t="shared" ref="AH5:AH54" si="28">AG5-AI5</f>
        <v>3289.125</v>
      </c>
      <c r="AI5" s="31">
        <f t="shared" ref="AI5:AI54" si="29">+AG5*12.29%</f>
        <v>460.875</v>
      </c>
      <c r="AJ5" s="31">
        <f t="shared" ref="AJ5:AJ54" si="30">+AL5-AK5</f>
        <v>7479.7763599999998</v>
      </c>
      <c r="AK5" s="31">
        <f t="shared" ref="AK5:AK54" si="31">+AL5*6.48%</f>
        <v>518.27364000000011</v>
      </c>
      <c r="AL5" s="27">
        <f>6493.87+1504.18</f>
        <v>7998.05</v>
      </c>
      <c r="AM5" s="37">
        <f t="shared" si="6"/>
        <v>1.1328133333333334</v>
      </c>
      <c r="AN5" s="36">
        <f>[1]PN!$I5</f>
        <v>3750</v>
      </c>
      <c r="AO5" s="31">
        <f t="shared" ref="AO5:AO54" si="32">AN5-AP5</f>
        <v>3289.125</v>
      </c>
      <c r="AP5" s="31">
        <f t="shared" ref="AP5:AP54" si="33">+AN5*12.29%</f>
        <v>460.875</v>
      </c>
      <c r="AQ5" s="31">
        <f t="shared" ref="AQ5:AQ54" si="34">+AS5-AR5</f>
        <v>0</v>
      </c>
      <c r="AR5" s="31">
        <f t="shared" ref="AR5:AR54" si="35">+AS5*6.48%</f>
        <v>0</v>
      </c>
      <c r="AS5" s="33"/>
      <c r="AT5" s="37">
        <f t="shared" si="7"/>
        <v>-1</v>
      </c>
      <c r="AU5" s="36">
        <f>[1]PN!$J5</f>
        <v>3750</v>
      </c>
      <c r="AV5" s="31">
        <f t="shared" ref="AV5:AV54" si="36">AU5-AW5</f>
        <v>3289.125</v>
      </c>
      <c r="AW5" s="31">
        <f t="shared" ref="AW5:AW54" si="37">+AU5*12.29%</f>
        <v>460.875</v>
      </c>
      <c r="AX5" s="31">
        <f t="shared" ref="AX5:AX54" si="38">+AZ5-AY5</f>
        <v>0</v>
      </c>
      <c r="AY5" s="31">
        <f t="shared" ref="AY5:AY54" si="39">+AZ5*6.48%</f>
        <v>0</v>
      </c>
      <c r="AZ5" s="33"/>
      <c r="BA5" s="37">
        <f t="shared" si="8"/>
        <v>-1</v>
      </c>
      <c r="BB5" s="36">
        <f>[1]PN!$K5</f>
        <v>3750</v>
      </c>
      <c r="BC5" s="31">
        <f t="shared" ref="BC5:BC54" si="40">BB5-BD5</f>
        <v>3289.125</v>
      </c>
      <c r="BD5" s="31">
        <f t="shared" ref="BD5:BD54" si="41">+BB5*12.29%</f>
        <v>460.875</v>
      </c>
      <c r="BE5" s="31">
        <f t="shared" ref="BE5:BE54" si="42">+BG5-BF5</f>
        <v>0</v>
      </c>
      <c r="BF5" s="31">
        <f t="shared" ref="BF5:BF54" si="43">+BG5*6.48%</f>
        <v>0</v>
      </c>
      <c r="BG5" s="27"/>
      <c r="BH5" s="37">
        <f t="shared" si="9"/>
        <v>-1</v>
      </c>
      <c r="BI5" s="36">
        <f>[1]PN!$L5</f>
        <v>3750</v>
      </c>
      <c r="BJ5" s="31">
        <f t="shared" ref="BJ5:BJ54" si="44">BI5-BK5</f>
        <v>3289.125</v>
      </c>
      <c r="BK5" s="31">
        <f t="shared" ref="BK5:BK54" si="45">+BI5*12.29%</f>
        <v>460.875</v>
      </c>
      <c r="BL5" s="31">
        <f t="shared" ref="BL5:BL54" si="46">+BN5-BM5</f>
        <v>0</v>
      </c>
      <c r="BM5" s="31">
        <f t="shared" ref="BM5:BM54" si="47">+BN5*6.48%</f>
        <v>0</v>
      </c>
      <c r="BN5" s="33"/>
      <c r="BO5" s="37">
        <f t="shared" si="10"/>
        <v>-1</v>
      </c>
      <c r="BP5" s="36">
        <f>[1]PN!$M5</f>
        <v>3750</v>
      </c>
      <c r="BQ5" s="31">
        <f t="shared" ref="BQ5:BQ54" si="48">BP5-BR5</f>
        <v>3289.125</v>
      </c>
      <c r="BR5" s="31">
        <f t="shared" ref="BR5:BR54" si="49">+BP5*12.29%</f>
        <v>460.875</v>
      </c>
      <c r="BS5" s="31">
        <f t="shared" ref="BS5:BS54" si="50">+BU5-BT5</f>
        <v>0</v>
      </c>
      <c r="BT5" s="31">
        <f t="shared" ref="BT5:BT54" si="51">+BU5*6.48%</f>
        <v>0</v>
      </c>
      <c r="BU5" s="33"/>
      <c r="BV5" s="37">
        <f t="shared" si="11"/>
        <v>-1</v>
      </c>
      <c r="BW5" s="36">
        <f>[1]PN!$N5</f>
        <v>3750</v>
      </c>
      <c r="BX5" s="31">
        <f t="shared" ref="BX5:BX54" si="52">BW5-BY5</f>
        <v>3289.125</v>
      </c>
      <c r="BY5" s="31">
        <f t="shared" ref="BY5:BY54" si="53">+BW5*12.29%</f>
        <v>460.875</v>
      </c>
      <c r="BZ5" s="31">
        <f t="shared" ref="BZ5:BZ54" si="54">+CB5-CA5</f>
        <v>0</v>
      </c>
      <c r="CA5" s="31">
        <f t="shared" ref="CA5:CA54" si="55">+CB5*6.48%</f>
        <v>0</v>
      </c>
      <c r="CB5" s="33"/>
      <c r="CC5" s="37">
        <f t="shared" si="12"/>
        <v>-1</v>
      </c>
      <c r="CD5" s="36">
        <f>[1]PN!$O5</f>
        <v>3750</v>
      </c>
      <c r="CE5" s="31">
        <f t="shared" ref="CE5:CE54" si="56">CD5-CF5</f>
        <v>3289.125</v>
      </c>
      <c r="CF5" s="31">
        <f t="shared" ref="CF5:CF54" si="57">+CD5*12.29%</f>
        <v>460.875</v>
      </c>
      <c r="CG5" s="31">
        <f t="shared" ref="CG5:CG54" si="58">+CI5-CH5</f>
        <v>0</v>
      </c>
      <c r="CH5" s="31">
        <f t="shared" ref="CH5:CH54" si="59">+CI5*6.48%</f>
        <v>0</v>
      </c>
      <c r="CI5" s="33"/>
      <c r="CJ5" s="37">
        <f t="shared" si="13"/>
        <v>-1</v>
      </c>
      <c r="CK5" s="36">
        <f>[1]PN!$P5</f>
        <v>3750</v>
      </c>
      <c r="CL5" s="31">
        <f t="shared" ref="CL5:CL54" si="60">CK5-CM5</f>
        <v>3289.125</v>
      </c>
      <c r="CM5" s="31">
        <f t="shared" ref="CM5:CM54" si="61">+CK5*12.29%</f>
        <v>460.875</v>
      </c>
      <c r="CN5" s="31">
        <f t="shared" ref="CN5:CN54" si="62">+CP5-CO5</f>
        <v>0</v>
      </c>
      <c r="CO5" s="31">
        <f t="shared" ref="CO5:CO54" si="63">+CP5*6.48%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95970.684719359982</v>
      </c>
      <c r="C6" s="31">
        <f t="shared" si="0"/>
        <v>84175.88756735067</v>
      </c>
      <c r="D6" s="32">
        <f t="shared" si="0"/>
        <v>11794.797152009345</v>
      </c>
      <c r="E6" s="30">
        <f t="shared" si="15"/>
        <v>31014.4144256</v>
      </c>
      <c r="F6" s="33">
        <f t="shared" si="15"/>
        <v>27202.742892693761</v>
      </c>
      <c r="G6" s="34">
        <f t="shared" si="15"/>
        <v>3811.6715329062399</v>
      </c>
      <c r="H6" s="31">
        <f t="shared" si="1"/>
        <v>27810.88408</v>
      </c>
      <c r="I6" s="33">
        <f t="shared" si="1"/>
        <v>1927.0159200000003</v>
      </c>
      <c r="J6" s="33">
        <f t="shared" si="1"/>
        <v>29737.9</v>
      </c>
      <c r="K6" s="37">
        <f t="shared" si="2"/>
        <v>-4.1158746642217303E-2</v>
      </c>
      <c r="L6" s="36">
        <f>[1]PN!$E6</f>
        <v>7753.6036064</v>
      </c>
      <c r="M6" s="31">
        <f t="shared" si="16"/>
        <v>6800.6857231734402</v>
      </c>
      <c r="N6" s="31">
        <f t="shared" si="17"/>
        <v>952.91788322655998</v>
      </c>
      <c r="O6" s="31">
        <f t="shared" si="18"/>
        <v>6999.1116160000001</v>
      </c>
      <c r="P6" s="31">
        <f t="shared" si="19"/>
        <v>484.96838400000007</v>
      </c>
      <c r="Q6" s="33">
        <v>7484.08</v>
      </c>
      <c r="R6" s="37">
        <f t="shared" si="3"/>
        <v>-3.4761076279103187E-2</v>
      </c>
      <c r="S6" s="36">
        <f>[1]PN!$F6</f>
        <v>7753.6036064</v>
      </c>
      <c r="T6" s="31">
        <f t="shared" si="20"/>
        <v>6800.6857231734402</v>
      </c>
      <c r="U6" s="31">
        <f t="shared" si="21"/>
        <v>952.91788322655998</v>
      </c>
      <c r="V6" s="31">
        <f t="shared" si="22"/>
        <v>6107.0149840000004</v>
      </c>
      <c r="W6" s="31">
        <f t="shared" si="23"/>
        <v>423.15501600000005</v>
      </c>
      <c r="X6" s="33">
        <v>6530.17</v>
      </c>
      <c r="Y6" s="37">
        <f t="shared" si="4"/>
        <v>-0.15778903184967441</v>
      </c>
      <c r="Z6" s="36">
        <f>[1]PN!$G6</f>
        <v>7753.6036064</v>
      </c>
      <c r="AA6" s="31">
        <f t="shared" si="24"/>
        <v>6800.6857231734402</v>
      </c>
      <c r="AB6" s="31">
        <f t="shared" si="25"/>
        <v>952.91788322655998</v>
      </c>
      <c r="AC6" s="31">
        <f t="shared" si="26"/>
        <v>7749.7779520000004</v>
      </c>
      <c r="AD6" s="31">
        <f t="shared" si="27"/>
        <v>536.98204800000008</v>
      </c>
      <c r="AE6" s="33">
        <v>8286.76</v>
      </c>
      <c r="AF6" s="37">
        <f t="shared" si="5"/>
        <v>6.8762400125784273E-2</v>
      </c>
      <c r="AG6" s="36">
        <f>[1]PN!$H6</f>
        <v>7753.6036064</v>
      </c>
      <c r="AH6" s="31">
        <f t="shared" si="28"/>
        <v>6800.6857231734402</v>
      </c>
      <c r="AI6" s="31">
        <f t="shared" si="29"/>
        <v>952.91788322655998</v>
      </c>
      <c r="AJ6" s="31">
        <f t="shared" si="30"/>
        <v>6954.9795279999998</v>
      </c>
      <c r="AK6" s="31">
        <f t="shared" si="31"/>
        <v>481.91047200000008</v>
      </c>
      <c r="AL6" s="27">
        <v>7436.89</v>
      </c>
      <c r="AM6" s="37">
        <f t="shared" si="6"/>
        <v>-4.0847278565875778E-2</v>
      </c>
      <c r="AN6" s="36">
        <f>[1]PN!$I6</f>
        <v>7753.6036064</v>
      </c>
      <c r="AO6" s="31">
        <f t="shared" si="32"/>
        <v>6800.6857231734402</v>
      </c>
      <c r="AP6" s="31">
        <f t="shared" si="33"/>
        <v>952.91788322655998</v>
      </c>
      <c r="AQ6" s="31">
        <f t="shared" si="34"/>
        <v>0</v>
      </c>
      <c r="AR6" s="31">
        <f t="shared" si="35"/>
        <v>0</v>
      </c>
      <c r="AS6" s="33"/>
      <c r="AT6" s="37">
        <f t="shared" si="7"/>
        <v>-1</v>
      </c>
      <c r="AU6" s="36">
        <f>[1]PN!$J6</f>
        <v>7753.6036064</v>
      </c>
      <c r="AV6" s="31">
        <f t="shared" si="36"/>
        <v>6800.6857231734402</v>
      </c>
      <c r="AW6" s="31">
        <f t="shared" si="37"/>
        <v>952.91788322655998</v>
      </c>
      <c r="AX6" s="31">
        <f t="shared" si="38"/>
        <v>0</v>
      </c>
      <c r="AY6" s="31">
        <f t="shared" si="39"/>
        <v>0</v>
      </c>
      <c r="AZ6" s="33"/>
      <c r="BA6" s="37">
        <f t="shared" si="8"/>
        <v>-1</v>
      </c>
      <c r="BB6" s="36">
        <f>[1]PN!$K6</f>
        <v>7753.6036064</v>
      </c>
      <c r="BC6" s="31">
        <f t="shared" si="40"/>
        <v>6800.6857231734402</v>
      </c>
      <c r="BD6" s="31">
        <f t="shared" si="41"/>
        <v>952.91788322655998</v>
      </c>
      <c r="BE6" s="31">
        <f t="shared" si="42"/>
        <v>0</v>
      </c>
      <c r="BF6" s="31">
        <f t="shared" si="43"/>
        <v>0</v>
      </c>
      <c r="BG6" s="27"/>
      <c r="BH6" s="37">
        <f t="shared" si="9"/>
        <v>-1</v>
      </c>
      <c r="BI6" s="36">
        <f>[1]PN!$L6</f>
        <v>8339.0918949120005</v>
      </c>
      <c r="BJ6" s="31">
        <f t="shared" si="44"/>
        <v>7314.2175010273158</v>
      </c>
      <c r="BK6" s="31">
        <f t="shared" si="45"/>
        <v>1024.8743938846849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[1]PN!$M6</f>
        <v>8339.0918949120005</v>
      </c>
      <c r="BQ6" s="31">
        <f t="shared" si="48"/>
        <v>7314.2175010273158</v>
      </c>
      <c r="BR6" s="31">
        <f t="shared" si="49"/>
        <v>1024.8743938846849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[1]PN!$N6</f>
        <v>8339.0918949120005</v>
      </c>
      <c r="BX6" s="31">
        <f t="shared" si="52"/>
        <v>7314.2175010273158</v>
      </c>
      <c r="BY6" s="31">
        <f t="shared" si="53"/>
        <v>1024.8743938846849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[1]PN!$O6</f>
        <v>8339.0918949120005</v>
      </c>
      <c r="CE6" s="31">
        <f t="shared" si="56"/>
        <v>7314.2175010273158</v>
      </c>
      <c r="CF6" s="31">
        <f t="shared" si="57"/>
        <v>1024.8743938846849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[1]PN!$P6</f>
        <v>8339.0918949120005</v>
      </c>
      <c r="CL6" s="31">
        <f t="shared" si="60"/>
        <v>7314.2175010273158</v>
      </c>
      <c r="CM6" s="31">
        <f t="shared" si="61"/>
        <v>1024.8743938846849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74460.014006400001</v>
      </c>
      <c r="C7" s="31">
        <f t="shared" si="0"/>
        <v>65308.878285013423</v>
      </c>
      <c r="D7" s="32">
        <f t="shared" si="0"/>
        <v>9151.1357213865595</v>
      </c>
      <c r="E7" s="30">
        <f t="shared" si="15"/>
        <v>24062.907743999996</v>
      </c>
      <c r="F7" s="33">
        <f t="shared" si="15"/>
        <v>21105.576382262396</v>
      </c>
      <c r="G7" s="34">
        <f t="shared" si="15"/>
        <v>2957.3313617375993</v>
      </c>
      <c r="H7" s="31">
        <f t="shared" si="1"/>
        <v>18452.262864000004</v>
      </c>
      <c r="I7" s="33">
        <f t="shared" si="1"/>
        <v>1278.5571360000004</v>
      </c>
      <c r="J7" s="33">
        <f t="shared" si="1"/>
        <v>19730.82</v>
      </c>
      <c r="K7" s="37">
        <f t="shared" si="2"/>
        <v>-0.18003176465987103</v>
      </c>
      <c r="L7" s="36">
        <f>[1]PN!$E7</f>
        <v>6015.7269359999991</v>
      </c>
      <c r="M7" s="31">
        <f t="shared" si="16"/>
        <v>5276.3940955655989</v>
      </c>
      <c r="N7" s="31">
        <f t="shared" si="17"/>
        <v>739.33284043439983</v>
      </c>
      <c r="O7" s="31">
        <f t="shared" si="18"/>
        <v>4618.5787200000004</v>
      </c>
      <c r="P7" s="31">
        <f t="shared" si="19"/>
        <v>320.02128000000005</v>
      </c>
      <c r="Q7" s="33">
        <f>4938.6</f>
        <v>4938.6000000000004</v>
      </c>
      <c r="R7" s="37">
        <f t="shared" si="3"/>
        <v>-0.17905183321306239</v>
      </c>
      <c r="S7" s="36">
        <f>[1]PN!$F7</f>
        <v>6015.7269359999991</v>
      </c>
      <c r="T7" s="31">
        <f t="shared" si="20"/>
        <v>5276.3940955655989</v>
      </c>
      <c r="U7" s="31">
        <f t="shared" si="21"/>
        <v>739.33284043439983</v>
      </c>
      <c r="V7" s="31">
        <f t="shared" si="22"/>
        <v>4199.6652319999994</v>
      </c>
      <c r="W7" s="31">
        <f t="shared" si="23"/>
        <v>290.99476800000002</v>
      </c>
      <c r="X7" s="33">
        <v>4490.66</v>
      </c>
      <c r="Y7" s="37">
        <f t="shared" si="4"/>
        <v>-0.25351332469456345</v>
      </c>
      <c r="Z7" s="36">
        <f>[1]PN!$G7</f>
        <v>6015.7269359999991</v>
      </c>
      <c r="AA7" s="31">
        <f t="shared" si="24"/>
        <v>5276.3940955655989</v>
      </c>
      <c r="AB7" s="31">
        <f t="shared" si="25"/>
        <v>739.33284043439983</v>
      </c>
      <c r="AC7" s="31">
        <f t="shared" si="26"/>
        <v>5011.5029999999997</v>
      </c>
      <c r="AD7" s="31">
        <f t="shared" si="27"/>
        <v>347.24700000000007</v>
      </c>
      <c r="AE7" s="33">
        <v>5358.75</v>
      </c>
      <c r="AF7" s="37">
        <f t="shared" si="5"/>
        <v>-0.10920989981583817</v>
      </c>
      <c r="AG7" s="36">
        <f>[1]PN!$H7</f>
        <v>6015.7269359999991</v>
      </c>
      <c r="AH7" s="31">
        <f t="shared" si="28"/>
        <v>5276.3940955655989</v>
      </c>
      <c r="AI7" s="31">
        <f t="shared" si="29"/>
        <v>739.33284043439983</v>
      </c>
      <c r="AJ7" s="31">
        <f t="shared" si="30"/>
        <v>4622.5159120000008</v>
      </c>
      <c r="AK7" s="31">
        <f t="shared" si="31"/>
        <v>320.2940880000001</v>
      </c>
      <c r="AL7" s="27">
        <v>4942.8100000000004</v>
      </c>
      <c r="AM7" s="37">
        <f t="shared" si="6"/>
        <v>-0.1783520009160201</v>
      </c>
      <c r="AN7" s="36">
        <f>[1]PN!$I7</f>
        <v>6015.7269359999991</v>
      </c>
      <c r="AO7" s="31">
        <f t="shared" si="32"/>
        <v>5276.3940955655989</v>
      </c>
      <c r="AP7" s="31">
        <f t="shared" si="33"/>
        <v>739.33284043439983</v>
      </c>
      <c r="AQ7" s="31">
        <f t="shared" si="34"/>
        <v>0</v>
      </c>
      <c r="AR7" s="31">
        <f t="shared" si="35"/>
        <v>0</v>
      </c>
      <c r="AS7" s="33"/>
      <c r="AT7" s="37">
        <f t="shared" si="7"/>
        <v>-1</v>
      </c>
      <c r="AU7" s="36">
        <f>[1]PN!$J7</f>
        <v>6015.7269359999991</v>
      </c>
      <c r="AV7" s="31">
        <f t="shared" si="36"/>
        <v>5276.3940955655989</v>
      </c>
      <c r="AW7" s="31">
        <f t="shared" si="37"/>
        <v>739.33284043439983</v>
      </c>
      <c r="AX7" s="31">
        <f t="shared" si="38"/>
        <v>0</v>
      </c>
      <c r="AY7" s="31">
        <f t="shared" si="39"/>
        <v>0</v>
      </c>
      <c r="AZ7" s="33"/>
      <c r="BA7" s="37">
        <f t="shared" si="8"/>
        <v>-1</v>
      </c>
      <c r="BB7" s="36">
        <f>[1]PN!$K7</f>
        <v>6015.7269359999991</v>
      </c>
      <c r="BC7" s="31">
        <f t="shared" si="40"/>
        <v>5276.3940955655989</v>
      </c>
      <c r="BD7" s="31">
        <f t="shared" si="41"/>
        <v>739.33284043439983</v>
      </c>
      <c r="BE7" s="31">
        <f t="shared" si="42"/>
        <v>0</v>
      </c>
      <c r="BF7" s="31">
        <f t="shared" si="43"/>
        <v>0</v>
      </c>
      <c r="BG7" s="27"/>
      <c r="BH7" s="37">
        <f t="shared" si="9"/>
        <v>-1</v>
      </c>
      <c r="BI7" s="36">
        <f>[1]PN!$L7</f>
        <v>6469.9850908799999</v>
      </c>
      <c r="BJ7" s="31">
        <f t="shared" si="44"/>
        <v>5674.8239232108481</v>
      </c>
      <c r="BK7" s="31">
        <f t="shared" si="45"/>
        <v>795.16116766915195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[1]PN!$M7</f>
        <v>6469.9850908799999</v>
      </c>
      <c r="BQ7" s="31">
        <f t="shared" si="48"/>
        <v>5674.8239232108481</v>
      </c>
      <c r="BR7" s="31">
        <f t="shared" si="49"/>
        <v>795.16116766915195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[1]PN!$N7</f>
        <v>6469.9850908799999</v>
      </c>
      <c r="BX7" s="31">
        <f t="shared" si="52"/>
        <v>5674.8239232108481</v>
      </c>
      <c r="BY7" s="31">
        <f t="shared" si="53"/>
        <v>795.16116766915195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[1]PN!$O7</f>
        <v>6469.9850908799999</v>
      </c>
      <c r="CE7" s="31">
        <f t="shared" si="56"/>
        <v>5674.8239232108481</v>
      </c>
      <c r="CF7" s="31">
        <f t="shared" si="57"/>
        <v>795.16116766915195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[1]PN!$P7</f>
        <v>6469.9850908799999</v>
      </c>
      <c r="CL7" s="31">
        <f t="shared" si="60"/>
        <v>5674.8239232108481</v>
      </c>
      <c r="CM7" s="31">
        <f t="shared" si="61"/>
        <v>795.16116766915195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61962.011050528003</v>
      </c>
      <c r="C8" s="31">
        <f t="shared" si="0"/>
        <v>54346.87989241811</v>
      </c>
      <c r="D8" s="32">
        <f t="shared" si="0"/>
        <v>7615.1311581098917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935.2</v>
      </c>
      <c r="I8" s="33">
        <f t="shared" si="1"/>
        <v>64.800000000000011</v>
      </c>
      <c r="J8" s="33">
        <f t="shared" si="1"/>
        <v>1000</v>
      </c>
      <c r="K8" s="37" t="str">
        <f t="shared" si="2"/>
        <v/>
      </c>
      <c r="L8" s="36">
        <f>[1]PN!$E8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[1]PN!$F8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[1]PN!$G8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[1]PN!$H8</f>
        <v>0</v>
      </c>
      <c r="AH8" s="31">
        <f t="shared" si="28"/>
        <v>0</v>
      </c>
      <c r="AI8" s="31">
        <f t="shared" si="29"/>
        <v>0</v>
      </c>
      <c r="AJ8" s="31">
        <f t="shared" si="30"/>
        <v>935.2</v>
      </c>
      <c r="AK8" s="31">
        <f t="shared" si="31"/>
        <v>64.800000000000011</v>
      </c>
      <c r="AL8" s="27">
        <v>1000</v>
      </c>
      <c r="AM8" s="37" t="str">
        <f t="shared" si="6"/>
        <v/>
      </c>
      <c r="AN8" s="36">
        <f>[1]PN!$I8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7"/>
        <v/>
      </c>
      <c r="AU8" s="36">
        <f>[1]PN!$J8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33"/>
      <c r="BA8" s="37" t="str">
        <f t="shared" si="8"/>
        <v/>
      </c>
      <c r="BB8" s="36">
        <f>[1]PN!$K8</f>
        <v>61962.011050528003</v>
      </c>
      <c r="BC8" s="31">
        <f t="shared" si="40"/>
        <v>54346.87989241811</v>
      </c>
      <c r="BD8" s="31">
        <f t="shared" si="41"/>
        <v>7615.1311581098917</v>
      </c>
      <c r="BE8" s="31">
        <f t="shared" si="42"/>
        <v>0</v>
      </c>
      <c r="BF8" s="31">
        <f t="shared" si="43"/>
        <v>0</v>
      </c>
      <c r="BG8" s="27"/>
      <c r="BH8" s="37">
        <f t="shared" si="9"/>
        <v>-1</v>
      </c>
      <c r="BI8" s="36">
        <f>[1]PN!$L8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[1]PN!$M8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[1]PN!$N8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[1]PN!$O8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[1]PN!$P8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55431.343760319985</v>
      </c>
      <c r="C9" s="31">
        <f t="shared" si="0"/>
        <v>48618.831612176684</v>
      </c>
      <c r="D9" s="32">
        <f t="shared" si="0"/>
        <v>6812.5121481433289</v>
      </c>
      <c r="E9" s="30">
        <f t="shared" si="15"/>
        <v>17913.4979872</v>
      </c>
      <c r="F9" s="33">
        <f t="shared" si="15"/>
        <v>15711.929084573119</v>
      </c>
      <c r="G9" s="34">
        <f t="shared" si="15"/>
        <v>2201.5689026268801</v>
      </c>
      <c r="H9" s="31">
        <f t="shared" si="1"/>
        <v>25691.103648</v>
      </c>
      <c r="I9" s="33">
        <f t="shared" si="1"/>
        <v>1780.1363520000004</v>
      </c>
      <c r="J9" s="33">
        <f t="shared" si="1"/>
        <v>27471.24</v>
      </c>
      <c r="K9" s="37">
        <f t="shared" si="2"/>
        <v>0.53354972990922467</v>
      </c>
      <c r="L9" s="36">
        <f>[1]PN!$E9</f>
        <v>4478.3744968000001</v>
      </c>
      <c r="M9" s="31">
        <f t="shared" si="16"/>
        <v>3927.9822711432798</v>
      </c>
      <c r="N9" s="31">
        <f t="shared" si="17"/>
        <v>550.39222565672003</v>
      </c>
      <c r="O9" s="31">
        <f t="shared" si="18"/>
        <v>12283.608848</v>
      </c>
      <c r="P9" s="31">
        <f t="shared" si="19"/>
        <v>851.13115200000016</v>
      </c>
      <c r="Q9" s="33">
        <v>13134.74</v>
      </c>
      <c r="R9" s="37">
        <f t="shared" si="3"/>
        <v>1.9329257768383066</v>
      </c>
      <c r="S9" s="36">
        <f>[1]PN!$F9</f>
        <v>4478.3744968000001</v>
      </c>
      <c r="T9" s="31">
        <f t="shared" si="20"/>
        <v>3927.9822711432798</v>
      </c>
      <c r="U9" s="31">
        <f t="shared" si="21"/>
        <v>550.39222565672003</v>
      </c>
      <c r="V9" s="31">
        <f t="shared" si="22"/>
        <v>412.90015199999999</v>
      </c>
      <c r="W9" s="31">
        <f t="shared" si="23"/>
        <v>28.609848000000003</v>
      </c>
      <c r="X9" s="33">
        <f>441.51</f>
        <v>441.51</v>
      </c>
      <c r="Y9" s="37">
        <f t="shared" si="4"/>
        <v>-0.90141288980734446</v>
      </c>
      <c r="Z9" s="36">
        <f>[1]PN!$G9</f>
        <v>4478.3744968000001</v>
      </c>
      <c r="AA9" s="31">
        <f t="shared" si="24"/>
        <v>3927.9822711432798</v>
      </c>
      <c r="AB9" s="31">
        <f t="shared" si="25"/>
        <v>550.39222565672003</v>
      </c>
      <c r="AC9" s="31">
        <f t="shared" si="26"/>
        <v>11357.975944</v>
      </c>
      <c r="AD9" s="31">
        <f t="shared" si="27"/>
        <v>786.99405600000011</v>
      </c>
      <c r="AE9" s="33">
        <f>12144.97</f>
        <v>12144.97</v>
      </c>
      <c r="AF9" s="37">
        <f t="shared" si="5"/>
        <v>1.7119147826243934</v>
      </c>
      <c r="AG9" s="36">
        <f>[1]PN!$H9</f>
        <v>4478.3744968000001</v>
      </c>
      <c r="AH9" s="31">
        <f t="shared" si="28"/>
        <v>3927.9822711432798</v>
      </c>
      <c r="AI9" s="31">
        <f t="shared" si="29"/>
        <v>550.39222565672003</v>
      </c>
      <c r="AJ9" s="31">
        <f t="shared" si="30"/>
        <v>1636.618704</v>
      </c>
      <c r="AK9" s="31">
        <f t="shared" si="31"/>
        <v>113.40129600000002</v>
      </c>
      <c r="AL9" s="27">
        <v>1750.02</v>
      </c>
      <c r="AM9" s="37">
        <f t="shared" si="6"/>
        <v>-0.609228750018457</v>
      </c>
      <c r="AN9" s="36">
        <f>[1]PN!$I9</f>
        <v>4478.3744968000001</v>
      </c>
      <c r="AO9" s="31">
        <f t="shared" si="32"/>
        <v>3927.9822711432798</v>
      </c>
      <c r="AP9" s="31">
        <f t="shared" si="33"/>
        <v>550.39222565672003</v>
      </c>
      <c r="AQ9" s="31">
        <f t="shared" si="34"/>
        <v>0</v>
      </c>
      <c r="AR9" s="31">
        <f t="shared" si="35"/>
        <v>0</v>
      </c>
      <c r="AS9" s="33"/>
      <c r="AT9" s="37">
        <f t="shared" si="7"/>
        <v>-1</v>
      </c>
      <c r="AU9" s="36">
        <f>[1]PN!$J9</f>
        <v>4478.3744968000001</v>
      </c>
      <c r="AV9" s="31">
        <f t="shared" si="36"/>
        <v>3927.9822711432798</v>
      </c>
      <c r="AW9" s="31">
        <f t="shared" si="37"/>
        <v>550.39222565672003</v>
      </c>
      <c r="AX9" s="31">
        <f t="shared" si="38"/>
        <v>0</v>
      </c>
      <c r="AY9" s="31">
        <f t="shared" si="39"/>
        <v>0</v>
      </c>
      <c r="AZ9" s="33"/>
      <c r="BA9" s="37">
        <f t="shared" si="8"/>
        <v>-1</v>
      </c>
      <c r="BB9" s="36">
        <f>[1]PN!$K9</f>
        <v>4478.3744968000001</v>
      </c>
      <c r="BC9" s="31">
        <f t="shared" si="40"/>
        <v>3927.9822711432798</v>
      </c>
      <c r="BD9" s="31">
        <f t="shared" si="41"/>
        <v>550.39222565672003</v>
      </c>
      <c r="BE9" s="31">
        <f t="shared" si="42"/>
        <v>0</v>
      </c>
      <c r="BF9" s="31">
        <f t="shared" si="43"/>
        <v>0</v>
      </c>
      <c r="BG9" s="27"/>
      <c r="BH9" s="37">
        <f t="shared" si="9"/>
        <v>-1</v>
      </c>
      <c r="BI9" s="36">
        <f>[1]PN!$L9</f>
        <v>4816.5444565440002</v>
      </c>
      <c r="BJ9" s="31">
        <f t="shared" si="44"/>
        <v>4224.5911428347426</v>
      </c>
      <c r="BK9" s="31">
        <f t="shared" si="45"/>
        <v>591.9533137092576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[1]PN!$M9</f>
        <v>4816.5444565440002</v>
      </c>
      <c r="BQ9" s="31">
        <f t="shared" si="48"/>
        <v>4224.5911428347426</v>
      </c>
      <c r="BR9" s="31">
        <f t="shared" si="49"/>
        <v>591.9533137092576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[1]PN!$N9</f>
        <v>4816.5444565440002</v>
      </c>
      <c r="BX9" s="31">
        <f t="shared" si="52"/>
        <v>4224.5911428347426</v>
      </c>
      <c r="BY9" s="31">
        <f t="shared" si="53"/>
        <v>591.9533137092576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[1]PN!$O9</f>
        <v>4816.5444565440002</v>
      </c>
      <c r="CE9" s="31">
        <f t="shared" si="56"/>
        <v>4224.5911428347426</v>
      </c>
      <c r="CF9" s="31">
        <f t="shared" si="57"/>
        <v>591.9533137092576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[1]PN!$P9</f>
        <v>4816.5444565440002</v>
      </c>
      <c r="CL9" s="31">
        <f t="shared" si="60"/>
        <v>4224.5911428347426</v>
      </c>
      <c r="CM9" s="31">
        <f t="shared" si="61"/>
        <v>591.9533137092576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63600</v>
      </c>
      <c r="C10" s="31">
        <f t="shared" si="0"/>
        <v>55783.55999999999</v>
      </c>
      <c r="D10" s="32">
        <f t="shared" si="0"/>
        <v>7816.44</v>
      </c>
      <c r="E10" s="30">
        <f t="shared" si="15"/>
        <v>21200</v>
      </c>
      <c r="F10" s="33">
        <f t="shared" si="15"/>
        <v>18594.52</v>
      </c>
      <c r="G10" s="34">
        <f t="shared" si="15"/>
        <v>2605.48</v>
      </c>
      <c r="H10" s="31">
        <f t="shared" si="1"/>
        <v>16452.861376000001</v>
      </c>
      <c r="I10" s="33">
        <f t="shared" si="1"/>
        <v>1140.0186240000003</v>
      </c>
      <c r="J10" s="33">
        <f t="shared" si="1"/>
        <v>17592.88</v>
      </c>
      <c r="K10" s="37">
        <f t="shared" si="2"/>
        <v>-0.17014716981132072</v>
      </c>
      <c r="L10" s="36">
        <f>[1]PN!$E10</f>
        <v>5300</v>
      </c>
      <c r="M10" s="31">
        <f t="shared" si="16"/>
        <v>4648.63</v>
      </c>
      <c r="N10" s="31">
        <f t="shared" si="17"/>
        <v>651.37</v>
      </c>
      <c r="O10" s="31">
        <f t="shared" si="18"/>
        <v>4455.966144</v>
      </c>
      <c r="P10" s="31">
        <f t="shared" si="19"/>
        <v>308.75385600000004</v>
      </c>
      <c r="Q10" s="33">
        <f>3450+1314.72</f>
        <v>4764.72</v>
      </c>
      <c r="R10" s="37">
        <f t="shared" si="3"/>
        <v>-0.10099622641509431</v>
      </c>
      <c r="S10" s="36">
        <f>[1]PN!$F10</f>
        <v>5300</v>
      </c>
      <c r="T10" s="31">
        <f t="shared" si="20"/>
        <v>4648.63</v>
      </c>
      <c r="U10" s="31">
        <f t="shared" si="21"/>
        <v>651.37</v>
      </c>
      <c r="V10" s="31">
        <f t="shared" si="22"/>
        <v>1991.0875600000002</v>
      </c>
      <c r="W10" s="31">
        <f t="shared" si="23"/>
        <v>137.96244000000004</v>
      </c>
      <c r="X10" s="33">
        <f>2129.05</f>
        <v>2129.0500000000002</v>
      </c>
      <c r="Y10" s="37">
        <f t="shared" si="4"/>
        <v>-0.59829245283018873</v>
      </c>
      <c r="Z10" s="36">
        <f>[1]PN!$G10</f>
        <v>5300</v>
      </c>
      <c r="AA10" s="31">
        <f t="shared" si="24"/>
        <v>4648.63</v>
      </c>
      <c r="AB10" s="31">
        <f t="shared" si="25"/>
        <v>651.37</v>
      </c>
      <c r="AC10" s="31">
        <f t="shared" si="26"/>
        <v>5654.2285520000005</v>
      </c>
      <c r="AD10" s="31">
        <f t="shared" si="27"/>
        <v>391.78144800000007</v>
      </c>
      <c r="AE10" s="33">
        <f>3770+2276.01</f>
        <v>6046.01</v>
      </c>
      <c r="AF10" s="37">
        <f t="shared" si="5"/>
        <v>0.14075660377358501</v>
      </c>
      <c r="AG10" s="36">
        <f>[1]PN!$H10</f>
        <v>5300</v>
      </c>
      <c r="AH10" s="31">
        <f t="shared" si="28"/>
        <v>4648.63</v>
      </c>
      <c r="AI10" s="31">
        <f t="shared" si="29"/>
        <v>651.37</v>
      </c>
      <c r="AJ10" s="31">
        <f t="shared" si="30"/>
        <v>4351.5791200000003</v>
      </c>
      <c r="AK10" s="31">
        <f t="shared" si="31"/>
        <v>301.52088000000009</v>
      </c>
      <c r="AL10" s="27">
        <f>3370+1283.1</f>
        <v>4653.1000000000004</v>
      </c>
      <c r="AM10" s="37">
        <f t="shared" si="6"/>
        <v>-0.12205660377358485</v>
      </c>
      <c r="AN10" s="36">
        <f>[1]PN!$I10</f>
        <v>5300</v>
      </c>
      <c r="AO10" s="31">
        <f t="shared" si="32"/>
        <v>4648.63</v>
      </c>
      <c r="AP10" s="31">
        <f t="shared" si="33"/>
        <v>651.37</v>
      </c>
      <c r="AQ10" s="31">
        <f t="shared" si="34"/>
        <v>0</v>
      </c>
      <c r="AR10" s="31">
        <f t="shared" si="35"/>
        <v>0</v>
      </c>
      <c r="AS10" s="33"/>
      <c r="AT10" s="37">
        <f t="shared" si="7"/>
        <v>-1</v>
      </c>
      <c r="AU10" s="36">
        <f>[1]PN!$J10</f>
        <v>5300</v>
      </c>
      <c r="AV10" s="31">
        <f t="shared" si="36"/>
        <v>4648.63</v>
      </c>
      <c r="AW10" s="31">
        <f t="shared" si="37"/>
        <v>651.37</v>
      </c>
      <c r="AX10" s="31">
        <f t="shared" si="38"/>
        <v>0</v>
      </c>
      <c r="AY10" s="31">
        <f t="shared" si="39"/>
        <v>0</v>
      </c>
      <c r="AZ10" s="33"/>
      <c r="BA10" s="37">
        <f t="shared" si="8"/>
        <v>-1</v>
      </c>
      <c r="BB10" s="36">
        <f>[1]PN!$K10</f>
        <v>5300</v>
      </c>
      <c r="BC10" s="31">
        <f t="shared" si="40"/>
        <v>4648.63</v>
      </c>
      <c r="BD10" s="31">
        <f t="shared" si="41"/>
        <v>651.37</v>
      </c>
      <c r="BE10" s="31">
        <f t="shared" si="42"/>
        <v>0</v>
      </c>
      <c r="BF10" s="31">
        <f t="shared" si="43"/>
        <v>0</v>
      </c>
      <c r="BG10" s="27"/>
      <c r="BH10" s="37">
        <f t="shared" si="9"/>
        <v>-1</v>
      </c>
      <c r="BI10" s="36">
        <f>[1]PN!$L10</f>
        <v>5300</v>
      </c>
      <c r="BJ10" s="31">
        <f t="shared" si="44"/>
        <v>4648.63</v>
      </c>
      <c r="BK10" s="31">
        <f t="shared" si="45"/>
        <v>651.37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[1]PN!$M10</f>
        <v>5300</v>
      </c>
      <c r="BQ10" s="31">
        <f t="shared" si="48"/>
        <v>4648.63</v>
      </c>
      <c r="BR10" s="31">
        <f t="shared" si="49"/>
        <v>651.37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[1]PN!$N10</f>
        <v>5300</v>
      </c>
      <c r="BX10" s="31">
        <f t="shared" si="52"/>
        <v>4648.63</v>
      </c>
      <c r="BY10" s="31">
        <f t="shared" si="53"/>
        <v>651.37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[1]PN!$O10</f>
        <v>5300</v>
      </c>
      <c r="CE10" s="31">
        <f t="shared" si="56"/>
        <v>4648.63</v>
      </c>
      <c r="CF10" s="31">
        <f t="shared" si="57"/>
        <v>651.37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[1]PN!$P10</f>
        <v>5300</v>
      </c>
      <c r="CL10" s="31">
        <f t="shared" si="60"/>
        <v>4648.63</v>
      </c>
      <c r="CM10" s="31">
        <f t="shared" si="61"/>
        <v>651.37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2"/>
        <v/>
      </c>
      <c r="L11" s="36">
        <f>[1]PN!$E11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[1]PN!$F11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4"/>
        <v/>
      </c>
      <c r="Z11" s="36">
        <f>[1]PN!$G11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33"/>
      <c r="AF11" s="37" t="str">
        <f t="shared" si="5"/>
        <v/>
      </c>
      <c r="AG11" s="36">
        <f>[1]PN!$H11</f>
        <v>0</v>
      </c>
      <c r="AH11" s="31">
        <f t="shared" si="28"/>
        <v>0</v>
      </c>
      <c r="AI11" s="31">
        <f t="shared" si="29"/>
        <v>0</v>
      </c>
      <c r="AJ11" s="31">
        <f t="shared" si="30"/>
        <v>0</v>
      </c>
      <c r="AK11" s="31">
        <f t="shared" si="31"/>
        <v>0</v>
      </c>
      <c r="AL11" s="27"/>
      <c r="AM11" s="37" t="str">
        <f t="shared" si="6"/>
        <v/>
      </c>
      <c r="AN11" s="36">
        <f>[1]PN!$I11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7"/>
        <v/>
      </c>
      <c r="AU11" s="36">
        <f>[1]PN!$J11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33"/>
      <c r="BA11" s="37" t="str">
        <f t="shared" si="8"/>
        <v/>
      </c>
      <c r="BB11" s="36">
        <f>[1]PN!$K11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27"/>
      <c r="BH11" s="37" t="str">
        <f t="shared" si="9"/>
        <v/>
      </c>
      <c r="BI11" s="36">
        <f>[1]PN!$L11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[1]PN!$M11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[1]PN!$N11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[1]PN!$O11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[1]PN!$P11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14170.552536000003</v>
      </c>
      <c r="I12" s="33">
        <f t="shared" si="1"/>
        <v>981.87746400000026</v>
      </c>
      <c r="J12" s="33">
        <f t="shared" si="1"/>
        <v>15152.43</v>
      </c>
      <c r="K12" s="37">
        <f t="shared" si="2"/>
        <v>0.22000241545893728</v>
      </c>
      <c r="L12" s="36">
        <f>[1]PN!$E12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2707.3104800000001</v>
      </c>
      <c r="P12" s="31">
        <f t="shared" si="19"/>
        <v>187.58952000000005</v>
      </c>
      <c r="Q12" s="33">
        <f>2894.9</f>
        <v>2894.9</v>
      </c>
      <c r="R12" s="37">
        <f t="shared" si="3"/>
        <v>-6.766505636070852E-2</v>
      </c>
      <c r="S12" s="36">
        <f>[1]PN!$F12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5659.8584560000008</v>
      </c>
      <c r="W12" s="31">
        <f t="shared" si="23"/>
        <v>392.1715440000001</v>
      </c>
      <c r="X12" s="33">
        <f>2639+3413.03</f>
        <v>6052.0300000000007</v>
      </c>
      <c r="Y12" s="37">
        <f t="shared" si="4"/>
        <v>0.9491239935587763</v>
      </c>
      <c r="Z12" s="36">
        <f>[1]PN!$G12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2901.6918000000001</v>
      </c>
      <c r="AD12" s="31">
        <f t="shared" si="27"/>
        <v>201.05820000000003</v>
      </c>
      <c r="AE12" s="33">
        <f>3102.75</f>
        <v>3102.75</v>
      </c>
      <c r="AF12" s="37">
        <f t="shared" si="5"/>
        <v>-7.246376811593791E-4</v>
      </c>
      <c r="AG12" s="36">
        <f>[1]PN!$H12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2901.6918000000001</v>
      </c>
      <c r="AK12" s="31">
        <f t="shared" si="31"/>
        <v>201.05820000000003</v>
      </c>
      <c r="AL12" s="27">
        <f>3102.75</f>
        <v>3102.75</v>
      </c>
      <c r="AM12" s="37">
        <f t="shared" si="6"/>
        <v>-7.246376811593791E-4</v>
      </c>
      <c r="AN12" s="36">
        <f>[1]PN!$I12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[1]PN!$J12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33"/>
      <c r="BA12" s="37">
        <f t="shared" si="8"/>
        <v>-1</v>
      </c>
      <c r="BB12" s="36">
        <f>[1]PN!$K12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27"/>
      <c r="BH12" s="37">
        <f t="shared" si="9"/>
        <v>-1</v>
      </c>
      <c r="BI12" s="36">
        <f>[1]PN!$L12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[1]PN!$M12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[1]PN!$N12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[1]PN!$O12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[1]PN!$P12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4800</v>
      </c>
      <c r="C13" s="31">
        <f t="shared" si="0"/>
        <v>4210.0800000000008</v>
      </c>
      <c r="D13" s="32">
        <f t="shared" si="0"/>
        <v>589.91999999999985</v>
      </c>
      <c r="E13" s="30">
        <f t="shared" si="15"/>
        <v>1600</v>
      </c>
      <c r="F13" s="33">
        <f t="shared" si="15"/>
        <v>1403.3600000000001</v>
      </c>
      <c r="G13" s="34">
        <f t="shared" si="15"/>
        <v>196.64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>
        <f t="shared" si="2"/>
        <v>-1</v>
      </c>
      <c r="L13" s="36">
        <f>[1]PN!$E13</f>
        <v>400</v>
      </c>
      <c r="M13" s="31">
        <f t="shared" si="16"/>
        <v>350.84000000000003</v>
      </c>
      <c r="N13" s="31">
        <f t="shared" si="17"/>
        <v>49.16</v>
      </c>
      <c r="O13" s="31">
        <f t="shared" si="18"/>
        <v>0</v>
      </c>
      <c r="P13" s="31">
        <f t="shared" si="19"/>
        <v>0</v>
      </c>
      <c r="Q13" s="33"/>
      <c r="R13" s="37">
        <f t="shared" si="3"/>
        <v>-1</v>
      </c>
      <c r="S13" s="36">
        <f>[1]PN!$F13</f>
        <v>400</v>
      </c>
      <c r="T13" s="31">
        <f t="shared" si="20"/>
        <v>350.84000000000003</v>
      </c>
      <c r="U13" s="31">
        <f t="shared" si="21"/>
        <v>49.16</v>
      </c>
      <c r="V13" s="31">
        <f t="shared" si="22"/>
        <v>0</v>
      </c>
      <c r="W13" s="31">
        <f t="shared" si="23"/>
        <v>0</v>
      </c>
      <c r="X13" s="33"/>
      <c r="Y13" s="37">
        <f t="shared" si="4"/>
        <v>-1</v>
      </c>
      <c r="Z13" s="36">
        <f>[1]PN!$G13</f>
        <v>400</v>
      </c>
      <c r="AA13" s="31">
        <f t="shared" si="24"/>
        <v>350.84000000000003</v>
      </c>
      <c r="AB13" s="31">
        <f t="shared" si="25"/>
        <v>49.16</v>
      </c>
      <c r="AC13" s="31">
        <f t="shared" si="26"/>
        <v>0</v>
      </c>
      <c r="AD13" s="31">
        <f t="shared" si="27"/>
        <v>0</v>
      </c>
      <c r="AE13" s="33"/>
      <c r="AF13" s="37">
        <f t="shared" si="5"/>
        <v>-1</v>
      </c>
      <c r="AG13" s="36">
        <f>[1]PN!$H13</f>
        <v>400</v>
      </c>
      <c r="AH13" s="31">
        <f t="shared" si="28"/>
        <v>350.84000000000003</v>
      </c>
      <c r="AI13" s="31">
        <f t="shared" si="29"/>
        <v>49.16</v>
      </c>
      <c r="AJ13" s="31">
        <f t="shared" si="30"/>
        <v>0</v>
      </c>
      <c r="AK13" s="31">
        <f t="shared" si="31"/>
        <v>0</v>
      </c>
      <c r="AL13" s="27"/>
      <c r="AM13" s="37">
        <f t="shared" si="6"/>
        <v>-1</v>
      </c>
      <c r="AN13" s="36">
        <f>[1]PN!$I13</f>
        <v>400</v>
      </c>
      <c r="AO13" s="31">
        <f t="shared" si="32"/>
        <v>350.84000000000003</v>
      </c>
      <c r="AP13" s="31">
        <f t="shared" si="33"/>
        <v>49.16</v>
      </c>
      <c r="AQ13" s="31">
        <f t="shared" si="34"/>
        <v>0</v>
      </c>
      <c r="AR13" s="31">
        <f t="shared" si="35"/>
        <v>0</v>
      </c>
      <c r="AS13" s="33"/>
      <c r="AT13" s="37">
        <f t="shared" si="7"/>
        <v>-1</v>
      </c>
      <c r="AU13" s="36">
        <f>[1]PN!$J13</f>
        <v>400</v>
      </c>
      <c r="AV13" s="31">
        <f t="shared" si="36"/>
        <v>350.84000000000003</v>
      </c>
      <c r="AW13" s="31">
        <f t="shared" si="37"/>
        <v>49.16</v>
      </c>
      <c r="AX13" s="31">
        <f t="shared" si="38"/>
        <v>0</v>
      </c>
      <c r="AY13" s="31">
        <f t="shared" si="39"/>
        <v>0</v>
      </c>
      <c r="AZ13" s="33"/>
      <c r="BA13" s="37">
        <f t="shared" si="8"/>
        <v>-1</v>
      </c>
      <c r="BB13" s="36">
        <f>[1]PN!$K13</f>
        <v>400</v>
      </c>
      <c r="BC13" s="31">
        <f t="shared" si="40"/>
        <v>350.84000000000003</v>
      </c>
      <c r="BD13" s="31">
        <f t="shared" si="41"/>
        <v>49.16</v>
      </c>
      <c r="BE13" s="31">
        <f t="shared" si="42"/>
        <v>0</v>
      </c>
      <c r="BF13" s="31">
        <f t="shared" si="43"/>
        <v>0</v>
      </c>
      <c r="BG13" s="27"/>
      <c r="BH13" s="37">
        <f t="shared" si="9"/>
        <v>-1</v>
      </c>
      <c r="BI13" s="36">
        <f>[1]PN!$L13</f>
        <v>400</v>
      </c>
      <c r="BJ13" s="31">
        <f t="shared" si="44"/>
        <v>350.84000000000003</v>
      </c>
      <c r="BK13" s="31">
        <f t="shared" si="45"/>
        <v>49.16</v>
      </c>
      <c r="BL13" s="31">
        <f t="shared" si="46"/>
        <v>0</v>
      </c>
      <c r="BM13" s="31">
        <f t="shared" si="47"/>
        <v>0</v>
      </c>
      <c r="BN13" s="33"/>
      <c r="BO13" s="37">
        <f t="shared" si="10"/>
        <v>-1</v>
      </c>
      <c r="BP13" s="36">
        <f>[1]PN!$M13</f>
        <v>400</v>
      </c>
      <c r="BQ13" s="31">
        <f t="shared" si="48"/>
        <v>350.84000000000003</v>
      </c>
      <c r="BR13" s="31">
        <f t="shared" si="49"/>
        <v>49.16</v>
      </c>
      <c r="BS13" s="31">
        <f t="shared" si="50"/>
        <v>0</v>
      </c>
      <c r="BT13" s="31">
        <f t="shared" si="51"/>
        <v>0</v>
      </c>
      <c r="BU13" s="33"/>
      <c r="BV13" s="37">
        <f t="shared" si="11"/>
        <v>-1</v>
      </c>
      <c r="BW13" s="36">
        <f>[1]PN!$N13</f>
        <v>400</v>
      </c>
      <c r="BX13" s="31">
        <f t="shared" si="52"/>
        <v>350.84000000000003</v>
      </c>
      <c r="BY13" s="31">
        <f t="shared" si="53"/>
        <v>49.16</v>
      </c>
      <c r="BZ13" s="31">
        <f t="shared" si="54"/>
        <v>0</v>
      </c>
      <c r="CA13" s="31">
        <f t="shared" si="55"/>
        <v>0</v>
      </c>
      <c r="CB13" s="33"/>
      <c r="CC13" s="37">
        <f t="shared" si="12"/>
        <v>-1</v>
      </c>
      <c r="CD13" s="36">
        <f>[1]PN!$O13</f>
        <v>400</v>
      </c>
      <c r="CE13" s="31">
        <f t="shared" si="56"/>
        <v>350.84000000000003</v>
      </c>
      <c r="CF13" s="31">
        <f t="shared" si="57"/>
        <v>49.16</v>
      </c>
      <c r="CG13" s="31">
        <f t="shared" si="58"/>
        <v>0</v>
      </c>
      <c r="CH13" s="31">
        <f t="shared" si="59"/>
        <v>0</v>
      </c>
      <c r="CI13" s="33"/>
      <c r="CJ13" s="37">
        <f t="shared" si="13"/>
        <v>-1</v>
      </c>
      <c r="CK13" s="36">
        <f>[1]PN!$P13</f>
        <v>400</v>
      </c>
      <c r="CL13" s="31">
        <f t="shared" si="60"/>
        <v>350.84000000000003</v>
      </c>
      <c r="CM13" s="31">
        <f t="shared" si="61"/>
        <v>49.16</v>
      </c>
      <c r="CN13" s="31">
        <f t="shared" si="62"/>
        <v>0</v>
      </c>
      <c r="CO13" s="31">
        <f t="shared" si="63"/>
        <v>0</v>
      </c>
      <c r="CP13" s="33"/>
      <c r="CQ13" s="37">
        <f t="shared" si="14"/>
        <v>-1</v>
      </c>
    </row>
    <row r="14" spans="1:99" s="26" customFormat="1" ht="16" customHeight="1" x14ac:dyDescent="0.2">
      <c r="A14" s="39" t="s">
        <v>38</v>
      </c>
      <c r="B14" s="30">
        <f t="shared" si="0"/>
        <v>30970.92</v>
      </c>
      <c r="C14" s="31">
        <f t="shared" si="0"/>
        <v>27164.593932</v>
      </c>
      <c r="D14" s="32">
        <f t="shared" si="0"/>
        <v>3806.3260679999999</v>
      </c>
      <c r="E14" s="30">
        <f t="shared" si="15"/>
        <v>10323.64</v>
      </c>
      <c r="F14" s="33">
        <f t="shared" si="15"/>
        <v>9054.8646439999993</v>
      </c>
      <c r="G14" s="34">
        <f t="shared" si="15"/>
        <v>1268.7753559999999</v>
      </c>
      <c r="H14" s="31">
        <f t="shared" si="1"/>
        <v>13312.609407999998</v>
      </c>
      <c r="I14" s="33">
        <f t="shared" si="1"/>
        <v>922.43059199999993</v>
      </c>
      <c r="J14" s="33">
        <f t="shared" si="1"/>
        <v>14235.04</v>
      </c>
      <c r="K14" s="37">
        <f t="shared" si="2"/>
        <v>0.37887799264600486</v>
      </c>
      <c r="L14" s="36">
        <f>[1]PN!$E14</f>
        <v>2580.91</v>
      </c>
      <c r="M14" s="31">
        <f t="shared" si="16"/>
        <v>2263.7161609999998</v>
      </c>
      <c r="N14" s="31">
        <f t="shared" si="17"/>
        <v>317.19383899999997</v>
      </c>
      <c r="O14" s="31">
        <f t="shared" si="18"/>
        <v>2376.1842160000001</v>
      </c>
      <c r="P14" s="31">
        <f t="shared" si="19"/>
        <v>164.64578400000002</v>
      </c>
      <c r="Q14" s="33">
        <f>2540.83</f>
        <v>2540.83</v>
      </c>
      <c r="R14" s="37">
        <f t="shared" si="3"/>
        <v>-1.5529406294679027E-2</v>
      </c>
      <c r="S14" s="36">
        <f>[1]PN!$F14</f>
        <v>2580.91</v>
      </c>
      <c r="T14" s="31">
        <f t="shared" si="20"/>
        <v>2263.7161609999998</v>
      </c>
      <c r="U14" s="31">
        <f t="shared" si="21"/>
        <v>317.19383899999997</v>
      </c>
      <c r="V14" s="31">
        <f t="shared" si="22"/>
        <v>7217.3966479999999</v>
      </c>
      <c r="W14" s="31">
        <f t="shared" si="23"/>
        <v>500.09335200000004</v>
      </c>
      <c r="X14" s="33">
        <f>7717.49</f>
        <v>7717.49</v>
      </c>
      <c r="Y14" s="37">
        <f t="shared" si="4"/>
        <v>1.990220503620816</v>
      </c>
      <c r="Z14" s="36">
        <f>[1]PN!$G14</f>
        <v>2580.91</v>
      </c>
      <c r="AA14" s="31">
        <f t="shared" si="24"/>
        <v>2263.7161609999998</v>
      </c>
      <c r="AB14" s="31">
        <f t="shared" si="25"/>
        <v>317.19383899999997</v>
      </c>
      <c r="AC14" s="31">
        <f t="shared" si="26"/>
        <v>1866.0606719999998</v>
      </c>
      <c r="AD14" s="31">
        <f t="shared" si="27"/>
        <v>129.299328</v>
      </c>
      <c r="AE14" s="33">
        <f>1995.36</f>
        <v>1995.36</v>
      </c>
      <c r="AF14" s="37">
        <f t="shared" si="5"/>
        <v>-0.22687734171280671</v>
      </c>
      <c r="AG14" s="36">
        <f>[1]PN!$H14</f>
        <v>2580.91</v>
      </c>
      <c r="AH14" s="31">
        <f t="shared" si="28"/>
        <v>2263.7161609999998</v>
      </c>
      <c r="AI14" s="31">
        <f t="shared" si="29"/>
        <v>317.19383899999997</v>
      </c>
      <c r="AJ14" s="31">
        <f t="shared" si="30"/>
        <v>1852.9678719999999</v>
      </c>
      <c r="AK14" s="31">
        <f t="shared" si="31"/>
        <v>128.39212800000001</v>
      </c>
      <c r="AL14" s="27">
        <v>1981.36</v>
      </c>
      <c r="AM14" s="37">
        <f t="shared" si="6"/>
        <v>-0.23230178502931131</v>
      </c>
      <c r="AN14" s="36">
        <f>[1]PN!$I14</f>
        <v>2580.91</v>
      </c>
      <c r="AO14" s="31">
        <f t="shared" si="32"/>
        <v>2263.7161609999998</v>
      </c>
      <c r="AP14" s="31">
        <f t="shared" si="33"/>
        <v>317.19383899999997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[1]PN!$J14</f>
        <v>2580.91</v>
      </c>
      <c r="AV14" s="31">
        <f t="shared" si="36"/>
        <v>2263.7161609999998</v>
      </c>
      <c r="AW14" s="31">
        <f t="shared" si="37"/>
        <v>317.19383899999997</v>
      </c>
      <c r="AX14" s="31">
        <f t="shared" si="38"/>
        <v>0</v>
      </c>
      <c r="AY14" s="31">
        <f t="shared" si="39"/>
        <v>0</v>
      </c>
      <c r="AZ14" s="33"/>
      <c r="BA14" s="37">
        <f t="shared" si="8"/>
        <v>-1</v>
      </c>
      <c r="BB14" s="36">
        <f>[1]PN!$K14</f>
        <v>2580.91</v>
      </c>
      <c r="BC14" s="31">
        <f t="shared" si="40"/>
        <v>2263.7161609999998</v>
      </c>
      <c r="BD14" s="31">
        <f t="shared" si="41"/>
        <v>317.19383899999997</v>
      </c>
      <c r="BE14" s="31">
        <f t="shared" si="42"/>
        <v>0</v>
      </c>
      <c r="BF14" s="31">
        <f t="shared" si="43"/>
        <v>0</v>
      </c>
      <c r="BG14" s="27"/>
      <c r="BH14" s="37">
        <f t="shared" si="9"/>
        <v>-1</v>
      </c>
      <c r="BI14" s="36">
        <f>[1]PN!$L14</f>
        <v>2580.91</v>
      </c>
      <c r="BJ14" s="31">
        <f t="shared" si="44"/>
        <v>2263.7161609999998</v>
      </c>
      <c r="BK14" s="31">
        <f t="shared" si="45"/>
        <v>317.19383899999997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[1]PN!$M14</f>
        <v>2580.91</v>
      </c>
      <c r="BQ14" s="31">
        <f t="shared" si="48"/>
        <v>2263.7161609999998</v>
      </c>
      <c r="BR14" s="31">
        <f t="shared" si="49"/>
        <v>317.19383899999997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[1]PN!$N14</f>
        <v>2580.91</v>
      </c>
      <c r="BX14" s="31">
        <f t="shared" si="52"/>
        <v>2263.7161609999998</v>
      </c>
      <c r="BY14" s="31">
        <f t="shared" si="53"/>
        <v>317.19383899999997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[1]PN!$O14</f>
        <v>2580.91</v>
      </c>
      <c r="CE14" s="31">
        <f t="shared" si="56"/>
        <v>2263.7161609999998</v>
      </c>
      <c r="CF14" s="31">
        <f t="shared" si="57"/>
        <v>317.19383899999997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[1]PN!$P14</f>
        <v>2580.91</v>
      </c>
      <c r="CL14" s="31">
        <f t="shared" si="60"/>
        <v>2263.7161609999998</v>
      </c>
      <c r="CM14" s="31">
        <f t="shared" si="61"/>
        <v>317.19383899999997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67268.5</v>
      </c>
      <c r="C15" s="31">
        <f t="shared" si="0"/>
        <v>59001.20135000001</v>
      </c>
      <c r="D15" s="32">
        <f t="shared" si="0"/>
        <v>8267.2986499999988</v>
      </c>
      <c r="E15" s="30">
        <f t="shared" si="15"/>
        <v>22278</v>
      </c>
      <c r="F15" s="33">
        <f t="shared" si="15"/>
        <v>19540.033800000001</v>
      </c>
      <c r="G15" s="34">
        <f t="shared" si="15"/>
        <v>2737.9661999999998</v>
      </c>
      <c r="H15" s="31">
        <f t="shared" si="1"/>
        <v>24517.848488000003</v>
      </c>
      <c r="I15" s="33">
        <f t="shared" si="1"/>
        <v>1698.8415120000004</v>
      </c>
      <c r="J15" s="33">
        <f t="shared" si="1"/>
        <v>26216.690000000002</v>
      </c>
      <c r="K15" s="37">
        <f t="shared" si="2"/>
        <v>0.17679728880509926</v>
      </c>
      <c r="L15" s="36">
        <f>[1]PN!$E15</f>
        <v>5569.5</v>
      </c>
      <c r="M15" s="40">
        <f t="shared" si="16"/>
        <v>4885.0084500000003</v>
      </c>
      <c r="N15" s="40">
        <f t="shared" si="17"/>
        <v>684.49154999999996</v>
      </c>
      <c r="O15" s="40">
        <f t="shared" si="18"/>
        <v>4669.9305519999998</v>
      </c>
      <c r="P15" s="40">
        <f t="shared" si="19"/>
        <v>323.57944800000007</v>
      </c>
      <c r="Q15" s="115">
        <f>382.75+8242.32-(5.88+3625.68)</f>
        <v>4993.51</v>
      </c>
      <c r="R15" s="37">
        <f t="shared" si="3"/>
        <v>-0.10341861926564322</v>
      </c>
      <c r="S15" s="36">
        <f>[1]PN!$F15</f>
        <v>5569.5</v>
      </c>
      <c r="T15" s="40">
        <f t="shared" si="20"/>
        <v>4885.0084500000003</v>
      </c>
      <c r="U15" s="40">
        <f t="shared" si="21"/>
        <v>684.49154999999996</v>
      </c>
      <c r="V15" s="40">
        <f t="shared" si="22"/>
        <v>4652.5264800000014</v>
      </c>
      <c r="W15" s="40">
        <f t="shared" si="23"/>
        <v>322.37352000000016</v>
      </c>
      <c r="X15" s="115">
        <f>387.19+48624.94-(13185.58+30851.65)</f>
        <v>4974.9000000000015</v>
      </c>
      <c r="Y15" s="37">
        <f t="shared" si="4"/>
        <v>-0.10676003231887932</v>
      </c>
      <c r="Z15" s="36">
        <f>[1]PN!$G15</f>
        <v>5569.5</v>
      </c>
      <c r="AA15" s="40">
        <f t="shared" si="24"/>
        <v>4885.0084500000003</v>
      </c>
      <c r="AB15" s="40">
        <f t="shared" si="25"/>
        <v>684.49154999999996</v>
      </c>
      <c r="AC15" s="40">
        <f t="shared" si="26"/>
        <v>6970.1671759999999</v>
      </c>
      <c r="AD15" s="40">
        <f t="shared" si="27"/>
        <v>482.96282400000007</v>
      </c>
      <c r="AE15" s="115">
        <f>382.75+7070.38</f>
        <v>7453.13</v>
      </c>
      <c r="AF15" s="37">
        <f t="shared" si="5"/>
        <v>0.33820450668821267</v>
      </c>
      <c r="AG15" s="36">
        <f>[1]PN!$H15</f>
        <v>5569.5</v>
      </c>
      <c r="AH15" s="40">
        <f t="shared" si="28"/>
        <v>4885.0084500000003</v>
      </c>
      <c r="AI15" s="40">
        <f t="shared" si="29"/>
        <v>684.49154999999996</v>
      </c>
      <c r="AJ15" s="40">
        <f t="shared" si="30"/>
        <v>8225.2242800000004</v>
      </c>
      <c r="AK15" s="40">
        <f t="shared" si="31"/>
        <v>569.92572000000007</v>
      </c>
      <c r="AL15" s="116">
        <f>385.58+8409.57</f>
        <v>8795.15</v>
      </c>
      <c r="AM15" s="37">
        <f t="shared" si="6"/>
        <v>0.57916330011670691</v>
      </c>
      <c r="AN15" s="36">
        <f>[1]PN!$I15</f>
        <v>5569.5</v>
      </c>
      <c r="AO15" s="40">
        <f t="shared" si="32"/>
        <v>4885.0084500000003</v>
      </c>
      <c r="AP15" s="40">
        <f t="shared" si="33"/>
        <v>684.49154999999996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[1]PN!$J15</f>
        <v>5569.5</v>
      </c>
      <c r="AV15" s="40">
        <f t="shared" si="36"/>
        <v>4885.0084500000003</v>
      </c>
      <c r="AW15" s="40">
        <f t="shared" si="37"/>
        <v>684.49154999999996</v>
      </c>
      <c r="AX15" s="40">
        <f t="shared" si="38"/>
        <v>0</v>
      </c>
      <c r="AY15" s="40">
        <f t="shared" si="39"/>
        <v>0</v>
      </c>
      <c r="AZ15" s="115"/>
      <c r="BA15" s="37">
        <f t="shared" si="8"/>
        <v>-1</v>
      </c>
      <c r="BB15" s="36">
        <f>[1]PN!$K15</f>
        <v>6004</v>
      </c>
      <c r="BC15" s="40">
        <f t="shared" si="40"/>
        <v>5266.1084000000001</v>
      </c>
      <c r="BD15" s="40">
        <f t="shared" si="41"/>
        <v>737.89159999999993</v>
      </c>
      <c r="BE15" s="40">
        <f t="shared" si="42"/>
        <v>0</v>
      </c>
      <c r="BF15" s="40">
        <f t="shared" si="43"/>
        <v>0</v>
      </c>
      <c r="BG15" s="116"/>
      <c r="BH15" s="37">
        <f t="shared" si="9"/>
        <v>-1</v>
      </c>
      <c r="BI15" s="36">
        <f>[1]PN!$L15</f>
        <v>5569.5</v>
      </c>
      <c r="BJ15" s="40">
        <f t="shared" si="44"/>
        <v>4885.0084500000003</v>
      </c>
      <c r="BK15" s="40">
        <f t="shared" si="45"/>
        <v>684.49154999999996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[1]PN!$M15</f>
        <v>5569.5</v>
      </c>
      <c r="BQ15" s="40">
        <f t="shared" si="48"/>
        <v>4885.0084500000003</v>
      </c>
      <c r="BR15" s="40">
        <f t="shared" si="49"/>
        <v>684.49154999999996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[1]PN!$N15</f>
        <v>5569.5</v>
      </c>
      <c r="BX15" s="40">
        <f t="shared" si="52"/>
        <v>4885.0084500000003</v>
      </c>
      <c r="BY15" s="40">
        <f t="shared" si="53"/>
        <v>684.49154999999996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[1]PN!$O15</f>
        <v>5569.5</v>
      </c>
      <c r="CE15" s="40">
        <f t="shared" si="56"/>
        <v>4885.0084500000003</v>
      </c>
      <c r="CF15" s="40">
        <f t="shared" si="57"/>
        <v>684.49154999999996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[1]PN!$P15</f>
        <v>5569.5</v>
      </c>
      <c r="CL15" s="40">
        <f t="shared" si="60"/>
        <v>4885.0084500000003</v>
      </c>
      <c r="CM15" s="40">
        <f t="shared" si="61"/>
        <v>684.49154999999996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49999.999999999993</v>
      </c>
      <c r="C16" s="31">
        <f t="shared" si="0"/>
        <v>43855.000000000007</v>
      </c>
      <c r="D16" s="32">
        <f t="shared" si="0"/>
        <v>6144.9999999999991</v>
      </c>
      <c r="E16" s="30">
        <f t="shared" si="15"/>
        <v>16666.666666666668</v>
      </c>
      <c r="F16" s="33">
        <f t="shared" si="15"/>
        <v>14618.333333333334</v>
      </c>
      <c r="G16" s="34">
        <f t="shared" si="15"/>
        <v>2048.3333333333335</v>
      </c>
      <c r="H16" s="31">
        <f t="shared" si="1"/>
        <v>16056.299168000001</v>
      </c>
      <c r="I16" s="33">
        <f t="shared" si="1"/>
        <v>1112.5408320000001</v>
      </c>
      <c r="J16" s="33">
        <f t="shared" si="1"/>
        <v>17168.84</v>
      </c>
      <c r="K16" s="37">
        <f t="shared" si="2"/>
        <v>3.0130400000000002E-2</v>
      </c>
      <c r="L16" s="36">
        <f>[1]PN!$E16</f>
        <v>4166.666666666667</v>
      </c>
      <c r="M16" s="31">
        <f t="shared" si="16"/>
        <v>3654.5833333333335</v>
      </c>
      <c r="N16" s="31">
        <f t="shared" si="17"/>
        <v>512.08333333333337</v>
      </c>
      <c r="O16" s="31">
        <f t="shared" si="18"/>
        <v>4052.146784</v>
      </c>
      <c r="P16" s="31">
        <f t="shared" si="19"/>
        <v>280.77321600000005</v>
      </c>
      <c r="Q16" s="33">
        <f>4332.92</f>
        <v>4332.92</v>
      </c>
      <c r="R16" s="37">
        <f t="shared" si="3"/>
        <v>3.9900799999999848E-2</v>
      </c>
      <c r="S16" s="36">
        <f>[1]PN!$F16</f>
        <v>4166.666666666667</v>
      </c>
      <c r="T16" s="31">
        <f t="shared" si="20"/>
        <v>3654.5833333333335</v>
      </c>
      <c r="U16" s="31">
        <f t="shared" si="21"/>
        <v>512.08333333333337</v>
      </c>
      <c r="V16" s="31">
        <f t="shared" si="22"/>
        <v>4039.016576</v>
      </c>
      <c r="W16" s="31">
        <f t="shared" si="23"/>
        <v>279.86342400000007</v>
      </c>
      <c r="X16" s="33">
        <f>4318.88</f>
        <v>4318.88</v>
      </c>
      <c r="Y16" s="37">
        <f t="shared" si="4"/>
        <v>3.6531199999999986E-2</v>
      </c>
      <c r="Z16" s="36">
        <f>[1]PN!$G16</f>
        <v>4166.666666666667</v>
      </c>
      <c r="AA16" s="31">
        <f t="shared" si="24"/>
        <v>3654.5833333333335</v>
      </c>
      <c r="AB16" s="31">
        <f t="shared" si="25"/>
        <v>512.08333333333337</v>
      </c>
      <c r="AC16" s="31">
        <f t="shared" si="26"/>
        <v>3684.78152</v>
      </c>
      <c r="AD16" s="31">
        <f t="shared" si="27"/>
        <v>255.31848000000002</v>
      </c>
      <c r="AE16" s="33">
        <f>3940.1</f>
        <v>3940.1</v>
      </c>
      <c r="AF16" s="37">
        <f t="shared" si="5"/>
        <v>-5.4376000000000091E-2</v>
      </c>
      <c r="AG16" s="36">
        <f>[1]PN!$H16</f>
        <v>4166.666666666667</v>
      </c>
      <c r="AH16" s="31">
        <f t="shared" si="28"/>
        <v>3654.5833333333335</v>
      </c>
      <c r="AI16" s="31">
        <f t="shared" si="29"/>
        <v>512.08333333333337</v>
      </c>
      <c r="AJ16" s="31">
        <f t="shared" si="30"/>
        <v>4280.3542879999995</v>
      </c>
      <c r="AK16" s="31">
        <f t="shared" si="31"/>
        <v>296.585712</v>
      </c>
      <c r="AL16" s="27">
        <f>4576.94</f>
        <v>4576.9399999999996</v>
      </c>
      <c r="AM16" s="37">
        <f t="shared" si="6"/>
        <v>9.8465599999999931E-2</v>
      </c>
      <c r="AN16" s="36">
        <f>[1]PN!$I16</f>
        <v>4166.666666666667</v>
      </c>
      <c r="AO16" s="31">
        <f t="shared" si="32"/>
        <v>3654.5833333333335</v>
      </c>
      <c r="AP16" s="31">
        <f t="shared" si="33"/>
        <v>512.08333333333337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[1]PN!$J16</f>
        <v>4166.666666666667</v>
      </c>
      <c r="AV16" s="31">
        <f t="shared" si="36"/>
        <v>3654.5833333333335</v>
      </c>
      <c r="AW16" s="31">
        <f t="shared" si="37"/>
        <v>512.08333333333337</v>
      </c>
      <c r="AX16" s="31">
        <f t="shared" si="38"/>
        <v>0</v>
      </c>
      <c r="AY16" s="31">
        <f t="shared" si="39"/>
        <v>0</v>
      </c>
      <c r="AZ16" s="33"/>
      <c r="BA16" s="37">
        <f t="shared" si="8"/>
        <v>-1</v>
      </c>
      <c r="BB16" s="36">
        <f>[1]PN!$K16</f>
        <v>4166.666666666667</v>
      </c>
      <c r="BC16" s="31">
        <f t="shared" si="40"/>
        <v>3654.5833333333335</v>
      </c>
      <c r="BD16" s="31">
        <f t="shared" si="41"/>
        <v>512.08333333333337</v>
      </c>
      <c r="BE16" s="31">
        <f t="shared" si="42"/>
        <v>0</v>
      </c>
      <c r="BF16" s="31">
        <f t="shared" si="43"/>
        <v>0</v>
      </c>
      <c r="BG16" s="27"/>
      <c r="BH16" s="37">
        <f t="shared" si="9"/>
        <v>-1</v>
      </c>
      <c r="BI16" s="36">
        <f>[1]PN!$L16</f>
        <v>4166.666666666667</v>
      </c>
      <c r="BJ16" s="31">
        <f t="shared" si="44"/>
        <v>3654.5833333333335</v>
      </c>
      <c r="BK16" s="31">
        <f t="shared" si="45"/>
        <v>512.08333333333337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[1]PN!$M16</f>
        <v>4166.666666666667</v>
      </c>
      <c r="BQ16" s="31">
        <f t="shared" si="48"/>
        <v>3654.5833333333335</v>
      </c>
      <c r="BR16" s="31">
        <f t="shared" si="49"/>
        <v>512.08333333333337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[1]PN!$N16</f>
        <v>4166.666666666667</v>
      </c>
      <c r="BX16" s="31">
        <f t="shared" si="52"/>
        <v>3654.5833333333335</v>
      </c>
      <c r="BY16" s="31">
        <f t="shared" si="53"/>
        <v>512.08333333333337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[1]PN!$O16</f>
        <v>4166.666666666667</v>
      </c>
      <c r="CE16" s="31">
        <f t="shared" si="56"/>
        <v>3654.5833333333335</v>
      </c>
      <c r="CF16" s="31">
        <f t="shared" si="57"/>
        <v>512.08333333333337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[1]PN!$P16</f>
        <v>4166.666666666667</v>
      </c>
      <c r="CL16" s="31">
        <f t="shared" si="60"/>
        <v>3654.5833333333335</v>
      </c>
      <c r="CM16" s="31">
        <f t="shared" si="61"/>
        <v>512.08333333333337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350308.80000000005</v>
      </c>
      <c r="C17" s="31">
        <f t="shared" si="0"/>
        <v>307255.84847999999</v>
      </c>
      <c r="D17" s="32">
        <f t="shared" si="0"/>
        <v>43052.951519999995</v>
      </c>
      <c r="E17" s="30">
        <f t="shared" si="15"/>
        <v>116769.59999999999</v>
      </c>
      <c r="F17" s="33">
        <f t="shared" si="15"/>
        <v>102418.61615999999</v>
      </c>
      <c r="G17" s="34">
        <f t="shared" si="15"/>
        <v>14350.983839999999</v>
      </c>
      <c r="H17" s="31">
        <f t="shared" si="1"/>
        <v>154197.92696000001</v>
      </c>
      <c r="I17" s="33">
        <f t="shared" si="1"/>
        <v>10684.373040000002</v>
      </c>
      <c r="J17" s="33">
        <f t="shared" si="1"/>
        <v>164882.29999999999</v>
      </c>
      <c r="K17" s="37">
        <f t="shared" si="2"/>
        <v>0.4120310423260849</v>
      </c>
      <c r="L17" s="36">
        <f>[1]PN!$E17</f>
        <v>29192.399999999998</v>
      </c>
      <c r="M17" s="31">
        <f t="shared" si="16"/>
        <v>25604.654039999998</v>
      </c>
      <c r="N17" s="31">
        <f t="shared" si="17"/>
        <v>3587.7459599999997</v>
      </c>
      <c r="O17" s="31">
        <f t="shared" si="18"/>
        <v>29205.117647999999</v>
      </c>
      <c r="P17" s="31">
        <f t="shared" si="19"/>
        <v>2023.6223520000003</v>
      </c>
      <c r="Q17" s="33">
        <v>31228.74</v>
      </c>
      <c r="R17" s="37">
        <f t="shared" si="3"/>
        <v>6.9755826859045689E-2</v>
      </c>
      <c r="S17" s="36">
        <f>[1]PN!$F17</f>
        <v>29192.399999999998</v>
      </c>
      <c r="T17" s="31">
        <f t="shared" si="20"/>
        <v>25604.654039999998</v>
      </c>
      <c r="U17" s="31">
        <f t="shared" si="21"/>
        <v>3587.7459599999997</v>
      </c>
      <c r="V17" s="31">
        <f t="shared" si="22"/>
        <v>36345.107791999995</v>
      </c>
      <c r="W17" s="31">
        <f t="shared" si="23"/>
        <v>2518.3522080000002</v>
      </c>
      <c r="X17" s="33">
        <v>38863.46</v>
      </c>
      <c r="Y17" s="37">
        <f t="shared" si="4"/>
        <v>0.33128691029171975</v>
      </c>
      <c r="Z17" s="36">
        <f>[1]PN!$G17</f>
        <v>29192.399999999998</v>
      </c>
      <c r="AA17" s="31">
        <f t="shared" si="24"/>
        <v>25604.654039999998</v>
      </c>
      <c r="AB17" s="31">
        <f t="shared" si="25"/>
        <v>3587.7459599999997</v>
      </c>
      <c r="AC17" s="31">
        <f t="shared" si="26"/>
        <v>43354.067064000003</v>
      </c>
      <c r="AD17" s="31">
        <f t="shared" si="27"/>
        <v>3004.0029360000003</v>
      </c>
      <c r="AE17" s="33">
        <v>46358.07</v>
      </c>
      <c r="AF17" s="37">
        <f t="shared" si="5"/>
        <v>0.58801845685863463</v>
      </c>
      <c r="AG17" s="36">
        <f>[1]PN!$H17</f>
        <v>29192.399999999998</v>
      </c>
      <c r="AH17" s="31">
        <f t="shared" si="28"/>
        <v>25604.654039999998</v>
      </c>
      <c r="AI17" s="31">
        <f t="shared" si="29"/>
        <v>3587.7459599999997</v>
      </c>
      <c r="AJ17" s="31">
        <f t="shared" si="30"/>
        <v>45293.634456</v>
      </c>
      <c r="AK17" s="31">
        <f t="shared" si="31"/>
        <v>3138.3955440000004</v>
      </c>
      <c r="AL17" s="27">
        <f>48432.03</f>
        <v>48432.03</v>
      </c>
      <c r="AM17" s="37">
        <f t="shared" si="6"/>
        <v>0.65906297529493996</v>
      </c>
      <c r="AN17" s="36">
        <f>[1]PN!$I17</f>
        <v>29192.399999999998</v>
      </c>
      <c r="AO17" s="31">
        <f t="shared" si="32"/>
        <v>25604.654039999998</v>
      </c>
      <c r="AP17" s="31">
        <f t="shared" si="33"/>
        <v>3587.7459599999997</v>
      </c>
      <c r="AQ17" s="31">
        <f t="shared" si="34"/>
        <v>0</v>
      </c>
      <c r="AR17" s="31">
        <f t="shared" si="35"/>
        <v>0</v>
      </c>
      <c r="AS17" s="33"/>
      <c r="AT17" s="37">
        <f t="shared" si="7"/>
        <v>-1</v>
      </c>
      <c r="AU17" s="36">
        <f>[1]PN!$J17</f>
        <v>29192.399999999998</v>
      </c>
      <c r="AV17" s="31">
        <f t="shared" si="36"/>
        <v>25604.654039999998</v>
      </c>
      <c r="AW17" s="31">
        <f t="shared" si="37"/>
        <v>3587.7459599999997</v>
      </c>
      <c r="AX17" s="31">
        <f t="shared" si="38"/>
        <v>0</v>
      </c>
      <c r="AY17" s="31">
        <f t="shared" si="39"/>
        <v>0</v>
      </c>
      <c r="AZ17" s="33"/>
      <c r="BA17" s="37">
        <f t="shared" si="8"/>
        <v>-1</v>
      </c>
      <c r="BB17" s="36">
        <f>[1]PN!$K17</f>
        <v>29192.399999999998</v>
      </c>
      <c r="BC17" s="31">
        <f t="shared" si="40"/>
        <v>25604.654039999998</v>
      </c>
      <c r="BD17" s="31">
        <f t="shared" si="41"/>
        <v>3587.7459599999997</v>
      </c>
      <c r="BE17" s="31">
        <f t="shared" si="42"/>
        <v>0</v>
      </c>
      <c r="BF17" s="31">
        <f t="shared" si="43"/>
        <v>0</v>
      </c>
      <c r="BG17" s="27"/>
      <c r="BH17" s="37">
        <f t="shared" si="9"/>
        <v>-1</v>
      </c>
      <c r="BI17" s="36">
        <f>[1]PN!$L17</f>
        <v>29192.399999999998</v>
      </c>
      <c r="BJ17" s="31">
        <f t="shared" si="44"/>
        <v>25604.654039999998</v>
      </c>
      <c r="BK17" s="31">
        <f t="shared" si="45"/>
        <v>3587.7459599999997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[1]PN!$M17</f>
        <v>29192.399999999998</v>
      </c>
      <c r="BQ17" s="31">
        <f t="shared" si="48"/>
        <v>25604.654039999998</v>
      </c>
      <c r="BR17" s="31">
        <f t="shared" si="49"/>
        <v>3587.7459599999997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[1]PN!$N17</f>
        <v>29192.399999999998</v>
      </c>
      <c r="BX17" s="31">
        <f t="shared" si="52"/>
        <v>25604.654039999998</v>
      </c>
      <c r="BY17" s="31">
        <f t="shared" si="53"/>
        <v>3587.7459599999997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[1]PN!$O17</f>
        <v>29192.399999999998</v>
      </c>
      <c r="CE17" s="31">
        <f t="shared" si="56"/>
        <v>25604.654039999998</v>
      </c>
      <c r="CF17" s="31">
        <f t="shared" si="57"/>
        <v>3587.7459599999997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[1]PN!$P17</f>
        <v>29192.399999999998</v>
      </c>
      <c r="CL17" s="31">
        <f t="shared" si="60"/>
        <v>25604.654039999998</v>
      </c>
      <c r="CM17" s="31">
        <f t="shared" si="61"/>
        <v>3587.7459599999997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87773.39999999998</v>
      </c>
      <c r="C18" s="31">
        <f t="shared" si="0"/>
        <v>76986.049139999988</v>
      </c>
      <c r="D18" s="32">
        <f t="shared" si="0"/>
        <v>10787.350859999999</v>
      </c>
      <c r="E18" s="30">
        <f t="shared" si="15"/>
        <v>29257.8</v>
      </c>
      <c r="F18" s="33">
        <f t="shared" si="15"/>
        <v>25662.016380000001</v>
      </c>
      <c r="G18" s="34">
        <f t="shared" si="15"/>
        <v>3595.7836199999997</v>
      </c>
      <c r="H18" s="31">
        <f t="shared" si="1"/>
        <v>33290.464032000003</v>
      </c>
      <c r="I18" s="33">
        <f t="shared" si="1"/>
        <v>2306.6959680000004</v>
      </c>
      <c r="J18" s="33">
        <f t="shared" si="1"/>
        <v>35597.160000000003</v>
      </c>
      <c r="K18" s="37">
        <f t="shared" si="2"/>
        <v>0.21667247708303439</v>
      </c>
      <c r="L18" s="36">
        <f>[1]PN!$E18</f>
        <v>7314.45</v>
      </c>
      <c r="M18" s="31">
        <f t="shared" si="16"/>
        <v>6415.5040950000002</v>
      </c>
      <c r="N18" s="31">
        <f t="shared" si="17"/>
        <v>898.94590499999993</v>
      </c>
      <c r="O18" s="31">
        <f t="shared" si="18"/>
        <v>8533.5316640000001</v>
      </c>
      <c r="P18" s="31">
        <f t="shared" si="19"/>
        <v>591.28833600000007</v>
      </c>
      <c r="Q18" s="33">
        <v>9124.82</v>
      </c>
      <c r="R18" s="37">
        <f t="shared" si="3"/>
        <v>0.24750596422150672</v>
      </c>
      <c r="S18" s="36">
        <f>[1]PN!$F18</f>
        <v>7314.45</v>
      </c>
      <c r="T18" s="31">
        <f t="shared" si="20"/>
        <v>6415.5040950000002</v>
      </c>
      <c r="U18" s="31">
        <f t="shared" si="21"/>
        <v>898.94590499999993</v>
      </c>
      <c r="V18" s="31">
        <f t="shared" si="22"/>
        <v>0</v>
      </c>
      <c r="W18" s="31">
        <f t="shared" si="23"/>
        <v>0</v>
      </c>
      <c r="X18" s="33"/>
      <c r="Y18" s="37">
        <f t="shared" si="4"/>
        <v>-1</v>
      </c>
      <c r="Z18" s="36">
        <f>[1]PN!$G18</f>
        <v>7314.45</v>
      </c>
      <c r="AA18" s="31">
        <f t="shared" si="24"/>
        <v>6415.5040950000002</v>
      </c>
      <c r="AB18" s="31">
        <f t="shared" si="25"/>
        <v>898.94590499999993</v>
      </c>
      <c r="AC18" s="31">
        <f t="shared" si="26"/>
        <v>24756.932368000002</v>
      </c>
      <c r="AD18" s="31">
        <f t="shared" si="27"/>
        <v>1715.4076320000004</v>
      </c>
      <c r="AE18" s="33">
        <v>26472.34</v>
      </c>
      <c r="AF18" s="37">
        <f t="shared" si="5"/>
        <v>2.6191839441106306</v>
      </c>
      <c r="AG18" s="36">
        <f>[1]PN!$H18</f>
        <v>7314.45</v>
      </c>
      <c r="AH18" s="31">
        <f t="shared" si="28"/>
        <v>6415.5040950000002</v>
      </c>
      <c r="AI18" s="31">
        <f t="shared" si="29"/>
        <v>898.94590499999993</v>
      </c>
      <c r="AJ18" s="31">
        <f t="shared" si="30"/>
        <v>0</v>
      </c>
      <c r="AK18" s="31">
        <f t="shared" si="31"/>
        <v>0</v>
      </c>
      <c r="AL18" s="27"/>
      <c r="AM18" s="37">
        <f t="shared" si="6"/>
        <v>-1</v>
      </c>
      <c r="AN18" s="36">
        <f>[1]PN!$I18</f>
        <v>7314.45</v>
      </c>
      <c r="AO18" s="31">
        <f t="shared" si="32"/>
        <v>6415.5040950000002</v>
      </c>
      <c r="AP18" s="31">
        <f t="shared" si="33"/>
        <v>898.94590499999993</v>
      </c>
      <c r="AQ18" s="31">
        <f t="shared" si="34"/>
        <v>0</v>
      </c>
      <c r="AR18" s="31">
        <f t="shared" si="35"/>
        <v>0</v>
      </c>
      <c r="AS18" s="33"/>
      <c r="AT18" s="37">
        <f t="shared" si="7"/>
        <v>-1</v>
      </c>
      <c r="AU18" s="36">
        <f>[1]PN!$J18</f>
        <v>7314.45</v>
      </c>
      <c r="AV18" s="31">
        <f t="shared" si="36"/>
        <v>6415.5040950000002</v>
      </c>
      <c r="AW18" s="31">
        <f t="shared" si="37"/>
        <v>898.94590499999993</v>
      </c>
      <c r="AX18" s="31">
        <f t="shared" si="38"/>
        <v>0</v>
      </c>
      <c r="AY18" s="31">
        <f t="shared" si="39"/>
        <v>0</v>
      </c>
      <c r="AZ18" s="33"/>
      <c r="BA18" s="37">
        <f t="shared" si="8"/>
        <v>-1</v>
      </c>
      <c r="BB18" s="36">
        <f>[1]PN!$K18</f>
        <v>7314.45</v>
      </c>
      <c r="BC18" s="31">
        <f t="shared" si="40"/>
        <v>6415.5040950000002</v>
      </c>
      <c r="BD18" s="31">
        <f t="shared" si="41"/>
        <v>898.94590499999993</v>
      </c>
      <c r="BE18" s="31">
        <f t="shared" si="42"/>
        <v>0</v>
      </c>
      <c r="BF18" s="31">
        <f t="shared" si="43"/>
        <v>0</v>
      </c>
      <c r="BG18" s="27"/>
      <c r="BH18" s="37">
        <f t="shared" si="9"/>
        <v>-1</v>
      </c>
      <c r="BI18" s="36">
        <f>[1]PN!$L18</f>
        <v>7314.45</v>
      </c>
      <c r="BJ18" s="31">
        <f t="shared" si="44"/>
        <v>6415.5040950000002</v>
      </c>
      <c r="BK18" s="31">
        <f t="shared" si="45"/>
        <v>898.94590499999993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[1]PN!$M18</f>
        <v>7314.45</v>
      </c>
      <c r="BQ18" s="31">
        <f t="shared" si="48"/>
        <v>6415.5040950000002</v>
      </c>
      <c r="BR18" s="31">
        <f t="shared" si="49"/>
        <v>898.94590499999993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[1]PN!$N18</f>
        <v>7314.45</v>
      </c>
      <c r="BX18" s="31">
        <f t="shared" si="52"/>
        <v>6415.5040950000002</v>
      </c>
      <c r="BY18" s="31">
        <f t="shared" si="53"/>
        <v>898.94590499999993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[1]PN!$O18</f>
        <v>7314.45</v>
      </c>
      <c r="CE18" s="31">
        <f t="shared" si="56"/>
        <v>6415.5040950000002</v>
      </c>
      <c r="CF18" s="31">
        <f t="shared" si="57"/>
        <v>898.94590499999993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[1]PN!$P18</f>
        <v>7314.45</v>
      </c>
      <c r="CL18" s="31">
        <f t="shared" si="60"/>
        <v>6415.5040950000002</v>
      </c>
      <c r="CM18" s="31">
        <f t="shared" si="61"/>
        <v>898.94590499999993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40000</v>
      </c>
      <c r="C19" s="31">
        <f t="shared" si="0"/>
        <v>35084.000000000007</v>
      </c>
      <c r="D19" s="32">
        <f t="shared" si="0"/>
        <v>4916</v>
      </c>
      <c r="E19" s="30">
        <f t="shared" si="15"/>
        <v>13333.333333333334</v>
      </c>
      <c r="F19" s="33">
        <f t="shared" si="15"/>
        <v>11694.666666666668</v>
      </c>
      <c r="G19" s="34">
        <f t="shared" si="15"/>
        <v>1638.6666666666667</v>
      </c>
      <c r="H19" s="31">
        <f t="shared" si="1"/>
        <v>10502.698135999999</v>
      </c>
      <c r="I19" s="33">
        <f t="shared" si="1"/>
        <v>727.73186400000009</v>
      </c>
      <c r="J19" s="33">
        <f t="shared" si="1"/>
        <v>11230.43</v>
      </c>
      <c r="K19" s="37">
        <f t="shared" si="2"/>
        <v>-0.15771774999999999</v>
      </c>
      <c r="L19" s="36">
        <f>[1]PN!$E19</f>
        <v>3333.3333333333335</v>
      </c>
      <c r="M19" s="31">
        <f t="shared" si="16"/>
        <v>2923.666666666667</v>
      </c>
      <c r="N19" s="31">
        <f t="shared" si="17"/>
        <v>409.66666666666669</v>
      </c>
      <c r="O19" s="31">
        <f t="shared" si="18"/>
        <v>3101.7684880000002</v>
      </c>
      <c r="P19" s="31">
        <f t="shared" si="19"/>
        <v>214.92151200000004</v>
      </c>
      <c r="Q19" s="33">
        <v>3316.69</v>
      </c>
      <c r="R19" s="37">
        <f t="shared" si="3"/>
        <v>-4.9930000000000252E-3</v>
      </c>
      <c r="S19" s="36">
        <f>[1]PN!$F19</f>
        <v>3333.3333333333335</v>
      </c>
      <c r="T19" s="31">
        <f t="shared" si="20"/>
        <v>2923.666666666667</v>
      </c>
      <c r="U19" s="31">
        <f t="shared" si="21"/>
        <v>409.66666666666669</v>
      </c>
      <c r="V19" s="31">
        <f t="shared" si="22"/>
        <v>2719.7673439999999</v>
      </c>
      <c r="W19" s="31">
        <f t="shared" si="23"/>
        <v>188.45265600000002</v>
      </c>
      <c r="X19" s="33">
        <f>733+2175.22</f>
        <v>2908.22</v>
      </c>
      <c r="Y19" s="37">
        <f t="shared" si="4"/>
        <v>-0.12753400000000015</v>
      </c>
      <c r="Z19" s="36">
        <f>[1]PN!$G19</f>
        <v>3333.3333333333335</v>
      </c>
      <c r="AA19" s="31">
        <f t="shared" si="24"/>
        <v>2923.666666666667</v>
      </c>
      <c r="AB19" s="31">
        <f t="shared" si="25"/>
        <v>409.66666666666669</v>
      </c>
      <c r="AC19" s="31">
        <f t="shared" si="26"/>
        <v>141.009456</v>
      </c>
      <c r="AD19" s="31">
        <f t="shared" si="27"/>
        <v>9.770544000000001</v>
      </c>
      <c r="AE19" s="33">
        <v>150.78</v>
      </c>
      <c r="AF19" s="37">
        <f t="shared" si="5"/>
        <v>-0.954766</v>
      </c>
      <c r="AG19" s="36">
        <f>[1]PN!$H19</f>
        <v>3333.3333333333335</v>
      </c>
      <c r="AH19" s="31">
        <f t="shared" si="28"/>
        <v>2923.666666666667</v>
      </c>
      <c r="AI19" s="31">
        <f t="shared" si="29"/>
        <v>409.66666666666669</v>
      </c>
      <c r="AJ19" s="31">
        <f t="shared" si="30"/>
        <v>4540.1528479999997</v>
      </c>
      <c r="AK19" s="31">
        <f t="shared" si="31"/>
        <v>314.58715200000006</v>
      </c>
      <c r="AL19" s="27">
        <v>4854.74</v>
      </c>
      <c r="AM19" s="37">
        <f t="shared" si="6"/>
        <v>0.45642199999999988</v>
      </c>
      <c r="AN19" s="36">
        <f>[1]PN!$I19</f>
        <v>3333.3333333333335</v>
      </c>
      <c r="AO19" s="31">
        <f t="shared" si="32"/>
        <v>2923.666666666667</v>
      </c>
      <c r="AP19" s="31">
        <f t="shared" si="33"/>
        <v>409.66666666666669</v>
      </c>
      <c r="AQ19" s="31">
        <f t="shared" si="34"/>
        <v>0</v>
      </c>
      <c r="AR19" s="31">
        <f t="shared" si="35"/>
        <v>0</v>
      </c>
      <c r="AS19" s="33"/>
      <c r="AT19" s="37">
        <f t="shared" si="7"/>
        <v>-1</v>
      </c>
      <c r="AU19" s="36">
        <f>[1]PN!$J19</f>
        <v>3333.3333333333335</v>
      </c>
      <c r="AV19" s="31">
        <f t="shared" si="36"/>
        <v>2923.666666666667</v>
      </c>
      <c r="AW19" s="31">
        <f t="shared" si="37"/>
        <v>409.66666666666669</v>
      </c>
      <c r="AX19" s="31">
        <f t="shared" si="38"/>
        <v>0</v>
      </c>
      <c r="AY19" s="31">
        <f t="shared" si="39"/>
        <v>0</v>
      </c>
      <c r="AZ19" s="33"/>
      <c r="BA19" s="37">
        <f t="shared" si="8"/>
        <v>-1</v>
      </c>
      <c r="BB19" s="36">
        <f>[1]PN!$K19</f>
        <v>3333.3333333333335</v>
      </c>
      <c r="BC19" s="31">
        <f t="shared" si="40"/>
        <v>2923.666666666667</v>
      </c>
      <c r="BD19" s="31">
        <f t="shared" si="41"/>
        <v>409.66666666666669</v>
      </c>
      <c r="BE19" s="31">
        <f t="shared" si="42"/>
        <v>0</v>
      </c>
      <c r="BF19" s="31">
        <f t="shared" si="43"/>
        <v>0</v>
      </c>
      <c r="BG19" s="27"/>
      <c r="BH19" s="37">
        <f t="shared" si="9"/>
        <v>-1</v>
      </c>
      <c r="BI19" s="36">
        <f>[1]PN!$L19</f>
        <v>3333.3333333333335</v>
      </c>
      <c r="BJ19" s="31">
        <f t="shared" si="44"/>
        <v>2923.666666666667</v>
      </c>
      <c r="BK19" s="31">
        <f t="shared" si="45"/>
        <v>409.66666666666669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[1]PN!$M19</f>
        <v>3333.3333333333335</v>
      </c>
      <c r="BQ19" s="31">
        <f t="shared" si="48"/>
        <v>2923.666666666667</v>
      </c>
      <c r="BR19" s="31">
        <f t="shared" si="49"/>
        <v>409.66666666666669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[1]PN!$N19</f>
        <v>3333.3333333333335</v>
      </c>
      <c r="BX19" s="31">
        <f t="shared" si="52"/>
        <v>2923.666666666667</v>
      </c>
      <c r="BY19" s="31">
        <f t="shared" si="53"/>
        <v>409.66666666666669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[1]PN!$O19</f>
        <v>3333.3333333333335</v>
      </c>
      <c r="CE19" s="31">
        <f t="shared" si="56"/>
        <v>2923.666666666667</v>
      </c>
      <c r="CF19" s="31">
        <f t="shared" si="57"/>
        <v>409.66666666666669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[1]PN!$P19</f>
        <v>3333.3333333333335</v>
      </c>
      <c r="CL19" s="31">
        <f t="shared" si="60"/>
        <v>2923.666666666667</v>
      </c>
      <c r="CM19" s="31">
        <f t="shared" si="61"/>
        <v>409.66666666666669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498024.0397714281</v>
      </c>
      <c r="C20" s="31">
        <f t="shared" si="0"/>
        <v>436816.88528351957</v>
      </c>
      <c r="D20" s="32">
        <f t="shared" si="0"/>
        <v>61207.15448790852</v>
      </c>
      <c r="E20" s="30">
        <f t="shared" si="15"/>
        <v>236515.84628571401</v>
      </c>
      <c r="F20" s="33">
        <f t="shared" si="15"/>
        <v>207448.04877719976</v>
      </c>
      <c r="G20" s="34">
        <f t="shared" si="15"/>
        <v>29067.79750851425</v>
      </c>
      <c r="H20" s="31">
        <f t="shared" si="1"/>
        <v>93627.323551999987</v>
      </c>
      <c r="I20" s="33">
        <f t="shared" si="1"/>
        <v>6487.4364480000004</v>
      </c>
      <c r="J20" s="33">
        <f t="shared" si="1"/>
        <v>100114.76</v>
      </c>
      <c r="K20" s="37">
        <f t="shared" si="2"/>
        <v>-0.57671013772557056</v>
      </c>
      <c r="L20" s="36">
        <f>[1]PN!$E20</f>
        <v>0</v>
      </c>
      <c r="M20" s="31">
        <f t="shared" si="16"/>
        <v>0</v>
      </c>
      <c r="N20" s="31">
        <f t="shared" si="17"/>
        <v>0</v>
      </c>
      <c r="O20" s="31">
        <f t="shared" si="18"/>
        <v>0</v>
      </c>
      <c r="P20" s="31">
        <f t="shared" si="19"/>
        <v>0</v>
      </c>
      <c r="Q20" s="33"/>
      <c r="R20" s="37" t="str">
        <f t="shared" si="3"/>
        <v/>
      </c>
      <c r="S20" s="36">
        <f>[1]PN!$F20</f>
        <v>0</v>
      </c>
      <c r="T20" s="31">
        <f t="shared" si="20"/>
        <v>0</v>
      </c>
      <c r="U20" s="31">
        <f t="shared" si="21"/>
        <v>0</v>
      </c>
      <c r="V20" s="31">
        <f t="shared" si="22"/>
        <v>0</v>
      </c>
      <c r="W20" s="31">
        <f t="shared" si="23"/>
        <v>0</v>
      </c>
      <c r="X20" s="33"/>
      <c r="Y20" s="37" t="str">
        <f t="shared" si="4"/>
        <v/>
      </c>
      <c r="Z20" s="36">
        <f>[1]PN!$G20</f>
        <v>236515.84628571401</v>
      </c>
      <c r="AA20" s="31">
        <f t="shared" si="24"/>
        <v>207448.04877719976</v>
      </c>
      <c r="AB20" s="31">
        <f t="shared" si="25"/>
        <v>29067.79750851425</v>
      </c>
      <c r="AC20" s="31">
        <f t="shared" si="26"/>
        <v>55390.380976</v>
      </c>
      <c r="AD20" s="31">
        <f t="shared" si="27"/>
        <v>3837.9990240000006</v>
      </c>
      <c r="AE20" s="33">
        <v>59228.38</v>
      </c>
      <c r="AF20" s="37">
        <f t="shared" si="5"/>
        <v>-0.74957965425939621</v>
      </c>
      <c r="AG20" s="36">
        <f>[1]PN!$H20</f>
        <v>0</v>
      </c>
      <c r="AH20" s="31">
        <f t="shared" si="28"/>
        <v>0</v>
      </c>
      <c r="AI20" s="31">
        <f t="shared" si="29"/>
        <v>0</v>
      </c>
      <c r="AJ20" s="31">
        <f t="shared" si="30"/>
        <v>38236.942575999994</v>
      </c>
      <c r="AK20" s="31">
        <f t="shared" si="31"/>
        <v>2649.4374240000002</v>
      </c>
      <c r="AL20" s="27">
        <v>40886.379999999997</v>
      </c>
      <c r="AM20" s="37" t="str">
        <f t="shared" si="6"/>
        <v/>
      </c>
      <c r="AN20" s="36">
        <f>[1]PN!$I20</f>
        <v>5487.6683999999896</v>
      </c>
      <c r="AO20" s="31">
        <f t="shared" si="32"/>
        <v>4813.2339536399904</v>
      </c>
      <c r="AP20" s="31">
        <f t="shared" si="33"/>
        <v>674.43444635999867</v>
      </c>
      <c r="AQ20" s="31">
        <f t="shared" si="34"/>
        <v>0</v>
      </c>
      <c r="AR20" s="31">
        <f t="shared" si="35"/>
        <v>0</v>
      </c>
      <c r="AS20" s="33"/>
      <c r="AT20" s="37">
        <f t="shared" si="7"/>
        <v>-1</v>
      </c>
      <c r="AU20" s="36">
        <f>[1]PN!$J20</f>
        <v>5487.6683999999896</v>
      </c>
      <c r="AV20" s="31">
        <f t="shared" si="36"/>
        <v>4813.2339536399904</v>
      </c>
      <c r="AW20" s="31">
        <f t="shared" si="37"/>
        <v>674.43444635999867</v>
      </c>
      <c r="AX20" s="31">
        <f t="shared" si="38"/>
        <v>0</v>
      </c>
      <c r="AY20" s="31">
        <f t="shared" si="39"/>
        <v>0</v>
      </c>
      <c r="AZ20" s="33"/>
      <c r="BA20" s="37">
        <f t="shared" si="8"/>
        <v>-1</v>
      </c>
      <c r="BB20" s="36">
        <f>[1]PN!$K20</f>
        <v>109470.6684</v>
      </c>
      <c r="BC20" s="31">
        <f t="shared" si="40"/>
        <v>96016.723253639997</v>
      </c>
      <c r="BD20" s="31">
        <f t="shared" si="41"/>
        <v>13453.945146359998</v>
      </c>
      <c r="BE20" s="31">
        <f t="shared" si="42"/>
        <v>0</v>
      </c>
      <c r="BF20" s="31">
        <f t="shared" si="43"/>
        <v>0</v>
      </c>
      <c r="BG20" s="27"/>
      <c r="BH20" s="37">
        <f t="shared" si="9"/>
        <v>-1</v>
      </c>
      <c r="BI20" s="36">
        <f>[1]PN!$L20</f>
        <v>15128.514685714201</v>
      </c>
      <c r="BJ20" s="31">
        <f t="shared" si="44"/>
        <v>13269.220230839925</v>
      </c>
      <c r="BK20" s="31">
        <f t="shared" si="45"/>
        <v>1859.2944548742753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[1]PN!$M20</f>
        <v>109470.6684</v>
      </c>
      <c r="BQ20" s="31">
        <f t="shared" si="48"/>
        <v>96016.723253639997</v>
      </c>
      <c r="BR20" s="31">
        <f t="shared" si="49"/>
        <v>13453.945146359998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[1]PN!$N20</f>
        <v>5487.6683999999896</v>
      </c>
      <c r="BX20" s="31">
        <f t="shared" si="52"/>
        <v>4813.2339536399904</v>
      </c>
      <c r="BY20" s="31">
        <f t="shared" si="53"/>
        <v>674.43444635999867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[1]PN!$O20</f>
        <v>5487.6683999999896</v>
      </c>
      <c r="CE20" s="31">
        <f t="shared" si="56"/>
        <v>4813.2339536399904</v>
      </c>
      <c r="CF20" s="31">
        <f t="shared" si="57"/>
        <v>674.43444635999867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[1]PN!$P20</f>
        <v>5487.6683999999896</v>
      </c>
      <c r="CL20" s="31">
        <f t="shared" si="60"/>
        <v>4813.2339536399904</v>
      </c>
      <c r="CM20" s="31">
        <f t="shared" si="61"/>
        <v>674.43444635999867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139380.42720000001</v>
      </c>
      <c r="C21" s="31">
        <f t="shared" si="0"/>
        <v>122250.57269712001</v>
      </c>
      <c r="D21" s="32">
        <f t="shared" si="0"/>
        <v>17129.85450288</v>
      </c>
      <c r="E21" s="30">
        <f t="shared" si="15"/>
        <v>139380.42720000001</v>
      </c>
      <c r="F21" s="33">
        <f t="shared" si="15"/>
        <v>122250.57269712001</v>
      </c>
      <c r="G21" s="34">
        <f t="shared" si="15"/>
        <v>17129.85450288</v>
      </c>
      <c r="H21" s="31">
        <f t="shared" si="1"/>
        <v>66647.028000000006</v>
      </c>
      <c r="I21" s="33">
        <f t="shared" si="1"/>
        <v>4617.9720000000007</v>
      </c>
      <c r="J21" s="33">
        <f t="shared" si="1"/>
        <v>71265</v>
      </c>
      <c r="K21" s="37">
        <f t="shared" si="2"/>
        <v>-0.48870152408314615</v>
      </c>
      <c r="L21" s="36">
        <f>[1]PN!$E21</f>
        <v>139380.42720000001</v>
      </c>
      <c r="M21" s="31">
        <f t="shared" si="16"/>
        <v>122250.57269712001</v>
      </c>
      <c r="N21" s="31">
        <f t="shared" si="17"/>
        <v>17129.85450288</v>
      </c>
      <c r="O21" s="31">
        <f t="shared" si="18"/>
        <v>12162.276</v>
      </c>
      <c r="P21" s="31">
        <f t="shared" si="19"/>
        <v>842.72400000000016</v>
      </c>
      <c r="Q21" s="33">
        <f>13005</f>
        <v>13005</v>
      </c>
      <c r="R21" s="37">
        <f t="shared" si="3"/>
        <v>-0.90669421624501956</v>
      </c>
      <c r="S21" s="36">
        <f>[1]PN!$F21</f>
        <v>0</v>
      </c>
      <c r="T21" s="31">
        <f t="shared" si="20"/>
        <v>0</v>
      </c>
      <c r="U21" s="31">
        <f t="shared" si="21"/>
        <v>0</v>
      </c>
      <c r="V21" s="31">
        <f t="shared" si="22"/>
        <v>54484.752</v>
      </c>
      <c r="W21" s="31">
        <f t="shared" si="23"/>
        <v>3775.2480000000005</v>
      </c>
      <c r="X21" s="33">
        <v>58260</v>
      </c>
      <c r="Y21" s="37" t="str">
        <f t="shared" si="4"/>
        <v/>
      </c>
      <c r="Z21" s="36">
        <f>[1]PN!$G21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33"/>
      <c r="AF21" s="37" t="str">
        <f t="shared" si="5"/>
        <v/>
      </c>
      <c r="AG21" s="36">
        <f>[1]PN!$H21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27"/>
      <c r="AM21" s="37" t="str">
        <f t="shared" si="6"/>
        <v/>
      </c>
      <c r="AN21" s="36">
        <f>[1]PN!$I21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7"/>
        <v/>
      </c>
      <c r="AU21" s="36">
        <f>[1]PN!$J21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33"/>
      <c r="BA21" s="37" t="str">
        <f t="shared" si="8"/>
        <v/>
      </c>
      <c r="BB21" s="36">
        <f>[1]PN!$K21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9"/>
        <v/>
      </c>
      <c r="BI21" s="36">
        <f>[1]PN!$L21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[1]PN!$M21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[1]PN!$N21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[1]PN!$O21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[1]PN!$P21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138974.43999999881</v>
      </c>
      <c r="C22" s="31">
        <f t="shared" si="0"/>
        <v>121894.48132399899</v>
      </c>
      <c r="D22" s="32">
        <f t="shared" si="0"/>
        <v>17079.958675999853</v>
      </c>
      <c r="E22" s="30">
        <f t="shared" si="15"/>
        <v>46324.813333332939</v>
      </c>
      <c r="F22" s="33">
        <f t="shared" si="15"/>
        <v>40631.49377466632</v>
      </c>
      <c r="G22" s="34">
        <f t="shared" si="15"/>
        <v>5693.3195586666179</v>
      </c>
      <c r="H22" s="31">
        <f t="shared" si="1"/>
        <v>30304.005703999999</v>
      </c>
      <c r="I22" s="33">
        <f t="shared" si="1"/>
        <v>2099.7642960000003</v>
      </c>
      <c r="J22" s="33">
        <f t="shared" si="1"/>
        <v>32403.769999999997</v>
      </c>
      <c r="K22" s="37">
        <f t="shared" si="2"/>
        <v>-0.3005094318063033</v>
      </c>
      <c r="L22" s="36">
        <f>[1]PN!$E22</f>
        <v>11581.203333333235</v>
      </c>
      <c r="M22" s="31">
        <f t="shared" si="16"/>
        <v>10157.87344366658</v>
      </c>
      <c r="N22" s="31">
        <f t="shared" si="17"/>
        <v>1423.3298896666545</v>
      </c>
      <c r="O22" s="31">
        <f t="shared" si="18"/>
        <v>9849.4048240000011</v>
      </c>
      <c r="P22" s="31">
        <f t="shared" si="19"/>
        <v>682.46517600000016</v>
      </c>
      <c r="Q22" s="33">
        <f>10531.87</f>
        <v>10531.87</v>
      </c>
      <c r="R22" s="37">
        <f t="shared" si="3"/>
        <v>-9.0606589240430968E-2</v>
      </c>
      <c r="S22" s="36">
        <f>[1]PN!$F22</f>
        <v>11581.203333333235</v>
      </c>
      <c r="T22" s="31">
        <f t="shared" si="20"/>
        <v>10157.87344366658</v>
      </c>
      <c r="U22" s="31">
        <f t="shared" si="21"/>
        <v>1423.3298896666545</v>
      </c>
      <c r="V22" s="31">
        <f t="shared" si="22"/>
        <v>12334.240575999998</v>
      </c>
      <c r="W22" s="31">
        <f t="shared" si="23"/>
        <v>854.63942400000008</v>
      </c>
      <c r="X22" s="33">
        <v>13188.88</v>
      </c>
      <c r="Y22" s="37">
        <f t="shared" si="4"/>
        <v>0.13881775670404806</v>
      </c>
      <c r="Z22" s="36">
        <f>[1]PN!$G22</f>
        <v>11581.203333333235</v>
      </c>
      <c r="AA22" s="31">
        <f t="shared" si="24"/>
        <v>10157.87344366658</v>
      </c>
      <c r="AB22" s="31">
        <f t="shared" si="25"/>
        <v>1423.3298896666545</v>
      </c>
      <c r="AC22" s="31">
        <f t="shared" si="26"/>
        <v>4818.1410479999995</v>
      </c>
      <c r="AD22" s="31">
        <f t="shared" si="27"/>
        <v>333.84895200000005</v>
      </c>
      <c r="AE22" s="33">
        <v>5151.99</v>
      </c>
      <c r="AF22" s="37">
        <f t="shared" si="5"/>
        <v>-0.55514208224188188</v>
      </c>
      <c r="AG22" s="36">
        <f>[1]PN!$H22</f>
        <v>11581.203333333235</v>
      </c>
      <c r="AH22" s="31">
        <f t="shared" si="28"/>
        <v>10157.87344366658</v>
      </c>
      <c r="AI22" s="31">
        <f t="shared" si="29"/>
        <v>1423.3298896666545</v>
      </c>
      <c r="AJ22" s="31">
        <f t="shared" si="30"/>
        <v>3302.2192560000003</v>
      </c>
      <c r="AK22" s="31">
        <f t="shared" si="31"/>
        <v>228.81074400000006</v>
      </c>
      <c r="AL22" s="27">
        <f>3531.03</f>
        <v>3531.03</v>
      </c>
      <c r="AM22" s="37">
        <f t="shared" si="6"/>
        <v>-0.69510681244694805</v>
      </c>
      <c r="AN22" s="36">
        <f>[1]PN!$I22</f>
        <v>11581.203333333235</v>
      </c>
      <c r="AO22" s="31">
        <f t="shared" si="32"/>
        <v>10157.87344366658</v>
      </c>
      <c r="AP22" s="31">
        <f t="shared" si="33"/>
        <v>1423.3298896666545</v>
      </c>
      <c r="AQ22" s="31">
        <f t="shared" si="34"/>
        <v>0</v>
      </c>
      <c r="AR22" s="31">
        <f t="shared" si="35"/>
        <v>0</v>
      </c>
      <c r="AS22" s="33"/>
      <c r="AT22" s="37">
        <f t="shared" si="7"/>
        <v>-1</v>
      </c>
      <c r="AU22" s="36">
        <f>[1]PN!$J22</f>
        <v>11581.203333333235</v>
      </c>
      <c r="AV22" s="31">
        <f t="shared" si="36"/>
        <v>10157.87344366658</v>
      </c>
      <c r="AW22" s="31">
        <f t="shared" si="37"/>
        <v>1423.3298896666545</v>
      </c>
      <c r="AX22" s="31">
        <f t="shared" si="38"/>
        <v>0</v>
      </c>
      <c r="AY22" s="31">
        <f t="shared" si="39"/>
        <v>0</v>
      </c>
      <c r="AZ22" s="33"/>
      <c r="BA22" s="37">
        <f t="shared" si="8"/>
        <v>-1</v>
      </c>
      <c r="BB22" s="36">
        <f>[1]PN!$K22</f>
        <v>11581.203333333235</v>
      </c>
      <c r="BC22" s="31">
        <f t="shared" si="40"/>
        <v>10157.87344366658</v>
      </c>
      <c r="BD22" s="31">
        <f t="shared" si="41"/>
        <v>1423.3298896666545</v>
      </c>
      <c r="BE22" s="31">
        <f t="shared" si="42"/>
        <v>0</v>
      </c>
      <c r="BF22" s="31">
        <f t="shared" si="43"/>
        <v>0</v>
      </c>
      <c r="BG22" s="27"/>
      <c r="BH22" s="37">
        <f t="shared" si="9"/>
        <v>-1</v>
      </c>
      <c r="BI22" s="36">
        <f>[1]PN!$L22</f>
        <v>11581.203333333235</v>
      </c>
      <c r="BJ22" s="31">
        <f t="shared" si="44"/>
        <v>10157.87344366658</v>
      </c>
      <c r="BK22" s="31">
        <f t="shared" si="45"/>
        <v>1423.3298896666545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[1]PN!$M22</f>
        <v>11581.203333333235</v>
      </c>
      <c r="BQ22" s="31">
        <f t="shared" si="48"/>
        <v>10157.87344366658</v>
      </c>
      <c r="BR22" s="31">
        <f t="shared" si="49"/>
        <v>1423.3298896666545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[1]PN!$N22</f>
        <v>11581.203333333235</v>
      </c>
      <c r="BX22" s="31">
        <f t="shared" si="52"/>
        <v>10157.87344366658</v>
      </c>
      <c r="BY22" s="31">
        <f t="shared" si="53"/>
        <v>1423.3298896666545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[1]PN!$O22</f>
        <v>11581.203333333235</v>
      </c>
      <c r="CE22" s="31">
        <f t="shared" si="56"/>
        <v>10157.87344366658</v>
      </c>
      <c r="CF22" s="31">
        <f t="shared" si="57"/>
        <v>1423.3298896666545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[1]PN!$P22</f>
        <v>11581.203333333235</v>
      </c>
      <c r="CL22" s="31">
        <f t="shared" si="60"/>
        <v>10157.87344366658</v>
      </c>
      <c r="CM22" s="31">
        <f t="shared" si="61"/>
        <v>1423.3298896666545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[1]PN!$E23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[1]PN!$F23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[1]PN!$G23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[1]PN!$H23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27"/>
      <c r="AM23" s="37" t="str">
        <f t="shared" si="6"/>
        <v/>
      </c>
      <c r="AN23" s="36">
        <f>[1]PN!$I23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7"/>
        <v/>
      </c>
      <c r="AU23" s="36">
        <f>[1]PN!$J23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33"/>
      <c r="BA23" s="37" t="str">
        <f t="shared" si="8"/>
        <v/>
      </c>
      <c r="BB23" s="36">
        <f>[1]PN!$K23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9"/>
        <v/>
      </c>
      <c r="BI23" s="36">
        <f>[1]PN!$L23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[1]PN!$M23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[1]PN!$N23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[1]PN!$O23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[1]PN!$P23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129095.84777868644</v>
      </c>
      <c r="C24" s="31">
        <f t="shared" si="0"/>
        <v>113229.96808668583</v>
      </c>
      <c r="D24" s="32">
        <f t="shared" si="0"/>
        <v>15865.879692000562</v>
      </c>
      <c r="E24" s="30">
        <f t="shared" si="15"/>
        <v>43664.149003562139</v>
      </c>
      <c r="F24" s="33">
        <f t="shared" si="15"/>
        <v>38297.825091024351</v>
      </c>
      <c r="G24" s="34">
        <f t="shared" si="15"/>
        <v>5366.3239125377868</v>
      </c>
      <c r="H24" s="31">
        <f t="shared" si="1"/>
        <v>0</v>
      </c>
      <c r="I24" s="33">
        <f t="shared" si="1"/>
        <v>0</v>
      </c>
      <c r="J24" s="33">
        <f t="shared" si="1"/>
        <v>0</v>
      </c>
      <c r="K24" s="37">
        <f t="shared" si="2"/>
        <v>-1</v>
      </c>
      <c r="L24" s="36">
        <f>[1]PN!$E24</f>
        <v>10916.037250890535</v>
      </c>
      <c r="M24" s="31">
        <f t="shared" si="16"/>
        <v>9574.4562727560879</v>
      </c>
      <c r="N24" s="31">
        <f t="shared" si="17"/>
        <v>1341.5809781344467</v>
      </c>
      <c r="O24" s="31">
        <f t="shared" si="18"/>
        <v>0</v>
      </c>
      <c r="P24" s="31">
        <f t="shared" si="19"/>
        <v>0</v>
      </c>
      <c r="Q24" s="33"/>
      <c r="R24" s="37">
        <f t="shared" si="3"/>
        <v>-1</v>
      </c>
      <c r="S24" s="36">
        <f>[1]PN!$F24</f>
        <v>10916.037250890535</v>
      </c>
      <c r="T24" s="31">
        <f t="shared" si="20"/>
        <v>9574.4562727560879</v>
      </c>
      <c r="U24" s="31">
        <f t="shared" si="21"/>
        <v>1341.5809781344467</v>
      </c>
      <c r="V24" s="31">
        <f t="shared" si="22"/>
        <v>0</v>
      </c>
      <c r="W24" s="31">
        <f t="shared" si="23"/>
        <v>0</v>
      </c>
      <c r="X24" s="33"/>
      <c r="Y24" s="37">
        <f t="shared" si="4"/>
        <v>-1</v>
      </c>
      <c r="Z24" s="36">
        <f>[1]PN!$G24</f>
        <v>10916.037250890535</v>
      </c>
      <c r="AA24" s="31">
        <f t="shared" si="24"/>
        <v>9574.4562727560879</v>
      </c>
      <c r="AB24" s="31">
        <f t="shared" si="25"/>
        <v>1341.5809781344467</v>
      </c>
      <c r="AC24" s="31">
        <f t="shared" si="26"/>
        <v>0</v>
      </c>
      <c r="AD24" s="31">
        <f t="shared" si="27"/>
        <v>0</v>
      </c>
      <c r="AE24" s="33"/>
      <c r="AF24" s="37">
        <f t="shared" si="5"/>
        <v>-1</v>
      </c>
      <c r="AG24" s="36">
        <f>[1]PN!$H24</f>
        <v>10916.037250890535</v>
      </c>
      <c r="AH24" s="31">
        <f t="shared" si="28"/>
        <v>9574.4562727560879</v>
      </c>
      <c r="AI24" s="31">
        <f t="shared" si="29"/>
        <v>1341.5809781344467</v>
      </c>
      <c r="AJ24" s="31">
        <f t="shared" si="30"/>
        <v>0</v>
      </c>
      <c r="AK24" s="31">
        <f t="shared" si="31"/>
        <v>0</v>
      </c>
      <c r="AL24" s="27"/>
      <c r="AM24" s="37">
        <f t="shared" si="6"/>
        <v>-1</v>
      </c>
      <c r="AN24" s="36">
        <f>[1]PN!$I24</f>
        <v>10916.037250890535</v>
      </c>
      <c r="AO24" s="31">
        <f t="shared" si="32"/>
        <v>9574.4562727560879</v>
      </c>
      <c r="AP24" s="31">
        <f t="shared" si="33"/>
        <v>1341.5809781344467</v>
      </c>
      <c r="AQ24" s="31">
        <f t="shared" si="34"/>
        <v>0</v>
      </c>
      <c r="AR24" s="31">
        <f t="shared" si="35"/>
        <v>0</v>
      </c>
      <c r="AS24" s="33"/>
      <c r="AT24" s="37">
        <f t="shared" si="7"/>
        <v>-1</v>
      </c>
      <c r="AU24" s="36">
        <f>[1]PN!$J24</f>
        <v>10916.037250890535</v>
      </c>
      <c r="AV24" s="31">
        <f t="shared" si="36"/>
        <v>9574.4562727560879</v>
      </c>
      <c r="AW24" s="31">
        <f t="shared" si="37"/>
        <v>1341.5809781344467</v>
      </c>
      <c r="AX24" s="31">
        <f t="shared" si="38"/>
        <v>0</v>
      </c>
      <c r="AY24" s="31">
        <f t="shared" si="39"/>
        <v>0</v>
      </c>
      <c r="AZ24" s="33"/>
      <c r="BA24" s="37">
        <f t="shared" si="8"/>
        <v>-1</v>
      </c>
      <c r="BB24" s="36">
        <f>[1]PN!$K24</f>
        <v>9019.4380188905343</v>
      </c>
      <c r="BC24" s="31">
        <f t="shared" si="40"/>
        <v>7910.9490863688879</v>
      </c>
      <c r="BD24" s="31">
        <f t="shared" si="41"/>
        <v>1108.4889325216466</v>
      </c>
      <c r="BE24" s="31">
        <f t="shared" si="42"/>
        <v>0</v>
      </c>
      <c r="BF24" s="31">
        <f t="shared" si="43"/>
        <v>0</v>
      </c>
      <c r="BG24" s="27"/>
      <c r="BH24" s="37">
        <f t="shared" si="9"/>
        <v>-1</v>
      </c>
      <c r="BI24" s="36">
        <f>[1]PN!$L24</f>
        <v>10916.037250890535</v>
      </c>
      <c r="BJ24" s="31">
        <f t="shared" si="44"/>
        <v>9574.4562727560879</v>
      </c>
      <c r="BK24" s="31">
        <f t="shared" si="45"/>
        <v>1341.5809781344467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[1]PN!$M24</f>
        <v>10916.037250890535</v>
      </c>
      <c r="BQ24" s="31">
        <f t="shared" si="48"/>
        <v>9574.4562727560879</v>
      </c>
      <c r="BR24" s="31">
        <f t="shared" si="49"/>
        <v>1341.5809781344467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[1]PN!$N24</f>
        <v>10916.037250890535</v>
      </c>
      <c r="BX24" s="31">
        <f t="shared" si="52"/>
        <v>9574.4562727560879</v>
      </c>
      <c r="BY24" s="31">
        <f t="shared" si="53"/>
        <v>1341.5809781344467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[1]PN!$O24</f>
        <v>10916.037250890535</v>
      </c>
      <c r="CE24" s="31">
        <f t="shared" si="56"/>
        <v>9574.4562727560879</v>
      </c>
      <c r="CF24" s="31">
        <f t="shared" si="57"/>
        <v>1341.5809781344467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[1]PN!$P24</f>
        <v>10916.037250890535</v>
      </c>
      <c r="CL24" s="31">
        <f t="shared" si="60"/>
        <v>9574.4562727560879</v>
      </c>
      <c r="CM24" s="31">
        <f t="shared" si="61"/>
        <v>1341.5809781344467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365136.64269299904</v>
      </c>
      <c r="C25" s="31">
        <f t="shared" si="0"/>
        <v>320261.34930602938</v>
      </c>
      <c r="D25" s="32">
        <f t="shared" si="0"/>
        <v>44875.293386969577</v>
      </c>
      <c r="E25" s="30">
        <f t="shared" si="15"/>
        <v>103743.1001699998</v>
      </c>
      <c r="F25" s="33">
        <f t="shared" si="15"/>
        <v>90993.073159106832</v>
      </c>
      <c r="G25" s="34">
        <f t="shared" si="15"/>
        <v>12750.027010892974</v>
      </c>
      <c r="H25" s="31">
        <f t="shared" si="1"/>
        <v>83942.224015999993</v>
      </c>
      <c r="I25" s="33">
        <f t="shared" si="1"/>
        <v>5816.3559840000016</v>
      </c>
      <c r="J25" s="33">
        <f t="shared" si="1"/>
        <v>89758.58</v>
      </c>
      <c r="K25" s="37">
        <f t="shared" si="2"/>
        <v>-0.1347995206147099</v>
      </c>
      <c r="L25" s="36">
        <f>[1]PN!$E25</f>
        <v>0</v>
      </c>
      <c r="M25" s="31">
        <f t="shared" si="16"/>
        <v>0</v>
      </c>
      <c r="N25" s="31">
        <f t="shared" si="17"/>
        <v>0</v>
      </c>
      <c r="O25" s="31">
        <f t="shared" si="18"/>
        <v>0</v>
      </c>
      <c r="P25" s="31">
        <f t="shared" si="19"/>
        <v>0</v>
      </c>
      <c r="Q25" s="33"/>
      <c r="R25" s="37" t="str">
        <f t="shared" si="3"/>
        <v/>
      </c>
      <c r="S25" s="36">
        <f>[1]PN!$F25</f>
        <v>0</v>
      </c>
      <c r="T25" s="31">
        <f t="shared" si="20"/>
        <v>0</v>
      </c>
      <c r="U25" s="31">
        <f t="shared" si="21"/>
        <v>0</v>
      </c>
      <c r="V25" s="31">
        <f t="shared" si="22"/>
        <v>15071.804775999999</v>
      </c>
      <c r="W25" s="31">
        <f t="shared" si="23"/>
        <v>1044.3252240000002</v>
      </c>
      <c r="X25" s="33">
        <v>16116.13</v>
      </c>
      <c r="Y25" s="37" t="str">
        <f t="shared" si="4"/>
        <v/>
      </c>
      <c r="Z25" s="36">
        <f>[1]PN!$G25</f>
        <v>42775.264559999901</v>
      </c>
      <c r="AA25" s="31">
        <f t="shared" si="24"/>
        <v>37518.184545575918</v>
      </c>
      <c r="AB25" s="31">
        <f t="shared" si="25"/>
        <v>5257.0800144239874</v>
      </c>
      <c r="AC25" s="31">
        <f t="shared" si="26"/>
        <v>30319.006312000001</v>
      </c>
      <c r="AD25" s="31">
        <f t="shared" si="27"/>
        <v>2100.8036880000004</v>
      </c>
      <c r="AE25" s="33">
        <v>32419.81</v>
      </c>
      <c r="AF25" s="37">
        <f t="shared" si="5"/>
        <v>-0.24208978404971726</v>
      </c>
      <c r="AG25" s="36">
        <f>[1]PN!$H25</f>
        <v>60967.8356099999</v>
      </c>
      <c r="AH25" s="31">
        <f t="shared" si="28"/>
        <v>53474.888613530915</v>
      </c>
      <c r="AI25" s="31">
        <f t="shared" si="29"/>
        <v>7492.946996468987</v>
      </c>
      <c r="AJ25" s="31">
        <f t="shared" si="30"/>
        <v>38551.412927999998</v>
      </c>
      <c r="AK25" s="31">
        <f t="shared" si="31"/>
        <v>2671.2270720000006</v>
      </c>
      <c r="AL25" s="27">
        <v>41222.639999999999</v>
      </c>
      <c r="AM25" s="37">
        <f t="shared" si="6"/>
        <v>-0.32386249917589838</v>
      </c>
      <c r="AN25" s="36">
        <f>[1]PN!$I25</f>
        <v>60967.8356099999</v>
      </c>
      <c r="AO25" s="31">
        <f t="shared" si="32"/>
        <v>53474.888613530915</v>
      </c>
      <c r="AP25" s="31">
        <f t="shared" si="33"/>
        <v>7492.946996468987</v>
      </c>
      <c r="AQ25" s="31">
        <f t="shared" si="34"/>
        <v>0</v>
      </c>
      <c r="AR25" s="31">
        <f t="shared" si="35"/>
        <v>0</v>
      </c>
      <c r="AS25" s="33"/>
      <c r="AT25" s="37">
        <f t="shared" si="7"/>
        <v>-1</v>
      </c>
      <c r="AU25" s="36">
        <f>[1]PN!$J25</f>
        <v>62987.486189999901</v>
      </c>
      <c r="AV25" s="31">
        <f t="shared" si="36"/>
        <v>55246.324137248914</v>
      </c>
      <c r="AW25" s="31">
        <f t="shared" si="37"/>
        <v>7741.1620527509876</v>
      </c>
      <c r="AX25" s="31">
        <f t="shared" si="38"/>
        <v>0</v>
      </c>
      <c r="AY25" s="31">
        <f t="shared" si="39"/>
        <v>0</v>
      </c>
      <c r="AZ25" s="33"/>
      <c r="BA25" s="37">
        <f t="shared" si="8"/>
        <v>-1</v>
      </c>
      <c r="BB25" s="36">
        <f>[1]PN!$K25</f>
        <v>29665.715189999901</v>
      </c>
      <c r="BC25" s="31">
        <f t="shared" si="40"/>
        <v>26019.798793148911</v>
      </c>
      <c r="BD25" s="31">
        <f t="shared" si="41"/>
        <v>3645.9163968509874</v>
      </c>
      <c r="BE25" s="31">
        <f t="shared" si="42"/>
        <v>0</v>
      </c>
      <c r="BF25" s="31">
        <f t="shared" si="43"/>
        <v>0</v>
      </c>
      <c r="BG25" s="27"/>
      <c r="BH25" s="37">
        <f t="shared" si="9"/>
        <v>-1</v>
      </c>
      <c r="BI25" s="36">
        <f>[1]PN!$L25</f>
        <v>29665.715189999901</v>
      </c>
      <c r="BJ25" s="31">
        <f t="shared" si="44"/>
        <v>26019.798793148911</v>
      </c>
      <c r="BK25" s="31">
        <f t="shared" si="45"/>
        <v>3645.9163968509874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[1]PN!$M25</f>
        <v>29665.715189999901</v>
      </c>
      <c r="BQ25" s="31">
        <f t="shared" si="48"/>
        <v>26019.798793148911</v>
      </c>
      <c r="BR25" s="31">
        <f t="shared" si="49"/>
        <v>3645.9163968509874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[1]PN!$N25</f>
        <v>24576.335804999901</v>
      </c>
      <c r="BX25" s="31">
        <f t="shared" si="52"/>
        <v>21555.904134565411</v>
      </c>
      <c r="BY25" s="31">
        <f t="shared" si="53"/>
        <v>3020.4316704344878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[1]PN!$O25</f>
        <v>11932.3696739999</v>
      </c>
      <c r="CE25" s="31">
        <f t="shared" si="56"/>
        <v>10465.881441065312</v>
      </c>
      <c r="CF25" s="31">
        <f t="shared" si="57"/>
        <v>1466.4882329345876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[1]PN!$P25</f>
        <v>11932.3696739999</v>
      </c>
      <c r="CL25" s="31">
        <f t="shared" si="60"/>
        <v>10465.881441065312</v>
      </c>
      <c r="CM25" s="31">
        <f t="shared" si="61"/>
        <v>1466.4882329345876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1451366.3957276554</v>
      </c>
      <c r="C26" s="31">
        <f t="shared" si="0"/>
        <v>1272993.4656927267</v>
      </c>
      <c r="D26" s="32">
        <f t="shared" si="0"/>
        <v>178372.93003492887</v>
      </c>
      <c r="E26" s="30">
        <f t="shared" si="15"/>
        <v>398961.97145501606</v>
      </c>
      <c r="F26" s="33">
        <f t="shared" si="15"/>
        <v>349929.54516319453</v>
      </c>
      <c r="G26" s="34">
        <f t="shared" si="15"/>
        <v>49032.426291821466</v>
      </c>
      <c r="H26" s="31">
        <f t="shared" si="1"/>
        <v>503973.94935999997</v>
      </c>
      <c r="I26" s="33">
        <f t="shared" si="1"/>
        <v>34920.350640000004</v>
      </c>
      <c r="J26" s="33">
        <f t="shared" si="1"/>
        <v>538894.30000000005</v>
      </c>
      <c r="K26" s="37">
        <f t="shared" si="2"/>
        <v>0.35074101933738233</v>
      </c>
      <c r="L26" s="36">
        <f>[1]PN!$E26</f>
        <v>42762.113243834574</v>
      </c>
      <c r="M26" s="31">
        <f t="shared" si="16"/>
        <v>37506.649526167304</v>
      </c>
      <c r="N26" s="31">
        <f t="shared" si="17"/>
        <v>5255.4637176672686</v>
      </c>
      <c r="O26" s="31">
        <f t="shared" si="18"/>
        <v>81031.395311999993</v>
      </c>
      <c r="P26" s="31">
        <f t="shared" si="19"/>
        <v>5614.6646880000008</v>
      </c>
      <c r="Q26" s="33">
        <f>86646.06</f>
        <v>86646.06</v>
      </c>
      <c r="R26" s="37">
        <f t="shared" si="3"/>
        <v>1.026234286082496</v>
      </c>
      <c r="S26" s="36">
        <f>[1]PN!$F26</f>
        <v>87204.704123833799</v>
      </c>
      <c r="T26" s="31">
        <f t="shared" si="20"/>
        <v>76487.245987014627</v>
      </c>
      <c r="U26" s="31">
        <f t="shared" si="21"/>
        <v>10717.458136819174</v>
      </c>
      <c r="V26" s="31">
        <f t="shared" si="22"/>
        <v>118171.488568</v>
      </c>
      <c r="W26" s="31">
        <f t="shared" si="23"/>
        <v>8188.1014320000013</v>
      </c>
      <c r="X26" s="33">
        <f>125673.59+686</f>
        <v>126359.59</v>
      </c>
      <c r="Y26" s="37">
        <f t="shared" si="4"/>
        <v>0.44899969869245648</v>
      </c>
      <c r="Z26" s="36">
        <f>[1]PN!$G26</f>
        <v>134497.57704367381</v>
      </c>
      <c r="AA26" s="31">
        <f t="shared" si="24"/>
        <v>117967.8248250063</v>
      </c>
      <c r="AB26" s="31">
        <f t="shared" si="25"/>
        <v>16529.752218667512</v>
      </c>
      <c r="AC26" s="31">
        <f t="shared" si="26"/>
        <v>140596.836408</v>
      </c>
      <c r="AD26" s="31">
        <f t="shared" si="27"/>
        <v>9741.9535920000017</v>
      </c>
      <c r="AE26" s="33">
        <f>149652.79+686</f>
        <v>150338.79</v>
      </c>
      <c r="AF26" s="37">
        <f t="shared" si="5"/>
        <v>0.11778065675623495</v>
      </c>
      <c r="AG26" s="36">
        <f>[1]PN!$H26</f>
        <v>134497.57704367381</v>
      </c>
      <c r="AH26" s="31">
        <f t="shared" si="28"/>
        <v>117967.8248250063</v>
      </c>
      <c r="AI26" s="31">
        <f t="shared" si="29"/>
        <v>16529.752218667512</v>
      </c>
      <c r="AJ26" s="31">
        <f t="shared" si="30"/>
        <v>164174.22907199999</v>
      </c>
      <c r="AK26" s="31">
        <f t="shared" si="31"/>
        <v>11375.630928</v>
      </c>
      <c r="AL26" s="27">
        <v>175549.86</v>
      </c>
      <c r="AM26" s="37">
        <f t="shared" si="6"/>
        <v>0.30522693314390148</v>
      </c>
      <c r="AN26" s="36">
        <f>[1]PN!$I26</f>
        <v>150775.93592383378</v>
      </c>
      <c r="AO26" s="31">
        <f t="shared" si="32"/>
        <v>132245.5733987946</v>
      </c>
      <c r="AP26" s="31">
        <f t="shared" si="33"/>
        <v>18530.362525039171</v>
      </c>
      <c r="AQ26" s="31">
        <f t="shared" si="34"/>
        <v>0</v>
      </c>
      <c r="AR26" s="31">
        <f t="shared" si="35"/>
        <v>0</v>
      </c>
      <c r="AS26" s="33"/>
      <c r="AT26" s="37">
        <f t="shared" si="7"/>
        <v>-1</v>
      </c>
      <c r="AU26" s="36">
        <f>[1]PN!$J26</f>
        <v>116571.63510367372</v>
      </c>
      <c r="AV26" s="31">
        <f t="shared" si="36"/>
        <v>102244.98114943222</v>
      </c>
      <c r="AW26" s="31">
        <f t="shared" si="37"/>
        <v>14326.653954241499</v>
      </c>
      <c r="AX26" s="31">
        <f t="shared" si="38"/>
        <v>0</v>
      </c>
      <c r="AY26" s="31">
        <f t="shared" si="39"/>
        <v>0</v>
      </c>
      <c r="AZ26" s="33"/>
      <c r="BA26" s="37">
        <f t="shared" si="8"/>
        <v>-1</v>
      </c>
      <c r="BB26" s="36">
        <f>[1]PN!$K26</f>
        <v>100293.27622351371</v>
      </c>
      <c r="BC26" s="31">
        <f t="shared" si="40"/>
        <v>87967.232575643866</v>
      </c>
      <c r="BD26" s="31">
        <f t="shared" si="41"/>
        <v>12326.043647869834</v>
      </c>
      <c r="BE26" s="31">
        <f t="shared" si="42"/>
        <v>0</v>
      </c>
      <c r="BF26" s="31">
        <f t="shared" si="43"/>
        <v>0</v>
      </c>
      <c r="BG26" s="27"/>
      <c r="BH26" s="37">
        <f t="shared" si="9"/>
        <v>-1</v>
      </c>
      <c r="BI26" s="36">
        <f>[1]PN!$L26</f>
        <v>134497.57704367381</v>
      </c>
      <c r="BJ26" s="31">
        <f t="shared" si="44"/>
        <v>117967.8248250063</v>
      </c>
      <c r="BK26" s="31">
        <f t="shared" si="45"/>
        <v>16529.752218667512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[1]PN!$M26</f>
        <v>168747.94696190575</v>
      </c>
      <c r="BQ26" s="31">
        <f t="shared" si="48"/>
        <v>148008.82428028755</v>
      </c>
      <c r="BR26" s="31">
        <f t="shared" si="49"/>
        <v>20739.122681618217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[1]PN!$N26</f>
        <v>159963.02897206572</v>
      </c>
      <c r="BX26" s="31">
        <f t="shared" si="52"/>
        <v>140303.57271139883</v>
      </c>
      <c r="BY26" s="31">
        <f t="shared" si="53"/>
        <v>19659.456260666877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[1]PN!$O26</f>
        <v>112202.65304190648</v>
      </c>
      <c r="CE26" s="31">
        <f t="shared" si="56"/>
        <v>98412.946983056172</v>
      </c>
      <c r="CF26" s="31">
        <f t="shared" si="57"/>
        <v>13789.706058850306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[1]PN!$P26</f>
        <v>109352.3710020665</v>
      </c>
      <c r="CL26" s="31">
        <f t="shared" si="60"/>
        <v>95912.964605912537</v>
      </c>
      <c r="CM26" s="31">
        <f t="shared" si="61"/>
        <v>13439.406396153972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88262.714498999441</v>
      </c>
      <c r="C27" s="31">
        <f t="shared" si="0"/>
        <v>77415.226887072393</v>
      </c>
      <c r="D27" s="32">
        <f t="shared" si="0"/>
        <v>10847.487611927027</v>
      </c>
      <c r="E27" s="30">
        <f t="shared" si="15"/>
        <v>31277.765513999781</v>
      </c>
      <c r="F27" s="33">
        <f t="shared" si="15"/>
        <v>27433.728132329205</v>
      </c>
      <c r="G27" s="34">
        <f t="shared" si="15"/>
        <v>3844.0373816705724</v>
      </c>
      <c r="H27" s="31">
        <f t="shared" si="1"/>
        <v>58462.325936000001</v>
      </c>
      <c r="I27" s="33">
        <f t="shared" si="1"/>
        <v>4050.8540640000006</v>
      </c>
      <c r="J27" s="33">
        <f t="shared" si="1"/>
        <v>62513.18</v>
      </c>
      <c r="K27" s="37">
        <f t="shared" si="2"/>
        <v>0.99864597015472212</v>
      </c>
      <c r="L27" s="36">
        <f>[1]PN!$E27</f>
        <v>2903.3251919999898</v>
      </c>
      <c r="M27" s="31">
        <f t="shared" si="16"/>
        <v>2546.5065259031912</v>
      </c>
      <c r="N27" s="31">
        <f t="shared" si="17"/>
        <v>356.81866609679872</v>
      </c>
      <c r="O27" s="31">
        <f t="shared" si="18"/>
        <v>9462.6809200000007</v>
      </c>
      <c r="P27" s="31">
        <f t="shared" si="19"/>
        <v>655.66908000000012</v>
      </c>
      <c r="Q27" s="33">
        <f>10118.35</f>
        <v>10118.35</v>
      </c>
      <c r="R27" s="37">
        <f t="shared" si="3"/>
        <v>2.4850901400507106</v>
      </c>
      <c r="S27" s="36">
        <f>[1]PN!$F27</f>
        <v>10481.2029359999</v>
      </c>
      <c r="T27" s="31">
        <f t="shared" si="20"/>
        <v>9193.0630951655112</v>
      </c>
      <c r="U27" s="31">
        <f t="shared" si="21"/>
        <v>1288.1398408343875</v>
      </c>
      <c r="V27" s="31">
        <f t="shared" si="22"/>
        <v>18095.521472</v>
      </c>
      <c r="W27" s="31">
        <f t="shared" si="23"/>
        <v>1253.8385280000002</v>
      </c>
      <c r="X27" s="33">
        <v>19349.36</v>
      </c>
      <c r="Y27" s="37">
        <f t="shared" si="4"/>
        <v>0.84610107428991266</v>
      </c>
      <c r="Z27" s="36">
        <f>[1]PN!$G27</f>
        <v>10481.2029359999</v>
      </c>
      <c r="AA27" s="31">
        <f t="shared" si="24"/>
        <v>9193.0630951655112</v>
      </c>
      <c r="AB27" s="31">
        <f t="shared" si="25"/>
        <v>1288.1398408343875</v>
      </c>
      <c r="AC27" s="31">
        <f t="shared" si="26"/>
        <v>10498.190472</v>
      </c>
      <c r="AD27" s="31">
        <f t="shared" si="27"/>
        <v>727.41952800000013</v>
      </c>
      <c r="AE27" s="33">
        <v>11225.61</v>
      </c>
      <c r="AF27" s="37">
        <f t="shared" si="5"/>
        <v>7.1023056088655334E-2</v>
      </c>
      <c r="AG27" s="36">
        <f>[1]PN!$H27</f>
        <v>7412.0344499999901</v>
      </c>
      <c r="AH27" s="31">
        <f t="shared" si="28"/>
        <v>6501.0954160949914</v>
      </c>
      <c r="AI27" s="31">
        <f t="shared" si="29"/>
        <v>910.93903390499872</v>
      </c>
      <c r="AJ27" s="31">
        <f t="shared" si="30"/>
        <v>20405.933072</v>
      </c>
      <c r="AK27" s="31">
        <f t="shared" si="31"/>
        <v>1413.9269280000003</v>
      </c>
      <c r="AL27" s="27">
        <v>21819.86</v>
      </c>
      <c r="AM27" s="37">
        <f t="shared" si="6"/>
        <v>1.9438422267451858</v>
      </c>
      <c r="AN27" s="36">
        <f>[1]PN!$I27</f>
        <v>2903.4364499999901</v>
      </c>
      <c r="AO27" s="31">
        <f t="shared" si="32"/>
        <v>2546.6041102949912</v>
      </c>
      <c r="AP27" s="31">
        <f t="shared" si="33"/>
        <v>356.83233970499879</v>
      </c>
      <c r="AQ27" s="31">
        <f t="shared" si="34"/>
        <v>0</v>
      </c>
      <c r="AR27" s="31">
        <f t="shared" si="35"/>
        <v>0</v>
      </c>
      <c r="AS27" s="33"/>
      <c r="AT27" s="37">
        <f t="shared" si="7"/>
        <v>-1</v>
      </c>
      <c r="AU27" s="36">
        <f>[1]PN!$J27</f>
        <v>10315.359641999899</v>
      </c>
      <c r="AV27" s="31">
        <f t="shared" si="36"/>
        <v>9047.6019419981112</v>
      </c>
      <c r="AW27" s="31">
        <f t="shared" si="37"/>
        <v>1267.7577000017875</v>
      </c>
      <c r="AX27" s="31">
        <f t="shared" si="38"/>
        <v>0</v>
      </c>
      <c r="AY27" s="31">
        <f t="shared" si="39"/>
        <v>0</v>
      </c>
      <c r="AZ27" s="33"/>
      <c r="BA27" s="37">
        <f t="shared" si="8"/>
        <v>-1</v>
      </c>
      <c r="BB27" s="36">
        <f>[1]PN!$K27</f>
        <v>5806.7616419999904</v>
      </c>
      <c r="BC27" s="31">
        <f t="shared" si="40"/>
        <v>5093.110636198192</v>
      </c>
      <c r="BD27" s="31">
        <f t="shared" si="41"/>
        <v>713.65100580179876</v>
      </c>
      <c r="BE27" s="31">
        <f t="shared" si="42"/>
        <v>0</v>
      </c>
      <c r="BF27" s="31">
        <f t="shared" si="43"/>
        <v>0</v>
      </c>
      <c r="BG27" s="27"/>
      <c r="BH27" s="37">
        <f t="shared" si="9"/>
        <v>-1</v>
      </c>
      <c r="BI27" s="36">
        <f>[1]PN!$L27</f>
        <v>10315.359641999899</v>
      </c>
      <c r="BJ27" s="31">
        <f t="shared" si="44"/>
        <v>9047.6019419981112</v>
      </c>
      <c r="BK27" s="31">
        <f t="shared" si="45"/>
        <v>1267.7577000017875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[1]PN!$M27</f>
        <v>10315.359641999899</v>
      </c>
      <c r="BQ27" s="31">
        <f t="shared" si="48"/>
        <v>9047.6019419981112</v>
      </c>
      <c r="BR27" s="31">
        <f t="shared" si="49"/>
        <v>1267.7577000017875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[1]PN!$N27</f>
        <v>7711.7741169999899</v>
      </c>
      <c r="BX27" s="31">
        <f t="shared" si="52"/>
        <v>6763.9970780206913</v>
      </c>
      <c r="BY27" s="31">
        <f t="shared" si="53"/>
        <v>947.77703897929871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[1]PN!$O27</f>
        <v>4808.4489249999897</v>
      </c>
      <c r="CE27" s="31">
        <f t="shared" si="56"/>
        <v>4217.4905521174915</v>
      </c>
      <c r="CF27" s="31">
        <f t="shared" si="57"/>
        <v>590.95837288249868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[1]PN!$P27</f>
        <v>4808.4489249999897</v>
      </c>
      <c r="CL27" s="31">
        <f t="shared" si="60"/>
        <v>4217.4905521174915</v>
      </c>
      <c r="CM27" s="31">
        <f t="shared" si="61"/>
        <v>590.95837288249868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82552.697474999906</v>
      </c>
      <c r="C28" s="31">
        <f t="shared" si="0"/>
        <v>72406.970955322409</v>
      </c>
      <c r="D28" s="32">
        <f t="shared" si="0"/>
        <v>10145.726519677486</v>
      </c>
      <c r="E28" s="30">
        <f t="shared" si="15"/>
        <v>28730.921549999963</v>
      </c>
      <c r="F28" s="33">
        <f t="shared" si="15"/>
        <v>25199.89129150497</v>
      </c>
      <c r="G28" s="34">
        <f t="shared" si="15"/>
        <v>3531.030258494995</v>
      </c>
      <c r="H28" s="31">
        <f t="shared" si="1"/>
        <v>30429.275743999999</v>
      </c>
      <c r="I28" s="33">
        <f t="shared" si="1"/>
        <v>2108.4442560000002</v>
      </c>
      <c r="J28" s="33">
        <f t="shared" si="1"/>
        <v>32537.719999999998</v>
      </c>
      <c r="K28" s="37">
        <f t="shared" si="2"/>
        <v>0.13249830651533845</v>
      </c>
      <c r="L28" s="36">
        <f>[1]PN!$E28</f>
        <v>6116.8058999999903</v>
      </c>
      <c r="M28" s="31">
        <f t="shared" si="16"/>
        <v>5365.0504548899917</v>
      </c>
      <c r="N28" s="31">
        <f t="shared" si="17"/>
        <v>751.75544510999873</v>
      </c>
      <c r="O28" s="31">
        <f t="shared" si="18"/>
        <v>12310.710943999999</v>
      </c>
      <c r="P28" s="31">
        <f t="shared" si="19"/>
        <v>853.0090560000001</v>
      </c>
      <c r="Q28" s="33">
        <f>13163.72</f>
        <v>13163.72</v>
      </c>
      <c r="R28" s="37">
        <f t="shared" si="3"/>
        <v>1.15205782481998</v>
      </c>
      <c r="S28" s="36">
        <f>[1]PN!$F28</f>
        <v>6116.8058999999903</v>
      </c>
      <c r="T28" s="31">
        <f t="shared" si="20"/>
        <v>5365.0504548899917</v>
      </c>
      <c r="U28" s="31">
        <f t="shared" si="21"/>
        <v>751.75544510999873</v>
      </c>
      <c r="V28" s="31">
        <f t="shared" si="22"/>
        <v>9325.9359759999988</v>
      </c>
      <c r="W28" s="31">
        <f t="shared" si="23"/>
        <v>646.19402400000001</v>
      </c>
      <c r="X28" s="33">
        <v>9972.1299999999992</v>
      </c>
      <c r="Y28" s="37">
        <f t="shared" si="4"/>
        <v>0.63028387086796633</v>
      </c>
      <c r="Z28" s="36">
        <f>[1]PN!$G28</f>
        <v>8155.7411999999904</v>
      </c>
      <c r="AA28" s="31">
        <f t="shared" si="24"/>
        <v>7153.4006065199919</v>
      </c>
      <c r="AB28" s="31">
        <f t="shared" si="25"/>
        <v>1002.3405934799988</v>
      </c>
      <c r="AC28" s="31">
        <f t="shared" si="26"/>
        <v>4190.2758240000003</v>
      </c>
      <c r="AD28" s="31">
        <f t="shared" si="27"/>
        <v>290.34417600000006</v>
      </c>
      <c r="AE28" s="33">
        <v>4480.62</v>
      </c>
      <c r="AF28" s="37">
        <f t="shared" si="5"/>
        <v>-0.45061768266996938</v>
      </c>
      <c r="AG28" s="36">
        <f>[1]PN!$H28</f>
        <v>8341.5685499999909</v>
      </c>
      <c r="AH28" s="31">
        <f t="shared" si="28"/>
        <v>7316.3897752049925</v>
      </c>
      <c r="AI28" s="31">
        <f t="shared" si="29"/>
        <v>1025.1787747949988</v>
      </c>
      <c r="AJ28" s="31">
        <f t="shared" si="30"/>
        <v>4602.3530000000001</v>
      </c>
      <c r="AK28" s="31">
        <f t="shared" si="31"/>
        <v>318.89700000000005</v>
      </c>
      <c r="AL28" s="27">
        <v>4921.25</v>
      </c>
      <c r="AM28" s="37">
        <f t="shared" si="6"/>
        <v>-0.41003302070807712</v>
      </c>
      <c r="AN28" s="36">
        <f>[1]PN!$I28</f>
        <v>7136.2735499999899</v>
      </c>
      <c r="AO28" s="31">
        <f t="shared" si="32"/>
        <v>6259.2255307049909</v>
      </c>
      <c r="AP28" s="31">
        <f t="shared" si="33"/>
        <v>877.04801929499877</v>
      </c>
      <c r="AQ28" s="31">
        <f t="shared" si="34"/>
        <v>0</v>
      </c>
      <c r="AR28" s="31">
        <f t="shared" si="35"/>
        <v>0</v>
      </c>
      <c r="AS28" s="33"/>
      <c r="AT28" s="37">
        <f t="shared" si="7"/>
        <v>-1</v>
      </c>
      <c r="AU28" s="36">
        <f>[1]PN!$J28</f>
        <v>6302.6332499999899</v>
      </c>
      <c r="AV28" s="31">
        <f t="shared" si="36"/>
        <v>5528.0396235749913</v>
      </c>
      <c r="AW28" s="31">
        <f t="shared" si="37"/>
        <v>774.59362642499877</v>
      </c>
      <c r="AX28" s="31">
        <f t="shared" si="38"/>
        <v>0</v>
      </c>
      <c r="AY28" s="31">
        <f t="shared" si="39"/>
        <v>0</v>
      </c>
      <c r="AZ28" s="33"/>
      <c r="BA28" s="37">
        <f t="shared" si="8"/>
        <v>-1</v>
      </c>
      <c r="BB28" s="36">
        <f>[1]PN!$K28</f>
        <v>5097.3382499999898</v>
      </c>
      <c r="BC28" s="31">
        <f t="shared" si="40"/>
        <v>4470.8753790749906</v>
      </c>
      <c r="BD28" s="31">
        <f t="shared" si="41"/>
        <v>626.4628709249987</v>
      </c>
      <c r="BE28" s="31">
        <f t="shared" si="42"/>
        <v>0</v>
      </c>
      <c r="BF28" s="31">
        <f t="shared" si="43"/>
        <v>0</v>
      </c>
      <c r="BG28" s="27"/>
      <c r="BH28" s="37">
        <f t="shared" si="9"/>
        <v>-1</v>
      </c>
      <c r="BI28" s="36">
        <f>[1]PN!$L28</f>
        <v>8341.5685499999909</v>
      </c>
      <c r="BJ28" s="31">
        <f t="shared" si="44"/>
        <v>7316.3897752049925</v>
      </c>
      <c r="BK28" s="31">
        <f t="shared" si="45"/>
        <v>1025.1787747949988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[1]PN!$M28</f>
        <v>8341.5685499999909</v>
      </c>
      <c r="BQ28" s="31">
        <f t="shared" si="48"/>
        <v>7316.3897752049925</v>
      </c>
      <c r="BR28" s="31">
        <f t="shared" si="49"/>
        <v>1025.1787747949988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[1]PN!$N28</f>
        <v>7560.0881249999902</v>
      </c>
      <c r="BX28" s="31">
        <f t="shared" si="52"/>
        <v>6630.9532944374914</v>
      </c>
      <c r="BY28" s="31">
        <f t="shared" si="53"/>
        <v>929.13483056249879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[1]PN!$O28</f>
        <v>5521.1528249999901</v>
      </c>
      <c r="CE28" s="31">
        <f t="shared" si="56"/>
        <v>4842.6031428074912</v>
      </c>
      <c r="CF28" s="31">
        <f t="shared" si="57"/>
        <v>678.54968219249872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[1]PN!$P28</f>
        <v>5521.1528249999901</v>
      </c>
      <c r="CL28" s="31">
        <f t="shared" si="60"/>
        <v>4842.6031428074912</v>
      </c>
      <c r="CM28" s="31">
        <f t="shared" si="61"/>
        <v>678.54968219249872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177947.78299999883</v>
      </c>
      <c r="C29" s="31">
        <f t="shared" si="0"/>
        <v>156078.00046929895</v>
      </c>
      <c r="D29" s="32">
        <f t="shared" si="0"/>
        <v>21869.782530699849</v>
      </c>
      <c r="E29" s="30">
        <f t="shared" si="15"/>
        <v>59315.927666666277</v>
      </c>
      <c r="F29" s="33">
        <f t="shared" si="15"/>
        <v>52026.000156432987</v>
      </c>
      <c r="G29" s="34">
        <f t="shared" si="15"/>
        <v>7289.9275102332849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[1]PN!$E29</f>
        <v>10704.021666666566</v>
      </c>
      <c r="M29" s="31">
        <f t="shared" si="16"/>
        <v>9388.4974038332439</v>
      </c>
      <c r="N29" s="31">
        <f t="shared" si="17"/>
        <v>1315.5242628333208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[1]PN!$F29</f>
        <v>18953.942166666569</v>
      </c>
      <c r="T29" s="31">
        <f t="shared" si="20"/>
        <v>16624.50267438325</v>
      </c>
      <c r="U29" s="31">
        <f t="shared" si="21"/>
        <v>2329.4394922833212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[1]PN!$G29</f>
        <v>10704.021666666566</v>
      </c>
      <c r="AA29" s="31">
        <f t="shared" si="24"/>
        <v>9388.4974038332439</v>
      </c>
      <c r="AB29" s="31">
        <f t="shared" si="25"/>
        <v>1315.5242628333208</v>
      </c>
      <c r="AC29" s="31">
        <f t="shared" si="26"/>
        <v>0</v>
      </c>
      <c r="AD29" s="31">
        <f t="shared" si="27"/>
        <v>0</v>
      </c>
      <c r="AE29" s="33"/>
      <c r="AF29" s="37">
        <f t="shared" si="5"/>
        <v>-1</v>
      </c>
      <c r="AG29" s="36">
        <f>[1]PN!$H29</f>
        <v>18953.942166666569</v>
      </c>
      <c r="AH29" s="31">
        <f t="shared" si="28"/>
        <v>16624.50267438325</v>
      </c>
      <c r="AI29" s="31">
        <f t="shared" si="29"/>
        <v>2329.4394922833212</v>
      </c>
      <c r="AJ29" s="31">
        <f t="shared" si="30"/>
        <v>0</v>
      </c>
      <c r="AK29" s="31">
        <f t="shared" si="31"/>
        <v>0</v>
      </c>
      <c r="AL29" s="27"/>
      <c r="AM29" s="37">
        <f t="shared" si="6"/>
        <v>-1</v>
      </c>
      <c r="AN29" s="36">
        <f>[1]PN!$I29</f>
        <v>10704.021666666566</v>
      </c>
      <c r="AO29" s="31">
        <f t="shared" si="32"/>
        <v>9388.4974038332439</v>
      </c>
      <c r="AP29" s="31">
        <f t="shared" si="33"/>
        <v>1315.5242628333208</v>
      </c>
      <c r="AQ29" s="31">
        <f t="shared" si="34"/>
        <v>0</v>
      </c>
      <c r="AR29" s="31">
        <f t="shared" si="35"/>
        <v>0</v>
      </c>
      <c r="AS29" s="33"/>
      <c r="AT29" s="37">
        <f t="shared" si="7"/>
        <v>-1</v>
      </c>
      <c r="AU29" s="36">
        <f>[1]PN!$J29</f>
        <v>18953.942166666569</v>
      </c>
      <c r="AV29" s="31">
        <f t="shared" si="36"/>
        <v>16624.50267438325</v>
      </c>
      <c r="AW29" s="31">
        <f t="shared" si="37"/>
        <v>2329.4394922833212</v>
      </c>
      <c r="AX29" s="31">
        <f t="shared" si="38"/>
        <v>0</v>
      </c>
      <c r="AY29" s="31">
        <f t="shared" si="39"/>
        <v>0</v>
      </c>
      <c r="AZ29" s="33"/>
      <c r="BA29" s="37">
        <f t="shared" si="8"/>
        <v>-1</v>
      </c>
      <c r="BB29" s="36">
        <f>[1]PN!$K29</f>
        <v>10704.021666666566</v>
      </c>
      <c r="BC29" s="31">
        <f t="shared" si="40"/>
        <v>9388.4974038332439</v>
      </c>
      <c r="BD29" s="31">
        <f t="shared" si="41"/>
        <v>1315.5242628333208</v>
      </c>
      <c r="BE29" s="31">
        <f t="shared" si="42"/>
        <v>0</v>
      </c>
      <c r="BF29" s="31">
        <f t="shared" si="43"/>
        <v>0</v>
      </c>
      <c r="BG29" s="27"/>
      <c r="BH29" s="37">
        <f t="shared" si="9"/>
        <v>-1</v>
      </c>
      <c r="BI29" s="36">
        <f>[1]PN!$L29</f>
        <v>18953.942166666569</v>
      </c>
      <c r="BJ29" s="31">
        <f t="shared" si="44"/>
        <v>16624.50267438325</v>
      </c>
      <c r="BK29" s="31">
        <f t="shared" si="45"/>
        <v>2329.4394922833212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[1]PN!$M29</f>
        <v>10704.021666666566</v>
      </c>
      <c r="BQ29" s="31">
        <f t="shared" si="48"/>
        <v>9388.4974038332439</v>
      </c>
      <c r="BR29" s="31">
        <f t="shared" si="49"/>
        <v>1315.5242628333208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[1]PN!$N29</f>
        <v>18953.942166666569</v>
      </c>
      <c r="BX29" s="31">
        <f t="shared" si="52"/>
        <v>16624.50267438325</v>
      </c>
      <c r="BY29" s="31">
        <f t="shared" si="53"/>
        <v>2329.4394922833212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[1]PN!$O29</f>
        <v>10704.021666666566</v>
      </c>
      <c r="CE29" s="31">
        <f t="shared" si="56"/>
        <v>9388.4974038332439</v>
      </c>
      <c r="CF29" s="31">
        <f t="shared" si="57"/>
        <v>1315.5242628333208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[1]PN!$P29</f>
        <v>18953.942166666569</v>
      </c>
      <c r="CL29" s="31">
        <f t="shared" si="60"/>
        <v>16624.50267438325</v>
      </c>
      <c r="CM29" s="31">
        <f t="shared" si="61"/>
        <v>2329.4394922833212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58000.000000000007</v>
      </c>
      <c r="C30" s="31">
        <f t="shared" si="0"/>
        <v>50871.799999999996</v>
      </c>
      <c r="D30" s="32">
        <f t="shared" si="0"/>
        <v>7128.199999999998</v>
      </c>
      <c r="E30" s="30">
        <f t="shared" si="15"/>
        <v>19333.333333333332</v>
      </c>
      <c r="F30" s="33">
        <f t="shared" si="15"/>
        <v>16957.266666666666</v>
      </c>
      <c r="G30" s="34">
        <f t="shared" si="15"/>
        <v>2376.0666666666666</v>
      </c>
      <c r="H30" s="31">
        <f t="shared" si="1"/>
        <v>9237.9056</v>
      </c>
      <c r="I30" s="33">
        <f t="shared" si="1"/>
        <v>640.09440000000018</v>
      </c>
      <c r="J30" s="33">
        <f t="shared" si="1"/>
        <v>9878</v>
      </c>
      <c r="K30" s="37">
        <f t="shared" si="2"/>
        <v>-0.48906896551724133</v>
      </c>
      <c r="L30" s="36">
        <f>[1]PN!$E30</f>
        <v>4833.333333333333</v>
      </c>
      <c r="M30" s="31">
        <f t="shared" si="16"/>
        <v>4239.3166666666666</v>
      </c>
      <c r="N30" s="31">
        <f t="shared" si="17"/>
        <v>594.01666666666665</v>
      </c>
      <c r="O30" s="31">
        <f t="shared" si="18"/>
        <v>2319.2959999999998</v>
      </c>
      <c r="P30" s="31">
        <f t="shared" si="19"/>
        <v>160.70400000000004</v>
      </c>
      <c r="Q30" s="33">
        <f>2480</f>
        <v>2480</v>
      </c>
      <c r="R30" s="37">
        <f t="shared" si="3"/>
        <v>-0.48689655172413793</v>
      </c>
      <c r="S30" s="36">
        <f>[1]PN!$F30</f>
        <v>4833.333333333333</v>
      </c>
      <c r="T30" s="31">
        <f t="shared" si="20"/>
        <v>4239.3166666666666</v>
      </c>
      <c r="U30" s="31">
        <f t="shared" si="21"/>
        <v>594.01666666666665</v>
      </c>
      <c r="V30" s="31">
        <f t="shared" si="22"/>
        <v>2280.0176000000001</v>
      </c>
      <c r="W30" s="31">
        <f t="shared" si="23"/>
        <v>157.98240000000001</v>
      </c>
      <c r="X30" s="33">
        <f>2438</f>
        <v>2438</v>
      </c>
      <c r="Y30" s="37">
        <f t="shared" si="4"/>
        <v>-0.49558620689655164</v>
      </c>
      <c r="Z30" s="36">
        <f>[1]PN!$G30</f>
        <v>4833.333333333333</v>
      </c>
      <c r="AA30" s="31">
        <f t="shared" si="24"/>
        <v>4239.3166666666666</v>
      </c>
      <c r="AB30" s="31">
        <f t="shared" si="25"/>
        <v>594.01666666666665</v>
      </c>
      <c r="AC30" s="31">
        <f t="shared" si="26"/>
        <v>2319.2959999999998</v>
      </c>
      <c r="AD30" s="31">
        <f t="shared" si="27"/>
        <v>160.70400000000004</v>
      </c>
      <c r="AE30" s="33">
        <f>2480</f>
        <v>2480</v>
      </c>
      <c r="AF30" s="37">
        <f t="shared" si="5"/>
        <v>-0.48689655172413793</v>
      </c>
      <c r="AG30" s="36">
        <f>[1]PN!$H30</f>
        <v>4833.333333333333</v>
      </c>
      <c r="AH30" s="31">
        <f t="shared" si="28"/>
        <v>4239.3166666666666</v>
      </c>
      <c r="AI30" s="31">
        <f t="shared" si="29"/>
        <v>594.01666666666665</v>
      </c>
      <c r="AJ30" s="31">
        <f t="shared" si="30"/>
        <v>2319.2959999999998</v>
      </c>
      <c r="AK30" s="31">
        <f t="shared" si="31"/>
        <v>160.70400000000004</v>
      </c>
      <c r="AL30" s="27">
        <f>2480</f>
        <v>2480</v>
      </c>
      <c r="AM30" s="37">
        <f t="shared" si="6"/>
        <v>-0.48689655172413793</v>
      </c>
      <c r="AN30" s="36">
        <f>[1]PN!$I30</f>
        <v>4833.333333333333</v>
      </c>
      <c r="AO30" s="31">
        <f t="shared" si="32"/>
        <v>4239.3166666666666</v>
      </c>
      <c r="AP30" s="31">
        <f t="shared" si="33"/>
        <v>594.01666666666665</v>
      </c>
      <c r="AQ30" s="31">
        <f t="shared" si="34"/>
        <v>0</v>
      </c>
      <c r="AR30" s="31">
        <f t="shared" si="35"/>
        <v>0</v>
      </c>
      <c r="AS30" s="33"/>
      <c r="AT30" s="37">
        <f t="shared" si="7"/>
        <v>-1</v>
      </c>
      <c r="AU30" s="36">
        <f>[1]PN!$J30</f>
        <v>4833.333333333333</v>
      </c>
      <c r="AV30" s="31">
        <f t="shared" si="36"/>
        <v>4239.3166666666666</v>
      </c>
      <c r="AW30" s="31">
        <f t="shared" si="37"/>
        <v>594.01666666666665</v>
      </c>
      <c r="AX30" s="31">
        <f t="shared" si="38"/>
        <v>0</v>
      </c>
      <c r="AY30" s="31">
        <f t="shared" si="39"/>
        <v>0</v>
      </c>
      <c r="AZ30" s="33"/>
      <c r="BA30" s="37">
        <f t="shared" si="8"/>
        <v>-1</v>
      </c>
      <c r="BB30" s="36">
        <f>[1]PN!$K30</f>
        <v>4833.333333333333</v>
      </c>
      <c r="BC30" s="31">
        <f t="shared" si="40"/>
        <v>4239.3166666666666</v>
      </c>
      <c r="BD30" s="31">
        <f t="shared" si="41"/>
        <v>594.01666666666665</v>
      </c>
      <c r="BE30" s="31">
        <f t="shared" si="42"/>
        <v>0</v>
      </c>
      <c r="BF30" s="31">
        <f t="shared" si="43"/>
        <v>0</v>
      </c>
      <c r="BG30" s="27"/>
      <c r="BH30" s="37">
        <f t="shared" si="9"/>
        <v>-1</v>
      </c>
      <c r="BI30" s="36">
        <f>[1]PN!$L30</f>
        <v>4833.333333333333</v>
      </c>
      <c r="BJ30" s="31">
        <f t="shared" si="44"/>
        <v>4239.3166666666666</v>
      </c>
      <c r="BK30" s="31">
        <f t="shared" si="45"/>
        <v>594.01666666666665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[1]PN!$M30</f>
        <v>4833.333333333333</v>
      </c>
      <c r="BQ30" s="31">
        <f t="shared" si="48"/>
        <v>4239.3166666666666</v>
      </c>
      <c r="BR30" s="31">
        <f t="shared" si="49"/>
        <v>594.01666666666665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[1]PN!$N30</f>
        <v>4833.333333333333</v>
      </c>
      <c r="BX30" s="31">
        <f t="shared" si="52"/>
        <v>4239.3166666666666</v>
      </c>
      <c r="BY30" s="31">
        <f t="shared" si="53"/>
        <v>594.01666666666665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[1]PN!$O30</f>
        <v>4833.333333333333</v>
      </c>
      <c r="CE30" s="31">
        <f t="shared" si="56"/>
        <v>4239.3166666666666</v>
      </c>
      <c r="CF30" s="31">
        <f t="shared" si="57"/>
        <v>594.01666666666665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[1]PN!$P30</f>
        <v>4833.333333333333</v>
      </c>
      <c r="CL30" s="31">
        <f t="shared" si="60"/>
        <v>4239.3166666666666</v>
      </c>
      <c r="CM30" s="31">
        <f t="shared" si="61"/>
        <v>594.01666666666665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5000</v>
      </c>
      <c r="C31" s="31">
        <f t="shared" si="0"/>
        <v>4385.5000000000009</v>
      </c>
      <c r="D31" s="32">
        <f t="shared" si="0"/>
        <v>614.5</v>
      </c>
      <c r="E31" s="30">
        <f t="shared" si="15"/>
        <v>1666.6666666666667</v>
      </c>
      <c r="F31" s="33">
        <f t="shared" si="15"/>
        <v>1461.8333333333335</v>
      </c>
      <c r="G31" s="34">
        <f t="shared" si="15"/>
        <v>204.83333333333334</v>
      </c>
      <c r="H31" s="31">
        <f t="shared" si="1"/>
        <v>0</v>
      </c>
      <c r="I31" s="33">
        <f t="shared" si="1"/>
        <v>0</v>
      </c>
      <c r="J31" s="33">
        <f t="shared" si="1"/>
        <v>0</v>
      </c>
      <c r="K31" s="37">
        <f t="shared" si="2"/>
        <v>-1</v>
      </c>
      <c r="L31" s="36">
        <f>[1]PN!$E31</f>
        <v>416.66666666666669</v>
      </c>
      <c r="M31" s="31">
        <f t="shared" si="16"/>
        <v>365.45833333333337</v>
      </c>
      <c r="N31" s="31">
        <f t="shared" si="17"/>
        <v>51.208333333333336</v>
      </c>
      <c r="O31" s="31">
        <f t="shared" si="18"/>
        <v>0</v>
      </c>
      <c r="P31" s="31">
        <f t="shared" si="19"/>
        <v>0</v>
      </c>
      <c r="Q31" s="33"/>
      <c r="R31" s="37">
        <f t="shared" si="3"/>
        <v>-1</v>
      </c>
      <c r="S31" s="36">
        <f>[1]PN!$F31</f>
        <v>416.66666666666669</v>
      </c>
      <c r="T31" s="31">
        <f t="shared" si="20"/>
        <v>365.45833333333337</v>
      </c>
      <c r="U31" s="31">
        <f t="shared" si="21"/>
        <v>51.208333333333336</v>
      </c>
      <c r="V31" s="31">
        <f t="shared" si="22"/>
        <v>0</v>
      </c>
      <c r="W31" s="31">
        <f t="shared" si="23"/>
        <v>0</v>
      </c>
      <c r="X31" s="33"/>
      <c r="Y31" s="37">
        <f t="shared" si="4"/>
        <v>-1</v>
      </c>
      <c r="Z31" s="36">
        <f>[1]PN!$G31</f>
        <v>416.66666666666669</v>
      </c>
      <c r="AA31" s="31">
        <f t="shared" si="24"/>
        <v>365.45833333333337</v>
      </c>
      <c r="AB31" s="31">
        <f t="shared" si="25"/>
        <v>51.208333333333336</v>
      </c>
      <c r="AC31" s="31">
        <f t="shared" si="26"/>
        <v>0</v>
      </c>
      <c r="AD31" s="31">
        <f t="shared" si="27"/>
        <v>0</v>
      </c>
      <c r="AE31" s="33"/>
      <c r="AF31" s="37">
        <f t="shared" si="5"/>
        <v>-1</v>
      </c>
      <c r="AG31" s="36">
        <f>[1]PN!$H31</f>
        <v>416.66666666666669</v>
      </c>
      <c r="AH31" s="31">
        <f t="shared" si="28"/>
        <v>365.45833333333337</v>
      </c>
      <c r="AI31" s="31">
        <f t="shared" si="29"/>
        <v>51.208333333333336</v>
      </c>
      <c r="AJ31" s="31">
        <f t="shared" si="30"/>
        <v>0</v>
      </c>
      <c r="AK31" s="31">
        <f t="shared" si="31"/>
        <v>0</v>
      </c>
      <c r="AL31" s="27"/>
      <c r="AM31" s="37">
        <f t="shared" si="6"/>
        <v>-1</v>
      </c>
      <c r="AN31" s="36">
        <f>[1]PN!$I31</f>
        <v>416.66666666666669</v>
      </c>
      <c r="AO31" s="31">
        <f t="shared" si="32"/>
        <v>365.45833333333337</v>
      </c>
      <c r="AP31" s="31">
        <f t="shared" si="33"/>
        <v>51.208333333333336</v>
      </c>
      <c r="AQ31" s="31">
        <f t="shared" si="34"/>
        <v>0</v>
      </c>
      <c r="AR31" s="31">
        <f t="shared" si="35"/>
        <v>0</v>
      </c>
      <c r="AS31" s="33"/>
      <c r="AT31" s="37">
        <f t="shared" si="7"/>
        <v>-1</v>
      </c>
      <c r="AU31" s="36">
        <f>[1]PN!$J31</f>
        <v>416.66666666666669</v>
      </c>
      <c r="AV31" s="31">
        <f t="shared" si="36"/>
        <v>365.45833333333337</v>
      </c>
      <c r="AW31" s="31">
        <f t="shared" si="37"/>
        <v>51.208333333333336</v>
      </c>
      <c r="AX31" s="31">
        <f t="shared" si="38"/>
        <v>0</v>
      </c>
      <c r="AY31" s="31">
        <f t="shared" si="39"/>
        <v>0</v>
      </c>
      <c r="AZ31" s="33"/>
      <c r="BA31" s="37">
        <f t="shared" si="8"/>
        <v>-1</v>
      </c>
      <c r="BB31" s="36">
        <f>[1]PN!$K31</f>
        <v>416.66666666666669</v>
      </c>
      <c r="BC31" s="31">
        <f t="shared" si="40"/>
        <v>365.45833333333337</v>
      </c>
      <c r="BD31" s="31">
        <f t="shared" si="41"/>
        <v>51.208333333333336</v>
      </c>
      <c r="BE31" s="31">
        <f t="shared" si="42"/>
        <v>0</v>
      </c>
      <c r="BF31" s="31">
        <f t="shared" si="43"/>
        <v>0</v>
      </c>
      <c r="BG31" s="27"/>
      <c r="BH31" s="37">
        <f t="shared" si="9"/>
        <v>-1</v>
      </c>
      <c r="BI31" s="36">
        <f>[1]PN!$L31</f>
        <v>416.66666666666669</v>
      </c>
      <c r="BJ31" s="31">
        <f t="shared" si="44"/>
        <v>365.45833333333337</v>
      </c>
      <c r="BK31" s="31">
        <f t="shared" si="45"/>
        <v>51.208333333333336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[1]PN!$M31</f>
        <v>416.66666666666669</v>
      </c>
      <c r="BQ31" s="31">
        <f t="shared" si="48"/>
        <v>365.45833333333337</v>
      </c>
      <c r="BR31" s="31">
        <f t="shared" si="49"/>
        <v>51.208333333333336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[1]PN!$N31</f>
        <v>416.66666666666669</v>
      </c>
      <c r="BX31" s="31">
        <f t="shared" si="52"/>
        <v>365.45833333333337</v>
      </c>
      <c r="BY31" s="31">
        <f t="shared" si="53"/>
        <v>51.208333333333336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[1]PN!$O31</f>
        <v>416.66666666666669</v>
      </c>
      <c r="CE31" s="31">
        <f t="shared" si="56"/>
        <v>365.45833333333337</v>
      </c>
      <c r="CF31" s="31">
        <f t="shared" si="57"/>
        <v>51.208333333333336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[1]PN!$P31</f>
        <v>416.66666666666669</v>
      </c>
      <c r="CL31" s="31">
        <f t="shared" si="60"/>
        <v>365.45833333333337</v>
      </c>
      <c r="CM31" s="31">
        <f t="shared" si="61"/>
        <v>51.208333333333336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157</v>
      </c>
      <c r="B32" s="30">
        <f t="shared" si="0"/>
        <v>2433905.0559999999</v>
      </c>
      <c r="C32" s="31">
        <f t="shared" si="0"/>
        <v>2134778.1246176003</v>
      </c>
      <c r="D32" s="32">
        <f t="shared" si="0"/>
        <v>299126.93138239998</v>
      </c>
      <c r="E32" s="30">
        <f t="shared" si="15"/>
        <v>1354761.936</v>
      </c>
      <c r="F32" s="33">
        <f t="shared" si="15"/>
        <v>1188261.6940655999</v>
      </c>
      <c r="G32" s="34">
        <f t="shared" si="15"/>
        <v>166500.24193439999</v>
      </c>
      <c r="H32" s="31">
        <f t="shared" si="1"/>
        <v>559171.90358400007</v>
      </c>
      <c r="I32" s="33">
        <f t="shared" si="1"/>
        <v>38745.016416000006</v>
      </c>
      <c r="J32" s="33">
        <f t="shared" si="1"/>
        <v>597916.91999999993</v>
      </c>
      <c r="K32" s="37">
        <f t="shared" si="2"/>
        <v>-0.55865535920991516</v>
      </c>
      <c r="L32" s="36">
        <f>[1]PN!$E32</f>
        <v>377431.56</v>
      </c>
      <c r="M32" s="31">
        <f t="shared" si="16"/>
        <v>331045.22127600003</v>
      </c>
      <c r="N32" s="31">
        <f t="shared" si="17"/>
        <v>46386.338724000001</v>
      </c>
      <c r="O32" s="31">
        <f t="shared" si="18"/>
        <v>93329.845784000034</v>
      </c>
      <c r="P32" s="31">
        <f t="shared" si="19"/>
        <v>6466.8242160000036</v>
      </c>
      <c r="Q32" s="33">
        <f>294672.37+136274.54+8590.56+316.8-(340057.6)</f>
        <v>99796.670000000042</v>
      </c>
      <c r="R32" s="37">
        <f t="shared" si="3"/>
        <v>-0.73559002326143563</v>
      </c>
      <c r="S32" s="36">
        <f>[1]PN!$F32</f>
        <v>335390.484</v>
      </c>
      <c r="T32" s="31">
        <f t="shared" si="20"/>
        <v>294170.99351639999</v>
      </c>
      <c r="U32" s="31">
        <f t="shared" si="21"/>
        <v>41219.490483599999</v>
      </c>
      <c r="V32" s="31">
        <f t="shared" si="22"/>
        <v>101603.82204000001</v>
      </c>
      <c r="W32" s="31">
        <f t="shared" si="23"/>
        <v>7040.1279600000016</v>
      </c>
      <c r="X32" s="33">
        <f>98995.85+8731.8+916.3</f>
        <v>108643.95000000001</v>
      </c>
      <c r="Y32" s="37">
        <f t="shared" si="4"/>
        <v>-0.67606728520061399</v>
      </c>
      <c r="Z32" s="36">
        <f>[1]PN!$G32</f>
        <v>306549.408</v>
      </c>
      <c r="AA32" s="31">
        <f t="shared" si="24"/>
        <v>268874.48575679999</v>
      </c>
      <c r="AB32" s="31">
        <f t="shared" si="25"/>
        <v>37674.922243199995</v>
      </c>
      <c r="AC32" s="31">
        <f t="shared" si="26"/>
        <v>174623.12515199999</v>
      </c>
      <c r="AD32" s="31">
        <f t="shared" si="27"/>
        <v>12099.634848000002</v>
      </c>
      <c r="AE32" s="33">
        <f>177912.74+6985.94+517.28+1306.8</f>
        <v>186722.75999999998</v>
      </c>
      <c r="AF32" s="37">
        <f t="shared" si="5"/>
        <v>-0.39088853174363336</v>
      </c>
      <c r="AG32" s="36">
        <f>[1]PN!$H32</f>
        <v>335390.484</v>
      </c>
      <c r="AH32" s="31">
        <f t="shared" si="28"/>
        <v>294170.99351639999</v>
      </c>
      <c r="AI32" s="31">
        <f t="shared" si="29"/>
        <v>41219.490483599999</v>
      </c>
      <c r="AJ32" s="31">
        <f t="shared" si="30"/>
        <v>189615.11060799999</v>
      </c>
      <c r="AK32" s="31">
        <f t="shared" si="31"/>
        <v>13138.429392</v>
      </c>
      <c r="AL32" s="27">
        <f>200837.08+1916.46</f>
        <v>202753.53999999998</v>
      </c>
      <c r="AM32" s="37">
        <f t="shared" si="6"/>
        <v>-0.39547020660252252</v>
      </c>
      <c r="AN32" s="36">
        <f>[1]PN!$I32</f>
        <v>364231.56</v>
      </c>
      <c r="AO32" s="31">
        <f t="shared" si="32"/>
        <v>319467.501276</v>
      </c>
      <c r="AP32" s="31">
        <f t="shared" si="33"/>
        <v>44764.058723999995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[1]PN!$J32</f>
        <v>430231.56</v>
      </c>
      <c r="AV32" s="31">
        <f t="shared" si="36"/>
        <v>377356.10127600003</v>
      </c>
      <c r="AW32" s="31">
        <f t="shared" si="37"/>
        <v>52875.458723999996</v>
      </c>
      <c r="AX32" s="31">
        <f t="shared" si="38"/>
        <v>0</v>
      </c>
      <c r="AY32" s="31">
        <f t="shared" si="39"/>
        <v>0</v>
      </c>
      <c r="AZ32" s="33"/>
      <c r="BA32" s="37">
        <f t="shared" si="8"/>
        <v>-1</v>
      </c>
      <c r="BB32" s="36">
        <f>[1]PN!$K32</f>
        <v>188760</v>
      </c>
      <c r="BC32" s="31">
        <f t="shared" si="40"/>
        <v>165561.39600000001</v>
      </c>
      <c r="BD32" s="31">
        <f t="shared" si="41"/>
        <v>23198.603999999999</v>
      </c>
      <c r="BE32" s="31">
        <f t="shared" si="42"/>
        <v>0</v>
      </c>
      <c r="BF32" s="31">
        <f t="shared" si="43"/>
        <v>0</v>
      </c>
      <c r="BG32" s="27"/>
      <c r="BH32" s="37">
        <f t="shared" si="9"/>
        <v>-1</v>
      </c>
      <c r="BI32" s="36">
        <f>[1]PN!$L32</f>
        <v>90640</v>
      </c>
      <c r="BJ32" s="31">
        <f t="shared" si="44"/>
        <v>79500.343999999997</v>
      </c>
      <c r="BK32" s="31">
        <f t="shared" si="45"/>
        <v>11139.655999999999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[1]PN!$M32</f>
        <v>2640</v>
      </c>
      <c r="BQ32" s="31">
        <f t="shared" si="48"/>
        <v>2315.5439999999999</v>
      </c>
      <c r="BR32" s="31">
        <f t="shared" si="49"/>
        <v>324.45599999999996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[1]PN!$N32</f>
        <v>2640</v>
      </c>
      <c r="BX32" s="31">
        <f t="shared" si="52"/>
        <v>2315.5439999999999</v>
      </c>
      <c r="BY32" s="31">
        <f t="shared" si="53"/>
        <v>324.45599999999996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[1]PN!$O32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[1]PN!$P32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971428.57142857136</v>
      </c>
      <c r="C33" s="31">
        <f t="shared" si="0"/>
        <v>852040</v>
      </c>
      <c r="D33" s="32">
        <f t="shared" si="0"/>
        <v>119388.57142857142</v>
      </c>
      <c r="E33" s="30">
        <f t="shared" si="15"/>
        <v>624489.79591836734</v>
      </c>
      <c r="F33" s="33">
        <f t="shared" si="15"/>
        <v>547740</v>
      </c>
      <c r="G33" s="34">
        <f t="shared" si="15"/>
        <v>76749.795918367337</v>
      </c>
      <c r="H33" s="31">
        <f t="shared" si="1"/>
        <v>307398.47247199999</v>
      </c>
      <c r="I33" s="33">
        <f t="shared" si="1"/>
        <v>21299.637528000003</v>
      </c>
      <c r="J33" s="33">
        <f t="shared" si="1"/>
        <v>328698.11000000004</v>
      </c>
      <c r="K33" s="37">
        <f t="shared" si="2"/>
        <v>-0.47365335326797375</v>
      </c>
      <c r="L33" s="36">
        <f>[1]PN!$E33</f>
        <v>173469.38775510204</v>
      </c>
      <c r="M33" s="31">
        <f t="shared" si="16"/>
        <v>152150</v>
      </c>
      <c r="N33" s="31">
        <f t="shared" si="17"/>
        <v>21319.387755102041</v>
      </c>
      <c r="O33" s="31">
        <f t="shared" si="18"/>
        <v>99081.157447999998</v>
      </c>
      <c r="P33" s="31">
        <f t="shared" si="19"/>
        <v>6865.3325520000017</v>
      </c>
      <c r="Q33" s="33">
        <f>90307.89+15638.6</f>
        <v>105946.49</v>
      </c>
      <c r="R33" s="37">
        <f t="shared" si="3"/>
        <v>-0.38924964588235289</v>
      </c>
      <c r="S33" s="36">
        <f>[1]PN!$F33</f>
        <v>156122.44897959183</v>
      </c>
      <c r="T33" s="31">
        <f t="shared" si="20"/>
        <v>136935</v>
      </c>
      <c r="U33" s="31">
        <f t="shared" si="21"/>
        <v>19187.448979591834</v>
      </c>
      <c r="V33" s="31">
        <f t="shared" si="22"/>
        <v>56036.866032000005</v>
      </c>
      <c r="W33" s="31">
        <f t="shared" si="23"/>
        <v>3882.7939680000009</v>
      </c>
      <c r="X33" s="33">
        <v>59919.66</v>
      </c>
      <c r="Y33" s="37">
        <f t="shared" si="4"/>
        <v>-0.61620087058823525</v>
      </c>
      <c r="Z33" s="36">
        <f>[1]PN!$G33</f>
        <v>138775.51020408163</v>
      </c>
      <c r="AA33" s="31">
        <f t="shared" si="24"/>
        <v>121720</v>
      </c>
      <c r="AB33" s="31">
        <f t="shared" si="25"/>
        <v>17055.510204081631</v>
      </c>
      <c r="AC33" s="31">
        <f t="shared" si="26"/>
        <v>149803.89911199998</v>
      </c>
      <c r="AD33" s="31">
        <f t="shared" si="27"/>
        <v>10379.910888000002</v>
      </c>
      <c r="AE33" s="33">
        <v>160183.81</v>
      </c>
      <c r="AF33" s="37">
        <f t="shared" si="5"/>
        <v>0.15426568970588228</v>
      </c>
      <c r="AG33" s="36">
        <f>[1]PN!$H33</f>
        <v>156122.44897959183</v>
      </c>
      <c r="AH33" s="31">
        <f t="shared" si="28"/>
        <v>136935</v>
      </c>
      <c r="AI33" s="31">
        <f t="shared" si="29"/>
        <v>19187.448979591834</v>
      </c>
      <c r="AJ33" s="31">
        <f t="shared" si="30"/>
        <v>2476.54988</v>
      </c>
      <c r="AK33" s="31">
        <f t="shared" si="31"/>
        <v>171.60012000000003</v>
      </c>
      <c r="AL33" s="27">
        <v>2648.15</v>
      </c>
      <c r="AM33" s="37">
        <f t="shared" si="6"/>
        <v>-0.9830379934640523</v>
      </c>
      <c r="AN33" s="36">
        <f>[1]PN!$I33</f>
        <v>173469.38775510204</v>
      </c>
      <c r="AO33" s="31">
        <f t="shared" si="32"/>
        <v>152150</v>
      </c>
      <c r="AP33" s="31">
        <f t="shared" si="33"/>
        <v>21319.387755102041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[1]PN!$J33</f>
        <v>173469.38775510204</v>
      </c>
      <c r="AV33" s="31">
        <f t="shared" si="36"/>
        <v>152150</v>
      </c>
      <c r="AW33" s="31">
        <f t="shared" si="37"/>
        <v>21319.387755102041</v>
      </c>
      <c r="AX33" s="31">
        <f t="shared" si="38"/>
        <v>0</v>
      </c>
      <c r="AY33" s="31">
        <f t="shared" si="39"/>
        <v>0</v>
      </c>
      <c r="AZ33" s="33"/>
      <c r="BA33" s="37">
        <f t="shared" si="8"/>
        <v>-1</v>
      </c>
      <c r="BB33" s="36">
        <f>[1]PN!$K33</f>
        <v>0</v>
      </c>
      <c r="BC33" s="31">
        <f t="shared" si="40"/>
        <v>0</v>
      </c>
      <c r="BD33" s="31">
        <f t="shared" si="41"/>
        <v>0</v>
      </c>
      <c r="BE33" s="31">
        <f t="shared" si="42"/>
        <v>0</v>
      </c>
      <c r="BF33" s="31">
        <f t="shared" si="43"/>
        <v>0</v>
      </c>
      <c r="BG33" s="27"/>
      <c r="BH33" s="37" t="str">
        <f t="shared" si="9"/>
        <v/>
      </c>
      <c r="BI33" s="36">
        <f>[1]PN!$L33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[1]PN!$M33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[1]PN!$N33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[1]PN!$O33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[1]PN!$P33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158</v>
      </c>
      <c r="B34" s="30">
        <f t="shared" si="0"/>
        <v>881457.25</v>
      </c>
      <c r="C34" s="31">
        <f t="shared" si="0"/>
        <v>773126.15397500002</v>
      </c>
      <c r="D34" s="32">
        <f t="shared" si="0"/>
        <v>108331.09602500001</v>
      </c>
      <c r="E34" s="30">
        <f t="shared" si="15"/>
        <v>806457.25</v>
      </c>
      <c r="F34" s="33">
        <f t="shared" si="15"/>
        <v>707343.65397500002</v>
      </c>
      <c r="G34" s="34">
        <f t="shared" si="15"/>
        <v>99113.596025000006</v>
      </c>
      <c r="H34" s="31">
        <f t="shared" si="1"/>
        <v>439586.43937600008</v>
      </c>
      <c r="I34" s="33">
        <f t="shared" si="1"/>
        <v>30458.940624000006</v>
      </c>
      <c r="J34" s="33">
        <f t="shared" si="1"/>
        <v>470045.38</v>
      </c>
      <c r="K34" s="37">
        <f t="shared" si="2"/>
        <v>-0.41714780293685749</v>
      </c>
      <c r="L34" s="36">
        <f>[1]PN!$E34</f>
        <v>464502.35000000003</v>
      </c>
      <c r="M34" s="31">
        <f t="shared" si="16"/>
        <v>407415.01118500001</v>
      </c>
      <c r="N34" s="31">
        <f t="shared" si="17"/>
        <v>57087.338815000003</v>
      </c>
      <c r="O34" s="31">
        <f t="shared" si="18"/>
        <v>366451.50813600002</v>
      </c>
      <c r="P34" s="31">
        <f t="shared" si="19"/>
        <v>25391.421864000004</v>
      </c>
      <c r="Q34" s="33">
        <f>8426.54+43358.79+(340057.6)</f>
        <v>391842.93</v>
      </c>
      <c r="R34" s="37">
        <f t="shared" si="3"/>
        <v>-0.15642422476441731</v>
      </c>
      <c r="S34" s="36">
        <f>[1]PN!$F34</f>
        <v>341954.9</v>
      </c>
      <c r="T34" s="31">
        <f t="shared" si="20"/>
        <v>299928.64279000001</v>
      </c>
      <c r="U34" s="31">
        <f t="shared" si="21"/>
        <v>42026.257210000003</v>
      </c>
      <c r="V34" s="31">
        <f t="shared" si="22"/>
        <v>37230.957288000005</v>
      </c>
      <c r="W34" s="31">
        <f t="shared" si="23"/>
        <v>2579.7327120000004</v>
      </c>
      <c r="X34" s="33">
        <v>39810.69</v>
      </c>
      <c r="Y34" s="37">
        <f t="shared" si="4"/>
        <v>-0.88357912110632131</v>
      </c>
      <c r="Z34" s="36">
        <f>[1]PN!$G34</f>
        <v>0</v>
      </c>
      <c r="AA34" s="31">
        <f t="shared" si="24"/>
        <v>0</v>
      </c>
      <c r="AB34" s="31">
        <f t="shared" si="25"/>
        <v>0</v>
      </c>
      <c r="AC34" s="31">
        <f t="shared" si="26"/>
        <v>35903.973952</v>
      </c>
      <c r="AD34" s="31">
        <f t="shared" si="27"/>
        <v>2487.7860480000004</v>
      </c>
      <c r="AE34" s="33">
        <v>38391.760000000002</v>
      </c>
      <c r="AF34" s="37" t="str">
        <f t="shared" si="5"/>
        <v/>
      </c>
      <c r="AG34" s="36">
        <f>[1]PN!$H34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27"/>
      <c r="AM34" s="37" t="str">
        <f t="shared" si="6"/>
        <v/>
      </c>
      <c r="AN34" s="36">
        <f>[1]PN!$I34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7"/>
        <v/>
      </c>
      <c r="AU34" s="36">
        <f>[1]PN!$J34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33"/>
      <c r="BA34" s="37" t="str">
        <f t="shared" si="8"/>
        <v/>
      </c>
      <c r="BB34" s="36">
        <f>[1]PN!$K34</f>
        <v>30000</v>
      </c>
      <c r="BC34" s="31">
        <f t="shared" si="40"/>
        <v>26313</v>
      </c>
      <c r="BD34" s="31">
        <f t="shared" si="41"/>
        <v>3687</v>
      </c>
      <c r="BE34" s="31">
        <f t="shared" si="42"/>
        <v>0</v>
      </c>
      <c r="BF34" s="31">
        <f t="shared" si="43"/>
        <v>0</v>
      </c>
      <c r="BG34" s="27"/>
      <c r="BH34" s="37">
        <f t="shared" si="9"/>
        <v>-1</v>
      </c>
      <c r="BI34" s="36">
        <f>[1]PN!$L34</f>
        <v>45000</v>
      </c>
      <c r="BJ34" s="31">
        <f t="shared" si="44"/>
        <v>39469.5</v>
      </c>
      <c r="BK34" s="31">
        <f t="shared" si="45"/>
        <v>5530.5</v>
      </c>
      <c r="BL34" s="31">
        <f t="shared" si="46"/>
        <v>0</v>
      </c>
      <c r="BM34" s="31">
        <f t="shared" si="47"/>
        <v>0</v>
      </c>
      <c r="BN34" s="33"/>
      <c r="BO34" s="37">
        <f t="shared" si="10"/>
        <v>-1</v>
      </c>
      <c r="BP34" s="36">
        <f>[1]PN!$M34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[1]PN!$N34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[1]PN!$O34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[1]PN!$P34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281632.6530612245</v>
      </c>
      <c r="C35" s="31">
        <f t="shared" si="0"/>
        <v>247020</v>
      </c>
      <c r="D35" s="32">
        <f t="shared" si="0"/>
        <v>34612.65306122449</v>
      </c>
      <c r="E35" s="30">
        <f t="shared" si="15"/>
        <v>281632.6530612245</v>
      </c>
      <c r="F35" s="33">
        <f t="shared" si="15"/>
        <v>247020</v>
      </c>
      <c r="G35" s="34">
        <f t="shared" si="15"/>
        <v>34612.65306122449</v>
      </c>
      <c r="H35" s="31">
        <f t="shared" si="1"/>
        <v>103785.204096</v>
      </c>
      <c r="I35" s="33">
        <f t="shared" si="1"/>
        <v>7191.2759040000019</v>
      </c>
      <c r="J35" s="33">
        <f t="shared" si="1"/>
        <v>110976.48000000001</v>
      </c>
      <c r="K35" s="37">
        <f t="shared" si="2"/>
        <v>-0.60595307826086953</v>
      </c>
      <c r="L35" s="36">
        <f>[1]PN!$E35</f>
        <v>168979.5918367347</v>
      </c>
      <c r="M35" s="31">
        <f t="shared" si="16"/>
        <v>148212</v>
      </c>
      <c r="N35" s="31">
        <f t="shared" si="17"/>
        <v>20767.591836734693</v>
      </c>
      <c r="O35" s="31">
        <f t="shared" si="18"/>
        <v>80719.618336</v>
      </c>
      <c r="P35" s="31">
        <f t="shared" si="19"/>
        <v>5593.0616640000017</v>
      </c>
      <c r="Q35" s="33">
        <f>5637.35+80675.33</f>
        <v>86312.680000000008</v>
      </c>
      <c r="R35" s="37">
        <f t="shared" si="3"/>
        <v>-0.48921240096618357</v>
      </c>
      <c r="S35" s="36">
        <f>[1]PN!$F35</f>
        <v>112653.06122448981</v>
      </c>
      <c r="T35" s="31">
        <f t="shared" si="20"/>
        <v>98808.000000000015</v>
      </c>
      <c r="U35" s="31">
        <f t="shared" si="21"/>
        <v>13845.061224489797</v>
      </c>
      <c r="V35" s="31">
        <f t="shared" si="22"/>
        <v>23065.585759999998</v>
      </c>
      <c r="W35" s="31">
        <f t="shared" si="23"/>
        <v>1598.2142400000002</v>
      </c>
      <c r="X35" s="33">
        <v>24663.8</v>
      </c>
      <c r="Y35" s="37">
        <f t="shared" si="4"/>
        <v>-0.78106409420289857</v>
      </c>
      <c r="Z35" s="36">
        <f>[1]PN!$G35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33"/>
      <c r="AF35" s="37" t="str">
        <f t="shared" si="5"/>
        <v/>
      </c>
      <c r="AG35" s="36">
        <f>[1]PN!$H35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27"/>
      <c r="AM35" s="37" t="str">
        <f t="shared" si="6"/>
        <v/>
      </c>
      <c r="AN35" s="36">
        <f>[1]PN!$I35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7"/>
        <v/>
      </c>
      <c r="AU35" s="36">
        <f>[1]PN!$J35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33"/>
      <c r="BA35" s="37" t="str">
        <f t="shared" si="8"/>
        <v/>
      </c>
      <c r="BB35" s="36">
        <f>[1]PN!$K35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9"/>
        <v/>
      </c>
      <c r="BI35" s="36">
        <f>[1]PN!$L35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[1]PN!$M35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[1]PN!$N35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[1]PN!$O35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[1]PN!$P35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170000</v>
      </c>
      <c r="C36" s="31">
        <f t="shared" si="64"/>
        <v>149106.99999999997</v>
      </c>
      <c r="D36" s="32">
        <f t="shared" si="64"/>
        <v>20893</v>
      </c>
      <c r="E36" s="30">
        <f t="shared" si="15"/>
        <v>56666.666666666664</v>
      </c>
      <c r="F36" s="33">
        <f t="shared" si="15"/>
        <v>49702.333333333328</v>
      </c>
      <c r="G36" s="34">
        <f t="shared" si="15"/>
        <v>6964.333333333333</v>
      </c>
      <c r="H36" s="31">
        <f t="shared" ref="H36:J54" si="65">+O36+V36+AC36+AJ36+AQ36+AX36+BE36+BL36+BS36+BZ36+CG36+CN36</f>
        <v>60389.240072000001</v>
      </c>
      <c r="I36" s="33">
        <f t="shared" si="65"/>
        <v>4184.369928000001</v>
      </c>
      <c r="J36" s="33">
        <f t="shared" si="65"/>
        <v>64573.61</v>
      </c>
      <c r="K36" s="37">
        <f t="shared" si="2"/>
        <v>0.13953429411764717</v>
      </c>
      <c r="L36" s="36">
        <f>[1]PN!$E36</f>
        <v>14166.666666666666</v>
      </c>
      <c r="M36" s="31">
        <f t="shared" si="16"/>
        <v>12425.583333333332</v>
      </c>
      <c r="N36" s="31">
        <f t="shared" si="17"/>
        <v>1741.0833333333333</v>
      </c>
      <c r="O36" s="31">
        <f t="shared" si="18"/>
        <v>10533.120191999998</v>
      </c>
      <c r="P36" s="31">
        <f t="shared" si="19"/>
        <v>729.83980800000006</v>
      </c>
      <c r="Q36" s="33">
        <f>220.88+175+76.23+244.64+1112.45+40.73+1300+600+4.8+55.36+36.08+17.54+10.65+34.7+14.58+1400+40.77+470+190+39.54+159.75+34.21+4386+560+39.05</f>
        <v>11262.96</v>
      </c>
      <c r="R36" s="37">
        <f t="shared" si="3"/>
        <v>-0.20496752941176477</v>
      </c>
      <c r="S36" s="36">
        <f>[1]PN!$F36</f>
        <v>14166.666666666666</v>
      </c>
      <c r="T36" s="31">
        <f t="shared" si="20"/>
        <v>12425.583333333332</v>
      </c>
      <c r="U36" s="31">
        <f t="shared" si="21"/>
        <v>1741.0833333333333</v>
      </c>
      <c r="V36" s="31">
        <f t="shared" si="22"/>
        <v>13177.753568</v>
      </c>
      <c r="W36" s="31">
        <f t="shared" si="23"/>
        <v>913.08643200000017</v>
      </c>
      <c r="X36" s="33">
        <f>43.98+30.27+2534+2300+282.72+23+1600+97.6+147+480+24.71+37.41+500+1400+160+2500+484+260+150+950+86.15</f>
        <v>14090.84</v>
      </c>
      <c r="Y36" s="37">
        <f t="shared" si="4"/>
        <v>-5.3524705882352919E-3</v>
      </c>
      <c r="Z36" s="36">
        <f>[1]PN!$G36</f>
        <v>14166.666666666666</v>
      </c>
      <c r="AA36" s="31">
        <f t="shared" si="24"/>
        <v>12425.583333333332</v>
      </c>
      <c r="AB36" s="31">
        <f t="shared" si="25"/>
        <v>1741.0833333333333</v>
      </c>
      <c r="AC36" s="31">
        <f t="shared" si="26"/>
        <v>12263.156024</v>
      </c>
      <c r="AD36" s="31">
        <f t="shared" si="27"/>
        <v>849.71397600000023</v>
      </c>
      <c r="AE36" s="33">
        <f>1845.9+200+31.5+182.1+514.6+547.1+41.8+32.59+3.47+3.56+24.22+36.57+19.03+808.7+17.79+4.78+570+19.77+520+100+190+634.37+800+108.72+2206.74+150+1500+1150.13+44.69+15.64+30.15+30.6+500+40+33.13+30+125.22</f>
        <v>13112.87</v>
      </c>
      <c r="AF36" s="37">
        <f t="shared" si="5"/>
        <v>-7.4385647058823445E-2</v>
      </c>
      <c r="AG36" s="36">
        <f>[1]PN!$H36</f>
        <v>14166.666666666666</v>
      </c>
      <c r="AH36" s="31">
        <f t="shared" si="28"/>
        <v>12425.583333333332</v>
      </c>
      <c r="AI36" s="31">
        <f t="shared" si="29"/>
        <v>1741.0833333333333</v>
      </c>
      <c r="AJ36" s="31">
        <f t="shared" si="30"/>
        <v>24415.210288000002</v>
      </c>
      <c r="AK36" s="31">
        <f t="shared" si="31"/>
        <v>1691.7297120000005</v>
      </c>
      <c r="AL36" s="27">
        <f>2314.54+122.11+152.46+137.08+92.95+1015+15.35+1.73+15.31+320+28.05+27.82+11.99+5.93+1200+5.82+745.95+4500+100+28.78+75+550+95+25.9+46.04+222.13+200+28.78+3167.34+6545.97+22.61+650+1400+10.46+34.53+300+496+480+916.31</f>
        <v>26106.940000000002</v>
      </c>
      <c r="AM36" s="37">
        <f t="shared" si="6"/>
        <v>0.84284282352941209</v>
      </c>
      <c r="AN36" s="36">
        <f>[1]PN!$I36</f>
        <v>14166.666666666666</v>
      </c>
      <c r="AO36" s="31">
        <f t="shared" si="32"/>
        <v>12425.583333333332</v>
      </c>
      <c r="AP36" s="31">
        <f t="shared" si="33"/>
        <v>1741.0833333333333</v>
      </c>
      <c r="AQ36" s="31">
        <f t="shared" si="34"/>
        <v>0</v>
      </c>
      <c r="AR36" s="31">
        <f t="shared" si="35"/>
        <v>0</v>
      </c>
      <c r="AS36" s="33"/>
      <c r="AT36" s="37">
        <f t="shared" si="7"/>
        <v>-1</v>
      </c>
      <c r="AU36" s="36">
        <f>[1]PN!$J36</f>
        <v>14166.666666666666</v>
      </c>
      <c r="AV36" s="31">
        <f t="shared" si="36"/>
        <v>12425.583333333332</v>
      </c>
      <c r="AW36" s="31">
        <f t="shared" si="37"/>
        <v>1741.0833333333333</v>
      </c>
      <c r="AX36" s="31">
        <f t="shared" si="38"/>
        <v>0</v>
      </c>
      <c r="AY36" s="31">
        <f t="shared" si="39"/>
        <v>0</v>
      </c>
      <c r="AZ36" s="33"/>
      <c r="BA36" s="37">
        <f t="shared" si="8"/>
        <v>-1</v>
      </c>
      <c r="BB36" s="36">
        <f>[1]PN!$K36</f>
        <v>14166.666666666666</v>
      </c>
      <c r="BC36" s="31">
        <f t="shared" si="40"/>
        <v>12425.583333333332</v>
      </c>
      <c r="BD36" s="31">
        <f t="shared" si="41"/>
        <v>1741.0833333333333</v>
      </c>
      <c r="BE36" s="31">
        <f t="shared" si="42"/>
        <v>0</v>
      </c>
      <c r="BF36" s="31">
        <f t="shared" si="43"/>
        <v>0</v>
      </c>
      <c r="BG36" s="27"/>
      <c r="BH36" s="37">
        <f t="shared" si="9"/>
        <v>-1</v>
      </c>
      <c r="BI36" s="36">
        <f>[1]PN!$L36</f>
        <v>14166.666666666666</v>
      </c>
      <c r="BJ36" s="31">
        <f t="shared" si="44"/>
        <v>12425.583333333332</v>
      </c>
      <c r="BK36" s="31">
        <f t="shared" si="45"/>
        <v>1741.0833333333333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[1]PN!$M36</f>
        <v>14166.666666666666</v>
      </c>
      <c r="BQ36" s="31">
        <f t="shared" si="48"/>
        <v>12425.583333333332</v>
      </c>
      <c r="BR36" s="31">
        <f t="shared" si="49"/>
        <v>1741.0833333333333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[1]PN!$N36</f>
        <v>14166.666666666666</v>
      </c>
      <c r="BX36" s="31">
        <f t="shared" si="52"/>
        <v>12425.583333333332</v>
      </c>
      <c r="BY36" s="31">
        <f t="shared" si="53"/>
        <v>1741.0833333333333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[1]PN!$O36</f>
        <v>14166.666666666666</v>
      </c>
      <c r="CE36" s="31">
        <f t="shared" si="56"/>
        <v>12425.583333333332</v>
      </c>
      <c r="CF36" s="31">
        <f t="shared" si="57"/>
        <v>1741.0833333333333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[1]PN!$P36</f>
        <v>14166.666666666666</v>
      </c>
      <c r="CL36" s="31">
        <f t="shared" si="60"/>
        <v>12425.583333333332</v>
      </c>
      <c r="CM36" s="31">
        <f t="shared" si="61"/>
        <v>1741.0833333333333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140000.00000000003</v>
      </c>
      <c r="C37" s="31">
        <f t="shared" si="64"/>
        <v>122793.99999999996</v>
      </c>
      <c r="D37" s="32">
        <f t="shared" si="64"/>
        <v>17206.000000000004</v>
      </c>
      <c r="E37" s="30">
        <f t="shared" ref="E37:G54" si="66">+L37+S37+Z37+AG37</f>
        <v>46666.666666666664</v>
      </c>
      <c r="F37" s="33">
        <f t="shared" si="66"/>
        <v>40931.333333333328</v>
      </c>
      <c r="G37" s="34">
        <f t="shared" si="66"/>
        <v>5735.333333333333</v>
      </c>
      <c r="H37" s="31">
        <f t="shared" si="65"/>
        <v>83653.714815999992</v>
      </c>
      <c r="I37" s="33">
        <f t="shared" si="65"/>
        <v>5796.365184000002</v>
      </c>
      <c r="J37" s="33">
        <f t="shared" si="65"/>
        <v>89450.08</v>
      </c>
      <c r="K37" s="37">
        <f t="shared" si="2"/>
        <v>0.91678742857142881</v>
      </c>
      <c r="L37" s="36">
        <f>[1]PN!$E37</f>
        <v>11666.666666666666</v>
      </c>
      <c r="M37" s="31">
        <f t="shared" si="16"/>
        <v>10232.833333333332</v>
      </c>
      <c r="N37" s="31">
        <f t="shared" si="17"/>
        <v>1433.8333333333333</v>
      </c>
      <c r="O37" s="31">
        <f t="shared" si="18"/>
        <v>21863.517088000001</v>
      </c>
      <c r="P37" s="31">
        <f t="shared" si="19"/>
        <v>1514.9229120000005</v>
      </c>
      <c r="Q37" s="33">
        <f>34641.4-Q36</f>
        <v>23378.440000000002</v>
      </c>
      <c r="R37" s="37">
        <f t="shared" si="3"/>
        <v>1.0038662857142859</v>
      </c>
      <c r="S37" s="36">
        <f>[1]PN!$F37</f>
        <v>11666.666666666666</v>
      </c>
      <c r="T37" s="31">
        <f t="shared" si="20"/>
        <v>10232.833333333332</v>
      </c>
      <c r="U37" s="31">
        <f t="shared" si="21"/>
        <v>1433.8333333333333</v>
      </c>
      <c r="V37" s="31">
        <f t="shared" si="22"/>
        <v>19821.264736000005</v>
      </c>
      <c r="W37" s="31">
        <f t="shared" si="23"/>
        <v>1373.4152640000004</v>
      </c>
      <c r="X37" s="33">
        <f>(35199.37+86.15)-X36</f>
        <v>21194.680000000004</v>
      </c>
      <c r="Y37" s="37">
        <f t="shared" si="4"/>
        <v>0.8166868571428576</v>
      </c>
      <c r="Z37" s="36">
        <f>[1]PN!$G37</f>
        <v>11666.666666666666</v>
      </c>
      <c r="AA37" s="31">
        <f t="shared" si="24"/>
        <v>10232.833333333332</v>
      </c>
      <c r="AB37" s="31">
        <f t="shared" si="25"/>
        <v>1433.8333333333333</v>
      </c>
      <c r="AC37" s="31">
        <f t="shared" si="26"/>
        <v>19435.578903999998</v>
      </c>
      <c r="AD37" s="31">
        <f t="shared" si="27"/>
        <v>1346.691096</v>
      </c>
      <c r="AE37" s="33">
        <f>33895.14-AE36</f>
        <v>20782.269999999997</v>
      </c>
      <c r="AF37" s="37">
        <f t="shared" si="5"/>
        <v>0.78133742857142829</v>
      </c>
      <c r="AG37" s="36">
        <f>[1]PN!$H37</f>
        <v>11666.666666666666</v>
      </c>
      <c r="AH37" s="31">
        <f t="shared" si="28"/>
        <v>10232.833333333332</v>
      </c>
      <c r="AI37" s="31">
        <f t="shared" si="29"/>
        <v>1433.8333333333333</v>
      </c>
      <c r="AJ37" s="31">
        <f t="shared" si="30"/>
        <v>22533.354087999996</v>
      </c>
      <c r="AK37" s="31">
        <f t="shared" si="31"/>
        <v>1561.335912</v>
      </c>
      <c r="AL37" s="27">
        <f>50201.63-AL36</f>
        <v>24094.689999999995</v>
      </c>
      <c r="AM37" s="37">
        <f t="shared" si="6"/>
        <v>1.0652591428571427</v>
      </c>
      <c r="AN37" s="36">
        <f>[1]PN!$I37</f>
        <v>11666.666666666666</v>
      </c>
      <c r="AO37" s="31">
        <f t="shared" si="32"/>
        <v>10232.833333333332</v>
      </c>
      <c r="AP37" s="31">
        <f t="shared" si="33"/>
        <v>1433.8333333333333</v>
      </c>
      <c r="AQ37" s="31">
        <f t="shared" si="34"/>
        <v>0</v>
      </c>
      <c r="AR37" s="31">
        <f t="shared" si="35"/>
        <v>0</v>
      </c>
      <c r="AS37" s="33"/>
      <c r="AT37" s="37">
        <f t="shared" si="7"/>
        <v>-1</v>
      </c>
      <c r="AU37" s="36">
        <f>[1]PN!$J37</f>
        <v>11666.666666666666</v>
      </c>
      <c r="AV37" s="31">
        <f t="shared" si="36"/>
        <v>10232.833333333332</v>
      </c>
      <c r="AW37" s="31">
        <f t="shared" si="37"/>
        <v>1433.8333333333333</v>
      </c>
      <c r="AX37" s="31">
        <f t="shared" si="38"/>
        <v>0</v>
      </c>
      <c r="AY37" s="31">
        <f t="shared" si="39"/>
        <v>0</v>
      </c>
      <c r="AZ37" s="33"/>
      <c r="BA37" s="37">
        <f t="shared" si="8"/>
        <v>-1</v>
      </c>
      <c r="BB37" s="36">
        <f>[1]PN!$K37</f>
        <v>11666.666666666666</v>
      </c>
      <c r="BC37" s="31">
        <f t="shared" si="40"/>
        <v>10232.833333333332</v>
      </c>
      <c r="BD37" s="31">
        <f t="shared" si="41"/>
        <v>1433.8333333333333</v>
      </c>
      <c r="BE37" s="31">
        <f t="shared" si="42"/>
        <v>0</v>
      </c>
      <c r="BF37" s="31">
        <f t="shared" si="43"/>
        <v>0</v>
      </c>
      <c r="BG37" s="27"/>
      <c r="BH37" s="37">
        <f t="shared" si="9"/>
        <v>-1</v>
      </c>
      <c r="BI37" s="36">
        <f>[1]PN!$L37</f>
        <v>11666.666666666666</v>
      </c>
      <c r="BJ37" s="31">
        <f t="shared" si="44"/>
        <v>10232.833333333332</v>
      </c>
      <c r="BK37" s="31">
        <f t="shared" si="45"/>
        <v>1433.8333333333333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[1]PN!$M37</f>
        <v>11666.666666666666</v>
      </c>
      <c r="BQ37" s="31">
        <f t="shared" si="48"/>
        <v>10232.833333333332</v>
      </c>
      <c r="BR37" s="31">
        <f t="shared" si="49"/>
        <v>1433.8333333333333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[1]PN!$N37</f>
        <v>11666.666666666666</v>
      </c>
      <c r="BX37" s="31">
        <f t="shared" si="52"/>
        <v>10232.833333333332</v>
      </c>
      <c r="BY37" s="31">
        <f t="shared" si="53"/>
        <v>1433.8333333333333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[1]PN!$O37</f>
        <v>11666.666666666666</v>
      </c>
      <c r="CE37" s="31">
        <f t="shared" si="56"/>
        <v>10232.833333333332</v>
      </c>
      <c r="CF37" s="31">
        <f t="shared" si="57"/>
        <v>1433.8333333333333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[1]PN!$P37</f>
        <v>11666.666666666666</v>
      </c>
      <c r="CL37" s="31">
        <f t="shared" si="60"/>
        <v>10232.833333333332</v>
      </c>
      <c r="CM37" s="31">
        <f t="shared" si="61"/>
        <v>1433.8333333333333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20000</v>
      </c>
      <c r="C38" s="31">
        <f t="shared" si="64"/>
        <v>17542.000000000004</v>
      </c>
      <c r="D38" s="32">
        <f t="shared" si="64"/>
        <v>2458</v>
      </c>
      <c r="E38" s="30">
        <f t="shared" si="66"/>
        <v>6666.666666666667</v>
      </c>
      <c r="F38" s="33">
        <f t="shared" si="66"/>
        <v>5847.3333333333339</v>
      </c>
      <c r="G38" s="34">
        <f t="shared" si="66"/>
        <v>819.33333333333337</v>
      </c>
      <c r="H38" s="31">
        <f t="shared" si="65"/>
        <v>4787.1859279999999</v>
      </c>
      <c r="I38" s="33">
        <f t="shared" si="65"/>
        <v>331.70407200000005</v>
      </c>
      <c r="J38" s="33">
        <f t="shared" si="65"/>
        <v>5118.8900000000003</v>
      </c>
      <c r="K38" s="37">
        <f t="shared" si="2"/>
        <v>-0.23216649999999994</v>
      </c>
      <c r="L38" s="36">
        <f>[1]PN!$E38</f>
        <v>1666.6666666666667</v>
      </c>
      <c r="M38" s="31">
        <f t="shared" si="16"/>
        <v>1461.8333333333335</v>
      </c>
      <c r="N38" s="31">
        <f t="shared" si="17"/>
        <v>204.83333333333334</v>
      </c>
      <c r="O38" s="31">
        <f t="shared" si="18"/>
        <v>880.32246400000008</v>
      </c>
      <c r="P38" s="31">
        <f t="shared" si="19"/>
        <v>60.997536000000011</v>
      </c>
      <c r="Q38" s="33">
        <f>941.32</f>
        <v>941.32</v>
      </c>
      <c r="R38" s="37">
        <f t="shared" si="3"/>
        <v>-0.43520800000000004</v>
      </c>
      <c r="S38" s="36">
        <f>[1]PN!$F38</f>
        <v>1666.6666666666667</v>
      </c>
      <c r="T38" s="31">
        <f t="shared" si="20"/>
        <v>1461.8333333333335</v>
      </c>
      <c r="U38" s="31">
        <f t="shared" si="21"/>
        <v>204.83333333333334</v>
      </c>
      <c r="V38" s="31">
        <f t="shared" si="22"/>
        <v>1372.8268399999999</v>
      </c>
      <c r="W38" s="31">
        <f t="shared" si="23"/>
        <v>95.123160000000013</v>
      </c>
      <c r="X38" s="33">
        <f>1467.95</f>
        <v>1467.95</v>
      </c>
      <c r="Y38" s="37">
        <f t="shared" si="4"/>
        <v>-0.11923000000000006</v>
      </c>
      <c r="Z38" s="36">
        <f>[1]PN!$G38</f>
        <v>1666.6666666666667</v>
      </c>
      <c r="AA38" s="31">
        <f t="shared" si="24"/>
        <v>1461.8333333333335</v>
      </c>
      <c r="AB38" s="31">
        <f t="shared" si="25"/>
        <v>204.83333333333334</v>
      </c>
      <c r="AC38" s="31">
        <f t="shared" si="26"/>
        <v>1786.531264</v>
      </c>
      <c r="AD38" s="31">
        <f t="shared" si="27"/>
        <v>123.78873600000001</v>
      </c>
      <c r="AE38" s="33">
        <f>1810.32+100</f>
        <v>1910.32</v>
      </c>
      <c r="AF38" s="37">
        <f t="shared" si="5"/>
        <v>0.14619199999999988</v>
      </c>
      <c r="AG38" s="36">
        <f>[1]PN!$H38</f>
        <v>1666.6666666666667</v>
      </c>
      <c r="AH38" s="31">
        <f t="shared" si="28"/>
        <v>1461.8333333333335</v>
      </c>
      <c r="AI38" s="31">
        <f t="shared" si="29"/>
        <v>204.83333333333334</v>
      </c>
      <c r="AJ38" s="31">
        <f t="shared" si="30"/>
        <v>747.50536</v>
      </c>
      <c r="AK38" s="31">
        <f t="shared" si="31"/>
        <v>51.794640000000008</v>
      </c>
      <c r="AL38" s="27">
        <v>799.3</v>
      </c>
      <c r="AM38" s="37">
        <f t="shared" si="6"/>
        <v>-0.5204200000000001</v>
      </c>
      <c r="AN38" s="36">
        <f>[1]PN!$I38</f>
        <v>1666.6666666666667</v>
      </c>
      <c r="AO38" s="31">
        <f t="shared" si="32"/>
        <v>1461.8333333333335</v>
      </c>
      <c r="AP38" s="31">
        <f t="shared" si="33"/>
        <v>204.83333333333334</v>
      </c>
      <c r="AQ38" s="31">
        <f t="shared" si="34"/>
        <v>0</v>
      </c>
      <c r="AR38" s="31">
        <f t="shared" si="35"/>
        <v>0</v>
      </c>
      <c r="AS38" s="33"/>
      <c r="AT38" s="37">
        <f t="shared" si="7"/>
        <v>-1</v>
      </c>
      <c r="AU38" s="36">
        <f>[1]PN!$J38</f>
        <v>1666.6666666666667</v>
      </c>
      <c r="AV38" s="31">
        <f t="shared" si="36"/>
        <v>1461.8333333333335</v>
      </c>
      <c r="AW38" s="31">
        <f t="shared" si="37"/>
        <v>204.83333333333334</v>
      </c>
      <c r="AX38" s="31">
        <f t="shared" si="38"/>
        <v>0</v>
      </c>
      <c r="AY38" s="31">
        <f t="shared" si="39"/>
        <v>0</v>
      </c>
      <c r="AZ38" s="33"/>
      <c r="BA38" s="37">
        <f t="shared" si="8"/>
        <v>-1</v>
      </c>
      <c r="BB38" s="36">
        <f>[1]PN!$K38</f>
        <v>1666.6666666666667</v>
      </c>
      <c r="BC38" s="31">
        <f t="shared" si="40"/>
        <v>1461.8333333333335</v>
      </c>
      <c r="BD38" s="31">
        <f t="shared" si="41"/>
        <v>204.83333333333334</v>
      </c>
      <c r="BE38" s="31">
        <f t="shared" si="42"/>
        <v>0</v>
      </c>
      <c r="BF38" s="31">
        <f t="shared" si="43"/>
        <v>0</v>
      </c>
      <c r="BG38" s="27"/>
      <c r="BH38" s="37">
        <f t="shared" si="9"/>
        <v>-1</v>
      </c>
      <c r="BI38" s="36">
        <f>[1]PN!$L38</f>
        <v>1666.6666666666667</v>
      </c>
      <c r="BJ38" s="31">
        <f t="shared" si="44"/>
        <v>1461.8333333333335</v>
      </c>
      <c r="BK38" s="31">
        <f t="shared" si="45"/>
        <v>204.83333333333334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[1]PN!$M38</f>
        <v>1666.6666666666667</v>
      </c>
      <c r="BQ38" s="31">
        <f t="shared" si="48"/>
        <v>1461.8333333333335</v>
      </c>
      <c r="BR38" s="31">
        <f t="shared" si="49"/>
        <v>204.83333333333334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[1]PN!$N38</f>
        <v>1666.6666666666667</v>
      </c>
      <c r="BX38" s="31">
        <f t="shared" si="52"/>
        <v>1461.8333333333335</v>
      </c>
      <c r="BY38" s="31">
        <f t="shared" si="53"/>
        <v>204.83333333333334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[1]PN!$O38</f>
        <v>1666.6666666666667</v>
      </c>
      <c r="CE38" s="31">
        <f t="shared" si="56"/>
        <v>1461.8333333333335</v>
      </c>
      <c r="CF38" s="31">
        <f t="shared" si="57"/>
        <v>204.83333333333334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[1]PN!$P38</f>
        <v>1666.6666666666667</v>
      </c>
      <c r="CL38" s="31">
        <f t="shared" si="60"/>
        <v>1461.8333333333335</v>
      </c>
      <c r="CM38" s="31">
        <f t="shared" si="61"/>
        <v>204.83333333333334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1000.0000000000001</v>
      </c>
      <c r="C39" s="31">
        <f t="shared" si="64"/>
        <v>877.10000000000025</v>
      </c>
      <c r="D39" s="32">
        <f t="shared" si="64"/>
        <v>122.89999999999996</v>
      </c>
      <c r="E39" s="30">
        <f t="shared" si="66"/>
        <v>333.33333333333331</v>
      </c>
      <c r="F39" s="33">
        <f t="shared" si="66"/>
        <v>292.36666666666667</v>
      </c>
      <c r="G39" s="34">
        <f t="shared" si="66"/>
        <v>40.966666666666661</v>
      </c>
      <c r="H39" s="31">
        <f t="shared" si="65"/>
        <v>2091.2942400000002</v>
      </c>
      <c r="I39" s="33">
        <f t="shared" si="65"/>
        <v>144.90576000000001</v>
      </c>
      <c r="J39" s="33">
        <f t="shared" si="65"/>
        <v>2236.1999999999998</v>
      </c>
      <c r="K39" s="37">
        <f t="shared" si="2"/>
        <v>5.7085999999999997</v>
      </c>
      <c r="L39" s="36">
        <f>[1]PN!$E39</f>
        <v>83.333333333333329</v>
      </c>
      <c r="M39" s="31">
        <f t="shared" si="16"/>
        <v>73.091666666666669</v>
      </c>
      <c r="N39" s="31">
        <f t="shared" si="17"/>
        <v>10.241666666666665</v>
      </c>
      <c r="O39" s="31">
        <f t="shared" si="18"/>
        <v>187.04</v>
      </c>
      <c r="P39" s="31">
        <f t="shared" si="19"/>
        <v>12.960000000000003</v>
      </c>
      <c r="Q39" s="33">
        <f>200</f>
        <v>200</v>
      </c>
      <c r="R39" s="37">
        <f t="shared" si="3"/>
        <v>1.4000000000000004</v>
      </c>
      <c r="S39" s="36">
        <f>[1]PN!$F39</f>
        <v>83.333333333333329</v>
      </c>
      <c r="T39" s="31">
        <f t="shared" si="20"/>
        <v>73.091666666666669</v>
      </c>
      <c r="U39" s="31">
        <f t="shared" si="21"/>
        <v>10.241666666666665</v>
      </c>
      <c r="V39" s="31">
        <f t="shared" si="22"/>
        <v>613.86527999999998</v>
      </c>
      <c r="W39" s="31">
        <f t="shared" si="23"/>
        <v>42.534720000000007</v>
      </c>
      <c r="X39" s="33">
        <f>656.4</f>
        <v>656.4</v>
      </c>
      <c r="Y39" s="37">
        <f t="shared" si="4"/>
        <v>6.8768000000000002</v>
      </c>
      <c r="Z39" s="36">
        <f>[1]PN!$G39</f>
        <v>83.333333333333329</v>
      </c>
      <c r="AA39" s="31">
        <f t="shared" si="24"/>
        <v>73.091666666666669</v>
      </c>
      <c r="AB39" s="31">
        <f t="shared" si="25"/>
        <v>10.241666666666665</v>
      </c>
      <c r="AC39" s="31">
        <f t="shared" si="26"/>
        <v>0</v>
      </c>
      <c r="AD39" s="31">
        <f t="shared" si="27"/>
        <v>0</v>
      </c>
      <c r="AE39" s="33"/>
      <c r="AF39" s="37">
        <f t="shared" si="5"/>
        <v>-1</v>
      </c>
      <c r="AG39" s="36">
        <f>[1]PN!$H39</f>
        <v>83.333333333333329</v>
      </c>
      <c r="AH39" s="31">
        <f t="shared" si="28"/>
        <v>73.091666666666669</v>
      </c>
      <c r="AI39" s="31">
        <f t="shared" si="29"/>
        <v>10.241666666666665</v>
      </c>
      <c r="AJ39" s="31">
        <f t="shared" si="30"/>
        <v>1290.38896</v>
      </c>
      <c r="AK39" s="31">
        <f t="shared" si="31"/>
        <v>89.411040000000014</v>
      </c>
      <c r="AL39" s="27">
        <f>1379.8</f>
        <v>1379.8</v>
      </c>
      <c r="AM39" s="37">
        <f t="shared" si="6"/>
        <v>15.557600000000001</v>
      </c>
      <c r="AN39" s="36">
        <f>[1]PN!$I39</f>
        <v>83.333333333333329</v>
      </c>
      <c r="AO39" s="31">
        <f t="shared" si="32"/>
        <v>73.091666666666669</v>
      </c>
      <c r="AP39" s="31">
        <f t="shared" si="33"/>
        <v>10.241666666666665</v>
      </c>
      <c r="AQ39" s="31">
        <f t="shared" si="34"/>
        <v>0</v>
      </c>
      <c r="AR39" s="31">
        <f t="shared" si="35"/>
        <v>0</v>
      </c>
      <c r="AS39" s="33"/>
      <c r="AT39" s="37">
        <f t="shared" si="7"/>
        <v>-1</v>
      </c>
      <c r="AU39" s="36">
        <f>[1]PN!$J39</f>
        <v>83.333333333333329</v>
      </c>
      <c r="AV39" s="31">
        <f t="shared" si="36"/>
        <v>73.091666666666669</v>
      </c>
      <c r="AW39" s="31">
        <f t="shared" si="37"/>
        <v>10.241666666666665</v>
      </c>
      <c r="AX39" s="31">
        <f t="shared" si="38"/>
        <v>0</v>
      </c>
      <c r="AY39" s="31">
        <f t="shared" si="39"/>
        <v>0</v>
      </c>
      <c r="AZ39" s="33"/>
      <c r="BA39" s="37">
        <f t="shared" si="8"/>
        <v>-1</v>
      </c>
      <c r="BB39" s="36">
        <f>[1]PN!$K39</f>
        <v>83.333333333333329</v>
      </c>
      <c r="BC39" s="31">
        <f t="shared" si="40"/>
        <v>73.091666666666669</v>
      </c>
      <c r="BD39" s="31">
        <f t="shared" si="41"/>
        <v>10.241666666666665</v>
      </c>
      <c r="BE39" s="31">
        <f t="shared" si="42"/>
        <v>0</v>
      </c>
      <c r="BF39" s="31">
        <f t="shared" si="43"/>
        <v>0</v>
      </c>
      <c r="BG39" s="27"/>
      <c r="BH39" s="37">
        <f t="shared" si="9"/>
        <v>-1</v>
      </c>
      <c r="BI39" s="36">
        <f>[1]PN!$L39</f>
        <v>83.333333333333329</v>
      </c>
      <c r="BJ39" s="31">
        <f t="shared" si="44"/>
        <v>73.091666666666669</v>
      </c>
      <c r="BK39" s="31">
        <f t="shared" si="45"/>
        <v>10.241666666666665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[1]PN!$M39</f>
        <v>83.333333333333329</v>
      </c>
      <c r="BQ39" s="31">
        <f t="shared" si="48"/>
        <v>73.091666666666669</v>
      </c>
      <c r="BR39" s="31">
        <f t="shared" si="49"/>
        <v>10.241666666666665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[1]PN!$N39</f>
        <v>83.333333333333329</v>
      </c>
      <c r="BX39" s="31">
        <f t="shared" si="52"/>
        <v>73.091666666666669</v>
      </c>
      <c r="BY39" s="31">
        <f t="shared" si="53"/>
        <v>10.241666666666665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[1]PN!$O39</f>
        <v>83.333333333333329</v>
      </c>
      <c r="CE39" s="31">
        <f t="shared" si="56"/>
        <v>73.091666666666669</v>
      </c>
      <c r="CF39" s="31">
        <f t="shared" si="57"/>
        <v>10.241666666666665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[1]PN!$P39</f>
        <v>83.333333333333329</v>
      </c>
      <c r="CL39" s="31">
        <f t="shared" si="60"/>
        <v>73.091666666666669</v>
      </c>
      <c r="CM39" s="31">
        <f t="shared" si="61"/>
        <v>10.241666666666665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70000.000000000015</v>
      </c>
      <c r="C40" s="31">
        <f t="shared" si="64"/>
        <v>61396.999999999978</v>
      </c>
      <c r="D40" s="32">
        <f t="shared" si="64"/>
        <v>8603.0000000000018</v>
      </c>
      <c r="E40" s="30">
        <f t="shared" si="66"/>
        <v>23333.333333333332</v>
      </c>
      <c r="F40" s="33">
        <f t="shared" si="66"/>
        <v>20465.666666666664</v>
      </c>
      <c r="G40" s="34">
        <f t="shared" si="66"/>
        <v>2867.6666666666665</v>
      </c>
      <c r="H40" s="31">
        <f t="shared" si="65"/>
        <v>16687.577871999998</v>
      </c>
      <c r="I40" s="33">
        <f t="shared" si="65"/>
        <v>1156.2821280000001</v>
      </c>
      <c r="J40" s="33">
        <f t="shared" si="65"/>
        <v>17843.86</v>
      </c>
      <c r="K40" s="37">
        <f t="shared" si="2"/>
        <v>-0.23526314285714278</v>
      </c>
      <c r="L40" s="36">
        <f>[1]PN!$E40</f>
        <v>5833.333333333333</v>
      </c>
      <c r="M40" s="31">
        <f t="shared" si="16"/>
        <v>5116.4166666666661</v>
      </c>
      <c r="N40" s="31">
        <f t="shared" si="17"/>
        <v>716.91666666666663</v>
      </c>
      <c r="O40" s="31">
        <f t="shared" si="18"/>
        <v>2627.5379199999998</v>
      </c>
      <c r="P40" s="31">
        <f t="shared" si="19"/>
        <v>182.06208000000004</v>
      </c>
      <c r="Q40" s="33">
        <f>2809.6</f>
        <v>2809.6</v>
      </c>
      <c r="R40" s="37">
        <f t="shared" si="3"/>
        <v>-0.51835428571428577</v>
      </c>
      <c r="S40" s="36">
        <f>[1]PN!$F40</f>
        <v>5833.333333333333</v>
      </c>
      <c r="T40" s="31">
        <f t="shared" si="20"/>
        <v>5116.4166666666661</v>
      </c>
      <c r="U40" s="31">
        <f t="shared" si="21"/>
        <v>716.91666666666663</v>
      </c>
      <c r="V40" s="31">
        <f t="shared" si="22"/>
        <v>4327.2171600000001</v>
      </c>
      <c r="W40" s="31">
        <f t="shared" si="23"/>
        <v>299.83284000000003</v>
      </c>
      <c r="X40" s="33">
        <f>4627.05</f>
        <v>4627.05</v>
      </c>
      <c r="Y40" s="37">
        <f t="shared" si="4"/>
        <v>-0.20679142857142851</v>
      </c>
      <c r="Z40" s="36">
        <f>[1]PN!$G40</f>
        <v>5833.333333333333</v>
      </c>
      <c r="AA40" s="31">
        <f t="shared" si="24"/>
        <v>5116.4166666666661</v>
      </c>
      <c r="AB40" s="31">
        <f t="shared" si="25"/>
        <v>716.91666666666663</v>
      </c>
      <c r="AC40" s="31">
        <f t="shared" si="26"/>
        <v>4039.6899200000003</v>
      </c>
      <c r="AD40" s="31">
        <f t="shared" si="27"/>
        <v>279.91008000000005</v>
      </c>
      <c r="AE40" s="33">
        <f>4319.6</f>
        <v>4319.6000000000004</v>
      </c>
      <c r="AF40" s="37">
        <f t="shared" si="5"/>
        <v>-0.25949714285714276</v>
      </c>
      <c r="AG40" s="36">
        <f>[1]PN!$H40</f>
        <v>5833.333333333333</v>
      </c>
      <c r="AH40" s="31">
        <f t="shared" si="28"/>
        <v>5116.4166666666661</v>
      </c>
      <c r="AI40" s="31">
        <f t="shared" si="29"/>
        <v>716.91666666666663</v>
      </c>
      <c r="AJ40" s="31">
        <f t="shared" si="30"/>
        <v>5693.1328719999992</v>
      </c>
      <c r="AK40" s="31">
        <f t="shared" si="31"/>
        <v>394.47712800000005</v>
      </c>
      <c r="AL40" s="27">
        <f>6087.61</f>
        <v>6087.61</v>
      </c>
      <c r="AM40" s="37">
        <f t="shared" si="6"/>
        <v>4.3590285714285804E-2</v>
      </c>
      <c r="AN40" s="36">
        <f>[1]PN!$I40</f>
        <v>5833.333333333333</v>
      </c>
      <c r="AO40" s="31">
        <f t="shared" si="32"/>
        <v>5116.4166666666661</v>
      </c>
      <c r="AP40" s="31">
        <f t="shared" si="33"/>
        <v>716.91666666666663</v>
      </c>
      <c r="AQ40" s="31">
        <f t="shared" si="34"/>
        <v>0</v>
      </c>
      <c r="AR40" s="31">
        <f t="shared" si="35"/>
        <v>0</v>
      </c>
      <c r="AS40" s="33"/>
      <c r="AT40" s="37">
        <f t="shared" si="7"/>
        <v>-1</v>
      </c>
      <c r="AU40" s="36">
        <f>[1]PN!$J40</f>
        <v>5833.333333333333</v>
      </c>
      <c r="AV40" s="31">
        <f t="shared" si="36"/>
        <v>5116.4166666666661</v>
      </c>
      <c r="AW40" s="31">
        <f t="shared" si="37"/>
        <v>716.91666666666663</v>
      </c>
      <c r="AX40" s="31">
        <f t="shared" si="38"/>
        <v>0</v>
      </c>
      <c r="AY40" s="31">
        <f t="shared" si="39"/>
        <v>0</v>
      </c>
      <c r="AZ40" s="33"/>
      <c r="BA40" s="37">
        <f t="shared" si="8"/>
        <v>-1</v>
      </c>
      <c r="BB40" s="36">
        <f>[1]PN!$K40</f>
        <v>5833.333333333333</v>
      </c>
      <c r="BC40" s="31">
        <f t="shared" si="40"/>
        <v>5116.4166666666661</v>
      </c>
      <c r="BD40" s="31">
        <f t="shared" si="41"/>
        <v>716.91666666666663</v>
      </c>
      <c r="BE40" s="31">
        <f t="shared" si="42"/>
        <v>0</v>
      </c>
      <c r="BF40" s="31">
        <f t="shared" si="43"/>
        <v>0</v>
      </c>
      <c r="BG40" s="27"/>
      <c r="BH40" s="37">
        <f t="shared" si="9"/>
        <v>-1</v>
      </c>
      <c r="BI40" s="36">
        <f>[1]PN!$L40</f>
        <v>5833.333333333333</v>
      </c>
      <c r="BJ40" s="31">
        <f t="shared" si="44"/>
        <v>5116.4166666666661</v>
      </c>
      <c r="BK40" s="31">
        <f t="shared" si="45"/>
        <v>716.91666666666663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[1]PN!$M40</f>
        <v>5833.333333333333</v>
      </c>
      <c r="BQ40" s="31">
        <f t="shared" si="48"/>
        <v>5116.4166666666661</v>
      </c>
      <c r="BR40" s="31">
        <f t="shared" si="49"/>
        <v>716.91666666666663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[1]PN!$N40</f>
        <v>5833.333333333333</v>
      </c>
      <c r="BX40" s="31">
        <f t="shared" si="52"/>
        <v>5116.4166666666661</v>
      </c>
      <c r="BY40" s="31">
        <f t="shared" si="53"/>
        <v>716.91666666666663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[1]PN!$O40</f>
        <v>5833.333333333333</v>
      </c>
      <c r="CE40" s="31">
        <f t="shared" si="56"/>
        <v>5116.4166666666661</v>
      </c>
      <c r="CF40" s="31">
        <f t="shared" si="57"/>
        <v>716.91666666666663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[1]PN!$P40</f>
        <v>5833.333333333333</v>
      </c>
      <c r="CL40" s="31">
        <f t="shared" si="60"/>
        <v>5116.4166666666661</v>
      </c>
      <c r="CM40" s="31">
        <f t="shared" si="61"/>
        <v>716.91666666666663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141999.99999999997</v>
      </c>
      <c r="C41" s="31">
        <f t="shared" si="64"/>
        <v>124548.19999999997</v>
      </c>
      <c r="D41" s="32">
        <f t="shared" si="64"/>
        <v>17451.799999999996</v>
      </c>
      <c r="E41" s="30">
        <f t="shared" si="66"/>
        <v>47333.333333333336</v>
      </c>
      <c r="F41" s="33">
        <f t="shared" si="66"/>
        <v>41516.066666666666</v>
      </c>
      <c r="G41" s="34">
        <f t="shared" si="66"/>
        <v>5817.2666666666664</v>
      </c>
      <c r="H41" s="31">
        <f t="shared" si="65"/>
        <v>44266.133333333331</v>
      </c>
      <c r="I41" s="33">
        <f t="shared" si="65"/>
        <v>3067.2000000000007</v>
      </c>
      <c r="J41" s="33">
        <f t="shared" si="65"/>
        <v>47333.333333333336</v>
      </c>
      <c r="K41" s="37">
        <f t="shared" si="2"/>
        <v>0</v>
      </c>
      <c r="L41" s="46">
        <f>[1]PN!$E41</f>
        <v>11833.333333333334</v>
      </c>
      <c r="M41" s="47">
        <f t="shared" si="16"/>
        <v>10379.016666666666</v>
      </c>
      <c r="N41" s="47">
        <f t="shared" si="17"/>
        <v>1454.3166666666666</v>
      </c>
      <c r="O41" s="47">
        <f t="shared" si="18"/>
        <v>11066.533333333333</v>
      </c>
      <c r="P41" s="47">
        <f t="shared" si="19"/>
        <v>766.80000000000018</v>
      </c>
      <c r="Q41" s="45">
        <v>11833.333333333334</v>
      </c>
      <c r="R41" s="37">
        <f t="shared" si="3"/>
        <v>0</v>
      </c>
      <c r="S41" s="46">
        <f>[1]PN!$F41</f>
        <v>11833.333333333334</v>
      </c>
      <c r="T41" s="47">
        <f t="shared" si="20"/>
        <v>10379.016666666666</v>
      </c>
      <c r="U41" s="47">
        <f t="shared" si="21"/>
        <v>1454.3166666666666</v>
      </c>
      <c r="V41" s="47">
        <f t="shared" si="22"/>
        <v>11066.533333333333</v>
      </c>
      <c r="W41" s="47">
        <f t="shared" si="23"/>
        <v>766.80000000000018</v>
      </c>
      <c r="X41" s="45">
        <v>11833.333333333334</v>
      </c>
      <c r="Y41" s="37">
        <f t="shared" si="4"/>
        <v>0</v>
      </c>
      <c r="Z41" s="46">
        <f>[1]PN!$G41</f>
        <v>11833.333333333334</v>
      </c>
      <c r="AA41" s="47">
        <f t="shared" si="24"/>
        <v>10379.016666666666</v>
      </c>
      <c r="AB41" s="47">
        <f t="shared" si="25"/>
        <v>1454.3166666666666</v>
      </c>
      <c r="AC41" s="47">
        <f t="shared" si="26"/>
        <v>11066.533333333333</v>
      </c>
      <c r="AD41" s="47">
        <f t="shared" si="27"/>
        <v>766.80000000000018</v>
      </c>
      <c r="AE41" s="45">
        <v>11833.333333333334</v>
      </c>
      <c r="AF41" s="37">
        <f t="shared" si="5"/>
        <v>0</v>
      </c>
      <c r="AG41" s="46">
        <f>[1]PN!$H41</f>
        <v>11833.333333333334</v>
      </c>
      <c r="AH41" s="47">
        <f t="shared" si="28"/>
        <v>10379.016666666666</v>
      </c>
      <c r="AI41" s="47">
        <f t="shared" si="29"/>
        <v>1454.3166666666666</v>
      </c>
      <c r="AJ41" s="47">
        <f t="shared" si="30"/>
        <v>11066.533333333333</v>
      </c>
      <c r="AK41" s="47">
        <f t="shared" si="31"/>
        <v>766.80000000000018</v>
      </c>
      <c r="AL41" s="48">
        <v>11833.333333333334</v>
      </c>
      <c r="AM41" s="37">
        <f t="shared" si="6"/>
        <v>0</v>
      </c>
      <c r="AN41" s="46">
        <f>[1]PN!$I41</f>
        <v>11833.333333333334</v>
      </c>
      <c r="AO41" s="47">
        <f t="shared" si="32"/>
        <v>10379.016666666666</v>
      </c>
      <c r="AP41" s="47">
        <f t="shared" si="33"/>
        <v>1454.3166666666666</v>
      </c>
      <c r="AQ41" s="47">
        <f t="shared" si="34"/>
        <v>0</v>
      </c>
      <c r="AR41" s="47">
        <f t="shared" si="35"/>
        <v>0</v>
      </c>
      <c r="AS41" s="45"/>
      <c r="AT41" s="37">
        <f t="shared" si="7"/>
        <v>-1</v>
      </c>
      <c r="AU41" s="46">
        <f>[1]PN!$J41</f>
        <v>11833.333333333334</v>
      </c>
      <c r="AV41" s="47">
        <f t="shared" si="36"/>
        <v>10379.016666666666</v>
      </c>
      <c r="AW41" s="47">
        <f t="shared" si="37"/>
        <v>1454.3166666666666</v>
      </c>
      <c r="AX41" s="47">
        <f t="shared" si="38"/>
        <v>0</v>
      </c>
      <c r="AY41" s="47">
        <f t="shared" si="39"/>
        <v>0</v>
      </c>
      <c r="AZ41" s="46"/>
      <c r="BA41" s="37">
        <f t="shared" si="8"/>
        <v>-1</v>
      </c>
      <c r="BB41" s="46">
        <f>[1]PN!$K41</f>
        <v>11833.333333333334</v>
      </c>
      <c r="BC41" s="47">
        <f t="shared" si="40"/>
        <v>10379.016666666666</v>
      </c>
      <c r="BD41" s="47">
        <f t="shared" si="41"/>
        <v>1454.3166666666666</v>
      </c>
      <c r="BE41" s="47">
        <f t="shared" si="42"/>
        <v>0</v>
      </c>
      <c r="BF41" s="47">
        <f t="shared" si="43"/>
        <v>0</v>
      </c>
      <c r="BG41" s="48"/>
      <c r="BH41" s="37">
        <f t="shared" si="9"/>
        <v>-1</v>
      </c>
      <c r="BI41" s="46">
        <f>[1]PN!$L41</f>
        <v>11833.333333333334</v>
      </c>
      <c r="BJ41" s="47">
        <f t="shared" si="44"/>
        <v>10379.016666666666</v>
      </c>
      <c r="BK41" s="47">
        <f t="shared" si="45"/>
        <v>1454.3166666666666</v>
      </c>
      <c r="BL41" s="47">
        <f t="shared" si="46"/>
        <v>0</v>
      </c>
      <c r="BM41" s="47">
        <f t="shared" si="47"/>
        <v>0</v>
      </c>
      <c r="BN41" s="45"/>
      <c r="BO41" s="37">
        <f t="shared" si="10"/>
        <v>-1</v>
      </c>
      <c r="BP41" s="46">
        <f>[1]PN!$M41</f>
        <v>11833.333333333334</v>
      </c>
      <c r="BQ41" s="47">
        <f t="shared" si="48"/>
        <v>10379.016666666666</v>
      </c>
      <c r="BR41" s="47">
        <f t="shared" si="49"/>
        <v>1454.3166666666666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[1]PN!$N41</f>
        <v>11833.333333333334</v>
      </c>
      <c r="BX41" s="47">
        <f t="shared" si="52"/>
        <v>10379.016666666666</v>
      </c>
      <c r="BY41" s="47">
        <f t="shared" si="53"/>
        <v>1454.3166666666666</v>
      </c>
      <c r="BZ41" s="47">
        <f t="shared" si="54"/>
        <v>0</v>
      </c>
      <c r="CA41" s="47">
        <f t="shared" si="55"/>
        <v>0</v>
      </c>
      <c r="CB41" s="46"/>
      <c r="CC41" s="37">
        <f t="shared" si="12"/>
        <v>-1</v>
      </c>
      <c r="CD41" s="46">
        <f>[1]PN!$O41</f>
        <v>11833.333333333334</v>
      </c>
      <c r="CE41" s="47">
        <f t="shared" si="56"/>
        <v>10379.016666666666</v>
      </c>
      <c r="CF41" s="47">
        <f t="shared" si="57"/>
        <v>1454.3166666666666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[1]PN!$P41</f>
        <v>11833.333333333334</v>
      </c>
      <c r="CL41" s="47">
        <f t="shared" si="60"/>
        <v>10379.016666666666</v>
      </c>
      <c r="CM41" s="47">
        <f t="shared" si="61"/>
        <v>1454.3166666666666</v>
      </c>
      <c r="CN41" s="47">
        <f t="shared" si="62"/>
        <v>0</v>
      </c>
      <c r="CO41" s="47">
        <f t="shared" si="63"/>
        <v>0</v>
      </c>
      <c r="CP41" s="45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954077.39999999979</v>
      </c>
      <c r="C42" s="31">
        <f t="shared" si="64"/>
        <v>836821.28753999993</v>
      </c>
      <c r="D42" s="32">
        <f t="shared" si="64"/>
        <v>117256.11246000002</v>
      </c>
      <c r="E42" s="30">
        <f t="shared" si="66"/>
        <v>318025.8</v>
      </c>
      <c r="F42" s="33">
        <f t="shared" si="66"/>
        <v>278940.42917999998</v>
      </c>
      <c r="G42" s="34">
        <f t="shared" si="66"/>
        <v>39085.370819999996</v>
      </c>
      <c r="H42" s="31">
        <f t="shared" si="65"/>
        <v>274402.34393600002</v>
      </c>
      <c r="I42" s="33">
        <f t="shared" si="65"/>
        <v>19013.336064000003</v>
      </c>
      <c r="J42" s="33">
        <f t="shared" si="65"/>
        <v>293415.67999999999</v>
      </c>
      <c r="K42" s="37">
        <f t="shared" si="2"/>
        <v>-7.7384036137948531E-2</v>
      </c>
      <c r="L42" s="36">
        <f>[1]PN!$E42</f>
        <v>79506.45</v>
      </c>
      <c r="M42" s="31">
        <f t="shared" si="16"/>
        <v>69735.107294999994</v>
      </c>
      <c r="N42" s="31">
        <f t="shared" si="17"/>
        <v>9771.3427049999991</v>
      </c>
      <c r="O42" s="31">
        <f t="shared" si="18"/>
        <v>68600.585984000005</v>
      </c>
      <c r="P42" s="31">
        <f t="shared" si="19"/>
        <v>4753.3340160000007</v>
      </c>
      <c r="Q42" s="33">
        <f>73353.92</f>
        <v>73353.919999999998</v>
      </c>
      <c r="R42" s="37">
        <f t="shared" si="3"/>
        <v>-7.7384036137948531E-2</v>
      </c>
      <c r="S42" s="36">
        <f>[1]PN!$F42</f>
        <v>79506.45</v>
      </c>
      <c r="T42" s="31">
        <f t="shared" si="20"/>
        <v>69735.107294999994</v>
      </c>
      <c r="U42" s="31">
        <f t="shared" si="21"/>
        <v>9771.3427049999991</v>
      </c>
      <c r="V42" s="31">
        <f t="shared" si="22"/>
        <v>68600.585984000005</v>
      </c>
      <c r="W42" s="31">
        <f t="shared" si="23"/>
        <v>4753.3340160000007</v>
      </c>
      <c r="X42" s="33">
        <f>73353.92</f>
        <v>73353.919999999998</v>
      </c>
      <c r="Y42" s="37">
        <f t="shared" si="4"/>
        <v>-7.7384036137948531E-2</v>
      </c>
      <c r="Z42" s="36">
        <f>[1]PN!$G42</f>
        <v>79506.45</v>
      </c>
      <c r="AA42" s="31">
        <f t="shared" si="24"/>
        <v>69735.107294999994</v>
      </c>
      <c r="AB42" s="31">
        <f t="shared" si="25"/>
        <v>9771.3427049999991</v>
      </c>
      <c r="AC42" s="31">
        <f t="shared" si="26"/>
        <v>68600.585984000005</v>
      </c>
      <c r="AD42" s="31">
        <f t="shared" si="27"/>
        <v>4753.3340160000007</v>
      </c>
      <c r="AE42" s="33">
        <f>73353.92</f>
        <v>73353.919999999998</v>
      </c>
      <c r="AF42" s="37">
        <f t="shared" si="5"/>
        <v>-7.7384036137948531E-2</v>
      </c>
      <c r="AG42" s="36">
        <f>[1]PN!$H42</f>
        <v>79506.45</v>
      </c>
      <c r="AH42" s="31">
        <f t="shared" si="28"/>
        <v>69735.107294999994</v>
      </c>
      <c r="AI42" s="31">
        <f t="shared" si="29"/>
        <v>9771.3427049999991</v>
      </c>
      <c r="AJ42" s="31">
        <f t="shared" si="30"/>
        <v>68600.585984000005</v>
      </c>
      <c r="AK42" s="31">
        <f t="shared" si="31"/>
        <v>4753.3340160000007</v>
      </c>
      <c r="AL42" s="27">
        <f>73353.92</f>
        <v>73353.919999999998</v>
      </c>
      <c r="AM42" s="37">
        <f t="shared" si="6"/>
        <v>-7.7384036137948531E-2</v>
      </c>
      <c r="AN42" s="36">
        <f>[1]PN!$I42</f>
        <v>79506.45</v>
      </c>
      <c r="AO42" s="31">
        <f t="shared" si="32"/>
        <v>69735.107294999994</v>
      </c>
      <c r="AP42" s="31">
        <f t="shared" si="33"/>
        <v>9771.3427049999991</v>
      </c>
      <c r="AQ42" s="31">
        <f t="shared" si="34"/>
        <v>0</v>
      </c>
      <c r="AR42" s="31">
        <f t="shared" si="35"/>
        <v>0</v>
      </c>
      <c r="AS42" s="33"/>
      <c r="AT42" s="37">
        <f t="shared" si="7"/>
        <v>-1</v>
      </c>
      <c r="AU42" s="36">
        <f>[1]PN!$J42</f>
        <v>79506.45</v>
      </c>
      <c r="AV42" s="31">
        <f t="shared" si="36"/>
        <v>69735.107294999994</v>
      </c>
      <c r="AW42" s="31">
        <f t="shared" si="37"/>
        <v>9771.3427049999991</v>
      </c>
      <c r="AX42" s="31">
        <f t="shared" si="38"/>
        <v>0</v>
      </c>
      <c r="AY42" s="31">
        <f t="shared" si="39"/>
        <v>0</v>
      </c>
      <c r="AZ42" s="33"/>
      <c r="BA42" s="37">
        <f t="shared" si="8"/>
        <v>-1</v>
      </c>
      <c r="BB42" s="36">
        <f>[1]PN!$K42</f>
        <v>79506.45</v>
      </c>
      <c r="BC42" s="31">
        <f t="shared" si="40"/>
        <v>69735.107294999994</v>
      </c>
      <c r="BD42" s="31">
        <f t="shared" si="41"/>
        <v>9771.3427049999991</v>
      </c>
      <c r="BE42" s="31">
        <f t="shared" si="42"/>
        <v>0</v>
      </c>
      <c r="BF42" s="31">
        <f t="shared" si="43"/>
        <v>0</v>
      </c>
      <c r="BG42" s="27"/>
      <c r="BH42" s="37">
        <f t="shared" si="9"/>
        <v>-1</v>
      </c>
      <c r="BI42" s="36">
        <f>[1]PN!$L42</f>
        <v>79506.45</v>
      </c>
      <c r="BJ42" s="31">
        <f t="shared" si="44"/>
        <v>69735.107294999994</v>
      </c>
      <c r="BK42" s="31">
        <f t="shared" si="45"/>
        <v>9771.3427049999991</v>
      </c>
      <c r="BL42" s="31">
        <f t="shared" si="46"/>
        <v>0</v>
      </c>
      <c r="BM42" s="31">
        <f t="shared" si="47"/>
        <v>0</v>
      </c>
      <c r="BN42" s="33"/>
      <c r="BO42" s="37">
        <f t="shared" si="10"/>
        <v>-1</v>
      </c>
      <c r="BP42" s="36">
        <f>[1]PN!$M42</f>
        <v>79506.45</v>
      </c>
      <c r="BQ42" s="31">
        <f t="shared" si="48"/>
        <v>69735.107294999994</v>
      </c>
      <c r="BR42" s="31">
        <f t="shared" si="49"/>
        <v>9771.3427049999991</v>
      </c>
      <c r="BS42" s="31">
        <f t="shared" si="50"/>
        <v>0</v>
      </c>
      <c r="BT42" s="31">
        <f t="shared" si="51"/>
        <v>0</v>
      </c>
      <c r="BU42" s="33"/>
      <c r="BV42" s="37">
        <f t="shared" si="11"/>
        <v>-1</v>
      </c>
      <c r="BW42" s="36">
        <f>[1]PN!$N42</f>
        <v>79506.45</v>
      </c>
      <c r="BX42" s="31">
        <f t="shared" si="52"/>
        <v>69735.107294999994</v>
      </c>
      <c r="BY42" s="31">
        <f t="shared" si="53"/>
        <v>9771.3427049999991</v>
      </c>
      <c r="BZ42" s="31">
        <f t="shared" si="54"/>
        <v>0</v>
      </c>
      <c r="CA42" s="31">
        <f t="shared" si="55"/>
        <v>0</v>
      </c>
      <c r="CB42" s="33"/>
      <c r="CC42" s="37">
        <f t="shared" si="12"/>
        <v>-1</v>
      </c>
      <c r="CD42" s="36">
        <f>[1]PN!$O42</f>
        <v>79506.45</v>
      </c>
      <c r="CE42" s="31">
        <f t="shared" si="56"/>
        <v>69735.107294999994</v>
      </c>
      <c r="CF42" s="31">
        <f t="shared" si="57"/>
        <v>9771.3427049999991</v>
      </c>
      <c r="CG42" s="31">
        <f t="shared" si="58"/>
        <v>0</v>
      </c>
      <c r="CH42" s="31">
        <f t="shared" si="59"/>
        <v>0</v>
      </c>
      <c r="CI42" s="33"/>
      <c r="CJ42" s="37">
        <f t="shared" si="13"/>
        <v>-1</v>
      </c>
      <c r="CK42" s="36">
        <f>[1]PN!$P42</f>
        <v>79506.45</v>
      </c>
      <c r="CL42" s="31">
        <f t="shared" si="60"/>
        <v>69735.107294999994</v>
      </c>
      <c r="CM42" s="31">
        <f t="shared" si="61"/>
        <v>9771.3427049999991</v>
      </c>
      <c r="CN42" s="31">
        <f t="shared" si="62"/>
        <v>0</v>
      </c>
      <c r="CO42" s="31">
        <f t="shared" si="63"/>
        <v>0</v>
      </c>
      <c r="CP42" s="33"/>
      <c r="CQ42" s="37">
        <f t="shared" si="14"/>
        <v>-1</v>
      </c>
    </row>
    <row r="43" spans="1:95" s="26" customFormat="1" ht="16" customHeight="1" x14ac:dyDescent="0.2">
      <c r="A43" s="38" t="s">
        <v>67</v>
      </c>
      <c r="B43" s="30">
        <f t="shared" si="64"/>
        <v>41943</v>
      </c>
      <c r="C43" s="31">
        <f t="shared" si="64"/>
        <v>36788.205300000001</v>
      </c>
      <c r="D43" s="32">
        <f t="shared" si="64"/>
        <v>5154.7946999999986</v>
      </c>
      <c r="E43" s="30">
        <f t="shared" si="66"/>
        <v>13981</v>
      </c>
      <c r="F43" s="33">
        <f t="shared" si="66"/>
        <v>12262.7351</v>
      </c>
      <c r="G43" s="34">
        <f t="shared" si="66"/>
        <v>1718.2648999999999</v>
      </c>
      <c r="H43" s="31">
        <f t="shared" si="65"/>
        <v>16136.202656000001</v>
      </c>
      <c r="I43" s="33">
        <f t="shared" si="65"/>
        <v>1118.077344</v>
      </c>
      <c r="J43" s="33">
        <f t="shared" si="65"/>
        <v>17254.280000000002</v>
      </c>
      <c r="K43" s="37">
        <f t="shared" si="2"/>
        <v>0.23412345325799322</v>
      </c>
      <c r="L43" s="36">
        <f>[1]PN!$E43</f>
        <v>3495.25</v>
      </c>
      <c r="M43" s="31">
        <f t="shared" si="16"/>
        <v>3065.683775</v>
      </c>
      <c r="N43" s="31">
        <f t="shared" si="17"/>
        <v>429.56622499999997</v>
      </c>
      <c r="O43" s="31">
        <f t="shared" si="18"/>
        <v>3899.5876079999998</v>
      </c>
      <c r="P43" s="31">
        <f t="shared" si="19"/>
        <v>270.20239200000003</v>
      </c>
      <c r="Q43" s="33">
        <f>4169.79</f>
        <v>4169.79</v>
      </c>
      <c r="R43" s="37">
        <f t="shared" si="3"/>
        <v>0.19298762606394382</v>
      </c>
      <c r="S43" s="36">
        <f>[1]PN!$F43</f>
        <v>3495.25</v>
      </c>
      <c r="T43" s="31">
        <f t="shared" si="20"/>
        <v>3065.683775</v>
      </c>
      <c r="U43" s="31">
        <f t="shared" si="21"/>
        <v>429.56622499999997</v>
      </c>
      <c r="V43" s="31">
        <f t="shared" si="22"/>
        <v>3462.4096640000002</v>
      </c>
      <c r="W43" s="31">
        <f t="shared" si="23"/>
        <v>239.91033600000006</v>
      </c>
      <c r="X43" s="33">
        <f>3702.32</f>
        <v>3702.32</v>
      </c>
      <c r="Y43" s="37">
        <f t="shared" si="4"/>
        <v>5.9243258708246982E-2</v>
      </c>
      <c r="Z43" s="36">
        <f>[1]PN!$G43</f>
        <v>3495.25</v>
      </c>
      <c r="AA43" s="31">
        <f t="shared" si="24"/>
        <v>3065.683775</v>
      </c>
      <c r="AB43" s="31">
        <f t="shared" si="25"/>
        <v>429.56622499999997</v>
      </c>
      <c r="AC43" s="31">
        <f t="shared" si="26"/>
        <v>4960.4036719999995</v>
      </c>
      <c r="AD43" s="31">
        <f t="shared" si="27"/>
        <v>343.70632800000004</v>
      </c>
      <c r="AE43" s="33">
        <f>5304.11</f>
        <v>5304.11</v>
      </c>
      <c r="AF43" s="37">
        <f t="shared" si="5"/>
        <v>0.5175194907374292</v>
      </c>
      <c r="AG43" s="36">
        <f>[1]PN!$H43</f>
        <v>3495.25</v>
      </c>
      <c r="AH43" s="31">
        <f t="shared" si="28"/>
        <v>3065.683775</v>
      </c>
      <c r="AI43" s="31">
        <f t="shared" si="29"/>
        <v>429.56622499999997</v>
      </c>
      <c r="AJ43" s="31">
        <f t="shared" si="30"/>
        <v>3813.801712</v>
      </c>
      <c r="AK43" s="31">
        <f t="shared" si="31"/>
        <v>264.25828800000005</v>
      </c>
      <c r="AL43" s="27">
        <v>4078.06</v>
      </c>
      <c r="AM43" s="37">
        <f t="shared" si="6"/>
        <v>0.16674343752235177</v>
      </c>
      <c r="AN43" s="36">
        <f>[1]PN!$I43</f>
        <v>3495.25</v>
      </c>
      <c r="AO43" s="31">
        <f t="shared" si="32"/>
        <v>3065.683775</v>
      </c>
      <c r="AP43" s="31">
        <f t="shared" si="33"/>
        <v>429.56622499999997</v>
      </c>
      <c r="AQ43" s="31">
        <f t="shared" si="34"/>
        <v>0</v>
      </c>
      <c r="AR43" s="31">
        <f t="shared" si="35"/>
        <v>0</v>
      </c>
      <c r="AS43" s="33"/>
      <c r="AT43" s="37">
        <f t="shared" si="7"/>
        <v>-1</v>
      </c>
      <c r="AU43" s="36">
        <f>[1]PN!$J43</f>
        <v>3495.25</v>
      </c>
      <c r="AV43" s="31">
        <f t="shared" si="36"/>
        <v>3065.683775</v>
      </c>
      <c r="AW43" s="31">
        <f t="shared" si="37"/>
        <v>429.56622499999997</v>
      </c>
      <c r="AX43" s="31">
        <f t="shared" si="38"/>
        <v>0</v>
      </c>
      <c r="AY43" s="31">
        <f t="shared" si="39"/>
        <v>0</v>
      </c>
      <c r="AZ43" s="33"/>
      <c r="BA43" s="37">
        <f t="shared" si="8"/>
        <v>-1</v>
      </c>
      <c r="BB43" s="36">
        <f>[1]PN!$K43</f>
        <v>3495.25</v>
      </c>
      <c r="BC43" s="31">
        <f t="shared" si="40"/>
        <v>3065.683775</v>
      </c>
      <c r="BD43" s="31">
        <f t="shared" si="41"/>
        <v>429.56622499999997</v>
      </c>
      <c r="BE43" s="31">
        <f t="shared" si="42"/>
        <v>0</v>
      </c>
      <c r="BF43" s="31">
        <f t="shared" si="43"/>
        <v>0</v>
      </c>
      <c r="BG43" s="27"/>
      <c r="BH43" s="37">
        <f t="shared" si="9"/>
        <v>-1</v>
      </c>
      <c r="BI43" s="36">
        <f>[1]PN!$L43</f>
        <v>3495.25</v>
      </c>
      <c r="BJ43" s="31">
        <f t="shared" si="44"/>
        <v>3065.683775</v>
      </c>
      <c r="BK43" s="31">
        <f t="shared" si="45"/>
        <v>429.56622499999997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[1]PN!$M43</f>
        <v>3495.25</v>
      </c>
      <c r="BQ43" s="31">
        <f t="shared" si="48"/>
        <v>3065.683775</v>
      </c>
      <c r="BR43" s="31">
        <f t="shared" si="49"/>
        <v>429.56622499999997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[1]PN!$N43</f>
        <v>3495.25</v>
      </c>
      <c r="BX43" s="31">
        <f t="shared" si="52"/>
        <v>3065.683775</v>
      </c>
      <c r="BY43" s="31">
        <f t="shared" si="53"/>
        <v>429.56622499999997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[1]PN!$O43</f>
        <v>3495.25</v>
      </c>
      <c r="CE43" s="31">
        <f t="shared" si="56"/>
        <v>3065.683775</v>
      </c>
      <c r="CF43" s="31">
        <f t="shared" si="57"/>
        <v>429.56622499999997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[1]PN!$P43</f>
        <v>3495.25</v>
      </c>
      <c r="CL43" s="31">
        <f t="shared" si="60"/>
        <v>3065.683775</v>
      </c>
      <c r="CM43" s="31">
        <f t="shared" si="61"/>
        <v>429.56622499999997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[1]PN!$E44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[1]PN!$F44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[1]PN!$G44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33"/>
      <c r="AF44" s="37" t="str">
        <f t="shared" si="5"/>
        <v/>
      </c>
      <c r="AG44" s="36">
        <f>[1]PN!$H44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27"/>
      <c r="AM44" s="37" t="str">
        <f t="shared" si="6"/>
        <v/>
      </c>
      <c r="AN44" s="36">
        <f>[1]PN!$I44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7"/>
        <v/>
      </c>
      <c r="AU44" s="36">
        <f>[1]PN!$J44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33"/>
      <c r="BA44" s="37" t="str">
        <f t="shared" si="8"/>
        <v/>
      </c>
      <c r="BB44" s="36">
        <f>[1]PN!$K44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9"/>
        <v/>
      </c>
      <c r="BI44" s="36">
        <f>[1]PN!$L44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[1]PN!$M44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[1]PN!$N44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[1]PN!$O44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[1]PN!$P44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[1]PN!$E45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[1]PN!$F45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[1]PN!$G45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33"/>
      <c r="AF45" s="37" t="str">
        <f t="shared" si="5"/>
        <v/>
      </c>
      <c r="AG45" s="36">
        <f>[1]PN!$H45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27"/>
      <c r="AM45" s="37" t="str">
        <f t="shared" si="6"/>
        <v/>
      </c>
      <c r="AN45" s="36">
        <f>[1]PN!$I45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7"/>
        <v/>
      </c>
      <c r="AU45" s="36">
        <f>[1]PN!$J45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33"/>
      <c r="BA45" s="37" t="str">
        <f t="shared" si="8"/>
        <v/>
      </c>
      <c r="BB45" s="36">
        <f>[1]PN!$K45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9"/>
        <v/>
      </c>
      <c r="BI45" s="36">
        <f>[1]PN!$L45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[1]PN!$M45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[1]PN!$N45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[1]PN!$O45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[1]PN!$P45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[1]PN!$E46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[1]PN!$F46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[1]PN!$G46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33"/>
      <c r="AF46" s="37" t="str">
        <f t="shared" si="5"/>
        <v/>
      </c>
      <c r="AG46" s="36">
        <f>[1]PN!$H46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27"/>
      <c r="AM46" s="37" t="str">
        <f t="shared" si="6"/>
        <v/>
      </c>
      <c r="AN46" s="36">
        <f>[1]PN!$I46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7"/>
        <v/>
      </c>
      <c r="AU46" s="36">
        <f>[1]PN!$J46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33"/>
      <c r="BA46" s="37" t="str">
        <f t="shared" si="8"/>
        <v/>
      </c>
      <c r="BB46" s="36">
        <f>[1]PN!$K46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9"/>
        <v/>
      </c>
      <c r="BI46" s="36">
        <f>[1]PN!$L46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[1]PN!$M46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[1]PN!$N46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[1]PN!$O46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[1]PN!$P46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[1]PN!$E47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[1]PN!$F47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[1]PN!$G47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33"/>
      <c r="AF47" s="37" t="str">
        <f t="shared" si="5"/>
        <v/>
      </c>
      <c r="AG47" s="36">
        <f>[1]PN!$H47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27"/>
      <c r="AM47" s="37" t="str">
        <f t="shared" si="6"/>
        <v/>
      </c>
      <c r="AN47" s="36">
        <f>[1]PN!$I47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7"/>
        <v/>
      </c>
      <c r="AU47" s="36">
        <f>[1]PN!$J47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33"/>
      <c r="BA47" s="37" t="str">
        <f t="shared" si="8"/>
        <v/>
      </c>
      <c r="BB47" s="36">
        <f>[1]PN!$K47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9"/>
        <v/>
      </c>
      <c r="BI47" s="36">
        <f>[1]PN!$L47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[1]PN!$M47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[1]PN!$N47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[1]PN!$O47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[1]PN!$P47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24999.999999999996</v>
      </c>
      <c r="C48" s="31">
        <f t="shared" si="64"/>
        <v>21927.500000000004</v>
      </c>
      <c r="D48" s="32">
        <f t="shared" si="64"/>
        <v>3072.4999999999995</v>
      </c>
      <c r="E48" s="30">
        <f t="shared" si="66"/>
        <v>8333.3333333333339</v>
      </c>
      <c r="F48" s="33">
        <f t="shared" si="66"/>
        <v>7309.166666666667</v>
      </c>
      <c r="G48" s="34">
        <f t="shared" si="66"/>
        <v>1024.1666666666667</v>
      </c>
      <c r="H48" s="31">
        <f t="shared" si="65"/>
        <v>6189.3219359999994</v>
      </c>
      <c r="I48" s="33">
        <f t="shared" si="65"/>
        <v>428.85806400000007</v>
      </c>
      <c r="J48" s="33">
        <f t="shared" si="65"/>
        <v>6618.1799999999994</v>
      </c>
      <c r="K48" s="37">
        <f t="shared" si="2"/>
        <v>-0.20581840000000018</v>
      </c>
      <c r="L48" s="36">
        <f>[1]PN!$E48</f>
        <v>2083.3333333333335</v>
      </c>
      <c r="M48" s="31">
        <f t="shared" si="16"/>
        <v>1827.2916666666667</v>
      </c>
      <c r="N48" s="31">
        <f t="shared" si="17"/>
        <v>256.04166666666669</v>
      </c>
      <c r="O48" s="31">
        <f t="shared" si="18"/>
        <v>673.15695999999991</v>
      </c>
      <c r="P48" s="31">
        <f t="shared" si="19"/>
        <v>46.643040000000006</v>
      </c>
      <c r="Q48" s="33">
        <f>719.8</f>
        <v>719.8</v>
      </c>
      <c r="R48" s="37">
        <f t="shared" si="3"/>
        <v>-0.65449599999999997</v>
      </c>
      <c r="S48" s="36">
        <f>[1]PN!$F48</f>
        <v>2083.3333333333335</v>
      </c>
      <c r="T48" s="31">
        <f t="shared" si="20"/>
        <v>1827.2916666666667</v>
      </c>
      <c r="U48" s="31">
        <f t="shared" si="21"/>
        <v>256.04166666666669</v>
      </c>
      <c r="V48" s="31">
        <f t="shared" si="22"/>
        <v>2991.5645199999999</v>
      </c>
      <c r="W48" s="31">
        <f t="shared" si="23"/>
        <v>207.28548000000004</v>
      </c>
      <c r="X48" s="33">
        <f>3198.85</f>
        <v>3198.85</v>
      </c>
      <c r="Y48" s="37">
        <f t="shared" si="4"/>
        <v>0.53544799999999992</v>
      </c>
      <c r="Z48" s="36">
        <f>[1]PN!$G48</f>
        <v>2083.3333333333335</v>
      </c>
      <c r="AA48" s="31">
        <f t="shared" si="24"/>
        <v>1827.2916666666667</v>
      </c>
      <c r="AB48" s="31">
        <f t="shared" si="25"/>
        <v>256.04166666666669</v>
      </c>
      <c r="AC48" s="31">
        <f t="shared" si="26"/>
        <v>791.55327999999997</v>
      </c>
      <c r="AD48" s="31">
        <f t="shared" si="27"/>
        <v>54.846720000000005</v>
      </c>
      <c r="AE48" s="33">
        <f>846.4</f>
        <v>846.4</v>
      </c>
      <c r="AF48" s="37">
        <f t="shared" si="5"/>
        <v>-0.59372800000000003</v>
      </c>
      <c r="AG48" s="36">
        <f>[1]PN!$H48</f>
        <v>2083.3333333333335</v>
      </c>
      <c r="AH48" s="31">
        <f t="shared" si="28"/>
        <v>1827.2916666666667</v>
      </c>
      <c r="AI48" s="31">
        <f t="shared" si="29"/>
        <v>256.04166666666669</v>
      </c>
      <c r="AJ48" s="31">
        <f t="shared" si="30"/>
        <v>1733.047176</v>
      </c>
      <c r="AK48" s="31">
        <f t="shared" si="31"/>
        <v>120.08282400000003</v>
      </c>
      <c r="AL48" s="27">
        <f>1853.13</f>
        <v>1853.13</v>
      </c>
      <c r="AM48" s="37">
        <f t="shared" si="6"/>
        <v>-0.11049759999999997</v>
      </c>
      <c r="AN48" s="36">
        <f>[1]PN!$I48</f>
        <v>2083.3333333333335</v>
      </c>
      <c r="AO48" s="31">
        <f t="shared" si="32"/>
        <v>1827.2916666666667</v>
      </c>
      <c r="AP48" s="31">
        <f t="shared" si="33"/>
        <v>256.04166666666669</v>
      </c>
      <c r="AQ48" s="31">
        <f t="shared" si="34"/>
        <v>0</v>
      </c>
      <c r="AR48" s="31">
        <f t="shared" si="35"/>
        <v>0</v>
      </c>
      <c r="AS48" s="33"/>
      <c r="AT48" s="37">
        <f t="shared" si="7"/>
        <v>-1</v>
      </c>
      <c r="AU48" s="36">
        <f>[1]PN!$J48</f>
        <v>2083.3333333333335</v>
      </c>
      <c r="AV48" s="31">
        <f t="shared" si="36"/>
        <v>1827.2916666666667</v>
      </c>
      <c r="AW48" s="31">
        <f t="shared" si="37"/>
        <v>256.04166666666669</v>
      </c>
      <c r="AX48" s="31">
        <f t="shared" si="38"/>
        <v>0</v>
      </c>
      <c r="AY48" s="31">
        <f t="shared" si="39"/>
        <v>0</v>
      </c>
      <c r="AZ48" s="33"/>
      <c r="BA48" s="37">
        <f t="shared" si="8"/>
        <v>-1</v>
      </c>
      <c r="BB48" s="36">
        <f>[1]PN!$K48</f>
        <v>2083.3333333333335</v>
      </c>
      <c r="BC48" s="31">
        <f t="shared" si="40"/>
        <v>1827.2916666666667</v>
      </c>
      <c r="BD48" s="31">
        <f t="shared" si="41"/>
        <v>256.04166666666669</v>
      </c>
      <c r="BE48" s="31">
        <f t="shared" si="42"/>
        <v>0</v>
      </c>
      <c r="BF48" s="31">
        <f t="shared" si="43"/>
        <v>0</v>
      </c>
      <c r="BG48" s="27"/>
      <c r="BH48" s="37">
        <f t="shared" si="9"/>
        <v>-1</v>
      </c>
      <c r="BI48" s="36">
        <f>[1]PN!$L48</f>
        <v>2083.3333333333335</v>
      </c>
      <c r="BJ48" s="31">
        <f t="shared" si="44"/>
        <v>1827.2916666666667</v>
      </c>
      <c r="BK48" s="31">
        <f t="shared" si="45"/>
        <v>256.04166666666669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[1]PN!$M48</f>
        <v>2083.3333333333335</v>
      </c>
      <c r="BQ48" s="31">
        <f t="shared" si="48"/>
        <v>1827.2916666666667</v>
      </c>
      <c r="BR48" s="31">
        <f t="shared" si="49"/>
        <v>256.04166666666669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[1]PN!$N48</f>
        <v>2083.3333333333335</v>
      </c>
      <c r="BX48" s="31">
        <f t="shared" si="52"/>
        <v>1827.2916666666667</v>
      </c>
      <c r="BY48" s="31">
        <f t="shared" si="53"/>
        <v>256.04166666666669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[1]PN!$O48</f>
        <v>2083.3333333333335</v>
      </c>
      <c r="CE48" s="31">
        <f t="shared" si="56"/>
        <v>1827.2916666666667</v>
      </c>
      <c r="CF48" s="31">
        <f t="shared" si="57"/>
        <v>256.04166666666669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[1]PN!$P48</f>
        <v>2083.3333333333335</v>
      </c>
      <c r="CL48" s="31">
        <f t="shared" si="60"/>
        <v>1827.2916666666667</v>
      </c>
      <c r="CM48" s="31">
        <f t="shared" si="61"/>
        <v>256.04166666666669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50400</v>
      </c>
      <c r="C49" s="31">
        <f t="shared" si="64"/>
        <v>44205.840000000004</v>
      </c>
      <c r="D49" s="32">
        <f t="shared" si="64"/>
        <v>6194.1600000000008</v>
      </c>
      <c r="E49" s="30">
        <f t="shared" si="66"/>
        <v>16800</v>
      </c>
      <c r="F49" s="33">
        <f t="shared" si="66"/>
        <v>14735.28</v>
      </c>
      <c r="G49" s="34">
        <f t="shared" si="66"/>
        <v>2064.7199999999998</v>
      </c>
      <c r="H49" s="31">
        <f t="shared" si="65"/>
        <v>27349.400287999997</v>
      </c>
      <c r="I49" s="33">
        <f t="shared" si="65"/>
        <v>1895.0397120000002</v>
      </c>
      <c r="J49" s="33">
        <f t="shared" si="65"/>
        <v>29244.44</v>
      </c>
      <c r="K49" s="37">
        <f t="shared" si="2"/>
        <v>0.74074047619047612</v>
      </c>
      <c r="L49" s="36">
        <f>[1]PN!$E49</f>
        <v>4200</v>
      </c>
      <c r="M49" s="31">
        <f t="shared" si="16"/>
        <v>3683.82</v>
      </c>
      <c r="N49" s="31">
        <f t="shared" si="17"/>
        <v>516.17999999999995</v>
      </c>
      <c r="O49" s="31">
        <f t="shared" si="18"/>
        <v>5973.3281439999992</v>
      </c>
      <c r="P49" s="31">
        <f t="shared" si="19"/>
        <v>413.89185600000002</v>
      </c>
      <c r="Q49" s="33">
        <f>R79</f>
        <v>6387.2199999999993</v>
      </c>
      <c r="R49" s="37">
        <f t="shared" si="3"/>
        <v>0.5207666666666666</v>
      </c>
      <c r="S49" s="36">
        <f>[1]PN!$F49</f>
        <v>4200</v>
      </c>
      <c r="T49" s="31">
        <f t="shared" si="20"/>
        <v>3683.82</v>
      </c>
      <c r="U49" s="31">
        <f t="shared" si="21"/>
        <v>516.17999999999995</v>
      </c>
      <c r="V49" s="31">
        <f t="shared" si="22"/>
        <v>9091.2755919999981</v>
      </c>
      <c r="W49" s="31">
        <f t="shared" si="23"/>
        <v>629.93440800000008</v>
      </c>
      <c r="X49" s="33">
        <f>Y79</f>
        <v>9721.2099999999991</v>
      </c>
      <c r="Y49" s="37">
        <f t="shared" si="4"/>
        <v>1.3145738095238095</v>
      </c>
      <c r="Z49" s="36">
        <f>[1]PN!$G49</f>
        <v>4200</v>
      </c>
      <c r="AA49" s="31">
        <f t="shared" si="24"/>
        <v>3683.82</v>
      </c>
      <c r="AB49" s="31">
        <f t="shared" si="25"/>
        <v>516.17999999999995</v>
      </c>
      <c r="AC49" s="31">
        <f t="shared" si="26"/>
        <v>5729.0164960000002</v>
      </c>
      <c r="AD49" s="31">
        <f t="shared" si="27"/>
        <v>396.96350400000011</v>
      </c>
      <c r="AE49" s="33">
        <f>AF79</f>
        <v>6125.9800000000005</v>
      </c>
      <c r="AF49" s="37">
        <f t="shared" si="5"/>
        <v>0.45856666666666679</v>
      </c>
      <c r="AG49" s="36">
        <f>[1]PN!$H49</f>
        <v>4200</v>
      </c>
      <c r="AH49" s="31">
        <f t="shared" si="28"/>
        <v>3683.82</v>
      </c>
      <c r="AI49" s="31">
        <f t="shared" si="29"/>
        <v>516.17999999999995</v>
      </c>
      <c r="AJ49" s="31">
        <f t="shared" si="30"/>
        <v>6555.7800559999996</v>
      </c>
      <c r="AK49" s="31">
        <f t="shared" si="31"/>
        <v>454.24994400000008</v>
      </c>
      <c r="AL49" s="27">
        <f>AM79</f>
        <v>7010.03</v>
      </c>
      <c r="AM49" s="37">
        <f t="shared" si="6"/>
        <v>0.66905476190476176</v>
      </c>
      <c r="AN49" s="36">
        <f>[1]PN!$I49</f>
        <v>4200</v>
      </c>
      <c r="AO49" s="31">
        <f t="shared" si="32"/>
        <v>3683.82</v>
      </c>
      <c r="AP49" s="31">
        <f t="shared" si="33"/>
        <v>516.17999999999995</v>
      </c>
      <c r="AQ49" s="31">
        <f t="shared" si="34"/>
        <v>0</v>
      </c>
      <c r="AR49" s="31">
        <f t="shared" si="35"/>
        <v>0</v>
      </c>
      <c r="AS49" s="33"/>
      <c r="AT49" s="37">
        <f t="shared" si="7"/>
        <v>-1</v>
      </c>
      <c r="AU49" s="36">
        <f>[1]PN!$J49</f>
        <v>4200</v>
      </c>
      <c r="AV49" s="31">
        <f t="shared" si="36"/>
        <v>3683.82</v>
      </c>
      <c r="AW49" s="31">
        <f t="shared" si="37"/>
        <v>516.17999999999995</v>
      </c>
      <c r="AX49" s="31">
        <f t="shared" si="38"/>
        <v>0</v>
      </c>
      <c r="AY49" s="31">
        <f t="shared" si="39"/>
        <v>0</v>
      </c>
      <c r="AZ49" s="33"/>
      <c r="BA49" s="37">
        <f t="shared" si="8"/>
        <v>-1</v>
      </c>
      <c r="BB49" s="36">
        <f>[1]PN!$K49</f>
        <v>4200</v>
      </c>
      <c r="BC49" s="31">
        <f t="shared" si="40"/>
        <v>3683.82</v>
      </c>
      <c r="BD49" s="31">
        <f t="shared" si="41"/>
        <v>516.17999999999995</v>
      </c>
      <c r="BE49" s="31">
        <f t="shared" si="42"/>
        <v>0</v>
      </c>
      <c r="BF49" s="31">
        <f t="shared" si="43"/>
        <v>0</v>
      </c>
      <c r="BG49" s="27"/>
      <c r="BH49" s="37">
        <f t="shared" si="9"/>
        <v>-1</v>
      </c>
      <c r="BI49" s="36">
        <f>[1]PN!$L49</f>
        <v>4200</v>
      </c>
      <c r="BJ49" s="31">
        <f t="shared" si="44"/>
        <v>3683.82</v>
      </c>
      <c r="BK49" s="31">
        <f t="shared" si="45"/>
        <v>516.17999999999995</v>
      </c>
      <c r="BL49" s="31">
        <f t="shared" si="46"/>
        <v>0</v>
      </c>
      <c r="BM49" s="31">
        <f t="shared" si="47"/>
        <v>0</v>
      </c>
      <c r="BN49" s="33"/>
      <c r="BO49" s="37">
        <f t="shared" si="10"/>
        <v>-1</v>
      </c>
      <c r="BP49" s="36">
        <f>[1]PN!$M49</f>
        <v>4200</v>
      </c>
      <c r="BQ49" s="31">
        <f t="shared" si="48"/>
        <v>3683.82</v>
      </c>
      <c r="BR49" s="31">
        <f t="shared" si="49"/>
        <v>516.17999999999995</v>
      </c>
      <c r="BS49" s="31">
        <f t="shared" si="50"/>
        <v>0</v>
      </c>
      <c r="BT49" s="31">
        <f t="shared" si="51"/>
        <v>0</v>
      </c>
      <c r="BU49" s="33"/>
      <c r="BV49" s="37">
        <f t="shared" si="11"/>
        <v>-1</v>
      </c>
      <c r="BW49" s="36">
        <f>[1]PN!$N49</f>
        <v>4200</v>
      </c>
      <c r="BX49" s="31">
        <f t="shared" si="52"/>
        <v>3683.82</v>
      </c>
      <c r="BY49" s="31">
        <f t="shared" si="53"/>
        <v>516.17999999999995</v>
      </c>
      <c r="BZ49" s="31">
        <f t="shared" si="54"/>
        <v>0</v>
      </c>
      <c r="CA49" s="31">
        <f t="shared" si="55"/>
        <v>0</v>
      </c>
      <c r="CB49" s="33"/>
      <c r="CC49" s="37">
        <f t="shared" si="12"/>
        <v>-1</v>
      </c>
      <c r="CD49" s="36">
        <f>[1]PN!$O49</f>
        <v>4200</v>
      </c>
      <c r="CE49" s="31">
        <f t="shared" si="56"/>
        <v>3683.82</v>
      </c>
      <c r="CF49" s="31">
        <f t="shared" si="57"/>
        <v>516.17999999999995</v>
      </c>
      <c r="CG49" s="31">
        <f t="shared" si="58"/>
        <v>0</v>
      </c>
      <c r="CH49" s="31">
        <f t="shared" si="59"/>
        <v>0</v>
      </c>
      <c r="CI49" s="33"/>
      <c r="CJ49" s="37">
        <f t="shared" si="13"/>
        <v>-1</v>
      </c>
      <c r="CK49" s="36">
        <f>[1]PN!$P49</f>
        <v>4200</v>
      </c>
      <c r="CL49" s="31">
        <f t="shared" si="60"/>
        <v>3683.82</v>
      </c>
      <c r="CM49" s="31">
        <f t="shared" si="61"/>
        <v>516.17999999999995</v>
      </c>
      <c r="CN49" s="31">
        <f t="shared" si="62"/>
        <v>0</v>
      </c>
      <c r="CO49" s="31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4982</v>
      </c>
      <c r="C50" s="31">
        <f t="shared" si="64"/>
        <v>4369.7122000000008</v>
      </c>
      <c r="D50" s="32">
        <f t="shared" si="64"/>
        <v>612.28779999999995</v>
      </c>
      <c r="E50" s="30">
        <f t="shared" si="66"/>
        <v>1660.6666666666667</v>
      </c>
      <c r="F50" s="33">
        <f t="shared" si="66"/>
        <v>1456.5707333333335</v>
      </c>
      <c r="G50" s="34">
        <f t="shared" si="66"/>
        <v>204.09593333333333</v>
      </c>
      <c r="H50" s="31">
        <f t="shared" si="65"/>
        <v>1868.679232</v>
      </c>
      <c r="I50" s="33">
        <f t="shared" si="65"/>
        <v>129.48076800000004</v>
      </c>
      <c r="J50" s="33">
        <f t="shared" si="65"/>
        <v>1998.16</v>
      </c>
      <c r="K50" s="37">
        <f t="shared" si="2"/>
        <v>0.20322761942994783</v>
      </c>
      <c r="L50" s="36">
        <f>[1]PN!$E50</f>
        <v>415.16666666666669</v>
      </c>
      <c r="M50" s="28">
        <f t="shared" si="16"/>
        <v>364.14268333333337</v>
      </c>
      <c r="N50" s="28">
        <f t="shared" si="17"/>
        <v>51.023983333333334</v>
      </c>
      <c r="O50" s="28">
        <f t="shared" si="18"/>
        <v>363.11945599999996</v>
      </c>
      <c r="P50" s="28">
        <f t="shared" si="19"/>
        <v>25.160544000000002</v>
      </c>
      <c r="Q50" s="151">
        <f>388.28</f>
        <v>388.28</v>
      </c>
      <c r="R50" s="37">
        <f t="shared" si="3"/>
        <v>-6.4761140104375836E-2</v>
      </c>
      <c r="S50" s="36">
        <f>[1]PN!$F50</f>
        <v>415.16666666666669</v>
      </c>
      <c r="T50" s="28">
        <f t="shared" si="20"/>
        <v>364.14268333333337</v>
      </c>
      <c r="U50" s="28">
        <f t="shared" si="21"/>
        <v>51.023983333333334</v>
      </c>
      <c r="V50" s="28">
        <f t="shared" si="22"/>
        <v>420.47527200000002</v>
      </c>
      <c r="W50" s="28">
        <f t="shared" si="23"/>
        <v>29.134728000000006</v>
      </c>
      <c r="X50" s="151">
        <f>449.61</f>
        <v>449.61</v>
      </c>
      <c r="Y50" s="37">
        <f t="shared" si="4"/>
        <v>8.2962665596146179E-2</v>
      </c>
      <c r="Z50" s="36">
        <f>[1]PN!$G50</f>
        <v>415.16666666666669</v>
      </c>
      <c r="AA50" s="28">
        <f t="shared" si="24"/>
        <v>364.14268333333337</v>
      </c>
      <c r="AB50" s="28">
        <f t="shared" si="25"/>
        <v>51.023983333333334</v>
      </c>
      <c r="AC50" s="28">
        <f t="shared" si="26"/>
        <v>741.70712000000003</v>
      </c>
      <c r="AD50" s="28">
        <f t="shared" si="27"/>
        <v>51.392880000000012</v>
      </c>
      <c r="AE50" s="151">
        <f>793.1</f>
        <v>793.1</v>
      </c>
      <c r="AF50" s="37">
        <f t="shared" si="5"/>
        <v>0.91031714171015654</v>
      </c>
      <c r="AG50" s="36">
        <f>[1]PN!$H50</f>
        <v>415.16666666666669</v>
      </c>
      <c r="AH50" s="28">
        <f t="shared" si="28"/>
        <v>364.14268333333337</v>
      </c>
      <c r="AI50" s="28">
        <f t="shared" si="29"/>
        <v>51.023983333333334</v>
      </c>
      <c r="AJ50" s="28">
        <f t="shared" si="30"/>
        <v>343.37738400000001</v>
      </c>
      <c r="AK50" s="28">
        <f t="shared" si="31"/>
        <v>23.792616000000006</v>
      </c>
      <c r="AL50" s="153">
        <f>367.17</f>
        <v>367.17</v>
      </c>
      <c r="AM50" s="37">
        <f t="shared" si="6"/>
        <v>-0.11560818948213569</v>
      </c>
      <c r="AN50" s="36">
        <f>[1]PN!$I50</f>
        <v>415.16666666666669</v>
      </c>
      <c r="AO50" s="28">
        <f t="shared" si="32"/>
        <v>364.14268333333337</v>
      </c>
      <c r="AP50" s="28">
        <f t="shared" si="33"/>
        <v>51.023983333333334</v>
      </c>
      <c r="AQ50" s="28">
        <f t="shared" si="34"/>
        <v>0</v>
      </c>
      <c r="AR50" s="28">
        <f t="shared" si="35"/>
        <v>0</v>
      </c>
      <c r="AS50" s="151"/>
      <c r="AT50" s="37">
        <f t="shared" si="7"/>
        <v>-1</v>
      </c>
      <c r="AU50" s="36">
        <f>[1]PN!$J50</f>
        <v>415.16666666666669</v>
      </c>
      <c r="AV50" s="28">
        <f t="shared" si="36"/>
        <v>364.14268333333337</v>
      </c>
      <c r="AW50" s="28">
        <f t="shared" si="37"/>
        <v>51.023983333333334</v>
      </c>
      <c r="AX50" s="28">
        <f t="shared" si="38"/>
        <v>0</v>
      </c>
      <c r="AY50" s="28">
        <f t="shared" si="39"/>
        <v>0</v>
      </c>
      <c r="AZ50" s="151"/>
      <c r="BA50" s="37">
        <f t="shared" si="8"/>
        <v>-1</v>
      </c>
      <c r="BB50" s="36">
        <f>[1]PN!$K50</f>
        <v>415.16666666666669</v>
      </c>
      <c r="BC50" s="28">
        <f t="shared" si="40"/>
        <v>364.14268333333337</v>
      </c>
      <c r="BD50" s="28">
        <f t="shared" si="41"/>
        <v>51.023983333333334</v>
      </c>
      <c r="BE50" s="28">
        <f t="shared" si="42"/>
        <v>0</v>
      </c>
      <c r="BF50" s="28">
        <f t="shared" si="43"/>
        <v>0</v>
      </c>
      <c r="BG50" s="153"/>
      <c r="BH50" s="37">
        <f t="shared" si="9"/>
        <v>-1</v>
      </c>
      <c r="BI50" s="36">
        <f>[1]PN!$L50</f>
        <v>415.16666666666669</v>
      </c>
      <c r="BJ50" s="28">
        <f t="shared" si="44"/>
        <v>364.14268333333337</v>
      </c>
      <c r="BK50" s="28">
        <f t="shared" si="45"/>
        <v>51.023983333333334</v>
      </c>
      <c r="BL50" s="28">
        <f t="shared" si="46"/>
        <v>0</v>
      </c>
      <c r="BM50" s="28">
        <f t="shared" si="47"/>
        <v>0</v>
      </c>
      <c r="BN50" s="151"/>
      <c r="BO50" s="37">
        <f t="shared" si="10"/>
        <v>-1</v>
      </c>
      <c r="BP50" s="36">
        <f>[1]PN!$M50</f>
        <v>415.16666666666669</v>
      </c>
      <c r="BQ50" s="28">
        <f t="shared" si="48"/>
        <v>364.14268333333337</v>
      </c>
      <c r="BR50" s="28">
        <f t="shared" si="49"/>
        <v>51.023983333333334</v>
      </c>
      <c r="BS50" s="28">
        <f t="shared" si="50"/>
        <v>0</v>
      </c>
      <c r="BT50" s="28">
        <f t="shared" si="51"/>
        <v>0</v>
      </c>
      <c r="BU50" s="151"/>
      <c r="BV50" s="37">
        <f t="shared" si="11"/>
        <v>-1</v>
      </c>
      <c r="BW50" s="36">
        <f>[1]PN!$N50</f>
        <v>415.16666666666669</v>
      </c>
      <c r="BX50" s="28">
        <f t="shared" si="52"/>
        <v>364.14268333333337</v>
      </c>
      <c r="BY50" s="28">
        <f t="shared" si="53"/>
        <v>51.023983333333334</v>
      </c>
      <c r="BZ50" s="28">
        <f t="shared" si="54"/>
        <v>0</v>
      </c>
      <c r="CA50" s="28">
        <f t="shared" si="55"/>
        <v>0</v>
      </c>
      <c r="CB50" s="151"/>
      <c r="CC50" s="37">
        <f t="shared" si="12"/>
        <v>-1</v>
      </c>
      <c r="CD50" s="36">
        <f>[1]PN!$O50</f>
        <v>415.16666666666669</v>
      </c>
      <c r="CE50" s="28">
        <f t="shared" si="56"/>
        <v>364.14268333333337</v>
      </c>
      <c r="CF50" s="28">
        <f t="shared" si="57"/>
        <v>51.023983333333334</v>
      </c>
      <c r="CG50" s="28">
        <f t="shared" si="58"/>
        <v>0</v>
      </c>
      <c r="CH50" s="28">
        <f t="shared" si="59"/>
        <v>0</v>
      </c>
      <c r="CI50" s="151"/>
      <c r="CJ50" s="37">
        <f t="shared" si="13"/>
        <v>-1</v>
      </c>
      <c r="CK50" s="36">
        <f>[1]PN!$P50</f>
        <v>415.16666666666669</v>
      </c>
      <c r="CL50" s="28">
        <f t="shared" si="60"/>
        <v>364.14268333333337</v>
      </c>
      <c r="CM50" s="28">
        <f t="shared" si="61"/>
        <v>51.023983333333334</v>
      </c>
      <c r="CN50" s="28">
        <f t="shared" si="62"/>
        <v>0</v>
      </c>
      <c r="CO50" s="28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3744.5370000000003</v>
      </c>
      <c r="C51" s="31">
        <f t="shared" si="64"/>
        <v>3284.3334026999996</v>
      </c>
      <c r="D51" s="32">
        <f t="shared" si="64"/>
        <v>460.20359730000001</v>
      </c>
      <c r="E51" s="30">
        <f t="shared" si="66"/>
        <v>1248.1790000000001</v>
      </c>
      <c r="F51" s="33">
        <f t="shared" si="66"/>
        <v>1094.7778009000001</v>
      </c>
      <c r="G51" s="34">
        <f t="shared" si="66"/>
        <v>153.40119910000001</v>
      </c>
      <c r="H51" s="31">
        <f t="shared" si="65"/>
        <v>1181.5597360000002</v>
      </c>
      <c r="I51" s="33">
        <f t="shared" si="65"/>
        <v>81.87026400000002</v>
      </c>
      <c r="J51" s="33">
        <f t="shared" si="65"/>
        <v>1263.4299999999998</v>
      </c>
      <c r="K51" s="37">
        <f t="shared" si="2"/>
        <v>1.2218600056562279E-2</v>
      </c>
      <c r="L51" s="36">
        <f>[1]PN!$E51</f>
        <v>312.04475000000002</v>
      </c>
      <c r="M51" s="31">
        <f t="shared" si="16"/>
        <v>273.69445022500003</v>
      </c>
      <c r="N51" s="31">
        <f t="shared" si="17"/>
        <v>38.350299775000003</v>
      </c>
      <c r="O51" s="31">
        <f t="shared" si="18"/>
        <v>289.03291200000001</v>
      </c>
      <c r="P51" s="31">
        <f t="shared" si="19"/>
        <v>20.027088000000003</v>
      </c>
      <c r="Q51" s="45">
        <f>309.06</f>
        <v>309.06</v>
      </c>
      <c r="R51" s="37">
        <f t="shared" si="3"/>
        <v>-9.5651344879220668E-3</v>
      </c>
      <c r="S51" s="36">
        <f>[1]PN!$F51</f>
        <v>312.04475000000002</v>
      </c>
      <c r="T51" s="31">
        <f t="shared" si="20"/>
        <v>273.69445022500003</v>
      </c>
      <c r="U51" s="31">
        <f t="shared" si="21"/>
        <v>38.350299775000003</v>
      </c>
      <c r="V51" s="31">
        <f t="shared" si="22"/>
        <v>281.51390399999997</v>
      </c>
      <c r="W51" s="31">
        <f t="shared" si="23"/>
        <v>19.506096000000003</v>
      </c>
      <c r="X51" s="45">
        <f>301.02</f>
        <v>301.02</v>
      </c>
      <c r="Y51" s="37">
        <f t="shared" si="4"/>
        <v>-3.5330669719647712E-2</v>
      </c>
      <c r="Z51" s="36">
        <f>[1]PN!$G51</f>
        <v>312.04475000000002</v>
      </c>
      <c r="AA51" s="31">
        <f t="shared" si="24"/>
        <v>273.69445022500003</v>
      </c>
      <c r="AB51" s="31">
        <f t="shared" si="25"/>
        <v>38.350299775000003</v>
      </c>
      <c r="AC51" s="31">
        <f t="shared" si="26"/>
        <v>261.827944</v>
      </c>
      <c r="AD51" s="31">
        <f t="shared" si="27"/>
        <v>18.142056000000004</v>
      </c>
      <c r="AE51" s="45">
        <f>279.97</f>
        <v>279.97000000000003</v>
      </c>
      <c r="AF51" s="37">
        <f t="shared" si="5"/>
        <v>-0.10278894293206342</v>
      </c>
      <c r="AG51" s="36">
        <f>[1]PN!$H51</f>
        <v>312.04475000000002</v>
      </c>
      <c r="AH51" s="31">
        <f t="shared" si="28"/>
        <v>273.69445022500003</v>
      </c>
      <c r="AI51" s="31">
        <f t="shared" si="29"/>
        <v>38.350299775000003</v>
      </c>
      <c r="AJ51" s="31">
        <f t="shared" si="30"/>
        <v>349.18497600000001</v>
      </c>
      <c r="AK51" s="31">
        <f t="shared" si="31"/>
        <v>24.195024000000004</v>
      </c>
      <c r="AL51" s="48">
        <f>373.38</f>
        <v>373.38</v>
      </c>
      <c r="AM51" s="37">
        <f t="shared" si="6"/>
        <v>0.19655914736588254</v>
      </c>
      <c r="AN51" s="36">
        <f>[1]PN!$I51</f>
        <v>312.04475000000002</v>
      </c>
      <c r="AO51" s="31">
        <f t="shared" si="32"/>
        <v>273.69445022500003</v>
      </c>
      <c r="AP51" s="31">
        <f t="shared" si="33"/>
        <v>38.350299775000003</v>
      </c>
      <c r="AQ51" s="31">
        <f t="shared" si="34"/>
        <v>0</v>
      </c>
      <c r="AR51" s="31">
        <f t="shared" si="35"/>
        <v>0</v>
      </c>
      <c r="AS51" s="45"/>
      <c r="AT51" s="37">
        <f t="shared" si="7"/>
        <v>-1</v>
      </c>
      <c r="AU51" s="36">
        <f>[1]PN!$J51</f>
        <v>312.04475000000002</v>
      </c>
      <c r="AV51" s="31">
        <f t="shared" si="36"/>
        <v>273.69445022500003</v>
      </c>
      <c r="AW51" s="31">
        <f t="shared" si="37"/>
        <v>38.350299775000003</v>
      </c>
      <c r="AX51" s="31">
        <f t="shared" si="38"/>
        <v>0</v>
      </c>
      <c r="AY51" s="31">
        <f t="shared" si="39"/>
        <v>0</v>
      </c>
      <c r="AZ51" s="45"/>
      <c r="BA51" s="37">
        <f t="shared" si="8"/>
        <v>-1</v>
      </c>
      <c r="BB51" s="36">
        <f>[1]PN!$K51</f>
        <v>312.04475000000002</v>
      </c>
      <c r="BC51" s="31">
        <f t="shared" si="40"/>
        <v>273.69445022500003</v>
      </c>
      <c r="BD51" s="31">
        <f t="shared" si="41"/>
        <v>38.350299775000003</v>
      </c>
      <c r="BE51" s="31">
        <f t="shared" si="42"/>
        <v>0</v>
      </c>
      <c r="BF51" s="31">
        <f t="shared" si="43"/>
        <v>0</v>
      </c>
      <c r="BG51" s="48"/>
      <c r="BH51" s="37">
        <f t="shared" si="9"/>
        <v>-1</v>
      </c>
      <c r="BI51" s="36">
        <f>[1]PN!$L51</f>
        <v>312.04475000000002</v>
      </c>
      <c r="BJ51" s="31">
        <f t="shared" si="44"/>
        <v>273.69445022500003</v>
      </c>
      <c r="BK51" s="31">
        <f t="shared" si="45"/>
        <v>38.350299775000003</v>
      </c>
      <c r="BL51" s="31">
        <f t="shared" si="46"/>
        <v>0</v>
      </c>
      <c r="BM51" s="31">
        <f t="shared" si="47"/>
        <v>0</v>
      </c>
      <c r="BN51" s="45"/>
      <c r="BO51" s="37">
        <f t="shared" si="10"/>
        <v>-1</v>
      </c>
      <c r="BP51" s="36">
        <f>[1]PN!$M51</f>
        <v>312.04475000000002</v>
      </c>
      <c r="BQ51" s="31">
        <f t="shared" si="48"/>
        <v>273.69445022500003</v>
      </c>
      <c r="BR51" s="31">
        <f t="shared" si="49"/>
        <v>38.350299775000003</v>
      </c>
      <c r="BS51" s="31">
        <f t="shared" si="50"/>
        <v>0</v>
      </c>
      <c r="BT51" s="31">
        <f t="shared" si="51"/>
        <v>0</v>
      </c>
      <c r="BU51" s="45"/>
      <c r="BV51" s="37">
        <f t="shared" si="11"/>
        <v>-1</v>
      </c>
      <c r="BW51" s="36">
        <f>[1]PN!$N51</f>
        <v>312.04475000000002</v>
      </c>
      <c r="BX51" s="31">
        <f t="shared" si="52"/>
        <v>273.69445022500003</v>
      </c>
      <c r="BY51" s="31">
        <f t="shared" si="53"/>
        <v>38.350299775000003</v>
      </c>
      <c r="BZ51" s="31">
        <f t="shared" si="54"/>
        <v>0</v>
      </c>
      <c r="CA51" s="31">
        <f t="shared" si="55"/>
        <v>0</v>
      </c>
      <c r="CB51" s="45"/>
      <c r="CC51" s="37">
        <f t="shared" si="12"/>
        <v>-1</v>
      </c>
      <c r="CD51" s="36">
        <f>[1]PN!$O51</f>
        <v>312.04475000000002</v>
      </c>
      <c r="CE51" s="31">
        <f t="shared" si="56"/>
        <v>273.69445022500003</v>
      </c>
      <c r="CF51" s="31">
        <f t="shared" si="57"/>
        <v>38.350299775000003</v>
      </c>
      <c r="CG51" s="31">
        <f t="shared" si="58"/>
        <v>0</v>
      </c>
      <c r="CH51" s="31">
        <f t="shared" si="59"/>
        <v>0</v>
      </c>
      <c r="CI51" s="45"/>
      <c r="CJ51" s="37">
        <f t="shared" si="13"/>
        <v>-1</v>
      </c>
      <c r="CK51" s="36">
        <f>[1]PN!$P51</f>
        <v>312.04475000000002</v>
      </c>
      <c r="CL51" s="31">
        <f t="shared" si="60"/>
        <v>273.69445022500003</v>
      </c>
      <c r="CM51" s="31">
        <f t="shared" si="61"/>
        <v>38.350299775000003</v>
      </c>
      <c r="CN51" s="31">
        <f t="shared" si="62"/>
        <v>0</v>
      </c>
      <c r="CO51" s="31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15000</v>
      </c>
      <c r="C52" s="31">
        <f t="shared" si="64"/>
        <v>13156.5</v>
      </c>
      <c r="D52" s="32">
        <f t="shared" si="64"/>
        <v>1843.5</v>
      </c>
      <c r="E52" s="30">
        <f t="shared" si="66"/>
        <v>5000</v>
      </c>
      <c r="F52" s="33">
        <f t="shared" si="66"/>
        <v>4385.5</v>
      </c>
      <c r="G52" s="34">
        <f t="shared" si="66"/>
        <v>614.5</v>
      </c>
      <c r="H52" s="31">
        <f t="shared" si="65"/>
        <v>6729.6991999999991</v>
      </c>
      <c r="I52" s="33">
        <f t="shared" si="65"/>
        <v>466.30080000000009</v>
      </c>
      <c r="J52" s="33">
        <f t="shared" si="65"/>
        <v>7196</v>
      </c>
      <c r="K52" s="37">
        <f t="shared" si="2"/>
        <v>0.43920000000000003</v>
      </c>
      <c r="L52" s="36">
        <f>[1]PN!$E52</f>
        <v>1250</v>
      </c>
      <c r="M52" s="31">
        <f t="shared" si="16"/>
        <v>1096.375</v>
      </c>
      <c r="N52" s="31">
        <f t="shared" si="17"/>
        <v>153.625</v>
      </c>
      <c r="O52" s="31">
        <f t="shared" si="18"/>
        <v>0</v>
      </c>
      <c r="P52" s="31">
        <f t="shared" si="19"/>
        <v>0</v>
      </c>
      <c r="Q52" s="33"/>
      <c r="R52" s="37">
        <f t="shared" si="3"/>
        <v>-1</v>
      </c>
      <c r="S52" s="36">
        <f>[1]PN!$F52</f>
        <v>1250</v>
      </c>
      <c r="T52" s="31">
        <f t="shared" si="20"/>
        <v>1096.375</v>
      </c>
      <c r="U52" s="31">
        <f t="shared" si="21"/>
        <v>153.625</v>
      </c>
      <c r="V52" s="31">
        <f t="shared" si="22"/>
        <v>713.55759999999998</v>
      </c>
      <c r="W52" s="31">
        <f t="shared" si="23"/>
        <v>49.442400000000006</v>
      </c>
      <c r="X52" s="33">
        <f>763</f>
        <v>763</v>
      </c>
      <c r="Y52" s="37">
        <f t="shared" si="4"/>
        <v>-0.38959999999999995</v>
      </c>
      <c r="Z52" s="36">
        <f>[1]PN!$G52</f>
        <v>1250</v>
      </c>
      <c r="AA52" s="31">
        <f t="shared" si="24"/>
        <v>1096.375</v>
      </c>
      <c r="AB52" s="31">
        <f t="shared" si="25"/>
        <v>153.625</v>
      </c>
      <c r="AC52" s="31">
        <f t="shared" si="26"/>
        <v>712.62239999999997</v>
      </c>
      <c r="AD52" s="31">
        <f t="shared" si="27"/>
        <v>49.377600000000008</v>
      </c>
      <c r="AE52" s="33">
        <f>762</f>
        <v>762</v>
      </c>
      <c r="AF52" s="37">
        <f t="shared" si="5"/>
        <v>-0.39039999999999997</v>
      </c>
      <c r="AG52" s="36">
        <f>[1]PN!$H52</f>
        <v>1250</v>
      </c>
      <c r="AH52" s="31">
        <f t="shared" si="28"/>
        <v>1096.375</v>
      </c>
      <c r="AI52" s="31">
        <f t="shared" si="29"/>
        <v>153.625</v>
      </c>
      <c r="AJ52" s="31">
        <f t="shared" si="30"/>
        <v>5303.5191999999997</v>
      </c>
      <c r="AK52" s="31">
        <f t="shared" si="31"/>
        <v>367.48080000000004</v>
      </c>
      <c r="AL52" s="27">
        <f>5671</f>
        <v>5671</v>
      </c>
      <c r="AM52" s="37">
        <f t="shared" si="6"/>
        <v>3.5368000000000004</v>
      </c>
      <c r="AN52" s="36">
        <f>[1]PN!$I52</f>
        <v>1250</v>
      </c>
      <c r="AO52" s="31">
        <f t="shared" si="32"/>
        <v>1096.375</v>
      </c>
      <c r="AP52" s="31">
        <f t="shared" si="33"/>
        <v>153.625</v>
      </c>
      <c r="AQ52" s="31">
        <f t="shared" si="34"/>
        <v>0</v>
      </c>
      <c r="AR52" s="31">
        <f t="shared" si="35"/>
        <v>0</v>
      </c>
      <c r="AS52" s="33"/>
      <c r="AT52" s="37">
        <f t="shared" si="7"/>
        <v>-1</v>
      </c>
      <c r="AU52" s="36">
        <f>[1]PN!$J52</f>
        <v>1250</v>
      </c>
      <c r="AV52" s="31">
        <f t="shared" si="36"/>
        <v>1096.375</v>
      </c>
      <c r="AW52" s="31">
        <f t="shared" si="37"/>
        <v>153.625</v>
      </c>
      <c r="AX52" s="31">
        <f t="shared" si="38"/>
        <v>0</v>
      </c>
      <c r="AY52" s="31">
        <f t="shared" si="39"/>
        <v>0</v>
      </c>
      <c r="AZ52" s="33"/>
      <c r="BA52" s="37">
        <f t="shared" si="8"/>
        <v>-1</v>
      </c>
      <c r="BB52" s="36">
        <f>[1]PN!$K52</f>
        <v>1250</v>
      </c>
      <c r="BC52" s="31">
        <f t="shared" si="40"/>
        <v>1096.375</v>
      </c>
      <c r="BD52" s="31">
        <f t="shared" si="41"/>
        <v>153.625</v>
      </c>
      <c r="BE52" s="31">
        <f t="shared" si="42"/>
        <v>0</v>
      </c>
      <c r="BF52" s="31">
        <f t="shared" si="43"/>
        <v>0</v>
      </c>
      <c r="BG52" s="27"/>
      <c r="BH52" s="37">
        <f t="shared" si="9"/>
        <v>-1</v>
      </c>
      <c r="BI52" s="36">
        <f>[1]PN!$L52</f>
        <v>1250</v>
      </c>
      <c r="BJ52" s="31">
        <f t="shared" si="44"/>
        <v>1096.375</v>
      </c>
      <c r="BK52" s="31">
        <f t="shared" si="45"/>
        <v>153.625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[1]PN!$M52</f>
        <v>1250</v>
      </c>
      <c r="BQ52" s="31">
        <f t="shared" si="48"/>
        <v>1096.375</v>
      </c>
      <c r="BR52" s="31">
        <f t="shared" si="49"/>
        <v>153.625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[1]PN!$N52</f>
        <v>1250</v>
      </c>
      <c r="BX52" s="31">
        <f t="shared" si="52"/>
        <v>1096.375</v>
      </c>
      <c r="BY52" s="31">
        <f t="shared" si="53"/>
        <v>153.625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[1]PN!$O52</f>
        <v>1250</v>
      </c>
      <c r="CE52" s="31">
        <f t="shared" si="56"/>
        <v>1096.375</v>
      </c>
      <c r="CF52" s="31">
        <f t="shared" si="57"/>
        <v>153.625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[1]PN!$P52</f>
        <v>1250</v>
      </c>
      <c r="CL52" s="31">
        <f t="shared" si="60"/>
        <v>1096.375</v>
      </c>
      <c r="CM52" s="31">
        <f t="shared" si="61"/>
        <v>153.625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5000</v>
      </c>
      <c r="C53" s="31">
        <f t="shared" si="64"/>
        <v>4385.5000000000009</v>
      </c>
      <c r="D53" s="32">
        <f t="shared" si="64"/>
        <v>614.5</v>
      </c>
      <c r="E53" s="30">
        <f t="shared" si="66"/>
        <v>1666.6666666666667</v>
      </c>
      <c r="F53" s="33">
        <f t="shared" si="66"/>
        <v>1461.8333333333335</v>
      </c>
      <c r="G53" s="34">
        <f t="shared" si="66"/>
        <v>204.83333333333334</v>
      </c>
      <c r="H53" s="31">
        <f t="shared" si="65"/>
        <v>205.744</v>
      </c>
      <c r="I53" s="33">
        <f t="shared" si="65"/>
        <v>14.256000000000002</v>
      </c>
      <c r="J53" s="33">
        <f t="shared" si="65"/>
        <v>220</v>
      </c>
      <c r="K53" s="37">
        <f t="shared" si="2"/>
        <v>-0.86799999999999999</v>
      </c>
      <c r="L53" s="36">
        <f>[1]PN!$E53</f>
        <v>416.66666666666669</v>
      </c>
      <c r="M53" s="31">
        <f t="shared" si="16"/>
        <v>365.45833333333337</v>
      </c>
      <c r="N53" s="31">
        <f t="shared" si="17"/>
        <v>51.208333333333336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f>[1]PN!$F53</f>
        <v>416.66666666666669</v>
      </c>
      <c r="T53" s="31">
        <f t="shared" si="20"/>
        <v>365.45833333333337</v>
      </c>
      <c r="U53" s="31">
        <f t="shared" si="21"/>
        <v>51.208333333333336</v>
      </c>
      <c r="V53" s="31">
        <f t="shared" si="22"/>
        <v>0</v>
      </c>
      <c r="W53" s="31">
        <f t="shared" si="23"/>
        <v>0</v>
      </c>
      <c r="X53" s="33"/>
      <c r="Y53" s="37">
        <f t="shared" si="4"/>
        <v>-1</v>
      </c>
      <c r="Z53" s="36">
        <f>[1]PN!$G53</f>
        <v>416.66666666666669</v>
      </c>
      <c r="AA53" s="31">
        <f t="shared" si="24"/>
        <v>365.45833333333337</v>
      </c>
      <c r="AB53" s="31">
        <f t="shared" si="25"/>
        <v>51.208333333333336</v>
      </c>
      <c r="AC53" s="31">
        <f t="shared" si="26"/>
        <v>205.744</v>
      </c>
      <c r="AD53" s="31">
        <f t="shared" si="27"/>
        <v>14.256000000000002</v>
      </c>
      <c r="AE53" s="33">
        <f>220</f>
        <v>220</v>
      </c>
      <c r="AF53" s="37">
        <f t="shared" si="5"/>
        <v>-0.47199999999999998</v>
      </c>
      <c r="AG53" s="36">
        <f>[1]PN!$H53</f>
        <v>416.66666666666669</v>
      </c>
      <c r="AH53" s="31">
        <f t="shared" si="28"/>
        <v>365.45833333333337</v>
      </c>
      <c r="AI53" s="31">
        <f t="shared" si="29"/>
        <v>51.208333333333336</v>
      </c>
      <c r="AJ53" s="31">
        <f t="shared" si="30"/>
        <v>0</v>
      </c>
      <c r="AK53" s="31">
        <f t="shared" si="31"/>
        <v>0</v>
      </c>
      <c r="AL53" s="27"/>
      <c r="AM53" s="37">
        <f t="shared" si="6"/>
        <v>-1</v>
      </c>
      <c r="AN53" s="36">
        <f>[1]PN!$I53</f>
        <v>416.66666666666669</v>
      </c>
      <c r="AO53" s="31">
        <f t="shared" si="32"/>
        <v>365.45833333333337</v>
      </c>
      <c r="AP53" s="31">
        <f t="shared" si="33"/>
        <v>51.208333333333336</v>
      </c>
      <c r="AQ53" s="31">
        <f t="shared" si="34"/>
        <v>0</v>
      </c>
      <c r="AR53" s="31">
        <f t="shared" si="35"/>
        <v>0</v>
      </c>
      <c r="AS53" s="33"/>
      <c r="AT53" s="37">
        <f t="shared" si="7"/>
        <v>-1</v>
      </c>
      <c r="AU53" s="36">
        <f>[1]PN!$J53</f>
        <v>416.66666666666669</v>
      </c>
      <c r="AV53" s="31">
        <f t="shared" si="36"/>
        <v>365.45833333333337</v>
      </c>
      <c r="AW53" s="31">
        <f t="shared" si="37"/>
        <v>51.208333333333336</v>
      </c>
      <c r="AX53" s="31">
        <f t="shared" si="38"/>
        <v>0</v>
      </c>
      <c r="AY53" s="31">
        <f t="shared" si="39"/>
        <v>0</v>
      </c>
      <c r="AZ53" s="33"/>
      <c r="BA53" s="37">
        <f t="shared" si="8"/>
        <v>-1</v>
      </c>
      <c r="BB53" s="36">
        <f>[1]PN!$K53</f>
        <v>416.66666666666669</v>
      </c>
      <c r="BC53" s="31">
        <f t="shared" si="40"/>
        <v>365.45833333333337</v>
      </c>
      <c r="BD53" s="31">
        <f t="shared" si="41"/>
        <v>51.208333333333336</v>
      </c>
      <c r="BE53" s="31">
        <f t="shared" si="42"/>
        <v>0</v>
      </c>
      <c r="BF53" s="31">
        <f t="shared" si="43"/>
        <v>0</v>
      </c>
      <c r="BG53" s="27"/>
      <c r="BH53" s="37">
        <f t="shared" si="9"/>
        <v>-1</v>
      </c>
      <c r="BI53" s="36">
        <f>[1]PN!$L53</f>
        <v>416.66666666666669</v>
      </c>
      <c r="BJ53" s="31">
        <f t="shared" si="44"/>
        <v>365.45833333333337</v>
      </c>
      <c r="BK53" s="31">
        <f t="shared" si="45"/>
        <v>51.208333333333336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[1]PN!$M53</f>
        <v>416.66666666666669</v>
      </c>
      <c r="BQ53" s="31">
        <f t="shared" si="48"/>
        <v>365.45833333333337</v>
      </c>
      <c r="BR53" s="31">
        <f t="shared" si="49"/>
        <v>51.208333333333336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[1]PN!$N53</f>
        <v>416.66666666666669</v>
      </c>
      <c r="BX53" s="31">
        <f t="shared" si="52"/>
        <v>365.45833333333337</v>
      </c>
      <c r="BY53" s="31">
        <f t="shared" si="53"/>
        <v>51.208333333333336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[1]PN!$O53</f>
        <v>416.66666666666669</v>
      </c>
      <c r="CE53" s="31">
        <f t="shared" si="56"/>
        <v>365.45833333333337</v>
      </c>
      <c r="CF53" s="31">
        <f t="shared" si="57"/>
        <v>51.208333333333336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[1]PN!$P53</f>
        <v>416.66666666666669</v>
      </c>
      <c r="CL53" s="31">
        <f t="shared" si="60"/>
        <v>365.45833333333337</v>
      </c>
      <c r="CM53" s="31">
        <f t="shared" si="61"/>
        <v>51.208333333333336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171328.17499999999</v>
      </c>
      <c r="C54" s="40">
        <f t="shared" si="64"/>
        <v>150271.9422925</v>
      </c>
      <c r="D54" s="51">
        <f t="shared" si="64"/>
        <v>21056.232707499996</v>
      </c>
      <c r="E54" s="52">
        <f t="shared" si="66"/>
        <v>97901.814285714281</v>
      </c>
      <c r="F54" s="53">
        <f t="shared" si="66"/>
        <v>85869.68131</v>
      </c>
      <c r="G54" s="54">
        <f t="shared" si="66"/>
        <v>12032.132975714285</v>
      </c>
      <c r="H54" s="40">
        <f t="shared" si="65"/>
        <v>41055.272722048743</v>
      </c>
      <c r="I54" s="53">
        <f t="shared" si="65"/>
        <v>2844.71949571082</v>
      </c>
      <c r="J54" s="53">
        <f t="shared" si="65"/>
        <v>43899.992217759558</v>
      </c>
      <c r="K54" s="60">
        <f t="shared" si="2"/>
        <v>-0.55159163762131225</v>
      </c>
      <c r="L54" s="87">
        <f>[1]PN!$E54</f>
        <v>24475.45357142857</v>
      </c>
      <c r="M54" s="40">
        <f t="shared" si="16"/>
        <v>21467.4203275</v>
      </c>
      <c r="N54" s="40">
        <f t="shared" si="17"/>
        <v>3008.0332439285712</v>
      </c>
      <c r="O54" s="40">
        <f t="shared" si="18"/>
        <v>6921.6396479999994</v>
      </c>
      <c r="P54" s="40">
        <f t="shared" si="19"/>
        <v>479.60035200000004</v>
      </c>
      <c r="Q54" s="53">
        <v>7401.24</v>
      </c>
      <c r="R54" s="60">
        <f t="shared" si="3"/>
        <v>-0.69760560398194871</v>
      </c>
      <c r="S54" s="87">
        <f>[1]PN!$F54</f>
        <v>24475.45357142857</v>
      </c>
      <c r="T54" s="40">
        <f t="shared" si="20"/>
        <v>21467.4203275</v>
      </c>
      <c r="U54" s="40">
        <f t="shared" si="21"/>
        <v>3008.0332439285712</v>
      </c>
      <c r="V54" s="40">
        <f t="shared" si="22"/>
        <v>18076.649136</v>
      </c>
      <c r="W54" s="40">
        <f t="shared" si="23"/>
        <v>1252.5308640000003</v>
      </c>
      <c r="X54" s="53">
        <f>19329.18</f>
        <v>19329.18</v>
      </c>
      <c r="Y54" s="60">
        <f t="shared" si="4"/>
        <v>-0.21026264360780123</v>
      </c>
      <c r="Z54" s="87">
        <f>[1]PN!$G54</f>
        <v>24475.45357142857</v>
      </c>
      <c r="AA54" s="40">
        <f t="shared" si="24"/>
        <v>21467.4203275</v>
      </c>
      <c r="AB54" s="40">
        <f t="shared" si="25"/>
        <v>3008.0332439285712</v>
      </c>
      <c r="AC54" s="40">
        <f t="shared" si="26"/>
        <v>16056.983938048739</v>
      </c>
      <c r="AD54" s="40">
        <f t="shared" si="27"/>
        <v>1112.5882797108197</v>
      </c>
      <c r="AE54" s="53">
        <v>17169.57221775956</v>
      </c>
      <c r="AF54" s="60">
        <f t="shared" si="5"/>
        <v>-0.29849830289549906</v>
      </c>
      <c r="AG54" s="87">
        <f>[1]PN!$H54</f>
        <v>24475.45357142857</v>
      </c>
      <c r="AH54" s="40">
        <f t="shared" si="28"/>
        <v>21467.4203275</v>
      </c>
      <c r="AI54" s="40">
        <f t="shared" si="29"/>
        <v>3008.0332439285712</v>
      </c>
      <c r="AJ54" s="40">
        <f t="shared" si="30"/>
        <v>0</v>
      </c>
      <c r="AK54" s="40">
        <f t="shared" si="31"/>
        <v>0</v>
      </c>
      <c r="AL54" s="61"/>
      <c r="AM54" s="60">
        <f t="shared" si="6"/>
        <v>-1</v>
      </c>
      <c r="AN54" s="56">
        <f>[1]PN!$I54</f>
        <v>24475.45357142857</v>
      </c>
      <c r="AO54" s="40">
        <f t="shared" si="32"/>
        <v>21467.4203275</v>
      </c>
      <c r="AP54" s="40">
        <f t="shared" si="33"/>
        <v>3008.0332439285712</v>
      </c>
      <c r="AQ54" s="40">
        <f t="shared" si="34"/>
        <v>0</v>
      </c>
      <c r="AR54" s="40">
        <f t="shared" si="35"/>
        <v>0</v>
      </c>
      <c r="AS54" s="58"/>
      <c r="AT54" s="60">
        <f t="shared" si="7"/>
        <v>-1</v>
      </c>
      <c r="AU54" s="56">
        <f>[1]PN!$J54</f>
        <v>24475.45357142857</v>
      </c>
      <c r="AV54" s="40">
        <f t="shared" si="36"/>
        <v>21467.4203275</v>
      </c>
      <c r="AW54" s="40">
        <f t="shared" si="37"/>
        <v>3008.0332439285712</v>
      </c>
      <c r="AX54" s="40">
        <f t="shared" si="38"/>
        <v>0</v>
      </c>
      <c r="AY54" s="40">
        <f t="shared" si="39"/>
        <v>0</v>
      </c>
      <c r="AZ54" s="58"/>
      <c r="BA54" s="60">
        <f t="shared" si="8"/>
        <v>-1</v>
      </c>
      <c r="BB54" s="56">
        <f>[1]PN!$K54</f>
        <v>24475.45357142857</v>
      </c>
      <c r="BC54" s="40">
        <f t="shared" si="40"/>
        <v>21467.4203275</v>
      </c>
      <c r="BD54" s="40">
        <f t="shared" si="41"/>
        <v>3008.0332439285712</v>
      </c>
      <c r="BE54" s="40">
        <f t="shared" si="42"/>
        <v>0</v>
      </c>
      <c r="BF54" s="40">
        <f t="shared" si="43"/>
        <v>0</v>
      </c>
      <c r="BG54" s="59"/>
      <c r="BH54" s="60">
        <f t="shared" si="9"/>
        <v>-1</v>
      </c>
      <c r="BI54" s="56">
        <f>[1]PN!$L54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10"/>
        <v/>
      </c>
      <c r="BP54" s="56">
        <f>[1]PN!$M54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1"/>
        <v/>
      </c>
      <c r="BW54" s="87">
        <f>[1]PN!$N54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2"/>
        <v/>
      </c>
      <c r="CD54" s="87">
        <f>[1]PN!$O54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3"/>
        <v/>
      </c>
      <c r="CK54" s="87">
        <f>[1]PN!$P54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11326248.114014372</v>
      </c>
      <c r="C55" s="64">
        <f t="shared" si="67"/>
        <v>9934252.2208020035</v>
      </c>
      <c r="D55" s="65">
        <f t="shared" si="67"/>
        <v>1391995.8932123657</v>
      </c>
      <c r="E55" s="63">
        <f t="shared" si="67"/>
        <v>5410946.2675390635</v>
      </c>
      <c r="F55" s="66">
        <f t="shared" si="67"/>
        <v>4745940.9712585118</v>
      </c>
      <c r="G55" s="67">
        <f t="shared" si="67"/>
        <v>665005.296280551</v>
      </c>
      <c r="H55" s="64">
        <f t="shared" si="67"/>
        <v>3474508.6695593819</v>
      </c>
      <c r="I55" s="66">
        <f t="shared" si="67"/>
        <v>240748.67599171083</v>
      </c>
      <c r="J55" s="66">
        <f t="shared" si="67"/>
        <v>3715257.3455510931</v>
      </c>
      <c r="K55" s="120">
        <f>+J55/E55-1</f>
        <v>-0.31338121617666359</v>
      </c>
      <c r="L55" s="121">
        <f t="shared" ref="L55:X55" si="68">SUM(L4:L54)</f>
        <v>1716405.2509738568</v>
      </c>
      <c r="M55" s="121">
        <f t="shared" si="68"/>
        <v>1505459.0456291696</v>
      </c>
      <c r="N55" s="121">
        <f t="shared" si="68"/>
        <v>210946.20534468704</v>
      </c>
      <c r="O55" s="122">
        <f t="shared" si="68"/>
        <v>1026647.9459413334</v>
      </c>
      <c r="P55" s="122">
        <f t="shared" si="68"/>
        <v>71136.427392000012</v>
      </c>
      <c r="Q55" s="123">
        <f t="shared" si="68"/>
        <v>1097784.3733333335</v>
      </c>
      <c r="R55" s="120">
        <f>+Q55/L55-1</f>
        <v>-0.36041656088474971</v>
      </c>
      <c r="S55" s="121">
        <f t="shared" si="68"/>
        <v>1424089.2175101007</v>
      </c>
      <c r="T55" s="121">
        <f t="shared" si="68"/>
        <v>1249068.652678109</v>
      </c>
      <c r="U55" s="121">
        <f t="shared" si="68"/>
        <v>175020.56483199142</v>
      </c>
      <c r="V55" s="122">
        <f t="shared" si="68"/>
        <v>744487.42595733341</v>
      </c>
      <c r="W55" s="122">
        <f t="shared" si="68"/>
        <v>51585.527376000013</v>
      </c>
      <c r="X55" s="123">
        <f t="shared" si="68"/>
        <v>796072.95333333348</v>
      </c>
      <c r="Y55" s="120">
        <f>+X55/S55-1</f>
        <v>-0.44099502787809908</v>
      </c>
      <c r="Z55" s="121">
        <f t="shared" ref="Z55:AE55" si="69">SUM(Z4:Z54)</f>
        <v>1218610.2400756548</v>
      </c>
      <c r="AA55" s="121">
        <f t="shared" si="69"/>
        <v>1068843.041570357</v>
      </c>
      <c r="AB55" s="121">
        <f t="shared" si="69"/>
        <v>149767.19850529794</v>
      </c>
      <c r="AC55" s="122">
        <f t="shared" si="69"/>
        <v>911725.45647138217</v>
      </c>
      <c r="AD55" s="122">
        <f t="shared" si="69"/>
        <v>63173.449079710837</v>
      </c>
      <c r="AE55" s="123">
        <f t="shared" si="69"/>
        <v>974898.90555109282</v>
      </c>
      <c r="AF55" s="120">
        <f>+AE55/Z55-1</f>
        <v>-0.1999912084354647</v>
      </c>
      <c r="AG55" s="121">
        <f t="shared" ref="AG55:AL55" si="70">SUM(AG4:AG54)</f>
        <v>1051841.558979451</v>
      </c>
      <c r="AH55" s="121">
        <f t="shared" si="70"/>
        <v>922570.23138087662</v>
      </c>
      <c r="AI55" s="121">
        <f t="shared" si="70"/>
        <v>129271.32759857454</v>
      </c>
      <c r="AJ55" s="122">
        <f t="shared" si="70"/>
        <v>791647.84118933312</v>
      </c>
      <c r="AK55" s="122">
        <f t="shared" si="70"/>
        <v>54853.27214400001</v>
      </c>
      <c r="AL55" s="124">
        <f t="shared" si="70"/>
        <v>846501.11333333352</v>
      </c>
      <c r="AM55" s="120">
        <f>+AL55/AG55-1</f>
        <v>-0.19521993963173401</v>
      </c>
      <c r="AN55" s="121">
        <f t="shared" ref="AN55:AS55" si="71">SUM(AN4:AN54)</f>
        <v>1105831.7875351212</v>
      </c>
      <c r="AO55" s="121">
        <f t="shared" si="71"/>
        <v>969925.06084705493</v>
      </c>
      <c r="AP55" s="121">
        <f t="shared" si="71"/>
        <v>135906.72668806638</v>
      </c>
      <c r="AQ55" s="122">
        <f t="shared" si="71"/>
        <v>0</v>
      </c>
      <c r="AR55" s="122">
        <f t="shared" si="71"/>
        <v>0</v>
      </c>
      <c r="AS55" s="123">
        <f t="shared" si="71"/>
        <v>0</v>
      </c>
      <c r="AT55" s="120">
        <f>+AS55/AN55-1</f>
        <v>-1</v>
      </c>
      <c r="AU55" s="121">
        <f t="shared" ref="AU55:AZ55" si="72">SUM(AU4:AU54)</f>
        <v>1154475.3406869611</v>
      </c>
      <c r="AV55" s="121">
        <f t="shared" si="72"/>
        <v>1012590.3213165337</v>
      </c>
      <c r="AW55" s="121">
        <f t="shared" si="72"/>
        <v>141885.0193704275</v>
      </c>
      <c r="AX55" s="122">
        <f t="shared" si="72"/>
        <v>0</v>
      </c>
      <c r="AY55" s="122">
        <f t="shared" si="72"/>
        <v>0</v>
      </c>
      <c r="AZ55" s="123">
        <f t="shared" si="72"/>
        <v>0</v>
      </c>
      <c r="BA55" s="120">
        <f>+AZ55/AU55-1</f>
        <v>-1</v>
      </c>
      <c r="BB55" s="121">
        <f t="shared" ref="BB55:BG55" si="73">SUM(BB4:BB54)</f>
        <v>870453.36137022707</v>
      </c>
      <c r="BC55" s="121">
        <f t="shared" si="73"/>
        <v>763474.64325782633</v>
      </c>
      <c r="BD55" s="121">
        <f t="shared" si="73"/>
        <v>106978.71811240091</v>
      </c>
      <c r="BE55" s="122">
        <f t="shared" si="73"/>
        <v>0</v>
      </c>
      <c r="BF55" s="122">
        <f t="shared" si="73"/>
        <v>0</v>
      </c>
      <c r="BG55" s="123">
        <f t="shared" si="73"/>
        <v>0</v>
      </c>
      <c r="BH55" s="120">
        <f>+BG55/BB55-1</f>
        <v>-1</v>
      </c>
      <c r="BI55" s="121">
        <f t="shared" ref="BI55:BN55" si="74">SUM(BI4:BI54)</f>
        <v>664244.33609472075</v>
      </c>
      <c r="BJ55" s="121">
        <f t="shared" si="74"/>
        <v>582608.7071886796</v>
      </c>
      <c r="BK55" s="121">
        <f t="shared" si="74"/>
        <v>81635.62890604118</v>
      </c>
      <c r="BL55" s="122">
        <f t="shared" si="74"/>
        <v>0</v>
      </c>
      <c r="BM55" s="122">
        <f t="shared" si="74"/>
        <v>0</v>
      </c>
      <c r="BN55" s="123">
        <f t="shared" si="74"/>
        <v>0</v>
      </c>
      <c r="BO55" s="120">
        <f>+BN55/BI55-1</f>
        <v>-1</v>
      </c>
      <c r="BP55" s="121">
        <f t="shared" ref="BP55:BU55" si="75">SUM(BP4:BP54)</f>
        <v>651586.93922723841</v>
      </c>
      <c r="BQ55" s="121">
        <f t="shared" si="75"/>
        <v>571506.90439621091</v>
      </c>
      <c r="BR55" s="121">
        <f t="shared" si="75"/>
        <v>80080.034831027617</v>
      </c>
      <c r="BS55" s="122">
        <f t="shared" si="75"/>
        <v>0</v>
      </c>
      <c r="BT55" s="122">
        <f t="shared" si="75"/>
        <v>0</v>
      </c>
      <c r="BU55" s="123">
        <f t="shared" si="75"/>
        <v>0</v>
      </c>
      <c r="BV55" s="120">
        <f>+BU55/BP55-1</f>
        <v>-1</v>
      </c>
      <c r="BW55" s="121">
        <f t="shared" ref="BW55:CB55" si="76">SUM(BW4:BW54)</f>
        <v>538594.49640239857</v>
      </c>
      <c r="BX55" s="121">
        <f t="shared" si="76"/>
        <v>472401.23279454367</v>
      </c>
      <c r="BY55" s="121">
        <f t="shared" si="76"/>
        <v>66193.263607854809</v>
      </c>
      <c r="BZ55" s="122">
        <f t="shared" si="76"/>
        <v>0</v>
      </c>
      <c r="CA55" s="122">
        <f t="shared" si="76"/>
        <v>0</v>
      </c>
      <c r="CB55" s="123">
        <f t="shared" si="76"/>
        <v>0</v>
      </c>
      <c r="CC55" s="120">
        <f>+CB55/BW55-1</f>
        <v>-1</v>
      </c>
      <c r="CD55" s="121">
        <f t="shared" ref="CD55:CI55" si="77">SUM(CD4:CD54)</f>
        <v>462357.97334923939</v>
      </c>
      <c r="CE55" s="121">
        <f t="shared" si="77"/>
        <v>405534.17842461774</v>
      </c>
      <c r="CF55" s="121">
        <f t="shared" si="77"/>
        <v>56823.794924621528</v>
      </c>
      <c r="CG55" s="122">
        <f t="shared" si="77"/>
        <v>0</v>
      </c>
      <c r="CH55" s="122">
        <f t="shared" si="77"/>
        <v>0</v>
      </c>
      <c r="CI55" s="123">
        <f t="shared" si="77"/>
        <v>0</v>
      </c>
      <c r="CJ55" s="120">
        <f>+CI55/CD55-1</f>
        <v>-1</v>
      </c>
      <c r="CK55" s="121">
        <f t="shared" ref="CK55:CP55" si="78">SUM(CK4:CK54)</f>
        <v>467757.61180939944</v>
      </c>
      <c r="CL55" s="121">
        <f t="shared" si="78"/>
        <v>410270.20131802408</v>
      </c>
      <c r="CM55" s="121">
        <f t="shared" si="78"/>
        <v>57487.410491375194</v>
      </c>
      <c r="CN55" s="122">
        <f t="shared" si="78"/>
        <v>0</v>
      </c>
      <c r="CO55" s="122">
        <f t="shared" si="78"/>
        <v>0</v>
      </c>
      <c r="CP55" s="123">
        <f t="shared" si="78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-183686.67820069205</v>
      </c>
      <c r="C56" s="76">
        <f t="shared" ref="C56:D57" si="79">+M56+T56+AA56+AH56+AO56+AV56+BC56+BJ56+BQ56+BX56+CE56+CL56</f>
        <v>-161111.58544982702</v>
      </c>
      <c r="D56" s="77">
        <f t="shared" si="79"/>
        <v>-22575.092750865053</v>
      </c>
      <c r="E56" s="75">
        <f>+L56+S56+Z56+AG56</f>
        <v>-61228.892733564018</v>
      </c>
      <c r="F56" s="78">
        <f t="shared" ref="F56:G57" si="80">+M56+T56+AA56+AH56</f>
        <v>-53703.861816609002</v>
      </c>
      <c r="G56" s="79">
        <f t="shared" si="80"/>
        <v>-7525.0309169550173</v>
      </c>
      <c r="H56" s="76">
        <f t="shared" ref="H56:J57" si="81">+O56+V56+AC56+AJ56+AQ56+AX56+BE56+BL56+BS56+BZ56+CG56+CN56</f>
        <v>-27133.743167999994</v>
      </c>
      <c r="I56" s="78">
        <f t="shared" si="81"/>
        <v>-1880.0968320000002</v>
      </c>
      <c r="J56" s="78">
        <f t="shared" si="81"/>
        <v>-29013.839999999997</v>
      </c>
      <c r="K56" s="25">
        <f t="shared" ref="K56:K57" si="82">IF(E56=0,"",(+J56/E56-1))</f>
        <v>-0.5261413573775866</v>
      </c>
      <c r="L56" s="23">
        <f>[1]PN!$E56</f>
        <v>-15307.223183391005</v>
      </c>
      <c r="M56" s="18">
        <f t="shared" ref="M56:M57" si="83">L56-N56</f>
        <v>-13425.96545415225</v>
      </c>
      <c r="N56" s="18">
        <f t="shared" ref="N56:N57" si="84">+L56*12.29%</f>
        <v>-1881.2577292387543</v>
      </c>
      <c r="O56" s="18">
        <f t="shared" ref="O56:O57" si="85">+Q56-P56</f>
        <v>0</v>
      </c>
      <c r="P56" s="18">
        <f t="shared" ref="P56:P57" si="86">+Q56*6.48%</f>
        <v>0</v>
      </c>
      <c r="Q56" s="20"/>
      <c r="R56" s="25">
        <f t="shared" ref="R56:R57" si="87">IF(L56=0,"",(+Q56/L56-1))</f>
        <v>-1</v>
      </c>
      <c r="S56" s="23">
        <f>[1]PN!$F56</f>
        <v>-15307.223183391005</v>
      </c>
      <c r="T56" s="18">
        <f t="shared" ref="T56:T57" si="88">S56-U56</f>
        <v>-13425.96545415225</v>
      </c>
      <c r="U56" s="18">
        <f t="shared" ref="U56:U57" si="89">+S56*12.29%</f>
        <v>-1881.2577292387543</v>
      </c>
      <c r="V56" s="18">
        <f t="shared" ref="V56:V57" si="90">+X56-W56</f>
        <v>-11635.412375999998</v>
      </c>
      <c r="W56" s="18">
        <f t="shared" ref="W56:W57" si="91">+X56*6.48%</f>
        <v>-806.21762400000011</v>
      </c>
      <c r="X56" s="20">
        <v>-12441.63</v>
      </c>
      <c r="Y56" s="25">
        <f>IF(S56=0,"",(+X56/S56-1))</f>
        <v>-0.18720529184550583</v>
      </c>
      <c r="Z56" s="23">
        <f>[1]PN!$G56</f>
        <v>-15307.223183391005</v>
      </c>
      <c r="AA56" s="18">
        <f t="shared" ref="AA56:AA57" si="92">Z56-AB56</f>
        <v>-13425.96545415225</v>
      </c>
      <c r="AB56" s="18">
        <f t="shared" ref="AB56:AB57" si="93">+Z56*12.29%</f>
        <v>-1881.2577292387543</v>
      </c>
      <c r="AC56" s="18">
        <f t="shared" ref="AC56:AC57" si="94">+AE56-AD56</f>
        <v>1281.0463119999999</v>
      </c>
      <c r="AD56" s="18">
        <f t="shared" ref="AD56:AD57" si="95">+AE56*6.48%</f>
        <v>88.763688000000016</v>
      </c>
      <c r="AE56" s="20">
        <f>1369.81</f>
        <v>1369.81</v>
      </c>
      <c r="AF56" s="25">
        <f t="shared" ref="AF56:AF57" si="96">IF(Z56=0,"",(+AE56/Z56-1))</f>
        <v>-1.0894878178483935</v>
      </c>
      <c r="AG56" s="23">
        <f>[1]PN!$H56</f>
        <v>-15307.223183391005</v>
      </c>
      <c r="AH56" s="18">
        <f t="shared" ref="AH56:AH57" si="97">AG56-AI56</f>
        <v>-13425.96545415225</v>
      </c>
      <c r="AI56" s="18">
        <f t="shared" ref="AI56:AI57" si="98">+AG56*12.29%</f>
        <v>-1881.2577292387543</v>
      </c>
      <c r="AJ56" s="18">
        <f t="shared" ref="AJ56:AJ57" si="99">+AL56-AK56</f>
        <v>-16779.377103999996</v>
      </c>
      <c r="AK56" s="18">
        <f t="shared" ref="AK56:AK57" si="100">+AL56*6.48%</f>
        <v>-1162.6428960000001</v>
      </c>
      <c r="AL56" s="24">
        <f>-19554.17+1612.15</f>
        <v>-17942.019999999997</v>
      </c>
      <c r="AM56" s="25">
        <f t="shared" ref="AM56:AM57" si="101">IF(AG56=0,"",(+AL56/AG56-1))</f>
        <v>0.17212768018355273</v>
      </c>
      <c r="AN56" s="23">
        <f>[1]PN!$I56</f>
        <v>-15307.223183391005</v>
      </c>
      <c r="AO56" s="18">
        <f t="shared" ref="AO56:AO57" si="102">AN56-AP56</f>
        <v>-13425.96545415225</v>
      </c>
      <c r="AP56" s="18">
        <f t="shared" ref="AP56:AP57" si="103">+AN56*12.29%</f>
        <v>-1881.2577292387543</v>
      </c>
      <c r="AQ56" s="18">
        <f t="shared" ref="AQ56:AQ57" si="104">+AS56-AR56</f>
        <v>0</v>
      </c>
      <c r="AR56" s="18">
        <f t="shared" ref="AR56:AR57" si="105">+AS56*6.48%</f>
        <v>0</v>
      </c>
      <c r="AS56" s="20"/>
      <c r="AT56" s="25">
        <f t="shared" ref="AT56:AT57" si="106">IF(AN56=0,"",(+AS56/AN56-1))</f>
        <v>-1</v>
      </c>
      <c r="AU56" s="23">
        <f>[1]PN!$J56</f>
        <v>-15307.223183391005</v>
      </c>
      <c r="AV56" s="18">
        <f t="shared" ref="AV56:AV57" si="107">AU56-AW56</f>
        <v>-13425.96545415225</v>
      </c>
      <c r="AW56" s="18">
        <f t="shared" ref="AW56:AW57" si="108">+AU56*12.29%</f>
        <v>-1881.2577292387543</v>
      </c>
      <c r="AX56" s="18">
        <f t="shared" ref="AX56:AX57" si="109">+AZ56-AY56</f>
        <v>0</v>
      </c>
      <c r="AY56" s="18">
        <f t="shared" ref="AY56:AY57" si="110">+AZ56*6.48%</f>
        <v>0</v>
      </c>
      <c r="AZ56" s="20"/>
      <c r="BA56" s="25">
        <f t="shared" ref="BA56:BA57" si="111">IF(AU56=0,"",(+AZ56/AU56-1))</f>
        <v>-1</v>
      </c>
      <c r="BB56" s="23">
        <f>[1]PN!$K56</f>
        <v>-15307.223183391005</v>
      </c>
      <c r="BC56" s="18">
        <f t="shared" ref="BC56:BC57" si="112">BB56-BD56</f>
        <v>-13425.96545415225</v>
      </c>
      <c r="BD56" s="18">
        <f t="shared" ref="BD56:BD57" si="113">+BB56*12.29%</f>
        <v>-1881.2577292387543</v>
      </c>
      <c r="BE56" s="18">
        <f t="shared" ref="BE56:BE57" si="114">+BG56-BF56</f>
        <v>0</v>
      </c>
      <c r="BF56" s="18">
        <f t="shared" ref="BF56:BF57" si="115">+BG56*6.48%</f>
        <v>0</v>
      </c>
      <c r="BG56" s="20"/>
      <c r="BH56" s="25">
        <f t="shared" ref="BH56:BH57" si="116">IF(BB56=0,"",(+BG56/BB56-1))</f>
        <v>-1</v>
      </c>
      <c r="BI56" s="23">
        <f>[1]PN!$L56</f>
        <v>-15307.223183391005</v>
      </c>
      <c r="BJ56" s="18">
        <f t="shared" ref="BJ56:BJ57" si="117">BI56-BK56</f>
        <v>-13425.96545415225</v>
      </c>
      <c r="BK56" s="18">
        <f t="shared" ref="BK56:BK57" si="118">+BI56*12.29%</f>
        <v>-1881.2577292387543</v>
      </c>
      <c r="BL56" s="18">
        <f t="shared" ref="BL56:BL57" si="119">+BN56-BM56</f>
        <v>0</v>
      </c>
      <c r="BM56" s="18">
        <f t="shared" ref="BM56:BM57" si="120">+BN56*6.48%</f>
        <v>0</v>
      </c>
      <c r="BN56" s="20"/>
      <c r="BO56" s="25">
        <f t="shared" ref="BO56:BO57" si="121">IF(BI56=0,"",(+BN56/BI56-1))</f>
        <v>-1</v>
      </c>
      <c r="BP56" s="23">
        <f>[1]PN!$M56</f>
        <v>-15307.223183391005</v>
      </c>
      <c r="BQ56" s="18">
        <f t="shared" ref="BQ56:BQ57" si="122">BP56-BR56</f>
        <v>-13425.96545415225</v>
      </c>
      <c r="BR56" s="18">
        <f t="shared" ref="BR56:BR57" si="123">+BP56*12.29%</f>
        <v>-1881.2577292387543</v>
      </c>
      <c r="BS56" s="18">
        <f t="shared" ref="BS56:BS57" si="124">+BU56-BT56</f>
        <v>0</v>
      </c>
      <c r="BT56" s="18">
        <f t="shared" ref="BT56:BT57" si="125">+BU56*6.48%</f>
        <v>0</v>
      </c>
      <c r="BU56" s="20"/>
      <c r="BV56" s="25">
        <f t="shared" ref="BV56:BV57" si="126">IF(BP56=0,"",(+BU56/BP56-1))</f>
        <v>-1</v>
      </c>
      <c r="BW56" s="23">
        <f>[1]PN!$N56</f>
        <v>-15307.223183391005</v>
      </c>
      <c r="BX56" s="18">
        <f t="shared" ref="BX56:BX57" si="127">BW56-BY56</f>
        <v>-13425.96545415225</v>
      </c>
      <c r="BY56" s="18">
        <f t="shared" ref="BY56:BY57" si="128">+BW56*12.29%</f>
        <v>-1881.2577292387543</v>
      </c>
      <c r="BZ56" s="18">
        <f t="shared" ref="BZ56:BZ57" si="129">+CB56-CA56</f>
        <v>0</v>
      </c>
      <c r="CA56" s="18">
        <f t="shared" ref="CA56:CA57" si="130">+CB56*6.48%</f>
        <v>0</v>
      </c>
      <c r="CB56" s="20"/>
      <c r="CC56" s="25">
        <f t="shared" ref="CC56:CC57" si="131">IF(BW56=0,"",(+CB56/BW56-1))</f>
        <v>-1</v>
      </c>
      <c r="CD56" s="23">
        <f>[1]PN!$O56</f>
        <v>-15307.223183391005</v>
      </c>
      <c r="CE56" s="18">
        <f t="shared" ref="CE56:CE57" si="132">CD56-CF56</f>
        <v>-13425.96545415225</v>
      </c>
      <c r="CF56" s="18">
        <f t="shared" ref="CF56:CF57" si="133">+CD56*12.29%</f>
        <v>-1881.2577292387543</v>
      </c>
      <c r="CG56" s="18">
        <f t="shared" ref="CG56:CG57" si="134">+CI56-CH56</f>
        <v>0</v>
      </c>
      <c r="CH56" s="18">
        <f t="shared" ref="CH56:CH57" si="135">+CI56*6.48%</f>
        <v>0</v>
      </c>
      <c r="CI56" s="20"/>
      <c r="CJ56" s="25">
        <f t="shared" ref="CJ56:CJ57" si="136">IF(CD56=0,"",(+CI56/CD56-1))</f>
        <v>-1</v>
      </c>
      <c r="CK56" s="23">
        <f>[1]PN!$P56</f>
        <v>-15307.223183391005</v>
      </c>
      <c r="CL56" s="18">
        <f t="shared" ref="CL56:CL57" si="137">CK56-CM56</f>
        <v>-13425.96545415225</v>
      </c>
      <c r="CM56" s="18">
        <f t="shared" ref="CM56:CM57" si="138">+CK56*12.29%</f>
        <v>-1881.2577292387543</v>
      </c>
      <c r="CN56" s="18">
        <f t="shared" ref="CN56:CN57" si="139">+CP56-CO56</f>
        <v>0</v>
      </c>
      <c r="CO56" s="18">
        <f t="shared" ref="CO56:CO57" si="140">+CP56*6.48%</f>
        <v>0</v>
      </c>
      <c r="CP56" s="20"/>
      <c r="CQ56" s="25">
        <f t="shared" ref="CQ56:CQ57" si="141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-61228.892733563996</v>
      </c>
      <c r="C57" s="40">
        <f t="shared" si="79"/>
        <v>-53703.86181660898</v>
      </c>
      <c r="D57" s="51">
        <f t="shared" si="79"/>
        <v>-7525.0309169550192</v>
      </c>
      <c r="E57" s="50">
        <f>+L57+S57+Z57+AG57</f>
        <v>-20409.630911188004</v>
      </c>
      <c r="F57" s="58">
        <f t="shared" si="80"/>
        <v>-17901.287272202997</v>
      </c>
      <c r="G57" s="85">
        <f t="shared" si="80"/>
        <v>-2508.3436389850058</v>
      </c>
      <c r="H57" s="57">
        <f t="shared" si="81"/>
        <v>-33816.747832000001</v>
      </c>
      <c r="I57" s="58">
        <f t="shared" si="81"/>
        <v>-2343.1621680000003</v>
      </c>
      <c r="J57" s="58">
        <f t="shared" si="81"/>
        <v>-36159.910000000003</v>
      </c>
      <c r="K57" s="127">
        <f t="shared" si="82"/>
        <v>0.77170817822962823</v>
      </c>
      <c r="L57" s="56">
        <f>[1]PN!$E57</f>
        <v>-5102.4077277970009</v>
      </c>
      <c r="M57" s="57">
        <f t="shared" si="83"/>
        <v>-4475.3218180507492</v>
      </c>
      <c r="N57" s="57">
        <f t="shared" si="84"/>
        <v>-627.08590974625145</v>
      </c>
      <c r="O57" s="57">
        <f t="shared" si="85"/>
        <v>-18814.624808</v>
      </c>
      <c r="P57" s="57">
        <f t="shared" si="86"/>
        <v>-1303.6651920000002</v>
      </c>
      <c r="Q57" s="58">
        <v>-20118.29</v>
      </c>
      <c r="R57" s="127">
        <f t="shared" si="87"/>
        <v>2.9429012876409639</v>
      </c>
      <c r="S57" s="56">
        <f>[1]PN!$F57</f>
        <v>-5102.4077277970009</v>
      </c>
      <c r="T57" s="57">
        <f t="shared" si="88"/>
        <v>-4475.3218180507492</v>
      </c>
      <c r="U57" s="57">
        <f t="shared" si="89"/>
        <v>-627.08590974625145</v>
      </c>
      <c r="V57" s="57">
        <f t="shared" si="90"/>
        <v>-2779.8820000000001</v>
      </c>
      <c r="W57" s="57">
        <f t="shared" si="91"/>
        <v>-192.61800000000002</v>
      </c>
      <c r="X57" s="58">
        <v>-2972.5</v>
      </c>
      <c r="Y57" s="127">
        <f>IF(S57=0,"",(+X57/S57-1))</f>
        <v>-0.41743189518031776</v>
      </c>
      <c r="Z57" s="56">
        <f>[1]PN!$G57</f>
        <v>-5102.4077277970009</v>
      </c>
      <c r="AA57" s="57">
        <f t="shared" si="92"/>
        <v>-4475.3218180507492</v>
      </c>
      <c r="AB57" s="57">
        <f t="shared" si="93"/>
        <v>-627.08590974625145</v>
      </c>
      <c r="AC57" s="57">
        <f t="shared" si="94"/>
        <v>-12222.241024000001</v>
      </c>
      <c r="AD57" s="57">
        <f t="shared" si="95"/>
        <v>-846.87897600000019</v>
      </c>
      <c r="AE57" s="58">
        <f>-13069.12</f>
        <v>-13069.12</v>
      </c>
      <c r="AF57" s="127">
        <f t="shared" si="96"/>
        <v>1.5613633204578656</v>
      </c>
      <c r="AG57" s="56">
        <f>[1]PN!$H57</f>
        <v>-5102.4077277970009</v>
      </c>
      <c r="AH57" s="57">
        <f t="shared" si="97"/>
        <v>-4475.3218180507492</v>
      </c>
      <c r="AI57" s="57">
        <f t="shared" si="98"/>
        <v>-627.08590974625145</v>
      </c>
      <c r="AJ57" s="57">
        <f t="shared" si="99"/>
        <v>0</v>
      </c>
      <c r="AK57" s="57">
        <f t="shared" si="100"/>
        <v>0</v>
      </c>
      <c r="AL57" s="59"/>
      <c r="AM57" s="127">
        <f t="shared" si="101"/>
        <v>-1</v>
      </c>
      <c r="AN57" s="56">
        <f>[1]PN!$I57</f>
        <v>-5102.4077277970009</v>
      </c>
      <c r="AO57" s="57">
        <f t="shared" si="102"/>
        <v>-4475.3218180507492</v>
      </c>
      <c r="AP57" s="57">
        <f t="shared" si="103"/>
        <v>-627.08590974625145</v>
      </c>
      <c r="AQ57" s="57">
        <f t="shared" si="104"/>
        <v>0</v>
      </c>
      <c r="AR57" s="57">
        <f t="shared" si="105"/>
        <v>0</v>
      </c>
      <c r="AS57" s="58"/>
      <c r="AT57" s="127">
        <f t="shared" si="106"/>
        <v>-1</v>
      </c>
      <c r="AU57" s="56">
        <f>[1]PN!$J57</f>
        <v>-5102.4077277970009</v>
      </c>
      <c r="AV57" s="57">
        <f t="shared" si="107"/>
        <v>-4475.3218180507492</v>
      </c>
      <c r="AW57" s="57">
        <f t="shared" si="108"/>
        <v>-627.08590974625145</v>
      </c>
      <c r="AX57" s="57">
        <f t="shared" si="109"/>
        <v>0</v>
      </c>
      <c r="AY57" s="57">
        <f t="shared" si="110"/>
        <v>0</v>
      </c>
      <c r="AZ57" s="58"/>
      <c r="BA57" s="127">
        <f t="shared" si="111"/>
        <v>-1</v>
      </c>
      <c r="BB57" s="56">
        <f>[1]PN!$K57</f>
        <v>-5102.4077277970009</v>
      </c>
      <c r="BC57" s="57">
        <f t="shared" si="112"/>
        <v>-4475.3218180507492</v>
      </c>
      <c r="BD57" s="57">
        <f t="shared" si="113"/>
        <v>-627.08590974625145</v>
      </c>
      <c r="BE57" s="57">
        <f t="shared" si="114"/>
        <v>0</v>
      </c>
      <c r="BF57" s="57">
        <f t="shared" si="115"/>
        <v>0</v>
      </c>
      <c r="BG57" s="58"/>
      <c r="BH57" s="127">
        <f t="shared" si="116"/>
        <v>-1</v>
      </c>
      <c r="BI57" s="56">
        <f>[1]PN!$L57</f>
        <v>-5102.4077277970009</v>
      </c>
      <c r="BJ57" s="57">
        <f t="shared" si="117"/>
        <v>-4475.3218180507492</v>
      </c>
      <c r="BK57" s="57">
        <f t="shared" si="118"/>
        <v>-627.08590974625145</v>
      </c>
      <c r="BL57" s="57">
        <f t="shared" si="119"/>
        <v>0</v>
      </c>
      <c r="BM57" s="57">
        <f t="shared" si="120"/>
        <v>0</v>
      </c>
      <c r="BN57" s="58"/>
      <c r="BO57" s="127">
        <f t="shared" si="121"/>
        <v>-1</v>
      </c>
      <c r="BP57" s="56">
        <f>[1]PN!$M57</f>
        <v>-5102.4077277970009</v>
      </c>
      <c r="BQ57" s="57">
        <f t="shared" si="122"/>
        <v>-4475.3218180507492</v>
      </c>
      <c r="BR57" s="57">
        <f t="shared" si="123"/>
        <v>-627.08590974625145</v>
      </c>
      <c r="BS57" s="57">
        <f t="shared" si="124"/>
        <v>0</v>
      </c>
      <c r="BT57" s="57">
        <f t="shared" si="125"/>
        <v>0</v>
      </c>
      <c r="BU57" s="58"/>
      <c r="BV57" s="127">
        <f t="shared" si="126"/>
        <v>-1</v>
      </c>
      <c r="BW57" s="56">
        <f>[1]PN!$N57</f>
        <v>-5102.4077277970009</v>
      </c>
      <c r="BX57" s="57">
        <f t="shared" si="127"/>
        <v>-4475.3218180507492</v>
      </c>
      <c r="BY57" s="57">
        <f t="shared" si="128"/>
        <v>-627.08590974625145</v>
      </c>
      <c r="BZ57" s="57">
        <f t="shared" si="129"/>
        <v>0</v>
      </c>
      <c r="CA57" s="57">
        <f t="shared" si="130"/>
        <v>0</v>
      </c>
      <c r="CB57" s="58"/>
      <c r="CC57" s="127">
        <f t="shared" si="131"/>
        <v>-1</v>
      </c>
      <c r="CD57" s="56">
        <f>[1]PN!$O57</f>
        <v>-5102.4077277970009</v>
      </c>
      <c r="CE57" s="57">
        <f t="shared" si="132"/>
        <v>-4475.3218180507492</v>
      </c>
      <c r="CF57" s="57">
        <f t="shared" si="133"/>
        <v>-627.08590974625145</v>
      </c>
      <c r="CG57" s="57">
        <f t="shared" si="134"/>
        <v>0</v>
      </c>
      <c r="CH57" s="57">
        <f t="shared" si="135"/>
        <v>0</v>
      </c>
      <c r="CI57" s="58"/>
      <c r="CJ57" s="127">
        <f t="shared" si="136"/>
        <v>-1</v>
      </c>
      <c r="CK57" s="56">
        <f>[1]PN!$P57</f>
        <v>-5102.4077277970009</v>
      </c>
      <c r="CL57" s="57">
        <f t="shared" si="137"/>
        <v>-4475.3218180507492</v>
      </c>
      <c r="CM57" s="57">
        <f t="shared" si="138"/>
        <v>-627.08590974625145</v>
      </c>
      <c r="CN57" s="57">
        <f t="shared" si="139"/>
        <v>0</v>
      </c>
      <c r="CO57" s="57">
        <f t="shared" si="140"/>
        <v>0</v>
      </c>
      <c r="CP57" s="58"/>
      <c r="CQ57" s="127">
        <f t="shared" si="141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11081332.543080116</v>
      </c>
      <c r="C58" s="90">
        <f t="shared" ref="C58:D58" si="142">+C55+C56+C57</f>
        <v>9719436.7735355664</v>
      </c>
      <c r="D58" s="91">
        <f t="shared" si="142"/>
        <v>1361895.7695445456</v>
      </c>
      <c r="E58" s="92">
        <f t="shared" ref="E58:J58" si="143">SUM(E55:E57)</f>
        <v>5329307.7438943116</v>
      </c>
      <c r="F58" s="93">
        <f t="shared" si="143"/>
        <v>4674335.8221696997</v>
      </c>
      <c r="G58" s="94">
        <f t="shared" si="143"/>
        <v>654971.92172461108</v>
      </c>
      <c r="H58" s="95">
        <f t="shared" si="143"/>
        <v>3413558.178559382</v>
      </c>
      <c r="I58" s="96">
        <f t="shared" si="143"/>
        <v>236525.41699171081</v>
      </c>
      <c r="J58" s="96">
        <f t="shared" si="143"/>
        <v>3650083.5955510931</v>
      </c>
      <c r="K58" s="132">
        <f>+J58/E55-1</f>
        <v>-0.32542601329301746</v>
      </c>
      <c r="L58" s="133">
        <f t="shared" ref="L58:X58" si="144">SUM(L55:L57)</f>
        <v>1695995.6200626688</v>
      </c>
      <c r="M58" s="133">
        <f t="shared" si="144"/>
        <v>1487557.7583569665</v>
      </c>
      <c r="N58" s="133">
        <f t="shared" si="144"/>
        <v>208437.86170570206</v>
      </c>
      <c r="O58" s="95">
        <f t="shared" si="144"/>
        <v>1007833.3211333334</v>
      </c>
      <c r="P58" s="95">
        <f t="shared" si="144"/>
        <v>69832.762200000012</v>
      </c>
      <c r="Q58" s="96">
        <f t="shared" si="144"/>
        <v>1077666.0833333335</v>
      </c>
      <c r="R58" s="132">
        <f>+Q58/L55-1</f>
        <v>-0.37213773803017347</v>
      </c>
      <c r="S58" s="133">
        <f t="shared" si="144"/>
        <v>1403679.5865989127</v>
      </c>
      <c r="T58" s="133">
        <f t="shared" si="144"/>
        <v>1231167.365405906</v>
      </c>
      <c r="U58" s="133">
        <f t="shared" si="144"/>
        <v>172512.22119300644</v>
      </c>
      <c r="V58" s="95">
        <f t="shared" si="144"/>
        <v>730072.13158133347</v>
      </c>
      <c r="W58" s="95">
        <f t="shared" si="144"/>
        <v>50586.691752000013</v>
      </c>
      <c r="X58" s="96">
        <f t="shared" si="144"/>
        <v>780658.82333333348</v>
      </c>
      <c r="Y58" s="132">
        <f>+X58/S55-1</f>
        <v>-0.4518188792284733</v>
      </c>
      <c r="Z58" s="133">
        <f t="shared" ref="Z58:AE58" si="145">SUM(Z55:Z57)</f>
        <v>1198200.6091644668</v>
      </c>
      <c r="AA58" s="133">
        <f t="shared" si="145"/>
        <v>1050941.754298154</v>
      </c>
      <c r="AB58" s="133">
        <f t="shared" si="145"/>
        <v>147258.85486631296</v>
      </c>
      <c r="AC58" s="95">
        <f t="shared" si="145"/>
        <v>900784.26175938221</v>
      </c>
      <c r="AD58" s="95">
        <f t="shared" si="145"/>
        <v>62415.333791710837</v>
      </c>
      <c r="AE58" s="96">
        <f t="shared" si="145"/>
        <v>963199.59555109288</v>
      </c>
      <c r="AF58" s="132">
        <f>+AE58/Z55-1</f>
        <v>-0.20959174322111829</v>
      </c>
      <c r="AG58" s="133">
        <f t="shared" ref="AG58:AL58" si="146">SUM(AG55:AG57)</f>
        <v>1031431.9280682629</v>
      </c>
      <c r="AH58" s="133">
        <f t="shared" si="146"/>
        <v>904668.94410867372</v>
      </c>
      <c r="AI58" s="133">
        <f t="shared" si="146"/>
        <v>126762.98395958953</v>
      </c>
      <c r="AJ58" s="95">
        <f t="shared" si="146"/>
        <v>774868.46408533317</v>
      </c>
      <c r="AK58" s="95">
        <f t="shared" si="146"/>
        <v>53690.629248000012</v>
      </c>
      <c r="AL58" s="137">
        <f t="shared" si="146"/>
        <v>828559.0933333335</v>
      </c>
      <c r="AM58" s="132">
        <f>+AL58/AG55-1</f>
        <v>-0.21227766077502896</v>
      </c>
      <c r="AN58" s="133">
        <f t="shared" ref="AN58:AS58" si="147">SUM(AN55:AN57)</f>
        <v>1085422.1566239332</v>
      </c>
      <c r="AO58" s="133">
        <f t="shared" si="147"/>
        <v>952023.77357485204</v>
      </c>
      <c r="AP58" s="133">
        <f t="shared" si="147"/>
        <v>133398.3830490814</v>
      </c>
      <c r="AQ58" s="95">
        <f t="shared" si="147"/>
        <v>0</v>
      </c>
      <c r="AR58" s="95">
        <f t="shared" si="147"/>
        <v>0</v>
      </c>
      <c r="AS58" s="96">
        <f t="shared" si="147"/>
        <v>0</v>
      </c>
      <c r="AT58" s="132">
        <f>+AS58/AN55-1</f>
        <v>-1</v>
      </c>
      <c r="AU58" s="133">
        <f t="shared" ref="AU58:AZ58" si="148">SUM(AU55:AU57)</f>
        <v>1134065.7097757731</v>
      </c>
      <c r="AV58" s="133">
        <f t="shared" si="148"/>
        <v>994689.03404433082</v>
      </c>
      <c r="AW58" s="133">
        <f t="shared" si="148"/>
        <v>139376.67573144252</v>
      </c>
      <c r="AX58" s="95">
        <f t="shared" si="148"/>
        <v>0</v>
      </c>
      <c r="AY58" s="95">
        <f t="shared" si="148"/>
        <v>0</v>
      </c>
      <c r="AZ58" s="96">
        <f t="shared" si="148"/>
        <v>0</v>
      </c>
      <c r="BA58" s="132">
        <f>+AZ58/AU55-1</f>
        <v>-1</v>
      </c>
      <c r="BB58" s="133">
        <f t="shared" ref="BB58:BG58" si="149">SUM(BB55:BB57)</f>
        <v>850043.73045903898</v>
      </c>
      <c r="BC58" s="133">
        <f t="shared" si="149"/>
        <v>745573.35598562344</v>
      </c>
      <c r="BD58" s="133">
        <f t="shared" si="149"/>
        <v>104470.3744734159</v>
      </c>
      <c r="BE58" s="95">
        <f t="shared" si="149"/>
        <v>0</v>
      </c>
      <c r="BF58" s="95">
        <f t="shared" si="149"/>
        <v>0</v>
      </c>
      <c r="BG58" s="96">
        <f t="shared" si="149"/>
        <v>0</v>
      </c>
      <c r="BH58" s="132">
        <f>+BG58/BB55-1</f>
        <v>-1</v>
      </c>
      <c r="BI58" s="133">
        <f t="shared" ref="BI58:BN58" si="150">SUM(BI55:BI57)</f>
        <v>643834.70518353267</v>
      </c>
      <c r="BJ58" s="133">
        <f t="shared" si="150"/>
        <v>564707.41991647671</v>
      </c>
      <c r="BK58" s="133">
        <f t="shared" si="150"/>
        <v>79127.28526705617</v>
      </c>
      <c r="BL58" s="95">
        <f t="shared" si="150"/>
        <v>0</v>
      </c>
      <c r="BM58" s="95">
        <f t="shared" si="150"/>
        <v>0</v>
      </c>
      <c r="BN58" s="96">
        <f t="shared" si="150"/>
        <v>0</v>
      </c>
      <c r="BO58" s="132">
        <f>+BN58/BI55-1</f>
        <v>-1</v>
      </c>
      <c r="BP58" s="133">
        <f t="shared" ref="BP58:BU58" si="151">SUM(BP55:BP57)</f>
        <v>631177.30831605033</v>
      </c>
      <c r="BQ58" s="133">
        <f t="shared" si="151"/>
        <v>553605.61712400801</v>
      </c>
      <c r="BR58" s="133">
        <f t="shared" si="151"/>
        <v>77571.691192042606</v>
      </c>
      <c r="BS58" s="95">
        <f t="shared" si="151"/>
        <v>0</v>
      </c>
      <c r="BT58" s="95">
        <f t="shared" si="151"/>
        <v>0</v>
      </c>
      <c r="BU58" s="96">
        <f t="shared" si="151"/>
        <v>0</v>
      </c>
      <c r="BV58" s="132">
        <f>+BU58/BP55-1</f>
        <v>-1</v>
      </c>
      <c r="BW58" s="133">
        <f t="shared" ref="BW58:CB58" si="152">SUM(BW55:BW57)</f>
        <v>518184.86549121054</v>
      </c>
      <c r="BX58" s="133">
        <f t="shared" si="152"/>
        <v>454499.94552234065</v>
      </c>
      <c r="BY58" s="133">
        <f t="shared" si="152"/>
        <v>63684.919968869799</v>
      </c>
      <c r="BZ58" s="95">
        <f t="shared" si="152"/>
        <v>0</v>
      </c>
      <c r="CA58" s="95">
        <f t="shared" si="152"/>
        <v>0</v>
      </c>
      <c r="CB58" s="96">
        <f t="shared" si="152"/>
        <v>0</v>
      </c>
      <c r="CC58" s="132">
        <f>+CB58/BW55-1</f>
        <v>-1</v>
      </c>
      <c r="CD58" s="133">
        <f t="shared" ref="CD58:CI58" si="153">SUM(CD55:CD57)</f>
        <v>441948.34243805142</v>
      </c>
      <c r="CE58" s="133">
        <f t="shared" si="153"/>
        <v>387632.89115241473</v>
      </c>
      <c r="CF58" s="133">
        <f t="shared" si="153"/>
        <v>54315.451285636518</v>
      </c>
      <c r="CG58" s="95">
        <f t="shared" si="153"/>
        <v>0</v>
      </c>
      <c r="CH58" s="95">
        <f t="shared" si="153"/>
        <v>0</v>
      </c>
      <c r="CI58" s="96">
        <f t="shared" si="153"/>
        <v>0</v>
      </c>
      <c r="CJ58" s="132">
        <f>+CI58/CD55-1</f>
        <v>-1</v>
      </c>
      <c r="CK58" s="133">
        <f t="shared" ref="CK58:CP58" si="154">SUM(CK55:CK57)</f>
        <v>447347.98089821142</v>
      </c>
      <c r="CL58" s="133">
        <f t="shared" si="154"/>
        <v>392368.91404582106</v>
      </c>
      <c r="CM58" s="133">
        <f t="shared" si="154"/>
        <v>54979.066852390184</v>
      </c>
      <c r="CN58" s="95">
        <f t="shared" si="154"/>
        <v>0</v>
      </c>
      <c r="CO58" s="95">
        <f t="shared" si="154"/>
        <v>0</v>
      </c>
      <c r="CP58" s="96">
        <f t="shared" si="154"/>
        <v>0</v>
      </c>
      <c r="CQ58" s="132">
        <f>+CP58/CK55-1</f>
        <v>-1</v>
      </c>
    </row>
    <row r="59" spans="1:99" s="105" customFormat="1" ht="14.25" customHeight="1" x14ac:dyDescent="0.2">
      <c r="B59" s="104"/>
      <c r="C59" s="104"/>
      <c r="D59" s="104"/>
      <c r="J59" s="104">
        <f>J58-[2]PAINEIRAS!$N$46</f>
        <v>0</v>
      </c>
      <c r="Q59" s="104">
        <f>+Q58-[2]PAINEIRAS!$N$102</f>
        <v>0</v>
      </c>
      <c r="X59" s="104">
        <f>+X58-[2]PAINEIRAS!$N$154</f>
        <v>0</v>
      </c>
      <c r="AE59" s="104">
        <f>AE58-[2]PAINEIRAS!$N$206</f>
        <v>0</v>
      </c>
      <c r="AL59" s="104">
        <f>AL58-[2]PAINEIRAS!$N$259</f>
        <v>0</v>
      </c>
      <c r="AS59" s="104">
        <f>AS58-[3]PAINEIRAS!$N$307</f>
        <v>0</v>
      </c>
      <c r="AZ59" s="104">
        <f>AZ58-[3]PAINEIRAS!$N$359</f>
        <v>0</v>
      </c>
      <c r="BA59" s="104"/>
      <c r="BB59" s="104"/>
      <c r="BC59" s="104"/>
      <c r="BD59" s="104"/>
      <c r="BE59" s="104"/>
      <c r="BF59" s="104"/>
      <c r="BG59" s="104">
        <f>BG58-[3]PAINEIRAS!$N$411</f>
        <v>0</v>
      </c>
      <c r="BH59" s="104"/>
      <c r="BI59" s="104"/>
      <c r="BJ59" s="104"/>
      <c r="BK59" s="104"/>
      <c r="BL59" s="104"/>
      <c r="BM59" s="104"/>
      <c r="BN59" s="104">
        <f>BN58-[3]PAINEIRAS!$N$463</f>
        <v>0</v>
      </c>
      <c r="BO59" s="104"/>
      <c r="BP59" s="104"/>
      <c r="BQ59" s="104"/>
      <c r="BR59" s="104"/>
      <c r="BS59" s="104"/>
      <c r="BT59" s="104"/>
      <c r="BU59" s="104">
        <f>BU58-[3]PAINEIRAS!$N$515</f>
        <v>0</v>
      </c>
      <c r="BV59" s="104"/>
      <c r="BW59" s="104"/>
      <c r="BX59" s="104"/>
      <c r="BY59" s="104"/>
      <c r="BZ59" s="104"/>
      <c r="CA59" s="104"/>
      <c r="CB59" s="104">
        <f>CB58-[3]PAINEIRAS!$N$567</f>
        <v>0</v>
      </c>
      <c r="CC59" s="104"/>
      <c r="CD59" s="104"/>
      <c r="CE59" s="104"/>
      <c r="CF59" s="104"/>
      <c r="CG59" s="104"/>
      <c r="CH59" s="104"/>
      <c r="CI59" s="104">
        <f>CI58-[3]PAINEIRAS!$N$619</f>
        <v>0</v>
      </c>
      <c r="CP59" s="104">
        <f>CP58-[3]PAINEIRAS!$N$671</f>
        <v>0</v>
      </c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9"/>
      <c r="R61" s="110">
        <f>10.05+624.7+36.2+3.13+58.41+2.37+563.93+165.98+88.52+296.4+35.17+5.93+5.06+32.23+367.5+44.65+0.84+624.7+5.2+564.13+2.99</f>
        <v>3538.09</v>
      </c>
      <c r="S61" s="107" t="s">
        <v>84</v>
      </c>
      <c r="T61" s="108"/>
      <c r="U61" s="108"/>
      <c r="V61" s="108"/>
      <c r="W61" s="108"/>
      <c r="X61" s="109"/>
      <c r="Y61" s="110">
        <f>14.23+10.92+17.39+58.41+13.24+11.86+607.11+38.07+298.2+57.4+3.96+21.34+624.7+71.14+3.13+20.77+2.37+6.32+296.4+5.93</f>
        <v>2182.89</v>
      </c>
      <c r="Z61" s="107" t="s">
        <v>84</v>
      </c>
      <c r="AA61" s="108"/>
      <c r="AB61" s="108"/>
      <c r="AC61" s="108"/>
      <c r="AD61" s="108"/>
      <c r="AE61" s="109"/>
      <c r="AF61" s="110">
        <f>14.62+3.13+15.78+2.37+94.85+296.4+5.93+30.92+624.7+8.69+32.32+255.89+44.69</f>
        <v>1430.29</v>
      </c>
      <c r="AG61" s="107" t="s">
        <v>84</v>
      </c>
      <c r="AH61" s="108"/>
      <c r="AI61" s="108"/>
      <c r="AJ61" s="108"/>
      <c r="AK61" s="108"/>
      <c r="AL61" s="109"/>
      <c r="AM61" s="110">
        <f>9.56+3.13+165.98+22.89+4.12+2.37+576.4+296.4+5.93+132.79+26.08+29.28+335.53+39.62+624.7+14.62</f>
        <v>2289.3999999999996</v>
      </c>
      <c r="AN61" s="107"/>
      <c r="AO61" s="108"/>
      <c r="AP61" s="108"/>
      <c r="AQ61" s="108"/>
      <c r="AR61" s="108"/>
      <c r="AS61" s="109"/>
      <c r="AT61" s="110"/>
      <c r="AU61" s="107"/>
      <c r="AV61" s="108"/>
      <c r="AW61" s="108"/>
      <c r="AX61" s="108"/>
      <c r="AY61" s="108"/>
      <c r="AZ61" s="109"/>
      <c r="BA61" s="110"/>
      <c r="BB61" s="107"/>
      <c r="BC61" s="108"/>
      <c r="BD61" s="108"/>
      <c r="BE61" s="108"/>
      <c r="BF61" s="108"/>
      <c r="BG61" s="109"/>
      <c r="BH61" s="110"/>
      <c r="BI61" s="107"/>
      <c r="BJ61" s="108"/>
      <c r="BK61" s="108"/>
      <c r="BL61" s="108"/>
      <c r="BM61" s="108"/>
      <c r="BN61" s="109"/>
      <c r="BO61" s="110"/>
      <c r="BP61" s="107"/>
      <c r="BQ61" s="108"/>
      <c r="BR61" s="108"/>
      <c r="BS61" s="108"/>
      <c r="BT61" s="108"/>
      <c r="BU61" s="109"/>
      <c r="BV61" s="110"/>
      <c r="BW61" s="107"/>
      <c r="BX61" s="108"/>
      <c r="BY61" s="108"/>
      <c r="BZ61" s="108"/>
      <c r="CA61" s="108"/>
      <c r="CB61" s="109"/>
      <c r="CC61" s="110"/>
      <c r="CD61" s="107"/>
      <c r="CE61" s="108"/>
      <c r="CF61" s="108"/>
      <c r="CG61" s="108"/>
      <c r="CH61" s="108"/>
      <c r="CI61" s="109"/>
      <c r="CJ61" s="110"/>
      <c r="CK61" s="107"/>
      <c r="CL61" s="108"/>
      <c r="CM61" s="108"/>
      <c r="CN61" s="108"/>
      <c r="CO61" s="108"/>
      <c r="CP61" s="109"/>
      <c r="CQ61" s="110"/>
    </row>
    <row r="62" spans="1:99" ht="14.25" customHeight="1" x14ac:dyDescent="0.2">
      <c r="L62" s="107" t="s">
        <v>86</v>
      </c>
      <c r="M62" s="108"/>
      <c r="N62" s="108"/>
      <c r="O62" s="108"/>
      <c r="P62" s="108"/>
      <c r="Q62" s="109"/>
      <c r="R62" s="110">
        <f>354.31</f>
        <v>354.31</v>
      </c>
      <c r="S62" s="107" t="s">
        <v>86</v>
      </c>
      <c r="T62" s="108"/>
      <c r="U62" s="108"/>
      <c r="V62" s="108"/>
      <c r="W62" s="108"/>
      <c r="X62" s="109"/>
      <c r="Y62" s="114">
        <f>279.59</f>
        <v>279.58999999999997</v>
      </c>
      <c r="Z62" s="107" t="s">
        <v>86</v>
      </c>
      <c r="AA62" s="108"/>
      <c r="AB62" s="108"/>
      <c r="AC62" s="108"/>
      <c r="AD62" s="108"/>
      <c r="AE62" s="109"/>
      <c r="AF62" s="110">
        <f>362.27</f>
        <v>362.27</v>
      </c>
      <c r="AG62" s="107" t="s">
        <v>86</v>
      </c>
      <c r="AH62" s="108"/>
      <c r="AI62" s="108"/>
      <c r="AJ62" s="108"/>
      <c r="AK62" s="108"/>
      <c r="AL62" s="109"/>
      <c r="AM62" s="110">
        <f>338.1</f>
        <v>338.1</v>
      </c>
      <c r="AN62" s="107"/>
      <c r="AO62" s="108"/>
      <c r="AP62" s="108"/>
      <c r="AQ62" s="108"/>
      <c r="AR62" s="108"/>
      <c r="AS62" s="109"/>
      <c r="AT62" s="110"/>
      <c r="AU62" s="107"/>
      <c r="AV62" s="108"/>
      <c r="AW62" s="108"/>
      <c r="AX62" s="108"/>
      <c r="AY62" s="108"/>
      <c r="AZ62" s="109"/>
      <c r="BA62" s="110"/>
      <c r="BB62" s="107"/>
      <c r="BC62" s="108"/>
      <c r="BD62" s="108"/>
      <c r="BE62" s="108"/>
      <c r="BF62" s="108"/>
      <c r="BG62" s="109"/>
      <c r="BH62" s="110"/>
      <c r="BI62" s="107"/>
      <c r="BJ62" s="108"/>
      <c r="BK62" s="108"/>
      <c r="BL62" s="108"/>
      <c r="BM62" s="108"/>
      <c r="BN62" s="109"/>
      <c r="BO62" s="110"/>
      <c r="BP62" s="107"/>
      <c r="BQ62" s="108"/>
      <c r="BR62" s="108"/>
      <c r="BS62" s="108"/>
      <c r="BT62" s="108"/>
      <c r="BU62" s="109"/>
      <c r="BV62" s="110"/>
      <c r="BW62" s="107"/>
      <c r="BX62" s="108"/>
      <c r="BY62" s="108"/>
      <c r="BZ62" s="108"/>
      <c r="CA62" s="108"/>
      <c r="CB62" s="109"/>
      <c r="CC62" s="110"/>
      <c r="CD62" s="107"/>
      <c r="CE62" s="108"/>
      <c r="CF62" s="108"/>
      <c r="CG62" s="108"/>
      <c r="CH62" s="108"/>
      <c r="CI62" s="109"/>
      <c r="CJ62" s="110"/>
      <c r="CK62" s="107"/>
      <c r="CL62" s="108"/>
      <c r="CM62" s="108"/>
      <c r="CN62" s="108"/>
      <c r="CO62" s="108"/>
      <c r="CP62" s="109"/>
      <c r="CQ62" s="110"/>
    </row>
    <row r="63" spans="1:99" ht="14.25" customHeight="1" x14ac:dyDescent="0.2">
      <c r="L63" s="107" t="s">
        <v>87</v>
      </c>
      <c r="M63" s="108"/>
      <c r="N63" s="108"/>
      <c r="O63" s="108"/>
      <c r="P63" s="108"/>
      <c r="Q63" s="109"/>
      <c r="R63" s="110">
        <f>538.74</f>
        <v>538.74</v>
      </c>
      <c r="S63" s="107" t="s">
        <v>87</v>
      </c>
      <c r="T63" s="108"/>
      <c r="U63" s="108"/>
      <c r="V63" s="108"/>
      <c r="W63" s="108"/>
      <c r="X63" s="109"/>
      <c r="Y63" s="114">
        <f>340.98</f>
        <v>340.98</v>
      </c>
      <c r="Z63" s="107" t="s">
        <v>87</v>
      </c>
      <c r="AA63" s="108"/>
      <c r="AB63" s="108"/>
      <c r="AC63" s="108"/>
      <c r="AD63" s="108"/>
      <c r="AE63" s="109"/>
      <c r="AF63" s="110">
        <f>569.24</f>
        <v>569.24</v>
      </c>
      <c r="AG63" s="107" t="s">
        <v>87</v>
      </c>
      <c r="AH63" s="108"/>
      <c r="AI63" s="108"/>
      <c r="AJ63" s="108"/>
      <c r="AK63" s="108"/>
      <c r="AL63" s="109"/>
      <c r="AM63" s="110">
        <f>305.34+120</f>
        <v>425.34</v>
      </c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10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10"/>
      <c r="CD63" s="107"/>
      <c r="CE63" s="108"/>
      <c r="CF63" s="108"/>
      <c r="CG63" s="108"/>
      <c r="CH63" s="108"/>
      <c r="CI63" s="109"/>
      <c r="CJ63" s="110"/>
      <c r="CK63" s="107"/>
      <c r="CL63" s="108"/>
      <c r="CM63" s="108"/>
      <c r="CN63" s="108"/>
      <c r="CO63" s="108"/>
      <c r="CP63" s="109"/>
      <c r="CQ63" s="110"/>
    </row>
    <row r="64" spans="1:99" ht="14.25" customHeight="1" x14ac:dyDescent="0.2">
      <c r="L64" s="107" t="s">
        <v>159</v>
      </c>
      <c r="M64" s="108"/>
      <c r="N64" s="108"/>
      <c r="O64" s="108"/>
      <c r="P64" s="108"/>
      <c r="Q64" s="109"/>
      <c r="R64" s="110">
        <f>100.47+551.4</f>
        <v>651.87</v>
      </c>
      <c r="S64" s="107" t="s">
        <v>159</v>
      </c>
      <c r="T64" s="108"/>
      <c r="U64" s="108"/>
      <c r="V64" s="108"/>
      <c r="W64" s="108"/>
      <c r="X64" s="109"/>
      <c r="Y64" s="110">
        <f>751.51+134.32</f>
        <v>885.82999999999993</v>
      </c>
      <c r="Z64" s="107" t="s">
        <v>159</v>
      </c>
      <c r="AA64" s="108"/>
      <c r="AB64" s="108"/>
      <c r="AC64" s="108"/>
      <c r="AD64" s="108"/>
      <c r="AE64" s="109"/>
      <c r="AF64" s="110"/>
      <c r="AG64" s="107" t="s">
        <v>159</v>
      </c>
      <c r="AH64" s="108"/>
      <c r="AI64" s="108"/>
      <c r="AJ64" s="108"/>
      <c r="AK64" s="108"/>
      <c r="AL64" s="109"/>
      <c r="AM64" s="110">
        <f>134.22+371.28</f>
        <v>505.5</v>
      </c>
      <c r="AN64" s="107"/>
      <c r="AO64" s="108"/>
      <c r="AP64" s="108"/>
      <c r="AQ64" s="108"/>
      <c r="AR64" s="108"/>
      <c r="AS64" s="109"/>
      <c r="AT64" s="110"/>
      <c r="AU64" s="107"/>
      <c r="AV64" s="108"/>
      <c r="AW64" s="108"/>
      <c r="AX64" s="108"/>
      <c r="AY64" s="108"/>
      <c r="AZ64" s="109"/>
      <c r="BA64" s="110"/>
      <c r="BB64" s="107"/>
      <c r="BC64" s="108"/>
      <c r="BD64" s="108"/>
      <c r="BE64" s="108"/>
      <c r="BF64" s="108"/>
      <c r="BG64" s="109"/>
      <c r="BH64" s="110"/>
      <c r="BI64" s="107"/>
      <c r="BJ64" s="108"/>
      <c r="BK64" s="108"/>
      <c r="BL64" s="108"/>
      <c r="BM64" s="108"/>
      <c r="BN64" s="109"/>
      <c r="BO64" s="110"/>
      <c r="BP64" s="107"/>
      <c r="BQ64" s="108"/>
      <c r="BR64" s="108"/>
      <c r="BS64" s="108"/>
      <c r="BT64" s="108"/>
      <c r="BU64" s="109"/>
      <c r="BV64" s="110"/>
      <c r="BW64" s="107"/>
      <c r="BX64" s="108"/>
      <c r="BY64" s="108"/>
      <c r="BZ64" s="108"/>
      <c r="CA64" s="108"/>
      <c r="CB64" s="109"/>
      <c r="CC64" s="110"/>
      <c r="CD64" s="107"/>
      <c r="CE64" s="108"/>
      <c r="CF64" s="108"/>
      <c r="CG64" s="108"/>
      <c r="CH64" s="108"/>
      <c r="CI64" s="109"/>
      <c r="CJ64" s="110"/>
      <c r="CK64" s="107"/>
      <c r="CL64" s="108"/>
      <c r="CM64" s="108"/>
      <c r="CN64" s="108"/>
      <c r="CO64" s="108"/>
      <c r="CP64" s="109"/>
      <c r="CQ64" s="110"/>
    </row>
    <row r="65" spans="12:99" ht="14.25" customHeight="1" x14ac:dyDescent="0.2">
      <c r="L65" s="107" t="s">
        <v>109</v>
      </c>
      <c r="M65" s="108"/>
      <c r="N65" s="108"/>
      <c r="O65" s="108"/>
      <c r="P65" s="108"/>
      <c r="Q65" s="109"/>
      <c r="R65" s="110">
        <f>25</f>
        <v>25</v>
      </c>
      <c r="S65" s="107" t="s">
        <v>109</v>
      </c>
      <c r="T65" s="108"/>
      <c r="U65" s="108"/>
      <c r="V65" s="108"/>
      <c r="W65" s="108"/>
      <c r="X65" s="109"/>
      <c r="Y65" s="110">
        <f>50</f>
        <v>50</v>
      </c>
      <c r="Z65" s="107" t="s">
        <v>109</v>
      </c>
      <c r="AA65" s="108"/>
      <c r="AB65" s="108"/>
      <c r="AC65" s="108"/>
      <c r="AD65" s="108"/>
      <c r="AE65" s="109"/>
      <c r="AF65" s="110"/>
      <c r="AG65" s="107" t="s">
        <v>109</v>
      </c>
      <c r="AH65" s="108"/>
      <c r="AI65" s="108"/>
      <c r="AJ65" s="108"/>
      <c r="AK65" s="108"/>
      <c r="AL65" s="109"/>
      <c r="AM65" s="110">
        <f>25+25</f>
        <v>50</v>
      </c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10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10"/>
      <c r="CD65" s="107"/>
      <c r="CE65" s="108"/>
      <c r="CF65" s="108"/>
      <c r="CG65" s="108"/>
      <c r="CH65" s="108"/>
      <c r="CI65" s="109"/>
      <c r="CJ65" s="110"/>
      <c r="CK65" s="107"/>
      <c r="CL65" s="108"/>
      <c r="CM65" s="108"/>
      <c r="CN65" s="108"/>
      <c r="CO65" s="108"/>
      <c r="CP65" s="109"/>
      <c r="CQ65" s="110"/>
    </row>
    <row r="66" spans="12:99" ht="14.25" customHeight="1" x14ac:dyDescent="0.2">
      <c r="L66" s="107" t="s">
        <v>160</v>
      </c>
      <c r="M66" s="108"/>
      <c r="N66" s="108"/>
      <c r="O66" s="108"/>
      <c r="P66" s="108"/>
      <c r="Q66" s="109"/>
      <c r="R66" s="110">
        <v>30</v>
      </c>
      <c r="S66" s="107" t="s">
        <v>160</v>
      </c>
      <c r="T66" s="108"/>
      <c r="U66" s="108"/>
      <c r="V66" s="108"/>
      <c r="W66" s="108"/>
      <c r="X66" s="109"/>
      <c r="Y66" s="110"/>
      <c r="Z66" s="107" t="s">
        <v>160</v>
      </c>
      <c r="AA66" s="108"/>
      <c r="AB66" s="108"/>
      <c r="AC66" s="108"/>
      <c r="AD66" s="108"/>
      <c r="AE66" s="109"/>
      <c r="AF66" s="110"/>
      <c r="AG66" s="107" t="s">
        <v>161</v>
      </c>
      <c r="AH66" s="108"/>
      <c r="AI66" s="108"/>
      <c r="AJ66" s="108"/>
      <c r="AK66" s="108"/>
      <c r="AL66" s="109"/>
      <c r="AM66" s="110">
        <f>116</f>
        <v>116</v>
      </c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10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10"/>
      <c r="CD66" s="107"/>
      <c r="CE66" s="108"/>
      <c r="CF66" s="108"/>
      <c r="CG66" s="108"/>
      <c r="CH66" s="108"/>
      <c r="CI66" s="109"/>
      <c r="CJ66" s="110"/>
      <c r="CK66" s="107"/>
      <c r="CL66" s="108"/>
      <c r="CM66" s="108"/>
      <c r="CN66" s="108"/>
      <c r="CO66" s="108"/>
      <c r="CP66" s="109"/>
      <c r="CQ66" s="110"/>
    </row>
    <row r="67" spans="12:99" ht="14.25" customHeight="1" x14ac:dyDescent="0.2">
      <c r="L67" s="107" t="s">
        <v>94</v>
      </c>
      <c r="M67" s="108"/>
      <c r="N67" s="108"/>
      <c r="O67" s="108"/>
      <c r="P67" s="108"/>
      <c r="Q67" s="109"/>
      <c r="R67" s="110">
        <f>107.66</f>
        <v>107.66</v>
      </c>
      <c r="S67" s="107" t="s">
        <v>94</v>
      </c>
      <c r="T67" s="108"/>
      <c r="U67" s="108"/>
      <c r="V67" s="108"/>
      <c r="W67" s="108"/>
      <c r="X67" s="109"/>
      <c r="Y67" s="110"/>
      <c r="Z67" s="107" t="s">
        <v>94</v>
      </c>
      <c r="AA67" s="108"/>
      <c r="AB67" s="108"/>
      <c r="AC67" s="108"/>
      <c r="AD67" s="108"/>
      <c r="AE67" s="109"/>
      <c r="AF67" s="110"/>
      <c r="AG67" s="107" t="s">
        <v>94</v>
      </c>
      <c r="AH67" s="108"/>
      <c r="AI67" s="108"/>
      <c r="AJ67" s="108"/>
      <c r="AK67" s="108"/>
      <c r="AL67" s="109"/>
      <c r="AM67" s="110"/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10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10"/>
      <c r="CD67" s="107"/>
      <c r="CE67" s="108"/>
      <c r="CF67" s="108"/>
      <c r="CG67" s="108"/>
      <c r="CH67" s="108"/>
      <c r="CI67" s="109"/>
      <c r="CJ67" s="110"/>
      <c r="CK67" s="107"/>
      <c r="CL67" s="108"/>
      <c r="CM67" s="108"/>
      <c r="CN67" s="108"/>
      <c r="CO67" s="108"/>
      <c r="CP67" s="109"/>
      <c r="CQ67" s="110"/>
    </row>
    <row r="68" spans="12:99" ht="14.25" customHeight="1" x14ac:dyDescent="0.2">
      <c r="L68" s="107" t="s">
        <v>95</v>
      </c>
      <c r="M68" s="108"/>
      <c r="N68" s="108"/>
      <c r="O68" s="108"/>
      <c r="P68" s="108"/>
      <c r="Q68" s="109"/>
      <c r="R68" s="110">
        <f>540</f>
        <v>540</v>
      </c>
      <c r="S68" s="107" t="s">
        <v>95</v>
      </c>
      <c r="T68" s="108"/>
      <c r="U68" s="108"/>
      <c r="V68" s="108"/>
      <c r="W68" s="108"/>
      <c r="X68" s="109"/>
      <c r="Y68" s="110"/>
      <c r="Z68" s="107" t="s">
        <v>95</v>
      </c>
      <c r="AA68" s="108"/>
      <c r="AB68" s="108"/>
      <c r="AC68" s="108"/>
      <c r="AD68" s="108"/>
      <c r="AE68" s="109"/>
      <c r="AF68" s="110">
        <f>510</f>
        <v>510</v>
      </c>
      <c r="AG68" s="107" t="s">
        <v>95</v>
      </c>
      <c r="AH68" s="108"/>
      <c r="AI68" s="108"/>
      <c r="AJ68" s="108"/>
      <c r="AK68" s="108"/>
      <c r="AL68" s="109"/>
      <c r="AM68" s="110">
        <f>510</f>
        <v>510</v>
      </c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10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10"/>
      <c r="CD68" s="107"/>
      <c r="CE68" s="108"/>
      <c r="CF68" s="108"/>
      <c r="CG68" s="108"/>
      <c r="CH68" s="108"/>
      <c r="CI68" s="109"/>
      <c r="CJ68" s="110"/>
      <c r="CK68" s="107"/>
      <c r="CL68" s="108"/>
      <c r="CM68" s="108"/>
      <c r="CN68" s="108"/>
      <c r="CO68" s="108"/>
      <c r="CP68" s="109"/>
      <c r="CQ68" s="110"/>
    </row>
    <row r="69" spans="12:99" ht="14.25" customHeight="1" x14ac:dyDescent="0.2">
      <c r="L69" s="107" t="s">
        <v>98</v>
      </c>
      <c r="M69" s="108"/>
      <c r="N69" s="108"/>
      <c r="O69" s="108"/>
      <c r="P69" s="108"/>
      <c r="Q69" s="109"/>
      <c r="R69" s="110">
        <v>47.15</v>
      </c>
      <c r="S69" s="107" t="s">
        <v>98</v>
      </c>
      <c r="T69" s="108"/>
      <c r="U69" s="108"/>
      <c r="V69" s="108"/>
      <c r="W69" s="108"/>
      <c r="X69" s="109"/>
      <c r="Y69" s="114">
        <f>46.8</f>
        <v>46.8</v>
      </c>
      <c r="Z69" s="107" t="s">
        <v>98</v>
      </c>
      <c r="AA69" s="108"/>
      <c r="AB69" s="108"/>
      <c r="AC69" s="108"/>
      <c r="AD69" s="108"/>
      <c r="AE69" s="109"/>
      <c r="AF69" s="110">
        <f>93.28</f>
        <v>93.28</v>
      </c>
      <c r="AG69" s="107" t="s">
        <v>98</v>
      </c>
      <c r="AH69" s="108"/>
      <c r="AI69" s="108"/>
      <c r="AJ69" s="108"/>
      <c r="AK69" s="108"/>
      <c r="AL69" s="109"/>
      <c r="AM69" s="110">
        <v>46.11</v>
      </c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10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10"/>
      <c r="CD69" s="107"/>
      <c r="CE69" s="108"/>
      <c r="CF69" s="108"/>
      <c r="CG69" s="108"/>
      <c r="CH69" s="108"/>
      <c r="CI69" s="109"/>
      <c r="CJ69" s="110"/>
      <c r="CK69" s="107"/>
      <c r="CL69" s="108"/>
      <c r="CM69" s="108"/>
      <c r="CN69" s="108"/>
      <c r="CO69" s="108"/>
      <c r="CP69" s="109"/>
      <c r="CQ69" s="110"/>
    </row>
    <row r="70" spans="12:99" ht="14.25" customHeight="1" x14ac:dyDescent="0.2">
      <c r="L70" s="107" t="s">
        <v>162</v>
      </c>
      <c r="M70" s="108"/>
      <c r="N70" s="108"/>
      <c r="O70" s="108"/>
      <c r="P70" s="108"/>
      <c r="Q70" s="109"/>
      <c r="R70" s="110">
        <v>348.48</v>
      </c>
      <c r="S70" s="107" t="s">
        <v>162</v>
      </c>
      <c r="T70" s="108"/>
      <c r="U70" s="108"/>
      <c r="V70" s="108"/>
      <c r="W70" s="108"/>
      <c r="X70" s="109"/>
      <c r="Y70" s="110"/>
      <c r="Z70" s="107" t="s">
        <v>153</v>
      </c>
      <c r="AA70" s="108"/>
      <c r="AB70" s="108"/>
      <c r="AC70" s="108"/>
      <c r="AD70" s="108"/>
      <c r="AE70" s="109"/>
      <c r="AF70" s="110">
        <v>692.4</v>
      </c>
      <c r="AG70" s="107" t="s">
        <v>153</v>
      </c>
      <c r="AH70" s="108"/>
      <c r="AI70" s="108"/>
      <c r="AJ70" s="108"/>
      <c r="AK70" s="108"/>
      <c r="AL70" s="109"/>
      <c r="AM70" s="110"/>
      <c r="AN70" s="107"/>
      <c r="AO70" s="108"/>
      <c r="AP70" s="108"/>
      <c r="AQ70" s="108"/>
      <c r="AR70" s="108"/>
      <c r="AS70" s="109"/>
      <c r="AT70" s="110"/>
      <c r="AU70" s="107"/>
      <c r="AV70" s="108"/>
      <c r="AW70" s="108"/>
      <c r="AX70" s="108"/>
      <c r="AY70" s="108"/>
      <c r="AZ70" s="109"/>
      <c r="BA70" s="110"/>
      <c r="BB70" s="107"/>
      <c r="BC70" s="108"/>
      <c r="BD70" s="108"/>
      <c r="BE70" s="108"/>
      <c r="BF70" s="108"/>
      <c r="BG70" s="109"/>
      <c r="BH70" s="110"/>
      <c r="BI70" s="107"/>
      <c r="BJ70" s="108"/>
      <c r="BK70" s="108"/>
      <c r="BL70" s="108"/>
      <c r="BM70" s="108"/>
      <c r="BN70" s="109"/>
      <c r="BO70" s="110"/>
      <c r="BP70" s="107"/>
      <c r="BQ70" s="108"/>
      <c r="BR70" s="108"/>
      <c r="BS70" s="108"/>
      <c r="BT70" s="108"/>
      <c r="BU70" s="109"/>
      <c r="BV70" s="110"/>
      <c r="BW70" s="107"/>
      <c r="BX70" s="108"/>
      <c r="BY70" s="108"/>
      <c r="BZ70" s="108"/>
      <c r="CA70" s="108"/>
      <c r="CB70" s="109"/>
      <c r="CC70" s="110"/>
      <c r="CD70" s="107"/>
      <c r="CE70" s="108"/>
      <c r="CF70" s="108"/>
      <c r="CG70" s="108"/>
      <c r="CH70" s="108"/>
      <c r="CI70" s="109"/>
      <c r="CJ70" s="110"/>
      <c r="CK70" s="107"/>
      <c r="CL70" s="108"/>
      <c r="CM70" s="108"/>
      <c r="CN70" s="108"/>
      <c r="CO70" s="108"/>
      <c r="CP70" s="109"/>
      <c r="CQ70" s="110"/>
    </row>
    <row r="71" spans="12:99" ht="14.25" customHeight="1" x14ac:dyDescent="0.2">
      <c r="L71" s="107" t="s">
        <v>163</v>
      </c>
      <c r="M71" s="108"/>
      <c r="N71" s="108"/>
      <c r="O71" s="108"/>
      <c r="P71" s="108"/>
      <c r="Q71" s="109"/>
      <c r="R71" s="110">
        <f>205.92</f>
        <v>205.92</v>
      </c>
      <c r="S71" s="107" t="s">
        <v>163</v>
      </c>
      <c r="T71" s="108"/>
      <c r="U71" s="108"/>
      <c r="V71" s="108"/>
      <c r="W71" s="108"/>
      <c r="X71" s="109"/>
      <c r="Y71" s="110"/>
      <c r="Z71" s="107" t="s">
        <v>163</v>
      </c>
      <c r="AA71" s="108"/>
      <c r="AB71" s="108"/>
      <c r="AC71" s="108"/>
      <c r="AD71" s="108"/>
      <c r="AE71" s="109"/>
      <c r="AF71" s="110"/>
      <c r="AG71" s="107" t="s">
        <v>163</v>
      </c>
      <c r="AH71" s="108"/>
      <c r="AI71" s="108"/>
      <c r="AJ71" s="108"/>
      <c r="AK71" s="108"/>
      <c r="AL71" s="109"/>
      <c r="AM71" s="110"/>
      <c r="AN71" s="107"/>
      <c r="AO71" s="108"/>
      <c r="AP71" s="108"/>
      <c r="AQ71" s="108"/>
      <c r="AR71" s="108"/>
      <c r="AS71" s="109"/>
      <c r="AT71" s="110"/>
      <c r="AU71" s="107"/>
      <c r="AV71" s="108"/>
      <c r="AW71" s="108"/>
      <c r="AX71" s="108"/>
      <c r="AY71" s="108"/>
      <c r="AZ71" s="109"/>
      <c r="BA71" s="110"/>
      <c r="BB71" s="107"/>
      <c r="BC71" s="108"/>
      <c r="BD71" s="108"/>
      <c r="BE71" s="108"/>
      <c r="BF71" s="108"/>
      <c r="BG71" s="109"/>
      <c r="BH71" s="110"/>
      <c r="BI71" s="107"/>
      <c r="BJ71" s="108"/>
      <c r="BK71" s="108"/>
      <c r="BL71" s="108"/>
      <c r="BM71" s="108"/>
      <c r="BN71" s="109"/>
      <c r="BO71" s="110"/>
      <c r="BP71" s="107"/>
      <c r="BQ71" s="108"/>
      <c r="BR71" s="108"/>
      <c r="BS71" s="108"/>
      <c r="BT71" s="108"/>
      <c r="BU71" s="109"/>
      <c r="BV71" s="110"/>
      <c r="BW71" s="107"/>
      <c r="BX71" s="108"/>
      <c r="BY71" s="108"/>
      <c r="BZ71" s="108"/>
      <c r="CA71" s="108"/>
      <c r="CB71" s="109"/>
      <c r="CC71" s="110"/>
      <c r="CD71" s="107"/>
      <c r="CE71" s="108"/>
      <c r="CF71" s="108"/>
      <c r="CG71" s="108"/>
      <c r="CH71" s="108"/>
      <c r="CI71" s="109"/>
      <c r="CJ71" s="110"/>
      <c r="CK71" s="107"/>
      <c r="CL71" s="108"/>
      <c r="CM71" s="108"/>
      <c r="CN71" s="108"/>
      <c r="CO71" s="108"/>
      <c r="CP71" s="109"/>
      <c r="CQ71" s="110"/>
    </row>
    <row r="72" spans="12:99" ht="14.25" customHeight="1" x14ac:dyDescent="0.2">
      <c r="L72" s="107"/>
      <c r="M72" s="108"/>
      <c r="N72" s="108"/>
      <c r="O72" s="108"/>
      <c r="P72" s="108"/>
      <c r="Q72" s="109"/>
      <c r="R72" s="110"/>
      <c r="S72" s="107" t="s">
        <v>131</v>
      </c>
      <c r="T72" s="108"/>
      <c r="U72" s="108"/>
      <c r="V72" s="108"/>
      <c r="W72" s="108"/>
      <c r="X72" s="109"/>
      <c r="Y72" s="110">
        <f>628.26+145.02</f>
        <v>773.28</v>
      </c>
      <c r="Z72" s="107" t="s">
        <v>131</v>
      </c>
      <c r="AA72" s="108"/>
      <c r="AB72" s="108"/>
      <c r="AC72" s="108"/>
      <c r="AD72" s="108"/>
      <c r="AE72" s="109"/>
      <c r="AF72" s="110">
        <f>644.7</f>
        <v>644.70000000000005</v>
      </c>
      <c r="AG72" s="107" t="s">
        <v>131</v>
      </c>
      <c r="AH72" s="108"/>
      <c r="AI72" s="108"/>
      <c r="AJ72" s="108"/>
      <c r="AK72" s="108"/>
      <c r="AL72" s="109"/>
      <c r="AM72" s="110">
        <f>713.64</f>
        <v>713.64</v>
      </c>
      <c r="AN72" s="107"/>
      <c r="AO72" s="108"/>
      <c r="AP72" s="108"/>
      <c r="AQ72" s="108"/>
      <c r="AR72" s="108"/>
      <c r="AS72" s="109"/>
      <c r="AT72" s="110"/>
      <c r="AU72" s="107"/>
      <c r="AV72" s="108"/>
      <c r="AW72" s="108"/>
      <c r="AX72" s="108"/>
      <c r="AY72" s="108"/>
      <c r="AZ72" s="109"/>
      <c r="BA72" s="110"/>
      <c r="BB72" s="107"/>
      <c r="BC72" s="108"/>
      <c r="BD72" s="108"/>
      <c r="BE72" s="108"/>
      <c r="BF72" s="108"/>
      <c r="BG72" s="109"/>
      <c r="BH72" s="110"/>
      <c r="BI72" s="107"/>
      <c r="BJ72" s="108"/>
      <c r="BK72" s="108"/>
      <c r="BL72" s="108"/>
      <c r="BM72" s="108"/>
      <c r="BN72" s="109"/>
      <c r="BO72" s="110"/>
      <c r="BP72" s="107"/>
      <c r="BQ72" s="108"/>
      <c r="BR72" s="108"/>
      <c r="BS72" s="108"/>
      <c r="BT72" s="108"/>
      <c r="BU72" s="109"/>
      <c r="BV72" s="110"/>
      <c r="BW72" s="107"/>
      <c r="BX72" s="108"/>
      <c r="BY72" s="108"/>
      <c r="BZ72" s="108"/>
      <c r="CA72" s="108"/>
      <c r="CB72" s="109"/>
      <c r="CC72" s="110"/>
      <c r="CD72" s="107"/>
      <c r="CE72" s="108"/>
      <c r="CF72" s="108"/>
      <c r="CG72" s="108"/>
      <c r="CH72" s="108"/>
      <c r="CI72" s="109"/>
      <c r="CJ72" s="110"/>
      <c r="CK72" s="107"/>
      <c r="CL72" s="108"/>
      <c r="CM72" s="108"/>
      <c r="CN72" s="108"/>
      <c r="CO72" s="108"/>
      <c r="CP72" s="109"/>
      <c r="CQ72" s="110"/>
    </row>
    <row r="73" spans="12:99" ht="14.25" customHeight="1" x14ac:dyDescent="0.2">
      <c r="L73" s="107"/>
      <c r="M73" s="108"/>
      <c r="N73" s="108"/>
      <c r="O73" s="108"/>
      <c r="P73" s="108"/>
      <c r="Q73" s="109"/>
      <c r="R73" s="110"/>
      <c r="S73" s="107" t="s">
        <v>164</v>
      </c>
      <c r="T73" s="108"/>
      <c r="U73" s="108"/>
      <c r="V73" s="108"/>
      <c r="W73" s="108"/>
      <c r="X73" s="109"/>
      <c r="Y73" s="110">
        <f>173.2</f>
        <v>173.2</v>
      </c>
      <c r="Z73" s="107" t="s">
        <v>164</v>
      </c>
      <c r="AA73" s="108"/>
      <c r="AB73" s="108"/>
      <c r="AC73" s="108"/>
      <c r="AD73" s="108"/>
      <c r="AE73" s="109"/>
      <c r="AF73" s="110"/>
      <c r="AG73" s="107" t="s">
        <v>164</v>
      </c>
      <c r="AH73" s="108"/>
      <c r="AI73" s="108"/>
      <c r="AJ73" s="108"/>
      <c r="AK73" s="108"/>
      <c r="AL73" s="109"/>
      <c r="AM73" s="110"/>
      <c r="AN73" s="107"/>
      <c r="AO73" s="108"/>
      <c r="AP73" s="108"/>
      <c r="AQ73" s="108"/>
      <c r="AR73" s="108"/>
      <c r="AS73" s="109"/>
      <c r="AT73" s="110"/>
      <c r="AU73" s="107"/>
      <c r="AV73" s="108"/>
      <c r="AW73" s="108"/>
      <c r="AX73" s="108"/>
      <c r="AY73" s="108"/>
      <c r="AZ73" s="109"/>
      <c r="BA73" s="110"/>
      <c r="BB73" s="107"/>
      <c r="BC73" s="108"/>
      <c r="BD73" s="108"/>
      <c r="BE73" s="108"/>
      <c r="BF73" s="108"/>
      <c r="BG73" s="109"/>
      <c r="BH73" s="110"/>
      <c r="BI73" s="107"/>
      <c r="BJ73" s="108"/>
      <c r="BK73" s="108"/>
      <c r="BL73" s="108"/>
      <c r="BM73" s="108"/>
      <c r="BN73" s="109"/>
      <c r="BO73" s="110"/>
      <c r="BP73" s="107"/>
      <c r="BQ73" s="108"/>
      <c r="BR73" s="108"/>
      <c r="BS73" s="108"/>
      <c r="BT73" s="108"/>
      <c r="BU73" s="109"/>
      <c r="BV73" s="110"/>
      <c r="BW73" s="107"/>
      <c r="BX73" s="108"/>
      <c r="BY73" s="108"/>
      <c r="BZ73" s="108"/>
      <c r="CA73" s="108"/>
      <c r="CB73" s="109"/>
      <c r="CC73" s="110"/>
      <c r="CD73" s="107"/>
      <c r="CE73" s="108"/>
      <c r="CF73" s="108"/>
      <c r="CG73" s="108"/>
      <c r="CH73" s="108"/>
      <c r="CI73" s="109"/>
      <c r="CJ73" s="110"/>
      <c r="CK73" s="107"/>
      <c r="CL73" s="108"/>
      <c r="CM73" s="108"/>
      <c r="CN73" s="108"/>
      <c r="CO73" s="108"/>
      <c r="CP73" s="109"/>
      <c r="CQ73" s="110"/>
    </row>
    <row r="74" spans="12:99" ht="14.25" customHeight="1" x14ac:dyDescent="0.2">
      <c r="L74" s="107"/>
      <c r="M74" s="108"/>
      <c r="N74" s="108"/>
      <c r="O74" s="108"/>
      <c r="P74" s="108"/>
      <c r="Q74" s="109"/>
      <c r="R74" s="110"/>
      <c r="S74" s="107" t="s">
        <v>165</v>
      </c>
      <c r="T74" s="108"/>
      <c r="U74" s="108"/>
      <c r="V74" s="108"/>
      <c r="W74" s="108"/>
      <c r="X74" s="109"/>
      <c r="Y74" s="110">
        <v>1000</v>
      </c>
      <c r="Z74" s="107" t="s">
        <v>165</v>
      </c>
      <c r="AA74" s="108"/>
      <c r="AB74" s="108"/>
      <c r="AC74" s="108"/>
      <c r="AD74" s="108"/>
      <c r="AE74" s="109"/>
      <c r="AF74" s="110"/>
      <c r="AG74" s="107" t="s">
        <v>165</v>
      </c>
      <c r="AH74" s="108"/>
      <c r="AI74" s="108"/>
      <c r="AJ74" s="108"/>
      <c r="AK74" s="108"/>
      <c r="AL74" s="109"/>
      <c r="AM74" s="110"/>
      <c r="AN74" s="107"/>
      <c r="AO74" s="108"/>
      <c r="AP74" s="108"/>
      <c r="AQ74" s="108"/>
      <c r="AR74" s="108"/>
      <c r="AS74" s="109"/>
      <c r="AT74" s="110"/>
      <c r="AU74" s="107"/>
      <c r="AV74" s="108"/>
      <c r="AW74" s="108"/>
      <c r="AX74" s="108"/>
      <c r="AY74" s="108"/>
      <c r="AZ74" s="109"/>
      <c r="BA74" s="110"/>
      <c r="BB74" s="107"/>
      <c r="BC74" s="108"/>
      <c r="BD74" s="108"/>
      <c r="BE74" s="108"/>
      <c r="BF74" s="108"/>
      <c r="BG74" s="109"/>
      <c r="BH74" s="110"/>
      <c r="BI74" s="107"/>
      <c r="BJ74" s="108"/>
      <c r="BK74" s="108"/>
      <c r="BL74" s="108"/>
      <c r="BM74" s="108"/>
      <c r="BN74" s="109"/>
      <c r="BO74" s="110"/>
      <c r="BP74" s="107"/>
      <c r="BQ74" s="108"/>
      <c r="BR74" s="108"/>
      <c r="BS74" s="108"/>
      <c r="BT74" s="108"/>
      <c r="BU74" s="109"/>
      <c r="BV74" s="110"/>
      <c r="BW74" s="107"/>
      <c r="BX74" s="108"/>
      <c r="BY74" s="108"/>
      <c r="BZ74" s="108"/>
      <c r="CA74" s="108"/>
      <c r="CB74" s="109"/>
      <c r="CC74" s="110"/>
      <c r="CD74" s="107"/>
      <c r="CE74" s="108"/>
      <c r="CF74" s="108"/>
      <c r="CG74" s="108"/>
      <c r="CH74" s="108"/>
      <c r="CI74" s="109"/>
      <c r="CJ74" s="110"/>
      <c r="CK74" s="107"/>
      <c r="CL74" s="108"/>
      <c r="CM74" s="108"/>
      <c r="CN74" s="108"/>
      <c r="CO74" s="108"/>
      <c r="CP74" s="109"/>
      <c r="CQ74" s="110"/>
    </row>
    <row r="75" spans="12:99" ht="14.25" customHeight="1" x14ac:dyDescent="0.2">
      <c r="L75" s="107"/>
      <c r="M75" s="108"/>
      <c r="N75" s="108"/>
      <c r="O75" s="108"/>
      <c r="P75" s="108"/>
      <c r="Q75" s="109"/>
      <c r="R75" s="110"/>
      <c r="S75" s="107" t="s">
        <v>90</v>
      </c>
      <c r="T75" s="108"/>
      <c r="U75" s="108"/>
      <c r="V75" s="108"/>
      <c r="W75" s="108"/>
      <c r="X75" s="109"/>
      <c r="Y75" s="110">
        <f>237.4+3450</f>
        <v>3687.4</v>
      </c>
      <c r="Z75" s="107" t="s">
        <v>90</v>
      </c>
      <c r="AA75" s="108"/>
      <c r="AB75" s="108"/>
      <c r="AC75" s="108"/>
      <c r="AD75" s="108"/>
      <c r="AE75" s="109"/>
      <c r="AF75" s="110">
        <f>77.8</f>
        <v>77.8</v>
      </c>
      <c r="AG75" s="107" t="s">
        <v>90</v>
      </c>
      <c r="AH75" s="108"/>
      <c r="AI75" s="108"/>
      <c r="AJ75" s="108"/>
      <c r="AK75" s="108"/>
      <c r="AL75" s="109"/>
      <c r="AM75" s="110">
        <f>1280+309</f>
        <v>1589</v>
      </c>
      <c r="AN75" s="107"/>
      <c r="AO75" s="108"/>
      <c r="AP75" s="108"/>
      <c r="AQ75" s="108"/>
      <c r="AR75" s="108"/>
      <c r="AS75" s="109"/>
      <c r="AT75" s="110"/>
      <c r="AU75" s="107"/>
      <c r="AV75" s="108"/>
      <c r="AW75" s="108"/>
      <c r="AX75" s="108"/>
      <c r="AY75" s="108"/>
      <c r="AZ75" s="109"/>
      <c r="BA75" s="110"/>
      <c r="BB75" s="107"/>
      <c r="BC75" s="108"/>
      <c r="BD75" s="108"/>
      <c r="BE75" s="108"/>
      <c r="BF75" s="108"/>
      <c r="BG75" s="109"/>
      <c r="BH75" s="110"/>
      <c r="BI75" s="107"/>
      <c r="BJ75" s="108"/>
      <c r="BK75" s="108"/>
      <c r="BL75" s="108"/>
      <c r="BM75" s="108"/>
      <c r="BN75" s="109"/>
      <c r="BO75" s="110"/>
      <c r="BP75" s="107"/>
      <c r="BQ75" s="108"/>
      <c r="BR75" s="108"/>
      <c r="BS75" s="108"/>
      <c r="BT75" s="108"/>
      <c r="BU75" s="109"/>
      <c r="BV75" s="110"/>
      <c r="BW75" s="107"/>
      <c r="BX75" s="108"/>
      <c r="BY75" s="108"/>
      <c r="BZ75" s="108"/>
      <c r="CA75" s="108"/>
      <c r="CB75" s="109"/>
      <c r="CC75" s="110"/>
      <c r="CD75" s="107"/>
      <c r="CE75" s="108"/>
      <c r="CF75" s="108"/>
      <c r="CG75" s="108"/>
      <c r="CH75" s="108"/>
      <c r="CI75" s="109"/>
      <c r="CJ75" s="110"/>
      <c r="CK75" s="107"/>
      <c r="CL75" s="108"/>
      <c r="CM75" s="108"/>
      <c r="CN75" s="108"/>
      <c r="CO75" s="108"/>
      <c r="CP75" s="109"/>
      <c r="CQ75" s="110"/>
    </row>
    <row r="76" spans="12:99" ht="14.25" customHeight="1" x14ac:dyDescent="0.2">
      <c r="L76" s="107"/>
      <c r="M76" s="108"/>
      <c r="N76" s="108"/>
      <c r="O76" s="108"/>
      <c r="P76" s="108"/>
      <c r="Q76" s="109"/>
      <c r="R76" s="110"/>
      <c r="S76" s="107" t="s">
        <v>122</v>
      </c>
      <c r="T76" s="108"/>
      <c r="U76" s="108"/>
      <c r="V76" s="108"/>
      <c r="W76" s="108"/>
      <c r="X76" s="109"/>
      <c r="Y76" s="110">
        <f>62.5</f>
        <v>62.5</v>
      </c>
      <c r="Z76" s="107" t="s">
        <v>166</v>
      </c>
      <c r="AA76" s="108"/>
      <c r="AB76" s="108"/>
      <c r="AC76" s="108"/>
      <c r="AD76" s="108"/>
      <c r="AE76" s="109"/>
      <c r="AF76" s="110">
        <v>1746</v>
      </c>
      <c r="AG76" s="107" t="s">
        <v>122</v>
      </c>
      <c r="AH76" s="108"/>
      <c r="AI76" s="108"/>
      <c r="AJ76" s="108"/>
      <c r="AK76" s="108"/>
      <c r="AL76" s="109"/>
      <c r="AM76" s="110">
        <f>25+163.2</f>
        <v>188.2</v>
      </c>
      <c r="AN76" s="107"/>
      <c r="AO76" s="108"/>
      <c r="AP76" s="108"/>
      <c r="AQ76" s="108"/>
      <c r="AR76" s="108"/>
      <c r="AS76" s="109"/>
      <c r="AT76" s="110"/>
      <c r="AU76" s="107"/>
      <c r="AV76" s="108"/>
      <c r="AW76" s="108"/>
      <c r="AX76" s="108"/>
      <c r="AY76" s="108"/>
      <c r="AZ76" s="109"/>
      <c r="BA76" s="110"/>
      <c r="BB76" s="107"/>
      <c r="BC76" s="108"/>
      <c r="BD76" s="108"/>
      <c r="BE76" s="108"/>
      <c r="BF76" s="108"/>
      <c r="BG76" s="109"/>
      <c r="BH76" s="110"/>
      <c r="BI76" s="107"/>
      <c r="BJ76" s="108"/>
      <c r="BK76" s="108"/>
      <c r="BL76" s="108"/>
      <c r="BM76" s="108"/>
      <c r="BN76" s="109"/>
      <c r="BO76" s="110"/>
      <c r="BP76" s="107"/>
      <c r="BQ76" s="108"/>
      <c r="BR76" s="108"/>
      <c r="BS76" s="108"/>
      <c r="BT76" s="108"/>
      <c r="BU76" s="109"/>
      <c r="BV76" s="110"/>
      <c r="BW76" s="107"/>
      <c r="BX76" s="108"/>
      <c r="BY76" s="108"/>
      <c r="BZ76" s="108"/>
      <c r="CA76" s="108"/>
      <c r="CB76" s="109"/>
      <c r="CC76" s="110"/>
      <c r="CD76" s="107"/>
      <c r="CE76" s="108"/>
      <c r="CF76" s="108"/>
      <c r="CG76" s="108"/>
      <c r="CH76" s="108"/>
      <c r="CI76" s="109"/>
      <c r="CJ76" s="110"/>
      <c r="CK76" s="107"/>
      <c r="CL76" s="108"/>
      <c r="CM76" s="108"/>
      <c r="CN76" s="108"/>
      <c r="CO76" s="108"/>
      <c r="CP76" s="109"/>
      <c r="CQ76" s="110"/>
    </row>
    <row r="77" spans="12:99" ht="14.25" customHeight="1" x14ac:dyDescent="0.2">
      <c r="L77" s="107"/>
      <c r="M77" s="108"/>
      <c r="N77" s="108"/>
      <c r="O77" s="108"/>
      <c r="P77" s="108"/>
      <c r="Q77" s="109"/>
      <c r="R77" s="110"/>
      <c r="S77" s="107" t="s">
        <v>129</v>
      </c>
      <c r="T77" s="108"/>
      <c r="U77" s="108"/>
      <c r="V77" s="108"/>
      <c r="W77" s="108"/>
      <c r="X77" s="109"/>
      <c r="Y77" s="110">
        <f>238.74</f>
        <v>238.74</v>
      </c>
      <c r="Z77" s="107" t="s">
        <v>129</v>
      </c>
      <c r="AA77" s="108"/>
      <c r="AB77" s="108"/>
      <c r="AC77" s="108"/>
      <c r="AD77" s="108"/>
      <c r="AE77" s="109"/>
      <c r="AF77" s="110"/>
      <c r="AG77" s="107" t="s">
        <v>129</v>
      </c>
      <c r="AH77" s="108"/>
      <c r="AI77" s="108"/>
      <c r="AJ77" s="108"/>
      <c r="AK77" s="108"/>
      <c r="AL77" s="109"/>
      <c r="AM77" s="110">
        <f>238.74</f>
        <v>238.74</v>
      </c>
      <c r="AN77" s="107"/>
      <c r="AO77" s="108"/>
      <c r="AP77" s="108"/>
      <c r="AQ77" s="108"/>
      <c r="AR77" s="108"/>
      <c r="AS77" s="109"/>
      <c r="AT77" s="110"/>
      <c r="AU77" s="107"/>
      <c r="AV77" s="108"/>
      <c r="AW77" s="108"/>
      <c r="AX77" s="108"/>
      <c r="AY77" s="108"/>
      <c r="AZ77" s="109"/>
      <c r="BA77" s="110"/>
      <c r="BB77" s="107"/>
      <c r="BC77" s="108"/>
      <c r="BD77" s="108"/>
      <c r="BE77" s="108"/>
      <c r="BF77" s="108"/>
      <c r="BG77" s="109"/>
      <c r="BH77" s="110"/>
      <c r="BI77" s="107"/>
      <c r="BJ77" s="108"/>
      <c r="BK77" s="108"/>
      <c r="BL77" s="108"/>
      <c r="BM77" s="108"/>
      <c r="BN77" s="109"/>
      <c r="BO77" s="110"/>
      <c r="BP77" s="107"/>
      <c r="BQ77" s="108"/>
      <c r="BR77" s="108"/>
      <c r="BS77" s="108"/>
      <c r="BT77" s="108"/>
      <c r="BU77" s="109"/>
      <c r="BV77" s="110"/>
      <c r="BW77" s="107"/>
      <c r="BX77" s="108"/>
      <c r="BY77" s="108"/>
      <c r="BZ77" s="108"/>
      <c r="CA77" s="108"/>
      <c r="CB77" s="109"/>
      <c r="CC77" s="110"/>
      <c r="CD77" s="107"/>
      <c r="CE77" s="108"/>
      <c r="CF77" s="108"/>
      <c r="CG77" s="108"/>
      <c r="CH77" s="108"/>
      <c r="CI77" s="109"/>
      <c r="CJ77" s="110"/>
      <c r="CK77" s="107"/>
      <c r="CL77" s="108"/>
      <c r="CM77" s="108"/>
      <c r="CN77" s="108"/>
      <c r="CO77" s="108"/>
      <c r="CP77" s="109"/>
      <c r="CQ77" s="110"/>
    </row>
    <row r="78" spans="12:99" ht="14.25" customHeight="1" x14ac:dyDescent="0.2">
      <c r="L78" s="107"/>
      <c r="M78" s="108"/>
      <c r="N78" s="108"/>
      <c r="O78" s="108"/>
      <c r="P78" s="108"/>
      <c r="Q78" s="109"/>
      <c r="R78" s="110"/>
      <c r="S78" s="107"/>
      <c r="T78" s="108"/>
      <c r="U78" s="108"/>
      <c r="V78" s="108"/>
      <c r="W78" s="108"/>
      <c r="X78" s="109"/>
      <c r="Y78" s="110"/>
      <c r="Z78" s="107"/>
      <c r="AA78" s="108"/>
      <c r="AB78" s="108"/>
      <c r="AC78" s="108"/>
      <c r="AD78" s="108"/>
      <c r="AE78" s="109"/>
      <c r="AF78" s="110"/>
      <c r="AG78" s="107"/>
      <c r="AH78" s="108"/>
      <c r="AI78" s="108"/>
      <c r="AJ78" s="108"/>
      <c r="AK78" s="108"/>
      <c r="AL78" s="109"/>
      <c r="AM78" s="110"/>
      <c r="AN78" s="107"/>
      <c r="AO78" s="108"/>
      <c r="AP78" s="108"/>
      <c r="AQ78" s="108"/>
      <c r="AR78" s="108"/>
      <c r="AS78" s="109"/>
      <c r="AT78" s="110"/>
      <c r="AU78" s="107"/>
      <c r="AV78" s="108"/>
      <c r="AW78" s="108"/>
      <c r="AX78" s="108"/>
      <c r="AY78" s="108"/>
      <c r="AZ78" s="109"/>
      <c r="BA78" s="110"/>
      <c r="BB78" s="107"/>
      <c r="BC78" s="108"/>
      <c r="BD78" s="108"/>
      <c r="BE78" s="108"/>
      <c r="BF78" s="108"/>
      <c r="BG78" s="109"/>
      <c r="BH78" s="110"/>
      <c r="BI78" s="107"/>
      <c r="BJ78" s="108"/>
      <c r="BK78" s="108"/>
      <c r="BL78" s="108"/>
      <c r="BM78" s="108"/>
      <c r="BN78" s="109"/>
      <c r="BO78" s="110"/>
      <c r="BP78" s="107"/>
      <c r="BQ78" s="108"/>
      <c r="BR78" s="108"/>
      <c r="BS78" s="108"/>
      <c r="BT78" s="108"/>
      <c r="BU78" s="109"/>
      <c r="BV78" s="110"/>
      <c r="BW78" s="107"/>
      <c r="BX78" s="108"/>
      <c r="BY78" s="108"/>
      <c r="BZ78" s="108"/>
      <c r="CA78" s="108"/>
      <c r="CB78" s="109"/>
      <c r="CC78" s="110"/>
      <c r="CD78" s="107"/>
      <c r="CE78" s="108"/>
      <c r="CF78" s="108"/>
      <c r="CG78" s="108"/>
      <c r="CH78" s="108"/>
      <c r="CI78" s="109"/>
      <c r="CJ78" s="110"/>
      <c r="CK78" s="107"/>
      <c r="CL78" s="108"/>
      <c r="CM78" s="108"/>
      <c r="CN78" s="108"/>
      <c r="CO78" s="108"/>
      <c r="CP78" s="109"/>
      <c r="CQ78" s="110"/>
    </row>
    <row r="79" spans="12:99" ht="14.25" customHeight="1" x14ac:dyDescent="0.2">
      <c r="L79" s="107" t="s">
        <v>82</v>
      </c>
      <c r="M79" s="108"/>
      <c r="N79" s="108"/>
      <c r="O79" s="108"/>
      <c r="P79" s="108"/>
      <c r="Q79" s="109"/>
      <c r="R79" s="169">
        <f>SUM(R61:R78)</f>
        <v>6387.2199999999993</v>
      </c>
      <c r="S79" s="107" t="s">
        <v>82</v>
      </c>
      <c r="T79" s="108"/>
      <c r="U79" s="108"/>
      <c r="V79" s="108"/>
      <c r="W79" s="108"/>
      <c r="X79" s="109"/>
      <c r="Y79" s="169">
        <f>SUM(Y61:Y78)</f>
        <v>9721.2099999999991</v>
      </c>
      <c r="Z79" s="173" t="s">
        <v>82</v>
      </c>
      <c r="AA79" s="174"/>
      <c r="AB79" s="174"/>
      <c r="AC79" s="108"/>
      <c r="AD79" s="108"/>
      <c r="AE79" s="109"/>
      <c r="AF79" s="169">
        <f>SUM(AF61:AF78)</f>
        <v>6125.9800000000005</v>
      </c>
      <c r="AG79" s="107" t="s">
        <v>82</v>
      </c>
      <c r="AH79" s="108"/>
      <c r="AI79" s="108"/>
      <c r="AJ79" s="108"/>
      <c r="AK79" s="108"/>
      <c r="AL79" s="109"/>
      <c r="AM79" s="169">
        <f>SUM(AM61:AM78)</f>
        <v>7010.03</v>
      </c>
      <c r="AN79" s="107"/>
      <c r="AO79" s="108"/>
      <c r="AP79" s="108"/>
      <c r="AQ79" s="108"/>
      <c r="AR79" s="108"/>
      <c r="AS79" s="109"/>
      <c r="AT79" s="169"/>
      <c r="AU79" s="107"/>
      <c r="AV79" s="108"/>
      <c r="AW79" s="108"/>
      <c r="AX79" s="108"/>
      <c r="AY79" s="108"/>
      <c r="AZ79" s="109"/>
      <c r="BA79" s="169"/>
      <c r="BB79" s="107"/>
      <c r="BC79" s="108"/>
      <c r="BD79" s="108"/>
      <c r="BE79" s="108"/>
      <c r="BF79" s="108"/>
      <c r="BG79" s="109"/>
      <c r="BH79" s="169"/>
      <c r="BI79" s="107"/>
      <c r="BJ79" s="108"/>
      <c r="BK79" s="108"/>
      <c r="BL79" s="108"/>
      <c r="BM79" s="108"/>
      <c r="BN79" s="109"/>
      <c r="BO79" s="169"/>
      <c r="BP79" s="107"/>
      <c r="BQ79" s="108"/>
      <c r="BR79" s="108"/>
      <c r="BS79" s="108"/>
      <c r="BT79" s="108"/>
      <c r="BU79" s="109"/>
      <c r="BV79" s="169"/>
      <c r="BW79" s="107"/>
      <c r="BX79" s="108"/>
      <c r="BY79" s="108"/>
      <c r="BZ79" s="108"/>
      <c r="CA79" s="108"/>
      <c r="CB79" s="109"/>
      <c r="CC79" s="169"/>
      <c r="CD79" s="107"/>
      <c r="CE79" s="108"/>
      <c r="CF79" s="108"/>
      <c r="CG79" s="108"/>
      <c r="CH79" s="108"/>
      <c r="CI79" s="109"/>
      <c r="CJ79" s="169"/>
      <c r="CK79" s="107"/>
      <c r="CL79" s="108"/>
      <c r="CM79" s="108"/>
      <c r="CN79" s="108"/>
      <c r="CO79" s="108"/>
      <c r="CP79" s="109"/>
      <c r="CQ79" s="169"/>
    </row>
    <row r="80" spans="12:99" ht="14.25" customHeight="1" x14ac:dyDescent="0.2">
      <c r="CU80" s="155"/>
    </row>
    <row r="81" spans="46:99" ht="14.25" customHeight="1" x14ac:dyDescent="0.2">
      <c r="CU81" s="155"/>
    </row>
    <row r="82" spans="46:99" ht="14.25" customHeight="1" x14ac:dyDescent="0.2">
      <c r="CU82" s="155"/>
    </row>
    <row r="83" spans="46:99" ht="14.25" customHeight="1" x14ac:dyDescent="0.2">
      <c r="AT83" s="139"/>
      <c r="BA83" s="140"/>
      <c r="CU83" s="155"/>
    </row>
    <row r="84" spans="46:99" ht="14.25" customHeight="1" x14ac:dyDescent="0.2">
      <c r="AT84" s="139"/>
      <c r="BA84" s="139"/>
      <c r="CU84" s="155"/>
    </row>
    <row r="85" spans="46:99" ht="14.25" customHeight="1" x14ac:dyDescent="0.2">
      <c r="AT85" s="139"/>
      <c r="BA85" s="139"/>
    </row>
    <row r="86" spans="46:99" ht="14.25" customHeight="1" x14ac:dyDescent="0.2">
      <c r="AT86" s="140"/>
      <c r="BA86" s="139"/>
    </row>
    <row r="87" spans="46:99" ht="14.25" customHeight="1" x14ac:dyDescent="0.2"/>
    <row r="88" spans="46:99" ht="14.25" customHeight="1" x14ac:dyDescent="0.2"/>
    <row r="89" spans="46:99" ht="14.25" customHeight="1" x14ac:dyDescent="0.2">
      <c r="BA89" s="139"/>
    </row>
    <row r="90" spans="46:99" ht="14.25" customHeight="1" x14ac:dyDescent="0.2">
      <c r="BA90" s="139"/>
    </row>
    <row r="91" spans="46:99" ht="14.25" customHeight="1" x14ac:dyDescent="0.2">
      <c r="BA91" s="139"/>
    </row>
    <row r="92" spans="46:99" ht="14.25" customHeight="1" x14ac:dyDescent="0.2">
      <c r="BA92" s="139"/>
    </row>
    <row r="93" spans="46:99" ht="14.25" customHeight="1" x14ac:dyDescent="0.2">
      <c r="BA93" s="139"/>
    </row>
    <row r="94" spans="46:99" ht="14.25" customHeight="1" x14ac:dyDescent="0.2"/>
    <row r="95" spans="46:99" ht="14.25" customHeight="1" x14ac:dyDescent="0.2"/>
    <row r="96" spans="46:99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/>
    <row r="194" spans="99:99" ht="14.25" customHeight="1" x14ac:dyDescent="0.2"/>
    <row r="195" spans="99:99" ht="14.25" customHeight="1" x14ac:dyDescent="0.2"/>
    <row r="196" spans="99:99" ht="14.25" customHeight="1" x14ac:dyDescent="0.2"/>
    <row r="197" spans="99:99" ht="14.25" customHeight="1" x14ac:dyDescent="0.2"/>
    <row r="198" spans="99:99" ht="14.25" customHeight="1" x14ac:dyDescent="0.2"/>
    <row r="199" spans="99:99" ht="14.25" customHeight="1" x14ac:dyDescent="0.2"/>
    <row r="200" spans="99:99" ht="14.25" customHeight="1" x14ac:dyDescent="0.2"/>
    <row r="201" spans="99:99" ht="14.25" customHeight="1" x14ac:dyDescent="0.2"/>
    <row r="202" spans="99:99" ht="14.25" customHeight="1" x14ac:dyDescent="0.2">
      <c r="CU202" s="155"/>
    </row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BEF17-417A-594C-9F05-A1F04601D7C3}">
  <sheetPr>
    <pageSetUpPr fitToPage="1"/>
  </sheetPr>
  <dimension ref="A1:CU1000"/>
  <sheetViews>
    <sheetView zoomScale="85" zoomScaleNormal="85" workbookViewId="0">
      <pane xSplit="11" ySplit="3" topLeftCell="L39" activePane="bottomRight" state="frozen"/>
      <selection activeCell="J2" sqref="J2:P58"/>
      <selection pane="topRight" activeCell="J2" sqref="J2:P58"/>
      <selection pane="bottomLeft" activeCell="J2" sqref="J2:P58"/>
      <selection pane="bottomRight" activeCell="H58" sqref="H58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167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752850.0755040003</v>
      </c>
      <c r="C4" s="18">
        <f t="shared" si="0"/>
        <v>660324.80122455861</v>
      </c>
      <c r="D4" s="19">
        <f t="shared" si="0"/>
        <v>92525.274279441626</v>
      </c>
      <c r="E4" s="17">
        <f>+L4+S4+Z4+AG4</f>
        <v>266548.95984000002</v>
      </c>
      <c r="F4" s="20">
        <f>+M4+T4+AA4+AH4</f>
        <v>233790.09267566403</v>
      </c>
      <c r="G4" s="21">
        <f>+N4+U4+AB4+AI4</f>
        <v>32758.867164336003</v>
      </c>
      <c r="H4" s="18">
        <f t="shared" ref="H4:J35" si="1">+O4+V4+AC4+AJ4+AQ4+AX4+BE4+BL4+BS4+BZ4+CG4+CN4</f>
        <v>184478.51833200004</v>
      </c>
      <c r="I4" s="20">
        <f t="shared" si="1"/>
        <v>8531.0216680000012</v>
      </c>
      <c r="J4" s="20">
        <f t="shared" si="1"/>
        <v>193009.54000000004</v>
      </c>
      <c r="K4" s="25">
        <f t="shared" ref="K4:K54" si="2">IF(E4=0,"",(+J4/E4-1))</f>
        <v>-0.27589460444393821</v>
      </c>
      <c r="L4" s="23">
        <f>[1]MJ!$E4</f>
        <v>57892.989960000006</v>
      </c>
      <c r="M4" s="18">
        <f>L4-N4</f>
        <v>50777.941493916005</v>
      </c>
      <c r="N4" s="18">
        <f>+L4*12.29%</f>
        <v>7115.0484660840002</v>
      </c>
      <c r="O4" s="18">
        <f>+Q4-P4</f>
        <v>52206.264342000009</v>
      </c>
      <c r="P4" s="18">
        <f>+Q4*4.42%</f>
        <v>2414.2256580000003</v>
      </c>
      <c r="Q4" s="20">
        <f>82391.63-Q5-Q6-Q7-Q8-Q9</f>
        <v>54620.490000000013</v>
      </c>
      <c r="R4" s="25">
        <f t="shared" ref="R4:R54" si="3">IF(L4=0,"",(+Q4/L4-1))</f>
        <v>-5.6526704912996606E-2</v>
      </c>
      <c r="S4" s="23">
        <f>[1]MJ!$F4</f>
        <v>92869.989960000006</v>
      </c>
      <c r="T4" s="18">
        <f>S4-U4</f>
        <v>81456.26819391601</v>
      </c>
      <c r="U4" s="18">
        <f>+S4*12.29%</f>
        <v>11413.721766084</v>
      </c>
      <c r="V4" s="18">
        <f>+X4-W4</f>
        <v>28947.846258000001</v>
      </c>
      <c r="W4" s="18">
        <f>+X4*4.42%</f>
        <v>1338.663742</v>
      </c>
      <c r="X4" s="20">
        <f>62551.39-X5-X6-X7-X8-X9</f>
        <v>30286.510000000002</v>
      </c>
      <c r="Y4" s="25">
        <f t="shared" ref="Y4:Y54" si="4">IF(S4=0,"",(+X4/S4-1))</f>
        <v>-0.67388270405709427</v>
      </c>
      <c r="Z4" s="23">
        <f>[1]MJ!$G4</f>
        <v>57892.989960000006</v>
      </c>
      <c r="AA4" s="18">
        <f>Z4-AB4</f>
        <v>50777.941493916005</v>
      </c>
      <c r="AB4" s="18">
        <f>+Z4*12.29%</f>
        <v>7115.0484660840002</v>
      </c>
      <c r="AC4" s="18">
        <f>+AE4-AD4</f>
        <v>55380.390120000018</v>
      </c>
      <c r="AD4" s="18">
        <f>+AE4*4.42%</f>
        <v>2561.0098800000005</v>
      </c>
      <c r="AE4" s="20">
        <f>75774.77-AE5-AE6-AE7-AE8-AE9</f>
        <v>57941.400000000016</v>
      </c>
      <c r="AF4" s="25">
        <f t="shared" ref="AF4:AF54" si="5">IF(Z4=0,"",(+AE4/Z4-1))</f>
        <v>8.3619864915340791E-4</v>
      </c>
      <c r="AG4" s="23">
        <f>[1]MJ!$H4</f>
        <v>57892.989960000006</v>
      </c>
      <c r="AH4" s="18">
        <f>AG4-AI4</f>
        <v>50777.941493916005</v>
      </c>
      <c r="AI4" s="18">
        <f>+AG4*12.29%</f>
        <v>7115.0484660840002</v>
      </c>
      <c r="AJ4" s="18">
        <f>+AL4-AK4</f>
        <v>47944.017611999996</v>
      </c>
      <c r="AK4" s="18">
        <f>+AL4*4.42%</f>
        <v>2217.1223879999998</v>
      </c>
      <c r="AL4" s="24">
        <f>74632.72-AL5-AL6-AL7-AL8-AL9</f>
        <v>50161.14</v>
      </c>
      <c r="AM4" s="25">
        <f t="shared" ref="AM4:AM54" si="6">IF(AG4=0,"",(+AL4/AG4-1))</f>
        <v>-0.1335541654584117</v>
      </c>
      <c r="AN4" s="23">
        <f>[1]MJ!$I4</f>
        <v>57892.989960000006</v>
      </c>
      <c r="AO4" s="18">
        <f>AN4-AP4</f>
        <v>50777.941493916005</v>
      </c>
      <c r="AP4" s="18">
        <f>+AN4*12.29%</f>
        <v>7115.0484660840002</v>
      </c>
      <c r="AQ4" s="18">
        <f>+AS4-AR4</f>
        <v>0</v>
      </c>
      <c r="AR4" s="18">
        <f>+AS4*4.42%</f>
        <v>0</v>
      </c>
      <c r="AS4" s="20"/>
      <c r="AT4" s="25">
        <f t="shared" ref="AT4:AT54" si="7">IF(AN4=0,"",(+AS4/AN4-1))</f>
        <v>-1</v>
      </c>
      <c r="AU4" s="23">
        <f>[1]MJ!$J4</f>
        <v>57892.989960000006</v>
      </c>
      <c r="AV4" s="18">
        <f>AU4-AW4</f>
        <v>50777.941493916005</v>
      </c>
      <c r="AW4" s="18">
        <f>+AU4*12.29%</f>
        <v>7115.0484660840002</v>
      </c>
      <c r="AX4" s="18">
        <f>+AZ4-AY4</f>
        <v>0</v>
      </c>
      <c r="AY4" s="18">
        <f>+AZ4*4.42%</f>
        <v>0</v>
      </c>
      <c r="AZ4" s="20"/>
      <c r="BA4" s="25">
        <f t="shared" ref="BA4:BA54" si="8">IF(AU4=0,"",(+AZ4/AU4-1))</f>
        <v>-1</v>
      </c>
      <c r="BB4" s="23">
        <f>[1]MJ!$K4</f>
        <v>57892.989960000006</v>
      </c>
      <c r="BC4" s="18">
        <f>BB4-BD4</f>
        <v>50777.941493916005</v>
      </c>
      <c r="BD4" s="18">
        <f>+BB4*12.29%</f>
        <v>7115.0484660840002</v>
      </c>
      <c r="BE4" s="18">
        <f>+BG4-BF4</f>
        <v>0</v>
      </c>
      <c r="BF4" s="18">
        <f>+BG4*4.42%</f>
        <v>0</v>
      </c>
      <c r="BG4" s="24"/>
      <c r="BH4" s="25">
        <f t="shared" ref="BH4:BH54" si="9">IF(BB4=0,"",(+BG4/BB4-1))</f>
        <v>-1</v>
      </c>
      <c r="BI4" s="23">
        <f>[1]MJ!$L4</f>
        <v>62524.429156800012</v>
      </c>
      <c r="BJ4" s="18">
        <f>BI4-BK4</f>
        <v>54840.176813429294</v>
      </c>
      <c r="BK4" s="18">
        <f>+BI4*12.29%</f>
        <v>7684.2523433707211</v>
      </c>
      <c r="BL4" s="18">
        <f>+BN4-BM4</f>
        <v>0</v>
      </c>
      <c r="BM4" s="18">
        <f>+BN4*4.42%</f>
        <v>0</v>
      </c>
      <c r="BN4" s="20"/>
      <c r="BO4" s="25">
        <f t="shared" ref="BO4:BO54" si="10">IF(BI4=0,"",(+BN4/BI4-1))</f>
        <v>-1</v>
      </c>
      <c r="BP4" s="23">
        <f>[1]MJ!$M4</f>
        <v>62524.429156800012</v>
      </c>
      <c r="BQ4" s="18">
        <f>BP4-BR4</f>
        <v>54840.176813429294</v>
      </c>
      <c r="BR4" s="18">
        <f>+BP4*12.29%</f>
        <v>7684.2523433707211</v>
      </c>
      <c r="BS4" s="18">
        <f>+BU4-BT4</f>
        <v>0</v>
      </c>
      <c r="BT4" s="18">
        <f>+BU4*4.42%</f>
        <v>0</v>
      </c>
      <c r="BU4" s="20"/>
      <c r="BV4" s="25">
        <f t="shared" ref="BV4:BV54" si="11">IF(BP4=0,"",(+BU4/BP4-1))</f>
        <v>-1</v>
      </c>
      <c r="BW4" s="23">
        <f>[1]MJ!$N4</f>
        <v>62524.429156800012</v>
      </c>
      <c r="BX4" s="18">
        <f>BW4-BY4</f>
        <v>54840.176813429294</v>
      </c>
      <c r="BY4" s="18">
        <f>+BW4*12.29%</f>
        <v>7684.2523433707211</v>
      </c>
      <c r="BZ4" s="18">
        <f>+CB4-CA4</f>
        <v>0</v>
      </c>
      <c r="CA4" s="18">
        <f>+CB4*4.42%</f>
        <v>0</v>
      </c>
      <c r="CB4" s="20"/>
      <c r="CC4" s="25">
        <f t="shared" ref="CC4:CC54" si="12">IF(BW4=0,"",(+CB4/BW4-1))</f>
        <v>-1</v>
      </c>
      <c r="CD4" s="23">
        <f>[1]MJ!$O4</f>
        <v>62524.429156800012</v>
      </c>
      <c r="CE4" s="18">
        <f>CD4-CF4</f>
        <v>54840.176813429294</v>
      </c>
      <c r="CF4" s="18">
        <f>+CD4*12.29%</f>
        <v>7684.2523433707211</v>
      </c>
      <c r="CG4" s="18">
        <f>+CI4-CH4</f>
        <v>0</v>
      </c>
      <c r="CH4" s="18">
        <f>+CI4*4.42%</f>
        <v>0</v>
      </c>
      <c r="CI4" s="20"/>
      <c r="CJ4" s="25">
        <f t="shared" ref="CJ4:CJ54" si="13">IF(CD4=0,"",(+CI4/CD4-1))</f>
        <v>-1</v>
      </c>
      <c r="CK4" s="23">
        <f>[1]MJ!$P4</f>
        <v>62524.429156800012</v>
      </c>
      <c r="CL4" s="18">
        <f>CK4-CM4</f>
        <v>54840.176813429294</v>
      </c>
      <c r="CM4" s="18">
        <f>+CK4*12.29%</f>
        <v>7684.2523433707211</v>
      </c>
      <c r="CN4" s="18">
        <f>+CP4-CO4</f>
        <v>0</v>
      </c>
      <c r="CO4" s="18">
        <f>+CP4*4.42%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35000.000000000007</v>
      </c>
      <c r="C5" s="31">
        <f t="shared" si="0"/>
        <v>30698.499999999989</v>
      </c>
      <c r="D5" s="32">
        <f t="shared" si="0"/>
        <v>4301.5000000000009</v>
      </c>
      <c r="E5" s="30">
        <f t="shared" ref="E5:G36" si="15">+L5+S5+Z5+AG5</f>
        <v>11666.666666666666</v>
      </c>
      <c r="F5" s="33">
        <f t="shared" si="15"/>
        <v>10232.833333333332</v>
      </c>
      <c r="G5" s="34">
        <f t="shared" si="15"/>
        <v>1433.8333333333333</v>
      </c>
      <c r="H5" s="31">
        <f t="shared" si="1"/>
        <v>11340.882414</v>
      </c>
      <c r="I5" s="33">
        <f t="shared" si="1"/>
        <v>524.44758599999989</v>
      </c>
      <c r="J5" s="33">
        <f t="shared" si="1"/>
        <v>11865.329999999998</v>
      </c>
      <c r="K5" s="37">
        <f t="shared" si="2"/>
        <v>1.7028285714285607E-2</v>
      </c>
      <c r="L5" s="36">
        <f>[1]MJ!$E5</f>
        <v>2916.6666666666665</v>
      </c>
      <c r="M5" s="31">
        <f t="shared" ref="M5:M54" si="16">L5-N5</f>
        <v>2558.208333333333</v>
      </c>
      <c r="N5" s="31">
        <f t="shared" ref="N5:N54" si="17">+L5*12.29%</f>
        <v>358.45833333333331</v>
      </c>
      <c r="O5" s="31">
        <f t="shared" ref="O5:O54" si="18">+Q5-P5</f>
        <v>2343.5738099999999</v>
      </c>
      <c r="P5" s="31">
        <f t="shared" ref="P5:P54" si="19">+Q5*4.42%</f>
        <v>108.37618999999998</v>
      </c>
      <c r="Q5" s="33">
        <f>2451.95</f>
        <v>2451.9499999999998</v>
      </c>
      <c r="R5" s="37">
        <f t="shared" si="3"/>
        <v>-0.15933142857142857</v>
      </c>
      <c r="S5" s="36">
        <f>[1]MJ!$F5</f>
        <v>2916.6666666666665</v>
      </c>
      <c r="T5" s="31">
        <f t="shared" ref="T5:T54" si="20">S5-U5</f>
        <v>2558.208333333333</v>
      </c>
      <c r="U5" s="31">
        <f t="shared" ref="U5:U54" si="21">+S5*12.29%</f>
        <v>358.45833333333331</v>
      </c>
      <c r="V5" s="31">
        <f t="shared" ref="V5:V54" si="22">+X5-W5</f>
        <v>339.825132</v>
      </c>
      <c r="W5" s="31">
        <f t="shared" ref="W5:W54" si="23">+X5*4.42%</f>
        <v>15.714867999999999</v>
      </c>
      <c r="X5" s="33">
        <v>355.54</v>
      </c>
      <c r="Y5" s="37">
        <f t="shared" si="4"/>
        <v>-0.87810057142857145</v>
      </c>
      <c r="Z5" s="36">
        <f>[1]MJ!$G5</f>
        <v>2916.6666666666665</v>
      </c>
      <c r="AA5" s="31">
        <f t="shared" ref="AA5:AA54" si="24">Z5-AB5</f>
        <v>2558.208333333333</v>
      </c>
      <c r="AB5" s="31">
        <f t="shared" ref="AB5:AB54" si="25">+Z5*12.29%</f>
        <v>358.45833333333331</v>
      </c>
      <c r="AC5" s="31">
        <f t="shared" ref="AC5:AC54" si="26">+AE5-AD5</f>
        <v>3927.688056</v>
      </c>
      <c r="AD5" s="31">
        <f t="shared" ref="AD5:AD54" si="27">+AE5*4.42%</f>
        <v>181.63194399999998</v>
      </c>
      <c r="AE5" s="33">
        <f>3685.9+423.42</f>
        <v>4109.32</v>
      </c>
      <c r="AF5" s="37">
        <f t="shared" si="5"/>
        <v>0.40890971428571432</v>
      </c>
      <c r="AG5" s="36">
        <f>[1]MJ!$H5</f>
        <v>2916.6666666666665</v>
      </c>
      <c r="AH5" s="31">
        <f t="shared" ref="AH5:AH54" si="28">AG5-AI5</f>
        <v>2558.208333333333</v>
      </c>
      <c r="AI5" s="31">
        <f t="shared" ref="AI5:AI54" si="29">+AG5*12.29%</f>
        <v>358.45833333333331</v>
      </c>
      <c r="AJ5" s="31">
        <f t="shared" ref="AJ5:AJ54" si="30">+AL5-AK5</f>
        <v>4729.7954159999999</v>
      </c>
      <c r="AK5" s="31">
        <f t="shared" ref="AK5:AK54" si="31">+AL5*4.42%</f>
        <v>218.72458399999996</v>
      </c>
      <c r="AL5" s="27">
        <f>3564.16+1384.36</f>
        <v>4948.5199999999995</v>
      </c>
      <c r="AM5" s="37">
        <f t="shared" si="6"/>
        <v>0.69663542857142846</v>
      </c>
      <c r="AN5" s="36">
        <f>[1]MJ!$I5</f>
        <v>2916.6666666666665</v>
      </c>
      <c r="AO5" s="31">
        <f t="shared" ref="AO5:AO54" si="32">AN5-AP5</f>
        <v>2558.208333333333</v>
      </c>
      <c r="AP5" s="31">
        <f t="shared" ref="AP5:AP54" si="33">+AN5*12.29%</f>
        <v>358.45833333333331</v>
      </c>
      <c r="AQ5" s="31">
        <f t="shared" ref="AQ5:AQ54" si="34">+AS5-AR5</f>
        <v>0</v>
      </c>
      <c r="AR5" s="31">
        <f t="shared" ref="AR5:AR54" si="35">+AS5*4.42%</f>
        <v>0</v>
      </c>
      <c r="AS5" s="33"/>
      <c r="AT5" s="37">
        <f t="shared" si="7"/>
        <v>-1</v>
      </c>
      <c r="AU5" s="36">
        <f>[1]MJ!$J5</f>
        <v>2916.6666666666665</v>
      </c>
      <c r="AV5" s="31">
        <f t="shared" ref="AV5:AV54" si="36">AU5-AW5</f>
        <v>2558.208333333333</v>
      </c>
      <c r="AW5" s="31">
        <f t="shared" ref="AW5:AW54" si="37">+AU5*12.29%</f>
        <v>358.45833333333331</v>
      </c>
      <c r="AX5" s="31">
        <f t="shared" ref="AX5:AX54" si="38">+AZ5-AY5</f>
        <v>0</v>
      </c>
      <c r="AY5" s="31">
        <f t="shared" ref="AY5:AY54" si="39">+AZ5*4.42%</f>
        <v>0</v>
      </c>
      <c r="AZ5" s="33"/>
      <c r="BA5" s="37">
        <f t="shared" si="8"/>
        <v>-1</v>
      </c>
      <c r="BB5" s="36">
        <f>[1]MJ!$K5</f>
        <v>2916.6666666666665</v>
      </c>
      <c r="BC5" s="31">
        <f t="shared" ref="BC5:BC54" si="40">BB5-BD5</f>
        <v>2558.208333333333</v>
      </c>
      <c r="BD5" s="31">
        <f t="shared" ref="BD5:BD54" si="41">+BB5*12.29%</f>
        <v>358.45833333333331</v>
      </c>
      <c r="BE5" s="31">
        <f t="shared" ref="BE5:BE54" si="42">+BG5-BF5</f>
        <v>0</v>
      </c>
      <c r="BF5" s="31">
        <f t="shared" ref="BF5:BF54" si="43">+BG5*4.42%</f>
        <v>0</v>
      </c>
      <c r="BG5" s="27"/>
      <c r="BH5" s="37">
        <f t="shared" si="9"/>
        <v>-1</v>
      </c>
      <c r="BI5" s="36">
        <f>[1]MJ!$L5</f>
        <v>2916.6666666666665</v>
      </c>
      <c r="BJ5" s="31">
        <f t="shared" ref="BJ5:BJ54" si="44">BI5-BK5</f>
        <v>2558.208333333333</v>
      </c>
      <c r="BK5" s="31">
        <f t="shared" ref="BK5:BK54" si="45">+BI5*12.29%</f>
        <v>358.45833333333331</v>
      </c>
      <c r="BL5" s="31">
        <f t="shared" ref="BL5:BL54" si="46">+BN5-BM5</f>
        <v>0</v>
      </c>
      <c r="BM5" s="31">
        <f t="shared" ref="BM5:BM54" si="47">+BN5*4.42%</f>
        <v>0</v>
      </c>
      <c r="BN5" s="33"/>
      <c r="BO5" s="37">
        <f t="shared" si="10"/>
        <v>-1</v>
      </c>
      <c r="BP5" s="36">
        <f>[1]MJ!$M5</f>
        <v>2916.6666666666665</v>
      </c>
      <c r="BQ5" s="31">
        <f t="shared" ref="BQ5:BQ54" si="48">BP5-BR5</f>
        <v>2558.208333333333</v>
      </c>
      <c r="BR5" s="31">
        <f t="shared" ref="BR5:BR54" si="49">+BP5*12.29%</f>
        <v>358.45833333333331</v>
      </c>
      <c r="BS5" s="31">
        <f t="shared" ref="BS5:BS54" si="50">+BU5-BT5</f>
        <v>0</v>
      </c>
      <c r="BT5" s="31">
        <f t="shared" ref="BT5:BT54" si="51">+BU5*4.42%</f>
        <v>0</v>
      </c>
      <c r="BU5" s="33"/>
      <c r="BV5" s="37">
        <f t="shared" si="11"/>
        <v>-1</v>
      </c>
      <c r="BW5" s="36">
        <f>[1]MJ!$N5</f>
        <v>2916.6666666666665</v>
      </c>
      <c r="BX5" s="31">
        <f t="shared" ref="BX5:BX54" si="52">BW5-BY5</f>
        <v>2558.208333333333</v>
      </c>
      <c r="BY5" s="31">
        <f t="shared" ref="BY5:BY54" si="53">+BW5*12.29%</f>
        <v>358.45833333333331</v>
      </c>
      <c r="BZ5" s="31">
        <f t="shared" ref="BZ5:BZ54" si="54">+CB5-CA5</f>
        <v>0</v>
      </c>
      <c r="CA5" s="31">
        <f t="shared" ref="CA5:CA54" si="55">+CB5*4.42%</f>
        <v>0</v>
      </c>
      <c r="CB5" s="33"/>
      <c r="CC5" s="37">
        <f t="shared" si="12"/>
        <v>-1</v>
      </c>
      <c r="CD5" s="36">
        <f>[1]MJ!$O5</f>
        <v>2916.6666666666665</v>
      </c>
      <c r="CE5" s="31">
        <f t="shared" ref="CE5:CE54" si="56">CD5-CF5</f>
        <v>2558.208333333333</v>
      </c>
      <c r="CF5" s="31">
        <f t="shared" ref="CF5:CF54" si="57">+CD5*12.29%</f>
        <v>358.45833333333331</v>
      </c>
      <c r="CG5" s="31">
        <f t="shared" ref="CG5:CG54" si="58">+CI5-CH5</f>
        <v>0</v>
      </c>
      <c r="CH5" s="31">
        <f t="shared" ref="CH5:CH54" si="59">+CI5*4.42%</f>
        <v>0</v>
      </c>
      <c r="CI5" s="33"/>
      <c r="CJ5" s="37">
        <f t="shared" si="13"/>
        <v>-1</v>
      </c>
      <c r="CK5" s="36">
        <f>[1]MJ!$P5</f>
        <v>2916.6666666666665</v>
      </c>
      <c r="CL5" s="31">
        <f t="shared" ref="CL5:CL54" si="60">CK5-CM5</f>
        <v>2558.208333333333</v>
      </c>
      <c r="CM5" s="31">
        <f t="shared" ref="CM5:CM54" si="61">+CK5*12.29%</f>
        <v>358.45833333333331</v>
      </c>
      <c r="CN5" s="31">
        <f t="shared" ref="CN5:CN54" si="62">+CP5-CO5</f>
        <v>0</v>
      </c>
      <c r="CO5" s="31">
        <f t="shared" ref="CO5:CO54" si="63">+CP5*4.42%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94574.431259200035</v>
      </c>
      <c r="C6" s="31">
        <f t="shared" si="0"/>
        <v>82951.233657444347</v>
      </c>
      <c r="D6" s="32">
        <f t="shared" si="0"/>
        <v>11623.197601755683</v>
      </c>
      <c r="E6" s="30">
        <f t="shared" si="15"/>
        <v>30551.536965333336</v>
      </c>
      <c r="F6" s="33">
        <f t="shared" si="15"/>
        <v>26796.753072293868</v>
      </c>
      <c r="G6" s="34">
        <f t="shared" si="15"/>
        <v>3754.7838930394669</v>
      </c>
      <c r="H6" s="31">
        <f t="shared" si="1"/>
        <v>25881.295770000001</v>
      </c>
      <c r="I6" s="33">
        <f t="shared" si="1"/>
        <v>1196.8542299999999</v>
      </c>
      <c r="J6" s="33">
        <f t="shared" si="1"/>
        <v>27078.15</v>
      </c>
      <c r="K6" s="37">
        <f t="shared" si="2"/>
        <v>-0.11368943465183334</v>
      </c>
      <c r="L6" s="36">
        <f>[1]MJ!$E6</f>
        <v>7637.8842413333341</v>
      </c>
      <c r="M6" s="31">
        <f t="shared" si="16"/>
        <v>6699.188268073467</v>
      </c>
      <c r="N6" s="31">
        <f t="shared" si="17"/>
        <v>938.69597325986672</v>
      </c>
      <c r="O6" s="31">
        <f t="shared" si="18"/>
        <v>6669.0084779999997</v>
      </c>
      <c r="P6" s="31">
        <f t="shared" si="19"/>
        <v>308.40152199999994</v>
      </c>
      <c r="Q6" s="33">
        <f>6977.41</f>
        <v>6977.41</v>
      </c>
      <c r="R6" s="37">
        <f t="shared" si="3"/>
        <v>-8.6473455274315159E-2</v>
      </c>
      <c r="S6" s="36">
        <f>[1]MJ!$F6</f>
        <v>7637.8842413333341</v>
      </c>
      <c r="T6" s="31">
        <f t="shared" si="20"/>
        <v>6699.188268073467</v>
      </c>
      <c r="U6" s="31">
        <f t="shared" si="21"/>
        <v>938.69597325986672</v>
      </c>
      <c r="V6" s="31">
        <f t="shared" si="22"/>
        <v>5826.3369660000008</v>
      </c>
      <c r="W6" s="31">
        <f t="shared" si="23"/>
        <v>269.43303400000002</v>
      </c>
      <c r="X6" s="33">
        <v>6095.77</v>
      </c>
      <c r="Y6" s="37">
        <f t="shared" si="4"/>
        <v>-0.20190332723138116</v>
      </c>
      <c r="Z6" s="36">
        <f>[1]MJ!$G6</f>
        <v>7637.8842413333341</v>
      </c>
      <c r="AA6" s="31">
        <f t="shared" si="24"/>
        <v>6699.188268073467</v>
      </c>
      <c r="AB6" s="31">
        <f t="shared" si="25"/>
        <v>938.69597325986672</v>
      </c>
      <c r="AC6" s="31">
        <f t="shared" si="26"/>
        <v>6696.6980039999999</v>
      </c>
      <c r="AD6" s="31">
        <f t="shared" si="27"/>
        <v>309.68199599999997</v>
      </c>
      <c r="AE6" s="33">
        <v>7006.38</v>
      </c>
      <c r="AF6" s="37">
        <f t="shared" si="5"/>
        <v>-8.2680520073330266E-2</v>
      </c>
      <c r="AG6" s="36">
        <f>[1]MJ!$H6</f>
        <v>7637.8842413333341</v>
      </c>
      <c r="AH6" s="31">
        <f t="shared" si="28"/>
        <v>6699.188268073467</v>
      </c>
      <c r="AI6" s="31">
        <f t="shared" si="29"/>
        <v>938.69597325986672</v>
      </c>
      <c r="AJ6" s="31">
        <f t="shared" si="30"/>
        <v>6689.2523220000003</v>
      </c>
      <c r="AK6" s="31">
        <f t="shared" si="31"/>
        <v>309.33767799999998</v>
      </c>
      <c r="AL6" s="27">
        <v>6998.59</v>
      </c>
      <c r="AM6" s="37">
        <f t="shared" si="6"/>
        <v>-8.3700436028306902E-2</v>
      </c>
      <c r="AN6" s="36">
        <f>[1]MJ!$I6</f>
        <v>7637.8842413333341</v>
      </c>
      <c r="AO6" s="31">
        <f t="shared" si="32"/>
        <v>6699.188268073467</v>
      </c>
      <c r="AP6" s="31">
        <f t="shared" si="33"/>
        <v>938.69597325986672</v>
      </c>
      <c r="AQ6" s="31">
        <f t="shared" si="34"/>
        <v>0</v>
      </c>
      <c r="AR6" s="31">
        <f t="shared" si="35"/>
        <v>0</v>
      </c>
      <c r="AS6" s="33"/>
      <c r="AT6" s="37">
        <f t="shared" si="7"/>
        <v>-1</v>
      </c>
      <c r="AU6" s="36">
        <f>[1]MJ!$J6</f>
        <v>7637.8842413333341</v>
      </c>
      <c r="AV6" s="31">
        <f t="shared" si="36"/>
        <v>6699.188268073467</v>
      </c>
      <c r="AW6" s="31">
        <f t="shared" si="37"/>
        <v>938.69597325986672</v>
      </c>
      <c r="AX6" s="31">
        <f t="shared" si="38"/>
        <v>0</v>
      </c>
      <c r="AY6" s="31">
        <f t="shared" si="39"/>
        <v>0</v>
      </c>
      <c r="AZ6" s="33"/>
      <c r="BA6" s="37">
        <f t="shared" si="8"/>
        <v>-1</v>
      </c>
      <c r="BB6" s="36">
        <f>[1]MJ!$K6</f>
        <v>7637.8842413333341</v>
      </c>
      <c r="BC6" s="31">
        <f t="shared" si="40"/>
        <v>6699.188268073467</v>
      </c>
      <c r="BD6" s="31">
        <f t="shared" si="41"/>
        <v>938.69597325986672</v>
      </c>
      <c r="BE6" s="31">
        <f t="shared" si="42"/>
        <v>0</v>
      </c>
      <c r="BF6" s="31">
        <f t="shared" si="43"/>
        <v>0</v>
      </c>
      <c r="BG6" s="27"/>
      <c r="BH6" s="37">
        <f t="shared" si="9"/>
        <v>-1</v>
      </c>
      <c r="BI6" s="36">
        <f>[1]MJ!$L6</f>
        <v>8221.8483139733362</v>
      </c>
      <c r="BJ6" s="31">
        <f t="shared" si="44"/>
        <v>7211.3831561860134</v>
      </c>
      <c r="BK6" s="31">
        <f t="shared" si="45"/>
        <v>1010.4651577873229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[1]MJ!$M6</f>
        <v>8221.8483139733362</v>
      </c>
      <c r="BQ6" s="31">
        <f t="shared" si="48"/>
        <v>7211.3831561860134</v>
      </c>
      <c r="BR6" s="31">
        <f t="shared" si="49"/>
        <v>1010.4651577873229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[1]MJ!$N6</f>
        <v>8221.8483139733362</v>
      </c>
      <c r="BX6" s="31">
        <f t="shared" si="52"/>
        <v>7211.3831561860134</v>
      </c>
      <c r="BY6" s="31">
        <f t="shared" si="53"/>
        <v>1010.4651577873229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[1]MJ!$O6</f>
        <v>8221.8483139733362</v>
      </c>
      <c r="CE6" s="31">
        <f t="shared" si="56"/>
        <v>7211.3831561860134</v>
      </c>
      <c r="CF6" s="31">
        <f t="shared" si="57"/>
        <v>1010.4651577873229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[1]MJ!$P6</f>
        <v>8221.8483139733362</v>
      </c>
      <c r="CL6" s="31">
        <f t="shared" si="60"/>
        <v>7211.3831561860134</v>
      </c>
      <c r="CM6" s="31">
        <f t="shared" si="61"/>
        <v>1010.4651577873229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73376.713908000005</v>
      </c>
      <c r="C7" s="31">
        <f t="shared" si="0"/>
        <v>64358.71576870681</v>
      </c>
      <c r="D7" s="32">
        <f t="shared" si="0"/>
        <v>9017.9981392932023</v>
      </c>
      <c r="E7" s="30">
        <f t="shared" si="15"/>
        <v>23703.778679999999</v>
      </c>
      <c r="F7" s="33">
        <f t="shared" si="15"/>
        <v>20790.584280227999</v>
      </c>
      <c r="G7" s="34">
        <f t="shared" si="15"/>
        <v>2913.194399772</v>
      </c>
      <c r="H7" s="31">
        <f t="shared" si="1"/>
        <v>17485.242714</v>
      </c>
      <c r="I7" s="33">
        <f t="shared" si="1"/>
        <v>808.58728599999995</v>
      </c>
      <c r="J7" s="33">
        <f t="shared" si="1"/>
        <v>18293.830000000002</v>
      </c>
      <c r="K7" s="37">
        <f t="shared" si="2"/>
        <v>-0.22823148802703885</v>
      </c>
      <c r="L7" s="36">
        <f>[1]MJ!$E7</f>
        <v>5925.9446699999999</v>
      </c>
      <c r="M7" s="31">
        <f t="shared" si="16"/>
        <v>5197.6460700569996</v>
      </c>
      <c r="N7" s="31">
        <f t="shared" si="17"/>
        <v>728.298599943</v>
      </c>
      <c r="O7" s="31">
        <f t="shared" si="18"/>
        <v>4480.379406</v>
      </c>
      <c r="P7" s="31">
        <f t="shared" si="19"/>
        <v>207.19059399999998</v>
      </c>
      <c r="Q7" s="33">
        <f>4687.57</f>
        <v>4687.57</v>
      </c>
      <c r="R7" s="37">
        <f t="shared" si="3"/>
        <v>-0.20897506456130988</v>
      </c>
      <c r="S7" s="36">
        <f>[1]MJ!$F7</f>
        <v>5925.9446699999999</v>
      </c>
      <c r="T7" s="31">
        <f t="shared" si="20"/>
        <v>5197.6460700569996</v>
      </c>
      <c r="U7" s="31">
        <f t="shared" si="21"/>
        <v>728.298599943</v>
      </c>
      <c r="V7" s="31">
        <f t="shared" si="22"/>
        <v>4059.6935940000003</v>
      </c>
      <c r="W7" s="31">
        <f t="shared" si="23"/>
        <v>187.73640599999999</v>
      </c>
      <c r="X7" s="33">
        <v>4247.43</v>
      </c>
      <c r="Y7" s="37">
        <f t="shared" si="4"/>
        <v>-0.28324845462993486</v>
      </c>
      <c r="Z7" s="36">
        <f>[1]MJ!$G7</f>
        <v>5925.9446699999999</v>
      </c>
      <c r="AA7" s="31">
        <f t="shared" si="24"/>
        <v>5197.6460700569996</v>
      </c>
      <c r="AB7" s="31">
        <f t="shared" si="25"/>
        <v>728.298599943</v>
      </c>
      <c r="AC7" s="31">
        <f t="shared" si="26"/>
        <v>4525.1012879999998</v>
      </c>
      <c r="AD7" s="31">
        <f t="shared" si="27"/>
        <v>209.25871199999997</v>
      </c>
      <c r="AE7" s="33">
        <v>4734.3599999999997</v>
      </c>
      <c r="AF7" s="37">
        <f t="shared" si="5"/>
        <v>-0.20107927703617934</v>
      </c>
      <c r="AG7" s="36">
        <f>[1]MJ!$H7</f>
        <v>5925.9446699999999</v>
      </c>
      <c r="AH7" s="31">
        <f t="shared" si="28"/>
        <v>5197.6460700569996</v>
      </c>
      <c r="AI7" s="31">
        <f t="shared" si="29"/>
        <v>728.298599943</v>
      </c>
      <c r="AJ7" s="31">
        <f t="shared" si="30"/>
        <v>4420.0684259999998</v>
      </c>
      <c r="AK7" s="31">
        <f t="shared" si="31"/>
        <v>204.40157399999998</v>
      </c>
      <c r="AL7" s="27">
        <v>4624.47</v>
      </c>
      <c r="AM7" s="37">
        <f t="shared" si="6"/>
        <v>-0.21962315588073145</v>
      </c>
      <c r="AN7" s="36">
        <f>[1]MJ!$I7</f>
        <v>5925.9446699999999</v>
      </c>
      <c r="AO7" s="31">
        <f t="shared" si="32"/>
        <v>5197.6460700569996</v>
      </c>
      <c r="AP7" s="31">
        <f t="shared" si="33"/>
        <v>728.298599943</v>
      </c>
      <c r="AQ7" s="31">
        <f t="shared" si="34"/>
        <v>0</v>
      </c>
      <c r="AR7" s="31">
        <f t="shared" si="35"/>
        <v>0</v>
      </c>
      <c r="AS7" s="33"/>
      <c r="AT7" s="37">
        <f t="shared" si="7"/>
        <v>-1</v>
      </c>
      <c r="AU7" s="36">
        <f>[1]MJ!$J7</f>
        <v>5925.9446699999999</v>
      </c>
      <c r="AV7" s="31">
        <f t="shared" si="36"/>
        <v>5197.6460700569996</v>
      </c>
      <c r="AW7" s="31">
        <f t="shared" si="37"/>
        <v>728.298599943</v>
      </c>
      <c r="AX7" s="31">
        <f t="shared" si="38"/>
        <v>0</v>
      </c>
      <c r="AY7" s="31">
        <f t="shared" si="39"/>
        <v>0</v>
      </c>
      <c r="AZ7" s="33"/>
      <c r="BA7" s="37">
        <f t="shared" si="8"/>
        <v>-1</v>
      </c>
      <c r="BB7" s="36">
        <f>[1]MJ!$K7</f>
        <v>5925.9446699999999</v>
      </c>
      <c r="BC7" s="31">
        <f t="shared" si="40"/>
        <v>5197.6460700569996</v>
      </c>
      <c r="BD7" s="31">
        <f t="shared" si="41"/>
        <v>728.298599943</v>
      </c>
      <c r="BE7" s="31">
        <f t="shared" si="42"/>
        <v>0</v>
      </c>
      <c r="BF7" s="31">
        <f t="shared" si="43"/>
        <v>0</v>
      </c>
      <c r="BG7" s="27"/>
      <c r="BH7" s="37">
        <f t="shared" si="9"/>
        <v>-1</v>
      </c>
      <c r="BI7" s="36">
        <f>[1]MJ!$L7</f>
        <v>6379.0202436000009</v>
      </c>
      <c r="BJ7" s="31">
        <f t="shared" si="44"/>
        <v>5595.0386556615613</v>
      </c>
      <c r="BK7" s="31">
        <f t="shared" si="45"/>
        <v>783.98158793844004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[1]MJ!$M7</f>
        <v>6379.0202436000009</v>
      </c>
      <c r="BQ7" s="31">
        <f t="shared" si="48"/>
        <v>5595.0386556615613</v>
      </c>
      <c r="BR7" s="31">
        <f t="shared" si="49"/>
        <v>783.98158793844004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[1]MJ!$N7</f>
        <v>6379.0202436000009</v>
      </c>
      <c r="BX7" s="31">
        <f t="shared" si="52"/>
        <v>5595.0386556615613</v>
      </c>
      <c r="BY7" s="31">
        <f t="shared" si="53"/>
        <v>783.98158793844004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[1]MJ!$O7</f>
        <v>6379.0202436000009</v>
      </c>
      <c r="CE7" s="31">
        <f t="shared" si="56"/>
        <v>5595.0386556615613</v>
      </c>
      <c r="CF7" s="31">
        <f t="shared" si="57"/>
        <v>783.98158793844004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[1]MJ!$P7</f>
        <v>6379.0202436000009</v>
      </c>
      <c r="CL7" s="31">
        <f t="shared" si="60"/>
        <v>5595.0386556615613</v>
      </c>
      <c r="CM7" s="31">
        <f t="shared" si="61"/>
        <v>783.98158793844004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66936.136984200013</v>
      </c>
      <c r="C8" s="31">
        <f t="shared" si="0"/>
        <v>58709.685748841832</v>
      </c>
      <c r="D8" s="32">
        <f t="shared" si="0"/>
        <v>8226.4512353581813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[1]MJ!$E8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[1]MJ!$F8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[1]MJ!$G8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[1]MJ!$H8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27"/>
      <c r="AM8" s="37" t="str">
        <f t="shared" si="6"/>
        <v/>
      </c>
      <c r="AN8" s="36">
        <f>[1]MJ!$I8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7"/>
        <v/>
      </c>
      <c r="AU8" s="36">
        <f>[1]MJ!$J8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33"/>
      <c r="BA8" s="37" t="str">
        <f t="shared" si="8"/>
        <v/>
      </c>
      <c r="BB8" s="36">
        <f>[1]MJ!$K8</f>
        <v>66936.136984200013</v>
      </c>
      <c r="BC8" s="31">
        <f t="shared" si="40"/>
        <v>58709.685748841832</v>
      </c>
      <c r="BD8" s="31">
        <f t="shared" si="41"/>
        <v>8226.4512353581813</v>
      </c>
      <c r="BE8" s="31">
        <f t="shared" si="42"/>
        <v>0</v>
      </c>
      <c r="BF8" s="31">
        <f t="shared" si="43"/>
        <v>0</v>
      </c>
      <c r="BG8" s="27"/>
      <c r="BH8" s="37">
        <f t="shared" si="9"/>
        <v>-1</v>
      </c>
      <c r="BI8" s="36">
        <f>[1]MJ!$L8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[1]MJ!$M8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[1]MJ!$N8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[1]MJ!$O8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[1]MJ!$P8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76474.84182856002</v>
      </c>
      <c r="C9" s="31">
        <f t="shared" si="0"/>
        <v>67076.083767829987</v>
      </c>
      <c r="D9" s="32">
        <f t="shared" si="0"/>
        <v>9398.758060730026</v>
      </c>
      <c r="E9" s="30">
        <f t="shared" si="15"/>
        <v>24704.604890933337</v>
      </c>
      <c r="F9" s="33">
        <f t="shared" si="15"/>
        <v>21668.408949837631</v>
      </c>
      <c r="G9" s="34">
        <f t="shared" si="15"/>
        <v>3036.195941095707</v>
      </c>
      <c r="H9" s="31">
        <f t="shared" si="1"/>
        <v>43110.078227999998</v>
      </c>
      <c r="I9" s="33">
        <f t="shared" si="1"/>
        <v>1993.5817719999995</v>
      </c>
      <c r="J9" s="33">
        <f t="shared" si="1"/>
        <v>45103.659999999996</v>
      </c>
      <c r="K9" s="37">
        <f t="shared" si="2"/>
        <v>0.82571873539872609</v>
      </c>
      <c r="L9" s="36">
        <f>[1]MJ!$E9</f>
        <v>6176.1512227333342</v>
      </c>
      <c r="M9" s="31">
        <f t="shared" si="16"/>
        <v>5417.1022374594077</v>
      </c>
      <c r="N9" s="31">
        <f t="shared" si="17"/>
        <v>759.04898527392675</v>
      </c>
      <c r="O9" s="31">
        <f t="shared" si="18"/>
        <v>13050.693917999999</v>
      </c>
      <c r="P9" s="31">
        <f t="shared" si="19"/>
        <v>603.51608199999987</v>
      </c>
      <c r="Q9" s="33">
        <v>13654.21</v>
      </c>
      <c r="R9" s="37">
        <f t="shared" si="3"/>
        <v>1.210795932220901</v>
      </c>
      <c r="S9" s="36">
        <f>[1]MJ!$F9</f>
        <v>6176.1512227333342</v>
      </c>
      <c r="T9" s="31">
        <f t="shared" si="20"/>
        <v>5417.1022374594077</v>
      </c>
      <c r="U9" s="31">
        <f t="shared" si="21"/>
        <v>759.04898527392675</v>
      </c>
      <c r="V9" s="31">
        <f t="shared" si="22"/>
        <v>20612.916612000001</v>
      </c>
      <c r="W9" s="31">
        <f t="shared" si="23"/>
        <v>953.22338799999989</v>
      </c>
      <c r="X9" s="33">
        <v>21566.14</v>
      </c>
      <c r="Y9" s="37">
        <f t="shared" si="4"/>
        <v>2.491841313829688</v>
      </c>
      <c r="Z9" s="36">
        <f>[1]MJ!$G9</f>
        <v>6176.1512227333342</v>
      </c>
      <c r="AA9" s="31">
        <f t="shared" si="24"/>
        <v>5417.1022374594077</v>
      </c>
      <c r="AB9" s="31">
        <f t="shared" si="25"/>
        <v>759.04898527392675</v>
      </c>
      <c r="AC9" s="31">
        <f t="shared" si="26"/>
        <v>1895.647698</v>
      </c>
      <c r="AD9" s="31">
        <f t="shared" si="27"/>
        <v>87.662301999999997</v>
      </c>
      <c r="AE9" s="33">
        <f>1983.31</f>
        <v>1983.31</v>
      </c>
      <c r="AF9" s="37">
        <f t="shared" si="5"/>
        <v>-0.67887606237687603</v>
      </c>
      <c r="AG9" s="36">
        <f>[1]MJ!$H9</f>
        <v>6176.1512227333342</v>
      </c>
      <c r="AH9" s="31">
        <f t="shared" si="28"/>
        <v>5417.1022374594077</v>
      </c>
      <c r="AI9" s="31">
        <f t="shared" si="29"/>
        <v>759.04898527392675</v>
      </c>
      <c r="AJ9" s="31">
        <f t="shared" si="30"/>
        <v>7550.82</v>
      </c>
      <c r="AK9" s="31">
        <f t="shared" si="31"/>
        <v>349.17999999999995</v>
      </c>
      <c r="AL9" s="27">
        <v>7900</v>
      </c>
      <c r="AM9" s="37">
        <f t="shared" si="6"/>
        <v>0.27911375792119197</v>
      </c>
      <c r="AN9" s="36">
        <f>[1]MJ!$I9</f>
        <v>6176.1512227333342</v>
      </c>
      <c r="AO9" s="31">
        <f t="shared" si="32"/>
        <v>5417.1022374594077</v>
      </c>
      <c r="AP9" s="31">
        <f t="shared" si="33"/>
        <v>759.04898527392675</v>
      </c>
      <c r="AQ9" s="31">
        <f t="shared" si="34"/>
        <v>0</v>
      </c>
      <c r="AR9" s="31">
        <f t="shared" si="35"/>
        <v>0</v>
      </c>
      <c r="AS9" s="33"/>
      <c r="AT9" s="37">
        <f t="shared" si="7"/>
        <v>-1</v>
      </c>
      <c r="AU9" s="36">
        <f>[1]MJ!$J9</f>
        <v>6176.1512227333342</v>
      </c>
      <c r="AV9" s="31">
        <f t="shared" si="36"/>
        <v>5417.1022374594077</v>
      </c>
      <c r="AW9" s="31">
        <f t="shared" si="37"/>
        <v>759.04898527392675</v>
      </c>
      <c r="AX9" s="31">
        <f t="shared" si="38"/>
        <v>0</v>
      </c>
      <c r="AY9" s="31">
        <f t="shared" si="39"/>
        <v>0</v>
      </c>
      <c r="AZ9" s="33"/>
      <c r="BA9" s="37">
        <f t="shared" si="8"/>
        <v>-1</v>
      </c>
      <c r="BB9" s="36">
        <f>[1]MJ!$K9</f>
        <v>6176.1512227333342</v>
      </c>
      <c r="BC9" s="31">
        <f t="shared" si="40"/>
        <v>5417.1022374594077</v>
      </c>
      <c r="BD9" s="31">
        <f t="shared" si="41"/>
        <v>759.04898527392675</v>
      </c>
      <c r="BE9" s="31">
        <f t="shared" si="42"/>
        <v>0</v>
      </c>
      <c r="BF9" s="31">
        <f t="shared" si="43"/>
        <v>0</v>
      </c>
      <c r="BG9" s="27"/>
      <c r="BH9" s="37">
        <f t="shared" si="9"/>
        <v>-1</v>
      </c>
      <c r="BI9" s="36">
        <f>[1]MJ!$L9</f>
        <v>6648.3566538853347</v>
      </c>
      <c r="BJ9" s="31">
        <f t="shared" si="44"/>
        <v>5831.2736211228275</v>
      </c>
      <c r="BK9" s="31">
        <f t="shared" si="45"/>
        <v>817.08303276250763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[1]MJ!$M9</f>
        <v>6648.3566538853347</v>
      </c>
      <c r="BQ9" s="31">
        <f t="shared" si="48"/>
        <v>5831.2736211228275</v>
      </c>
      <c r="BR9" s="31">
        <f t="shared" si="49"/>
        <v>817.08303276250763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[1]MJ!$N9</f>
        <v>6648.3566538853347</v>
      </c>
      <c r="BX9" s="31">
        <f t="shared" si="52"/>
        <v>5831.2736211228275</v>
      </c>
      <c r="BY9" s="31">
        <f t="shared" si="53"/>
        <v>817.08303276250763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[1]MJ!$O9</f>
        <v>6648.3566538853347</v>
      </c>
      <c r="CE9" s="31">
        <f t="shared" si="56"/>
        <v>5831.2736211228275</v>
      </c>
      <c r="CF9" s="31">
        <f t="shared" si="57"/>
        <v>817.08303276250763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[1]MJ!$P9</f>
        <v>6648.3566538853347</v>
      </c>
      <c r="CL9" s="31">
        <f t="shared" si="60"/>
        <v>5831.2736211228275</v>
      </c>
      <c r="CM9" s="31">
        <f t="shared" si="61"/>
        <v>817.08303276250763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48000</v>
      </c>
      <c r="C10" s="31">
        <f t="shared" si="0"/>
        <v>42100.80000000001</v>
      </c>
      <c r="D10" s="32">
        <f t="shared" si="0"/>
        <v>5899.2000000000007</v>
      </c>
      <c r="E10" s="30">
        <f t="shared" si="15"/>
        <v>16000</v>
      </c>
      <c r="F10" s="33">
        <f t="shared" si="15"/>
        <v>14033.6</v>
      </c>
      <c r="G10" s="34">
        <f t="shared" si="15"/>
        <v>1966.3999999999999</v>
      </c>
      <c r="H10" s="31">
        <f t="shared" si="1"/>
        <v>14196.095964</v>
      </c>
      <c r="I10" s="33">
        <f t="shared" si="1"/>
        <v>656.48403599999995</v>
      </c>
      <c r="J10" s="33">
        <f t="shared" si="1"/>
        <v>14852.58</v>
      </c>
      <c r="K10" s="37">
        <f t="shared" si="2"/>
        <v>-7.1713750000000021E-2</v>
      </c>
      <c r="L10" s="36">
        <f>[1]MJ!$E10</f>
        <v>4000</v>
      </c>
      <c r="M10" s="31">
        <f t="shared" si="16"/>
        <v>3508.4</v>
      </c>
      <c r="N10" s="31">
        <f t="shared" si="17"/>
        <v>491.59999999999997</v>
      </c>
      <c r="O10" s="31">
        <f t="shared" si="18"/>
        <v>4378.7109599999994</v>
      </c>
      <c r="P10" s="31">
        <f t="shared" si="19"/>
        <v>202.48903999999999</v>
      </c>
      <c r="Q10" s="33">
        <f>3050+1531.2</f>
        <v>4581.2</v>
      </c>
      <c r="R10" s="37">
        <f t="shared" si="3"/>
        <v>0.14529999999999998</v>
      </c>
      <c r="S10" s="36">
        <f>[1]MJ!$F10</f>
        <v>4000</v>
      </c>
      <c r="T10" s="31">
        <f t="shared" si="20"/>
        <v>3508.4</v>
      </c>
      <c r="U10" s="31">
        <f t="shared" si="21"/>
        <v>491.59999999999997</v>
      </c>
      <c r="V10" s="31">
        <f t="shared" si="22"/>
        <v>868.70750399999997</v>
      </c>
      <c r="W10" s="31">
        <f t="shared" si="23"/>
        <v>40.172495999999995</v>
      </c>
      <c r="X10" s="33">
        <f>908.88</f>
        <v>908.88</v>
      </c>
      <c r="Y10" s="37">
        <f t="shared" si="4"/>
        <v>-0.77278000000000002</v>
      </c>
      <c r="Z10" s="36">
        <f>[1]MJ!$G10</f>
        <v>4000</v>
      </c>
      <c r="AA10" s="31">
        <f t="shared" si="24"/>
        <v>3508.4</v>
      </c>
      <c r="AB10" s="31">
        <f t="shared" si="25"/>
        <v>491.59999999999997</v>
      </c>
      <c r="AC10" s="31">
        <f t="shared" si="26"/>
        <v>4249.7257499999996</v>
      </c>
      <c r="AD10" s="31">
        <f t="shared" si="27"/>
        <v>196.52424999999999</v>
      </c>
      <c r="AE10" s="33">
        <f>3290+1156.25</f>
        <v>4446.25</v>
      </c>
      <c r="AF10" s="37">
        <f t="shared" si="5"/>
        <v>0.11156250000000001</v>
      </c>
      <c r="AG10" s="36">
        <f>[1]MJ!$H10</f>
        <v>4000</v>
      </c>
      <c r="AH10" s="31">
        <f t="shared" si="28"/>
        <v>3508.4</v>
      </c>
      <c r="AI10" s="31">
        <f t="shared" si="29"/>
        <v>491.59999999999997</v>
      </c>
      <c r="AJ10" s="31">
        <f t="shared" si="30"/>
        <v>4698.9517500000002</v>
      </c>
      <c r="AK10" s="31">
        <f t="shared" si="31"/>
        <v>217.29824999999997</v>
      </c>
      <c r="AL10" s="33">
        <f>3210+1706.25</f>
        <v>4916.25</v>
      </c>
      <c r="AM10" s="37">
        <f t="shared" si="6"/>
        <v>0.22906249999999995</v>
      </c>
      <c r="AN10" s="36">
        <f>[1]MJ!$I10</f>
        <v>4000</v>
      </c>
      <c r="AO10" s="31">
        <f t="shared" si="32"/>
        <v>3508.4</v>
      </c>
      <c r="AP10" s="31">
        <f t="shared" si="33"/>
        <v>491.59999999999997</v>
      </c>
      <c r="AQ10" s="31">
        <f t="shared" si="34"/>
        <v>0</v>
      </c>
      <c r="AR10" s="31">
        <f t="shared" si="35"/>
        <v>0</v>
      </c>
      <c r="AS10" s="33"/>
      <c r="AT10" s="37">
        <f t="shared" si="7"/>
        <v>-1</v>
      </c>
      <c r="AU10" s="36">
        <f>[1]MJ!$J10</f>
        <v>4000</v>
      </c>
      <c r="AV10" s="31">
        <f t="shared" si="36"/>
        <v>3508.4</v>
      </c>
      <c r="AW10" s="31">
        <f t="shared" si="37"/>
        <v>491.59999999999997</v>
      </c>
      <c r="AX10" s="31">
        <f t="shared" si="38"/>
        <v>0</v>
      </c>
      <c r="AY10" s="31">
        <f t="shared" si="39"/>
        <v>0</v>
      </c>
      <c r="AZ10" s="33"/>
      <c r="BA10" s="37">
        <f t="shared" si="8"/>
        <v>-1</v>
      </c>
      <c r="BB10" s="36">
        <f>[1]MJ!$K10</f>
        <v>4000</v>
      </c>
      <c r="BC10" s="31">
        <f t="shared" si="40"/>
        <v>3508.4</v>
      </c>
      <c r="BD10" s="31">
        <f t="shared" si="41"/>
        <v>491.59999999999997</v>
      </c>
      <c r="BE10" s="31">
        <f t="shared" si="42"/>
        <v>0</v>
      </c>
      <c r="BF10" s="31">
        <f t="shared" si="43"/>
        <v>0</v>
      </c>
      <c r="BG10" s="27"/>
      <c r="BH10" s="37">
        <f t="shared" si="9"/>
        <v>-1</v>
      </c>
      <c r="BI10" s="36">
        <f>[1]MJ!$L10</f>
        <v>4000</v>
      </c>
      <c r="BJ10" s="31">
        <f t="shared" si="44"/>
        <v>3508.4</v>
      </c>
      <c r="BK10" s="31">
        <f t="shared" si="45"/>
        <v>491.59999999999997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[1]MJ!$M10</f>
        <v>4000</v>
      </c>
      <c r="BQ10" s="31">
        <f t="shared" si="48"/>
        <v>3508.4</v>
      </c>
      <c r="BR10" s="31">
        <f t="shared" si="49"/>
        <v>491.59999999999997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[1]MJ!$N10</f>
        <v>4000</v>
      </c>
      <c r="BX10" s="31">
        <f t="shared" si="52"/>
        <v>3508.4</v>
      </c>
      <c r="BY10" s="31">
        <f t="shared" si="53"/>
        <v>491.59999999999997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[1]MJ!$O10</f>
        <v>4000</v>
      </c>
      <c r="CE10" s="31">
        <f t="shared" si="56"/>
        <v>3508.4</v>
      </c>
      <c r="CF10" s="31">
        <f t="shared" si="57"/>
        <v>491.59999999999997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[1]MJ!$P10</f>
        <v>4000</v>
      </c>
      <c r="CL10" s="31">
        <f t="shared" si="60"/>
        <v>3508.4</v>
      </c>
      <c r="CM10" s="31">
        <f t="shared" si="61"/>
        <v>491.59999999999997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2"/>
        <v/>
      </c>
      <c r="L11" s="36">
        <f>[1]MJ!$E11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[1]MJ!$F11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4"/>
        <v/>
      </c>
      <c r="Z11" s="36">
        <f>[1]MJ!$G11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33"/>
      <c r="AF11" s="37" t="str">
        <f t="shared" si="5"/>
        <v/>
      </c>
      <c r="AG11" s="36">
        <f>[1]MJ!$H11</f>
        <v>0</v>
      </c>
      <c r="AH11" s="31">
        <f t="shared" si="28"/>
        <v>0</v>
      </c>
      <c r="AI11" s="31">
        <f t="shared" si="29"/>
        <v>0</v>
      </c>
      <c r="AJ11" s="31">
        <f t="shared" si="30"/>
        <v>0</v>
      </c>
      <c r="AK11" s="31">
        <f t="shared" si="31"/>
        <v>0</v>
      </c>
      <c r="AL11" s="33"/>
      <c r="AM11" s="37" t="str">
        <f t="shared" si="6"/>
        <v/>
      </c>
      <c r="AN11" s="36">
        <f>[1]MJ!$I11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7"/>
        <v/>
      </c>
      <c r="AU11" s="36">
        <f>[1]MJ!$J11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33"/>
      <c r="BA11" s="37" t="str">
        <f t="shared" si="8"/>
        <v/>
      </c>
      <c r="BB11" s="36">
        <f>[1]MJ!$K11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27"/>
      <c r="BH11" s="37" t="str">
        <f t="shared" si="9"/>
        <v/>
      </c>
      <c r="BI11" s="36">
        <f>[1]MJ!$L11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[1]MJ!$M11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[1]MJ!$N11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[1]MJ!$O11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[1]MJ!$P11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11548.740239999999</v>
      </c>
      <c r="I12" s="33">
        <f t="shared" si="1"/>
        <v>534.05975999999987</v>
      </c>
      <c r="J12" s="33">
        <f t="shared" si="1"/>
        <v>12082.8</v>
      </c>
      <c r="K12" s="37">
        <f t="shared" si="2"/>
        <v>-2.7149758454106387E-2</v>
      </c>
      <c r="L12" s="36">
        <f>[1]MJ!$E12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2766.94542</v>
      </c>
      <c r="P12" s="31">
        <f t="shared" si="19"/>
        <v>127.95457999999999</v>
      </c>
      <c r="Q12" s="33">
        <f>2894.9</f>
        <v>2894.9</v>
      </c>
      <c r="R12" s="37">
        <f t="shared" si="3"/>
        <v>-6.766505636070852E-2</v>
      </c>
      <c r="S12" s="36">
        <f>[1]MJ!$F12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92.234700000000004</v>
      </c>
      <c r="W12" s="31">
        <f t="shared" si="23"/>
        <v>4.2652999999999999</v>
      </c>
      <c r="X12" s="33">
        <f>96.5</f>
        <v>96.5</v>
      </c>
      <c r="Y12" s="37">
        <f t="shared" si="4"/>
        <v>-0.96892109500805157</v>
      </c>
      <c r="Z12" s="36">
        <f>[1]MJ!$G12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5723.9516699999995</v>
      </c>
      <c r="AD12" s="31">
        <f t="shared" si="27"/>
        <v>264.69832999999994</v>
      </c>
      <c r="AE12" s="33">
        <v>5988.65</v>
      </c>
      <c r="AF12" s="37">
        <f t="shared" si="5"/>
        <v>0.92871175523349425</v>
      </c>
      <c r="AG12" s="36">
        <f>[1]MJ!$H12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2965.6084500000002</v>
      </c>
      <c r="AK12" s="31">
        <f t="shared" si="31"/>
        <v>137.14155</v>
      </c>
      <c r="AL12" s="33">
        <f>3102.75</f>
        <v>3102.75</v>
      </c>
      <c r="AM12" s="37">
        <f t="shared" si="6"/>
        <v>-7.246376811593791E-4</v>
      </c>
      <c r="AN12" s="36">
        <f>[1]MJ!$I12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[1]MJ!$J12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33"/>
      <c r="BA12" s="37">
        <f t="shared" si="8"/>
        <v>-1</v>
      </c>
      <c r="BB12" s="36">
        <f>[1]MJ!$K12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27"/>
      <c r="BH12" s="37">
        <f t="shared" si="9"/>
        <v>-1</v>
      </c>
      <c r="BI12" s="36">
        <f>[1]MJ!$L12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[1]MJ!$M12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[1]MJ!$N12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[1]MJ!$O12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[1]MJ!$P12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0</v>
      </c>
      <c r="C13" s="31">
        <f t="shared" si="0"/>
        <v>0</v>
      </c>
      <c r="D13" s="32">
        <f t="shared" si="0"/>
        <v>0</v>
      </c>
      <c r="E13" s="30">
        <f t="shared" si="15"/>
        <v>0</v>
      </c>
      <c r="F13" s="33">
        <f t="shared" si="15"/>
        <v>0</v>
      </c>
      <c r="G13" s="34">
        <f t="shared" si="15"/>
        <v>0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 t="str">
        <f t="shared" si="2"/>
        <v/>
      </c>
      <c r="L13" s="36">
        <f>[1]MJ!$E13</f>
        <v>0</v>
      </c>
      <c r="M13" s="31">
        <f t="shared" si="16"/>
        <v>0</v>
      </c>
      <c r="N13" s="31">
        <f t="shared" si="17"/>
        <v>0</v>
      </c>
      <c r="O13" s="31">
        <f t="shared" si="18"/>
        <v>0</v>
      </c>
      <c r="P13" s="31">
        <f t="shared" si="19"/>
        <v>0</v>
      </c>
      <c r="Q13" s="33"/>
      <c r="R13" s="37" t="str">
        <f t="shared" si="3"/>
        <v/>
      </c>
      <c r="S13" s="36">
        <f>[1]MJ!$F13</f>
        <v>0</v>
      </c>
      <c r="T13" s="31">
        <f t="shared" si="20"/>
        <v>0</v>
      </c>
      <c r="U13" s="31">
        <f t="shared" si="21"/>
        <v>0</v>
      </c>
      <c r="V13" s="31">
        <f t="shared" si="22"/>
        <v>0</v>
      </c>
      <c r="W13" s="31">
        <f t="shared" si="23"/>
        <v>0</v>
      </c>
      <c r="X13" s="33"/>
      <c r="Y13" s="37" t="str">
        <f t="shared" si="4"/>
        <v/>
      </c>
      <c r="Z13" s="36">
        <f>[1]MJ!$G13</f>
        <v>0</v>
      </c>
      <c r="AA13" s="31">
        <f t="shared" si="24"/>
        <v>0</v>
      </c>
      <c r="AB13" s="31">
        <f t="shared" si="25"/>
        <v>0</v>
      </c>
      <c r="AC13" s="31">
        <f t="shared" si="26"/>
        <v>0</v>
      </c>
      <c r="AD13" s="31">
        <f t="shared" si="27"/>
        <v>0</v>
      </c>
      <c r="AE13" s="33"/>
      <c r="AF13" s="37" t="str">
        <f t="shared" si="5"/>
        <v/>
      </c>
      <c r="AG13" s="36">
        <f>[1]MJ!$H13</f>
        <v>0</v>
      </c>
      <c r="AH13" s="31">
        <f t="shared" si="28"/>
        <v>0</v>
      </c>
      <c r="AI13" s="31">
        <f t="shared" si="29"/>
        <v>0</v>
      </c>
      <c r="AJ13" s="31">
        <f t="shared" si="30"/>
        <v>0</v>
      </c>
      <c r="AK13" s="31">
        <f t="shared" si="31"/>
        <v>0</v>
      </c>
      <c r="AL13" s="27"/>
      <c r="AM13" s="37" t="str">
        <f t="shared" si="6"/>
        <v/>
      </c>
      <c r="AN13" s="36">
        <f>[1]MJ!$I13</f>
        <v>0</v>
      </c>
      <c r="AO13" s="31">
        <f t="shared" si="32"/>
        <v>0</v>
      </c>
      <c r="AP13" s="31">
        <f t="shared" si="33"/>
        <v>0</v>
      </c>
      <c r="AQ13" s="31">
        <f t="shared" si="34"/>
        <v>0</v>
      </c>
      <c r="AR13" s="31">
        <f t="shared" si="35"/>
        <v>0</v>
      </c>
      <c r="AS13" s="33"/>
      <c r="AT13" s="37" t="str">
        <f t="shared" si="7"/>
        <v/>
      </c>
      <c r="AU13" s="36">
        <f>[1]MJ!$J13</f>
        <v>0</v>
      </c>
      <c r="AV13" s="31">
        <f t="shared" si="36"/>
        <v>0</v>
      </c>
      <c r="AW13" s="31">
        <f t="shared" si="37"/>
        <v>0</v>
      </c>
      <c r="AX13" s="31">
        <f t="shared" si="38"/>
        <v>0</v>
      </c>
      <c r="AY13" s="31">
        <f t="shared" si="39"/>
        <v>0</v>
      </c>
      <c r="AZ13" s="33"/>
      <c r="BA13" s="37" t="str">
        <f t="shared" si="8"/>
        <v/>
      </c>
      <c r="BB13" s="36">
        <f>[1]MJ!$K13</f>
        <v>0</v>
      </c>
      <c r="BC13" s="31">
        <f t="shared" si="40"/>
        <v>0</v>
      </c>
      <c r="BD13" s="31">
        <f t="shared" si="41"/>
        <v>0</v>
      </c>
      <c r="BE13" s="31">
        <f t="shared" si="42"/>
        <v>0</v>
      </c>
      <c r="BF13" s="31">
        <f t="shared" si="43"/>
        <v>0</v>
      </c>
      <c r="BG13" s="27"/>
      <c r="BH13" s="37" t="str">
        <f t="shared" si="9"/>
        <v/>
      </c>
      <c r="BI13" s="36">
        <f>[1]MJ!$L13</f>
        <v>0</v>
      </c>
      <c r="BJ13" s="31">
        <f t="shared" si="44"/>
        <v>0</v>
      </c>
      <c r="BK13" s="31">
        <f t="shared" si="45"/>
        <v>0</v>
      </c>
      <c r="BL13" s="31">
        <f t="shared" si="46"/>
        <v>0</v>
      </c>
      <c r="BM13" s="31">
        <f t="shared" si="47"/>
        <v>0</v>
      </c>
      <c r="BN13" s="33"/>
      <c r="BO13" s="37" t="str">
        <f t="shared" si="10"/>
        <v/>
      </c>
      <c r="BP13" s="36">
        <f>[1]MJ!$M13</f>
        <v>0</v>
      </c>
      <c r="BQ13" s="31">
        <f t="shared" si="48"/>
        <v>0</v>
      </c>
      <c r="BR13" s="31">
        <f t="shared" si="49"/>
        <v>0</v>
      </c>
      <c r="BS13" s="31">
        <f t="shared" si="50"/>
        <v>0</v>
      </c>
      <c r="BT13" s="31">
        <f t="shared" si="51"/>
        <v>0</v>
      </c>
      <c r="BU13" s="33"/>
      <c r="BV13" s="37" t="str">
        <f t="shared" si="11"/>
        <v/>
      </c>
      <c r="BW13" s="36">
        <f>[1]MJ!$N13</f>
        <v>0</v>
      </c>
      <c r="BX13" s="31">
        <f t="shared" si="52"/>
        <v>0</v>
      </c>
      <c r="BY13" s="31">
        <f t="shared" si="53"/>
        <v>0</v>
      </c>
      <c r="BZ13" s="31">
        <f t="shared" si="54"/>
        <v>0</v>
      </c>
      <c r="CA13" s="31">
        <f t="shared" si="55"/>
        <v>0</v>
      </c>
      <c r="CB13" s="33"/>
      <c r="CC13" s="37" t="str">
        <f t="shared" si="12"/>
        <v/>
      </c>
      <c r="CD13" s="36">
        <f>[1]MJ!$O13</f>
        <v>0</v>
      </c>
      <c r="CE13" s="31">
        <f t="shared" si="56"/>
        <v>0</v>
      </c>
      <c r="CF13" s="31">
        <f t="shared" si="57"/>
        <v>0</v>
      </c>
      <c r="CG13" s="31">
        <f t="shared" si="58"/>
        <v>0</v>
      </c>
      <c r="CH13" s="31">
        <f t="shared" si="59"/>
        <v>0</v>
      </c>
      <c r="CI13" s="33"/>
      <c r="CJ13" s="37" t="str">
        <f t="shared" si="13"/>
        <v/>
      </c>
      <c r="CK13" s="36">
        <f>[1]MJ!$P13</f>
        <v>0</v>
      </c>
      <c r="CL13" s="31">
        <f t="shared" si="60"/>
        <v>0</v>
      </c>
      <c r="CM13" s="31">
        <f t="shared" si="61"/>
        <v>0</v>
      </c>
      <c r="CN13" s="31">
        <f t="shared" si="62"/>
        <v>0</v>
      </c>
      <c r="CO13" s="31">
        <f t="shared" si="63"/>
        <v>0</v>
      </c>
      <c r="CP13" s="33"/>
      <c r="CQ13" s="37" t="str">
        <f t="shared" si="14"/>
        <v/>
      </c>
    </row>
    <row r="14" spans="1:99" s="26" customFormat="1" ht="16" customHeight="1" x14ac:dyDescent="0.2">
      <c r="A14" s="39" t="s">
        <v>38</v>
      </c>
      <c r="B14" s="30">
        <f t="shared" si="0"/>
        <v>27000</v>
      </c>
      <c r="C14" s="31">
        <f t="shared" si="0"/>
        <v>23681.699999999997</v>
      </c>
      <c r="D14" s="32">
        <f t="shared" si="0"/>
        <v>3318.3000000000006</v>
      </c>
      <c r="E14" s="30">
        <f t="shared" si="15"/>
        <v>9000</v>
      </c>
      <c r="F14" s="33">
        <f t="shared" si="15"/>
        <v>7893.9</v>
      </c>
      <c r="G14" s="34">
        <f t="shared" si="15"/>
        <v>1106.0999999999999</v>
      </c>
      <c r="H14" s="31">
        <f t="shared" si="1"/>
        <v>12969.632519999999</v>
      </c>
      <c r="I14" s="33">
        <f t="shared" si="1"/>
        <v>599.76747999999998</v>
      </c>
      <c r="J14" s="33">
        <f t="shared" si="1"/>
        <v>13569.4</v>
      </c>
      <c r="K14" s="37">
        <f t="shared" si="2"/>
        <v>0.507711111111111</v>
      </c>
      <c r="L14" s="36">
        <f>[1]MJ!$E14</f>
        <v>2250</v>
      </c>
      <c r="M14" s="31">
        <f t="shared" si="16"/>
        <v>1973.4749999999999</v>
      </c>
      <c r="N14" s="31">
        <f t="shared" si="17"/>
        <v>276.52499999999998</v>
      </c>
      <c r="O14" s="31">
        <f t="shared" si="18"/>
        <v>1842.3045</v>
      </c>
      <c r="P14" s="31">
        <f t="shared" si="19"/>
        <v>85.195499999999996</v>
      </c>
      <c r="Q14" s="33">
        <f>1927.5</f>
        <v>1927.5</v>
      </c>
      <c r="R14" s="37">
        <f t="shared" si="3"/>
        <v>-0.14333333333333331</v>
      </c>
      <c r="S14" s="36">
        <f>[1]MJ!$F14</f>
        <v>2250</v>
      </c>
      <c r="T14" s="31">
        <f t="shared" si="20"/>
        <v>1973.4749999999999</v>
      </c>
      <c r="U14" s="31">
        <f t="shared" si="21"/>
        <v>276.52499999999998</v>
      </c>
      <c r="V14" s="31">
        <f t="shared" si="22"/>
        <v>6793.4249639999998</v>
      </c>
      <c r="W14" s="31">
        <f t="shared" si="23"/>
        <v>314.155036</v>
      </c>
      <c r="X14" s="33">
        <f>7107.58</f>
        <v>7107.58</v>
      </c>
      <c r="Y14" s="37">
        <f t="shared" si="4"/>
        <v>2.1589244444444442</v>
      </c>
      <c r="Z14" s="36">
        <f>[1]MJ!$G14</f>
        <v>2250</v>
      </c>
      <c r="AA14" s="31">
        <f t="shared" si="24"/>
        <v>1973.4749999999999</v>
      </c>
      <c r="AB14" s="31">
        <f t="shared" si="25"/>
        <v>276.52499999999998</v>
      </c>
      <c r="AC14" s="31">
        <f t="shared" si="26"/>
        <v>2046.0428279999999</v>
      </c>
      <c r="AD14" s="31">
        <f t="shared" si="27"/>
        <v>94.617171999999982</v>
      </c>
      <c r="AE14" s="33">
        <f>2140.66</f>
        <v>2140.66</v>
      </c>
      <c r="AF14" s="37">
        <f t="shared" si="5"/>
        <v>-4.8595555555555614E-2</v>
      </c>
      <c r="AG14" s="36">
        <f>[1]MJ!$H14</f>
        <v>2250</v>
      </c>
      <c r="AH14" s="31">
        <f t="shared" si="28"/>
        <v>1973.4749999999999</v>
      </c>
      <c r="AI14" s="31">
        <f t="shared" si="29"/>
        <v>276.52499999999998</v>
      </c>
      <c r="AJ14" s="31">
        <f t="shared" si="30"/>
        <v>2287.860228</v>
      </c>
      <c r="AK14" s="31">
        <f t="shared" si="31"/>
        <v>105.79977199999999</v>
      </c>
      <c r="AL14" s="33">
        <f>2393.66</f>
        <v>2393.66</v>
      </c>
      <c r="AM14" s="37">
        <f t="shared" si="6"/>
        <v>6.3848888888888844E-2</v>
      </c>
      <c r="AN14" s="36">
        <f>[1]MJ!$I14</f>
        <v>2250</v>
      </c>
      <c r="AO14" s="31">
        <f t="shared" si="32"/>
        <v>1973.4749999999999</v>
      </c>
      <c r="AP14" s="31">
        <f t="shared" si="33"/>
        <v>276.52499999999998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[1]MJ!$J14</f>
        <v>2250</v>
      </c>
      <c r="AV14" s="31">
        <f t="shared" si="36"/>
        <v>1973.4749999999999</v>
      </c>
      <c r="AW14" s="31">
        <f t="shared" si="37"/>
        <v>276.52499999999998</v>
      </c>
      <c r="AX14" s="31">
        <f t="shared" si="38"/>
        <v>0</v>
      </c>
      <c r="AY14" s="31">
        <f t="shared" si="39"/>
        <v>0</v>
      </c>
      <c r="AZ14" s="33"/>
      <c r="BA14" s="37">
        <f t="shared" si="8"/>
        <v>-1</v>
      </c>
      <c r="BB14" s="36">
        <f>[1]MJ!$K14</f>
        <v>2250</v>
      </c>
      <c r="BC14" s="31">
        <f t="shared" si="40"/>
        <v>1973.4749999999999</v>
      </c>
      <c r="BD14" s="31">
        <f t="shared" si="41"/>
        <v>276.52499999999998</v>
      </c>
      <c r="BE14" s="31">
        <f t="shared" si="42"/>
        <v>0</v>
      </c>
      <c r="BF14" s="31">
        <f t="shared" si="43"/>
        <v>0</v>
      </c>
      <c r="BG14" s="27"/>
      <c r="BH14" s="37">
        <f t="shared" si="9"/>
        <v>-1</v>
      </c>
      <c r="BI14" s="36">
        <f>[1]MJ!$L14</f>
        <v>2250</v>
      </c>
      <c r="BJ14" s="31">
        <f t="shared" si="44"/>
        <v>1973.4749999999999</v>
      </c>
      <c r="BK14" s="31">
        <f t="shared" si="45"/>
        <v>276.52499999999998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[1]MJ!$M14</f>
        <v>2250</v>
      </c>
      <c r="BQ14" s="31">
        <f t="shared" si="48"/>
        <v>1973.4749999999999</v>
      </c>
      <c r="BR14" s="31">
        <f t="shared" si="49"/>
        <v>276.52499999999998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[1]MJ!$N14</f>
        <v>2250</v>
      </c>
      <c r="BX14" s="31">
        <f t="shared" si="52"/>
        <v>1973.4749999999999</v>
      </c>
      <c r="BY14" s="31">
        <f t="shared" si="53"/>
        <v>276.52499999999998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[1]MJ!$O14</f>
        <v>2250</v>
      </c>
      <c r="CE14" s="31">
        <f t="shared" si="56"/>
        <v>1973.4749999999999</v>
      </c>
      <c r="CF14" s="31">
        <f t="shared" si="57"/>
        <v>276.52499999999998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[1]MJ!$P14</f>
        <v>2250</v>
      </c>
      <c r="CL14" s="31">
        <f t="shared" si="60"/>
        <v>1973.4749999999999</v>
      </c>
      <c r="CM14" s="31">
        <f t="shared" si="61"/>
        <v>276.52499999999998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99114.599999999991</v>
      </c>
      <c r="C15" s="31">
        <f t="shared" si="0"/>
        <v>86933.415660000013</v>
      </c>
      <c r="D15" s="32">
        <f t="shared" si="0"/>
        <v>12181.184340000002</v>
      </c>
      <c r="E15" s="30">
        <f t="shared" si="15"/>
        <v>32824.800000000003</v>
      </c>
      <c r="F15" s="33">
        <f t="shared" si="15"/>
        <v>28790.632080000003</v>
      </c>
      <c r="G15" s="34">
        <f t="shared" si="15"/>
        <v>4034.1679200000003</v>
      </c>
      <c r="H15" s="31">
        <f t="shared" si="1"/>
        <v>36998.243802000005</v>
      </c>
      <c r="I15" s="33">
        <f t="shared" si="1"/>
        <v>1710.9461980000003</v>
      </c>
      <c r="J15" s="33">
        <f t="shared" si="1"/>
        <v>38709.19000000001</v>
      </c>
      <c r="K15" s="37">
        <f t="shared" si="2"/>
        <v>0.17926659111403587</v>
      </c>
      <c r="L15" s="36">
        <f>[1]MJ!$E15</f>
        <v>8206.2000000000007</v>
      </c>
      <c r="M15" s="40">
        <f t="shared" si="16"/>
        <v>7197.6580200000008</v>
      </c>
      <c r="N15" s="40">
        <f t="shared" si="17"/>
        <v>1008.5419800000001</v>
      </c>
      <c r="O15" s="40">
        <f t="shared" si="18"/>
        <v>7114.898736000001</v>
      </c>
      <c r="P15" s="40">
        <f t="shared" si="19"/>
        <v>329.02126400000003</v>
      </c>
      <c r="Q15" s="115">
        <f>653.52+12137.1-(8.65+5338.05)</f>
        <v>7443.920000000001</v>
      </c>
      <c r="R15" s="37">
        <f t="shared" si="3"/>
        <v>-9.2890741146937628E-2</v>
      </c>
      <c r="S15" s="36">
        <f>[1]MJ!$F15</f>
        <v>8206.2000000000007</v>
      </c>
      <c r="T15" s="40">
        <f t="shared" si="20"/>
        <v>7197.6580200000008</v>
      </c>
      <c r="U15" s="40">
        <f t="shared" si="21"/>
        <v>1008.5419800000001</v>
      </c>
      <c r="V15" s="40">
        <f t="shared" si="22"/>
        <v>7002.6304680000057</v>
      </c>
      <c r="W15" s="40">
        <f t="shared" si="23"/>
        <v>323.82953200000026</v>
      </c>
      <c r="X15" s="115">
        <f>570.06+71592.05-(19413.02+45422.63)</f>
        <v>7326.4600000000064</v>
      </c>
      <c r="Y15" s="37">
        <f t="shared" si="4"/>
        <v>-0.10720430893714439</v>
      </c>
      <c r="Z15" s="36">
        <f>[1]MJ!$G15</f>
        <v>8206.2000000000007</v>
      </c>
      <c r="AA15" s="40">
        <f t="shared" si="24"/>
        <v>7197.6580200000008</v>
      </c>
      <c r="AB15" s="40">
        <f t="shared" si="25"/>
        <v>1008.5419800000001</v>
      </c>
      <c r="AC15" s="40">
        <f t="shared" si="26"/>
        <v>10498.679244000001</v>
      </c>
      <c r="AD15" s="40">
        <f t="shared" si="27"/>
        <v>485.50075599999997</v>
      </c>
      <c r="AE15" s="115">
        <f>563.52+10420.66</f>
        <v>10984.18</v>
      </c>
      <c r="AF15" s="37">
        <f t="shared" si="5"/>
        <v>0.33852209305159509</v>
      </c>
      <c r="AG15" s="36">
        <f>[1]MJ!$H15</f>
        <v>8206.2000000000007</v>
      </c>
      <c r="AH15" s="40">
        <f t="shared" si="28"/>
        <v>7197.6580200000008</v>
      </c>
      <c r="AI15" s="40">
        <f t="shared" si="29"/>
        <v>1008.5419800000001</v>
      </c>
      <c r="AJ15" s="40">
        <f t="shared" si="30"/>
        <v>12382.035354000001</v>
      </c>
      <c r="AK15" s="40">
        <f t="shared" si="31"/>
        <v>572.59464600000001</v>
      </c>
      <c r="AL15" s="116">
        <f>567.69+12386.94</f>
        <v>12954.630000000001</v>
      </c>
      <c r="AM15" s="37">
        <f t="shared" si="6"/>
        <v>0.57863932148863051</v>
      </c>
      <c r="AN15" s="36">
        <f>[1]MJ!$I15</f>
        <v>8206.2000000000007</v>
      </c>
      <c r="AO15" s="40">
        <f t="shared" si="32"/>
        <v>7197.6580200000008</v>
      </c>
      <c r="AP15" s="40">
        <f t="shared" si="33"/>
        <v>1008.5419800000001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[1]MJ!$J15</f>
        <v>8206.2000000000007</v>
      </c>
      <c r="AV15" s="40">
        <f t="shared" si="36"/>
        <v>7197.6580200000008</v>
      </c>
      <c r="AW15" s="40">
        <f t="shared" si="37"/>
        <v>1008.5419800000001</v>
      </c>
      <c r="AX15" s="40">
        <f t="shared" si="38"/>
        <v>0</v>
      </c>
      <c r="AY15" s="40">
        <f t="shared" si="39"/>
        <v>0</v>
      </c>
      <c r="AZ15" s="115"/>
      <c r="BA15" s="37">
        <f t="shared" si="8"/>
        <v>-1</v>
      </c>
      <c r="BB15" s="36">
        <f>[1]MJ!$K15</f>
        <v>8846.4</v>
      </c>
      <c r="BC15" s="40">
        <f t="shared" si="40"/>
        <v>7759.1774399999995</v>
      </c>
      <c r="BD15" s="40">
        <f t="shared" si="41"/>
        <v>1087.2225599999999</v>
      </c>
      <c r="BE15" s="40">
        <f t="shared" si="42"/>
        <v>0</v>
      </c>
      <c r="BF15" s="40">
        <f t="shared" si="43"/>
        <v>0</v>
      </c>
      <c r="BG15" s="116"/>
      <c r="BH15" s="37">
        <f t="shared" si="9"/>
        <v>-1</v>
      </c>
      <c r="BI15" s="36">
        <f>[1]MJ!$L15</f>
        <v>8206.2000000000007</v>
      </c>
      <c r="BJ15" s="40">
        <f t="shared" si="44"/>
        <v>7197.6580200000008</v>
      </c>
      <c r="BK15" s="40">
        <f t="shared" si="45"/>
        <v>1008.5419800000001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[1]MJ!$M15</f>
        <v>8206.2000000000007</v>
      </c>
      <c r="BQ15" s="40">
        <f t="shared" si="48"/>
        <v>7197.6580200000008</v>
      </c>
      <c r="BR15" s="40">
        <f t="shared" si="49"/>
        <v>1008.5419800000001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[1]MJ!$N15</f>
        <v>8206.2000000000007</v>
      </c>
      <c r="BX15" s="40">
        <f t="shared" si="52"/>
        <v>7197.6580200000008</v>
      </c>
      <c r="BY15" s="40">
        <f t="shared" si="53"/>
        <v>1008.5419800000001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[1]MJ!$O15</f>
        <v>8206.2000000000007</v>
      </c>
      <c r="CE15" s="40">
        <f t="shared" si="56"/>
        <v>7197.6580200000008</v>
      </c>
      <c r="CF15" s="40">
        <f t="shared" si="57"/>
        <v>1008.5419800000001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[1]MJ!$P15</f>
        <v>8206.2000000000007</v>
      </c>
      <c r="CL15" s="40">
        <f t="shared" si="60"/>
        <v>7197.6580200000008</v>
      </c>
      <c r="CM15" s="40">
        <f t="shared" si="61"/>
        <v>1008.5419800000001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20000</v>
      </c>
      <c r="C16" s="31">
        <f t="shared" si="0"/>
        <v>17542.000000000004</v>
      </c>
      <c r="D16" s="32">
        <f t="shared" si="0"/>
        <v>2458</v>
      </c>
      <c r="E16" s="30">
        <f t="shared" si="15"/>
        <v>6666.666666666667</v>
      </c>
      <c r="F16" s="33">
        <f t="shared" si="15"/>
        <v>5847.3333333333339</v>
      </c>
      <c r="G16" s="34">
        <f t="shared" si="15"/>
        <v>819.33333333333337</v>
      </c>
      <c r="H16" s="31">
        <f t="shared" si="1"/>
        <v>3548.8758420000004</v>
      </c>
      <c r="I16" s="33">
        <f t="shared" si="1"/>
        <v>164.11415799999997</v>
      </c>
      <c r="J16" s="33">
        <f t="shared" si="1"/>
        <v>3712.9900000000002</v>
      </c>
      <c r="K16" s="37">
        <f t="shared" si="2"/>
        <v>-0.44305150000000004</v>
      </c>
      <c r="L16" s="36">
        <f>[1]MJ!$E16</f>
        <v>1666.6666666666667</v>
      </c>
      <c r="M16" s="31">
        <f t="shared" si="16"/>
        <v>1461.8333333333335</v>
      </c>
      <c r="N16" s="31">
        <f t="shared" si="17"/>
        <v>204.83333333333334</v>
      </c>
      <c r="O16" s="31">
        <f t="shared" si="18"/>
        <v>304.34583600000002</v>
      </c>
      <c r="P16" s="31">
        <f t="shared" si="19"/>
        <v>14.074164</v>
      </c>
      <c r="Q16" s="33">
        <f>318.42</f>
        <v>318.42</v>
      </c>
      <c r="R16" s="37">
        <f t="shared" si="3"/>
        <v>-0.808948</v>
      </c>
      <c r="S16" s="36">
        <f>[1]MJ!$F16</f>
        <v>1666.6666666666667</v>
      </c>
      <c r="T16" s="31">
        <f t="shared" si="20"/>
        <v>1461.8333333333335</v>
      </c>
      <c r="U16" s="31">
        <f t="shared" si="21"/>
        <v>204.83333333333334</v>
      </c>
      <c r="V16" s="31">
        <f t="shared" si="22"/>
        <v>1443.6881100000001</v>
      </c>
      <c r="W16" s="31">
        <f t="shared" si="23"/>
        <v>66.761889999999994</v>
      </c>
      <c r="X16" s="33">
        <f>1510.45</f>
        <v>1510.45</v>
      </c>
      <c r="Y16" s="37">
        <f t="shared" si="4"/>
        <v>-9.372999999999998E-2</v>
      </c>
      <c r="Z16" s="36">
        <f>[1]MJ!$G16</f>
        <v>1666.6666666666667</v>
      </c>
      <c r="AA16" s="31">
        <f t="shared" si="24"/>
        <v>1461.8333333333335</v>
      </c>
      <c r="AB16" s="31">
        <f t="shared" si="25"/>
        <v>204.83333333333334</v>
      </c>
      <c r="AC16" s="31">
        <f t="shared" si="26"/>
        <v>1715.7087899999999</v>
      </c>
      <c r="AD16" s="31">
        <f t="shared" si="27"/>
        <v>79.34120999999999</v>
      </c>
      <c r="AE16" s="33">
        <f>1795.05</f>
        <v>1795.05</v>
      </c>
      <c r="AF16" s="37">
        <f t="shared" si="5"/>
        <v>7.7029999999999932E-2</v>
      </c>
      <c r="AG16" s="36">
        <f>[1]MJ!$H16</f>
        <v>1666.6666666666667</v>
      </c>
      <c r="AH16" s="31">
        <f t="shared" si="28"/>
        <v>1461.8333333333335</v>
      </c>
      <c r="AI16" s="31">
        <f t="shared" si="29"/>
        <v>204.83333333333334</v>
      </c>
      <c r="AJ16" s="31">
        <f t="shared" si="30"/>
        <v>85.133105999999998</v>
      </c>
      <c r="AK16" s="31">
        <f t="shared" si="31"/>
        <v>3.9368939999999992</v>
      </c>
      <c r="AL16" s="27">
        <f>89.07</f>
        <v>89.07</v>
      </c>
      <c r="AM16" s="37">
        <f t="shared" si="6"/>
        <v>-0.94655800000000001</v>
      </c>
      <c r="AN16" s="36">
        <f>[1]MJ!$I16</f>
        <v>1666.6666666666667</v>
      </c>
      <c r="AO16" s="31">
        <f t="shared" si="32"/>
        <v>1461.8333333333335</v>
      </c>
      <c r="AP16" s="31">
        <f t="shared" si="33"/>
        <v>204.83333333333334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[1]MJ!$J16</f>
        <v>1666.6666666666667</v>
      </c>
      <c r="AV16" s="31">
        <f t="shared" si="36"/>
        <v>1461.8333333333335</v>
      </c>
      <c r="AW16" s="31">
        <f t="shared" si="37"/>
        <v>204.83333333333334</v>
      </c>
      <c r="AX16" s="31">
        <f t="shared" si="38"/>
        <v>0</v>
      </c>
      <c r="AY16" s="31">
        <f t="shared" si="39"/>
        <v>0</v>
      </c>
      <c r="AZ16" s="33"/>
      <c r="BA16" s="37">
        <f t="shared" si="8"/>
        <v>-1</v>
      </c>
      <c r="BB16" s="36">
        <f>[1]MJ!$K16</f>
        <v>1666.6666666666667</v>
      </c>
      <c r="BC16" s="31">
        <f t="shared" si="40"/>
        <v>1461.8333333333335</v>
      </c>
      <c r="BD16" s="31">
        <f t="shared" si="41"/>
        <v>204.83333333333334</v>
      </c>
      <c r="BE16" s="31">
        <f t="shared" si="42"/>
        <v>0</v>
      </c>
      <c r="BF16" s="31">
        <f t="shared" si="43"/>
        <v>0</v>
      </c>
      <c r="BG16" s="27"/>
      <c r="BH16" s="37">
        <f t="shared" si="9"/>
        <v>-1</v>
      </c>
      <c r="BI16" s="36">
        <f>[1]MJ!$L16</f>
        <v>1666.6666666666667</v>
      </c>
      <c r="BJ16" s="31">
        <f t="shared" si="44"/>
        <v>1461.8333333333335</v>
      </c>
      <c r="BK16" s="31">
        <f t="shared" si="45"/>
        <v>204.83333333333334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[1]MJ!$M16</f>
        <v>1666.6666666666667</v>
      </c>
      <c r="BQ16" s="31">
        <f t="shared" si="48"/>
        <v>1461.8333333333335</v>
      </c>
      <c r="BR16" s="31">
        <f t="shared" si="49"/>
        <v>204.83333333333334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[1]MJ!$N16</f>
        <v>1666.6666666666667</v>
      </c>
      <c r="BX16" s="31">
        <f t="shared" si="52"/>
        <v>1461.8333333333335</v>
      </c>
      <c r="BY16" s="31">
        <f t="shared" si="53"/>
        <v>204.83333333333334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[1]MJ!$O16</f>
        <v>1666.6666666666667</v>
      </c>
      <c r="CE16" s="31">
        <f t="shared" si="56"/>
        <v>1461.8333333333335</v>
      </c>
      <c r="CF16" s="31">
        <f t="shared" si="57"/>
        <v>204.83333333333334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[1]MJ!$P16</f>
        <v>1666.6666666666667</v>
      </c>
      <c r="CL16" s="31">
        <f t="shared" si="60"/>
        <v>1461.8333333333335</v>
      </c>
      <c r="CM16" s="31">
        <f t="shared" si="61"/>
        <v>204.83333333333334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453340.8000000001</v>
      </c>
      <c r="C17" s="31">
        <f t="shared" si="0"/>
        <v>397625.21567999996</v>
      </c>
      <c r="D17" s="32">
        <f t="shared" si="0"/>
        <v>55715.584320000016</v>
      </c>
      <c r="E17" s="30">
        <f t="shared" si="15"/>
        <v>151113.60000000001</v>
      </c>
      <c r="F17" s="33">
        <f t="shared" si="15"/>
        <v>132541.73856</v>
      </c>
      <c r="G17" s="34">
        <f t="shared" si="15"/>
        <v>18571.861440000001</v>
      </c>
      <c r="H17" s="31">
        <f t="shared" si="1"/>
        <v>161850.74664599999</v>
      </c>
      <c r="I17" s="33">
        <f t="shared" si="1"/>
        <v>7484.6233539999994</v>
      </c>
      <c r="J17" s="33">
        <f t="shared" si="1"/>
        <v>169335.37</v>
      </c>
      <c r="K17" s="37">
        <f t="shared" si="2"/>
        <v>0.12058325656989166</v>
      </c>
      <c r="L17" s="36">
        <f>[1]MJ!$E17</f>
        <v>37778.400000000001</v>
      </c>
      <c r="M17" s="31">
        <f t="shared" si="16"/>
        <v>33135.434639999999</v>
      </c>
      <c r="N17" s="31">
        <f t="shared" si="17"/>
        <v>4642.9653600000001</v>
      </c>
      <c r="O17" s="31">
        <f t="shared" si="18"/>
        <v>35335.734840000005</v>
      </c>
      <c r="P17" s="31">
        <f t="shared" si="19"/>
        <v>1634.0651599999999</v>
      </c>
      <c r="Q17" s="33">
        <v>36969.800000000003</v>
      </c>
      <c r="R17" s="37">
        <f t="shared" si="3"/>
        <v>-2.1403765114456852E-2</v>
      </c>
      <c r="S17" s="36">
        <f>[1]MJ!$F17</f>
        <v>37778.400000000001</v>
      </c>
      <c r="T17" s="31">
        <f t="shared" si="20"/>
        <v>33135.434639999999</v>
      </c>
      <c r="U17" s="31">
        <f t="shared" si="21"/>
        <v>4642.9653600000001</v>
      </c>
      <c r="V17" s="31">
        <f t="shared" si="22"/>
        <v>50344.604891999996</v>
      </c>
      <c r="W17" s="31">
        <f t="shared" si="23"/>
        <v>2328.1351079999995</v>
      </c>
      <c r="X17" s="33">
        <v>52672.74</v>
      </c>
      <c r="Y17" s="37">
        <f t="shared" si="4"/>
        <v>0.39425544755733433</v>
      </c>
      <c r="Z17" s="36">
        <f>[1]MJ!$G17</f>
        <v>37778.400000000001</v>
      </c>
      <c r="AA17" s="31">
        <f t="shared" si="24"/>
        <v>33135.434639999999</v>
      </c>
      <c r="AB17" s="31">
        <f t="shared" si="25"/>
        <v>4642.9653600000001</v>
      </c>
      <c r="AC17" s="31">
        <f t="shared" si="26"/>
        <v>37596.660623999996</v>
      </c>
      <c r="AD17" s="31">
        <f t="shared" si="27"/>
        <v>1738.6193759999999</v>
      </c>
      <c r="AE17" s="33">
        <v>39335.279999999999</v>
      </c>
      <c r="AF17" s="37">
        <f t="shared" si="5"/>
        <v>4.121085064481278E-2</v>
      </c>
      <c r="AG17" s="36">
        <f>[1]MJ!$H17</f>
        <v>37778.400000000001</v>
      </c>
      <c r="AH17" s="31">
        <f t="shared" si="28"/>
        <v>33135.434639999999</v>
      </c>
      <c r="AI17" s="31">
        <f t="shared" si="29"/>
        <v>4642.9653600000001</v>
      </c>
      <c r="AJ17" s="31">
        <f t="shared" si="30"/>
        <v>38573.746290000003</v>
      </c>
      <c r="AK17" s="31">
        <f t="shared" si="31"/>
        <v>1783.8037099999999</v>
      </c>
      <c r="AL17" s="27">
        <v>40357.550000000003</v>
      </c>
      <c r="AM17" s="37">
        <f t="shared" si="6"/>
        <v>6.8270493191876946E-2</v>
      </c>
      <c r="AN17" s="36">
        <f>[1]MJ!$I17</f>
        <v>37778.400000000001</v>
      </c>
      <c r="AO17" s="31">
        <f t="shared" si="32"/>
        <v>33135.434639999999</v>
      </c>
      <c r="AP17" s="31">
        <f t="shared" si="33"/>
        <v>4642.9653600000001</v>
      </c>
      <c r="AQ17" s="31">
        <f t="shared" si="34"/>
        <v>0</v>
      </c>
      <c r="AR17" s="31">
        <f t="shared" si="35"/>
        <v>0</v>
      </c>
      <c r="AS17" s="33"/>
      <c r="AT17" s="37">
        <f t="shared" si="7"/>
        <v>-1</v>
      </c>
      <c r="AU17" s="36">
        <f>[1]MJ!$J17</f>
        <v>37778.400000000001</v>
      </c>
      <c r="AV17" s="31">
        <f t="shared" si="36"/>
        <v>33135.434639999999</v>
      </c>
      <c r="AW17" s="31">
        <f t="shared" si="37"/>
        <v>4642.9653600000001</v>
      </c>
      <c r="AX17" s="31">
        <f t="shared" si="38"/>
        <v>0</v>
      </c>
      <c r="AY17" s="31">
        <f t="shared" si="39"/>
        <v>0</v>
      </c>
      <c r="AZ17" s="33"/>
      <c r="BA17" s="37">
        <f t="shared" si="8"/>
        <v>-1</v>
      </c>
      <c r="BB17" s="36">
        <f>[1]MJ!$K17</f>
        <v>37778.400000000001</v>
      </c>
      <c r="BC17" s="31">
        <f t="shared" si="40"/>
        <v>33135.434639999999</v>
      </c>
      <c r="BD17" s="31">
        <f t="shared" si="41"/>
        <v>4642.9653600000001</v>
      </c>
      <c r="BE17" s="31">
        <f t="shared" si="42"/>
        <v>0</v>
      </c>
      <c r="BF17" s="31">
        <f t="shared" si="43"/>
        <v>0</v>
      </c>
      <c r="BG17" s="27"/>
      <c r="BH17" s="37">
        <f t="shared" si="9"/>
        <v>-1</v>
      </c>
      <c r="BI17" s="36">
        <f>[1]MJ!$L17</f>
        <v>37778.400000000001</v>
      </c>
      <c r="BJ17" s="31">
        <f t="shared" si="44"/>
        <v>33135.434639999999</v>
      </c>
      <c r="BK17" s="31">
        <f t="shared" si="45"/>
        <v>4642.9653600000001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[1]MJ!$M17</f>
        <v>37778.400000000001</v>
      </c>
      <c r="BQ17" s="31">
        <f t="shared" si="48"/>
        <v>33135.434639999999</v>
      </c>
      <c r="BR17" s="31">
        <f t="shared" si="49"/>
        <v>4642.9653600000001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[1]MJ!$N17</f>
        <v>37778.400000000001</v>
      </c>
      <c r="BX17" s="31">
        <f t="shared" si="52"/>
        <v>33135.434639999999</v>
      </c>
      <c r="BY17" s="31">
        <f t="shared" si="53"/>
        <v>4642.9653600000001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[1]MJ!$O17</f>
        <v>37778.400000000001</v>
      </c>
      <c r="CE17" s="31">
        <f t="shared" si="56"/>
        <v>33135.434639999999</v>
      </c>
      <c r="CF17" s="31">
        <f t="shared" si="57"/>
        <v>4642.9653600000001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[1]MJ!$P17</f>
        <v>37778.400000000001</v>
      </c>
      <c r="CL17" s="31">
        <f t="shared" si="60"/>
        <v>33135.434639999999</v>
      </c>
      <c r="CM17" s="31">
        <f t="shared" si="61"/>
        <v>4642.9653600000001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78020.800000000017</v>
      </c>
      <c r="C18" s="31">
        <f t="shared" si="0"/>
        <v>68432.043680000002</v>
      </c>
      <c r="D18" s="32">
        <f t="shared" si="0"/>
        <v>9588.7563200000004</v>
      </c>
      <c r="E18" s="30">
        <f t="shared" si="15"/>
        <v>26006.933333333334</v>
      </c>
      <c r="F18" s="33">
        <f t="shared" si="15"/>
        <v>22810.681226666667</v>
      </c>
      <c r="G18" s="34">
        <f t="shared" si="15"/>
        <v>3196.2521066666668</v>
      </c>
      <c r="H18" s="31">
        <f t="shared" si="1"/>
        <v>34332.039702000002</v>
      </c>
      <c r="I18" s="33">
        <f t="shared" si="1"/>
        <v>1587.650298</v>
      </c>
      <c r="J18" s="33">
        <f t="shared" si="1"/>
        <v>35919.69</v>
      </c>
      <c r="K18" s="37">
        <f t="shared" si="2"/>
        <v>0.38115822960031176</v>
      </c>
      <c r="L18" s="36">
        <f>[1]MJ!$E18</f>
        <v>6501.7333333333336</v>
      </c>
      <c r="M18" s="31">
        <f t="shared" si="16"/>
        <v>5702.6703066666669</v>
      </c>
      <c r="N18" s="31">
        <f t="shared" si="17"/>
        <v>799.0630266666667</v>
      </c>
      <c r="O18" s="31">
        <f t="shared" si="18"/>
        <v>7772.1450480000003</v>
      </c>
      <c r="P18" s="31">
        <f t="shared" si="19"/>
        <v>359.41495199999997</v>
      </c>
      <c r="Q18" s="33">
        <v>8131.56</v>
      </c>
      <c r="R18" s="37">
        <f t="shared" si="3"/>
        <v>0.25067571724463211</v>
      </c>
      <c r="S18" s="36">
        <f>[1]MJ!$F18</f>
        <v>6501.7333333333336</v>
      </c>
      <c r="T18" s="31">
        <f t="shared" si="20"/>
        <v>5702.6703066666669</v>
      </c>
      <c r="U18" s="31">
        <f t="shared" si="21"/>
        <v>799.0630266666667</v>
      </c>
      <c r="V18" s="31">
        <f t="shared" si="22"/>
        <v>0</v>
      </c>
      <c r="W18" s="31">
        <f t="shared" si="23"/>
        <v>0</v>
      </c>
      <c r="X18" s="33"/>
      <c r="Y18" s="37">
        <f t="shared" si="4"/>
        <v>-1</v>
      </c>
      <c r="Z18" s="36">
        <f>[1]MJ!$G18</f>
        <v>6501.7333333333336</v>
      </c>
      <c r="AA18" s="31">
        <f t="shared" si="24"/>
        <v>5702.6703066666669</v>
      </c>
      <c r="AB18" s="31">
        <f t="shared" si="25"/>
        <v>799.0630266666667</v>
      </c>
      <c r="AC18" s="31">
        <f t="shared" si="26"/>
        <v>26559.894654</v>
      </c>
      <c r="AD18" s="31">
        <f t="shared" si="27"/>
        <v>1228.2353459999999</v>
      </c>
      <c r="AE18" s="33">
        <v>27788.13</v>
      </c>
      <c r="AF18" s="37">
        <f t="shared" si="5"/>
        <v>3.2739572011566143</v>
      </c>
      <c r="AG18" s="36">
        <f>[1]MJ!$H18</f>
        <v>6501.7333333333336</v>
      </c>
      <c r="AH18" s="31">
        <f t="shared" si="28"/>
        <v>5702.6703066666669</v>
      </c>
      <c r="AI18" s="31">
        <f t="shared" si="29"/>
        <v>799.0630266666667</v>
      </c>
      <c r="AJ18" s="31">
        <f t="shared" si="30"/>
        <v>0</v>
      </c>
      <c r="AK18" s="31">
        <f t="shared" si="31"/>
        <v>0</v>
      </c>
      <c r="AL18" s="27"/>
      <c r="AM18" s="37">
        <f t="shared" si="6"/>
        <v>-1</v>
      </c>
      <c r="AN18" s="36">
        <f>[1]MJ!$I18</f>
        <v>6501.7333333333336</v>
      </c>
      <c r="AO18" s="31">
        <f t="shared" si="32"/>
        <v>5702.6703066666669</v>
      </c>
      <c r="AP18" s="31">
        <f t="shared" si="33"/>
        <v>799.0630266666667</v>
      </c>
      <c r="AQ18" s="31">
        <f t="shared" si="34"/>
        <v>0</v>
      </c>
      <c r="AR18" s="31">
        <f t="shared" si="35"/>
        <v>0</v>
      </c>
      <c r="AS18" s="33"/>
      <c r="AT18" s="37">
        <f t="shared" si="7"/>
        <v>-1</v>
      </c>
      <c r="AU18" s="36">
        <f>[1]MJ!$J18</f>
        <v>6501.7333333333336</v>
      </c>
      <c r="AV18" s="31">
        <f t="shared" si="36"/>
        <v>5702.6703066666669</v>
      </c>
      <c r="AW18" s="31">
        <f t="shared" si="37"/>
        <v>799.0630266666667</v>
      </c>
      <c r="AX18" s="31">
        <f t="shared" si="38"/>
        <v>0</v>
      </c>
      <c r="AY18" s="31">
        <f t="shared" si="39"/>
        <v>0</v>
      </c>
      <c r="AZ18" s="33"/>
      <c r="BA18" s="37">
        <f t="shared" si="8"/>
        <v>-1</v>
      </c>
      <c r="BB18" s="36">
        <f>[1]MJ!$K18</f>
        <v>6501.7333333333336</v>
      </c>
      <c r="BC18" s="31">
        <f t="shared" si="40"/>
        <v>5702.6703066666669</v>
      </c>
      <c r="BD18" s="31">
        <f t="shared" si="41"/>
        <v>799.0630266666667</v>
      </c>
      <c r="BE18" s="31">
        <f t="shared" si="42"/>
        <v>0</v>
      </c>
      <c r="BF18" s="31">
        <f t="shared" si="43"/>
        <v>0</v>
      </c>
      <c r="BG18" s="27"/>
      <c r="BH18" s="37">
        <f t="shared" si="9"/>
        <v>-1</v>
      </c>
      <c r="BI18" s="36">
        <f>[1]MJ!$L18</f>
        <v>6501.7333333333336</v>
      </c>
      <c r="BJ18" s="31">
        <f t="shared" si="44"/>
        <v>5702.6703066666669</v>
      </c>
      <c r="BK18" s="31">
        <f t="shared" si="45"/>
        <v>799.0630266666667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[1]MJ!$M18</f>
        <v>6501.7333333333336</v>
      </c>
      <c r="BQ18" s="31">
        <f t="shared" si="48"/>
        <v>5702.6703066666669</v>
      </c>
      <c r="BR18" s="31">
        <f t="shared" si="49"/>
        <v>799.0630266666667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[1]MJ!$N18</f>
        <v>6501.7333333333336</v>
      </c>
      <c r="BX18" s="31">
        <f t="shared" si="52"/>
        <v>5702.6703066666669</v>
      </c>
      <c r="BY18" s="31">
        <f t="shared" si="53"/>
        <v>799.0630266666667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[1]MJ!$O18</f>
        <v>6501.7333333333336</v>
      </c>
      <c r="CE18" s="31">
        <f t="shared" si="56"/>
        <v>5702.6703066666669</v>
      </c>
      <c r="CF18" s="31">
        <f t="shared" si="57"/>
        <v>799.0630266666667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[1]MJ!$P18</f>
        <v>6501.7333333333336</v>
      </c>
      <c r="CL18" s="31">
        <f t="shared" si="60"/>
        <v>5702.6703066666669</v>
      </c>
      <c r="CM18" s="31">
        <f t="shared" si="61"/>
        <v>799.0630266666667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30000</v>
      </c>
      <c r="C19" s="31">
        <f t="shared" si="0"/>
        <v>26313</v>
      </c>
      <c r="D19" s="32">
        <f t="shared" si="0"/>
        <v>3687</v>
      </c>
      <c r="E19" s="30">
        <f t="shared" si="15"/>
        <v>10000</v>
      </c>
      <c r="F19" s="33">
        <f t="shared" si="15"/>
        <v>8771</v>
      </c>
      <c r="G19" s="34">
        <f t="shared" si="15"/>
        <v>1229</v>
      </c>
      <c r="H19" s="31">
        <f t="shared" si="1"/>
        <v>16281.231012</v>
      </c>
      <c r="I19" s="33">
        <f t="shared" si="1"/>
        <v>752.90898799999991</v>
      </c>
      <c r="J19" s="33">
        <f t="shared" si="1"/>
        <v>17034.14</v>
      </c>
      <c r="K19" s="37">
        <f t="shared" si="2"/>
        <v>0.70341399999999998</v>
      </c>
      <c r="L19" s="36">
        <f>[1]MJ!$E19</f>
        <v>2500</v>
      </c>
      <c r="M19" s="31">
        <f t="shared" si="16"/>
        <v>2192.75</v>
      </c>
      <c r="N19" s="31">
        <f t="shared" si="17"/>
        <v>307.25</v>
      </c>
      <c r="O19" s="31">
        <f t="shared" si="18"/>
        <v>6562.1118059999999</v>
      </c>
      <c r="P19" s="31">
        <f t="shared" si="19"/>
        <v>303.45819399999993</v>
      </c>
      <c r="Q19" s="33">
        <v>6865.57</v>
      </c>
      <c r="R19" s="37">
        <f t="shared" si="3"/>
        <v>1.7462279999999999</v>
      </c>
      <c r="S19" s="36">
        <f>[1]MJ!$F19</f>
        <v>2500</v>
      </c>
      <c r="T19" s="31">
        <f t="shared" si="20"/>
        <v>2192.75</v>
      </c>
      <c r="U19" s="31">
        <f t="shared" si="21"/>
        <v>307.25</v>
      </c>
      <c r="V19" s="31">
        <f t="shared" si="22"/>
        <v>2129.7326759999996</v>
      </c>
      <c r="W19" s="31">
        <f t="shared" si="23"/>
        <v>98.487323999999987</v>
      </c>
      <c r="X19" s="33">
        <v>2228.2199999999998</v>
      </c>
      <c r="Y19" s="37">
        <f t="shared" si="4"/>
        <v>-0.10871200000000003</v>
      </c>
      <c r="Z19" s="36">
        <f>[1]MJ!$G19</f>
        <v>2500</v>
      </c>
      <c r="AA19" s="31">
        <f t="shared" si="24"/>
        <v>2192.75</v>
      </c>
      <c r="AB19" s="31">
        <f t="shared" si="25"/>
        <v>307.25</v>
      </c>
      <c r="AC19" s="31">
        <f t="shared" si="26"/>
        <v>3883.023522</v>
      </c>
      <c r="AD19" s="31">
        <f t="shared" si="27"/>
        <v>179.56647799999999</v>
      </c>
      <c r="AE19" s="33">
        <v>4062.59</v>
      </c>
      <c r="AF19" s="37">
        <f t="shared" si="5"/>
        <v>0.62503600000000015</v>
      </c>
      <c r="AG19" s="36">
        <f>[1]MJ!$H19</f>
        <v>2500</v>
      </c>
      <c r="AH19" s="31">
        <f t="shared" si="28"/>
        <v>2192.75</v>
      </c>
      <c r="AI19" s="31">
        <f t="shared" si="29"/>
        <v>307.25</v>
      </c>
      <c r="AJ19" s="31">
        <f t="shared" si="30"/>
        <v>3706.3630080000003</v>
      </c>
      <c r="AK19" s="31">
        <f t="shared" si="31"/>
        <v>171.39699199999998</v>
      </c>
      <c r="AL19" s="27">
        <v>3877.76</v>
      </c>
      <c r="AM19" s="37">
        <f t="shared" si="6"/>
        <v>0.55110400000000004</v>
      </c>
      <c r="AN19" s="36">
        <f>[1]MJ!$I19</f>
        <v>2500</v>
      </c>
      <c r="AO19" s="31">
        <f t="shared" si="32"/>
        <v>2192.75</v>
      </c>
      <c r="AP19" s="31">
        <f t="shared" si="33"/>
        <v>307.25</v>
      </c>
      <c r="AQ19" s="31">
        <f t="shared" si="34"/>
        <v>0</v>
      </c>
      <c r="AR19" s="31">
        <f t="shared" si="35"/>
        <v>0</v>
      </c>
      <c r="AS19" s="33"/>
      <c r="AT19" s="37">
        <f t="shared" si="7"/>
        <v>-1</v>
      </c>
      <c r="AU19" s="36">
        <f>[1]MJ!$J19</f>
        <v>2500</v>
      </c>
      <c r="AV19" s="31">
        <f t="shared" si="36"/>
        <v>2192.75</v>
      </c>
      <c r="AW19" s="31">
        <f t="shared" si="37"/>
        <v>307.25</v>
      </c>
      <c r="AX19" s="31">
        <f t="shared" si="38"/>
        <v>0</v>
      </c>
      <c r="AY19" s="31">
        <f t="shared" si="39"/>
        <v>0</v>
      </c>
      <c r="AZ19" s="33"/>
      <c r="BA19" s="37">
        <f t="shared" si="8"/>
        <v>-1</v>
      </c>
      <c r="BB19" s="36">
        <f>[1]MJ!$K19</f>
        <v>2500</v>
      </c>
      <c r="BC19" s="31">
        <f t="shared" si="40"/>
        <v>2192.75</v>
      </c>
      <c r="BD19" s="31">
        <f t="shared" si="41"/>
        <v>307.25</v>
      </c>
      <c r="BE19" s="31">
        <f t="shared" si="42"/>
        <v>0</v>
      </c>
      <c r="BF19" s="31">
        <f t="shared" si="43"/>
        <v>0</v>
      </c>
      <c r="BG19" s="27"/>
      <c r="BH19" s="37">
        <f t="shared" si="9"/>
        <v>-1</v>
      </c>
      <c r="BI19" s="36">
        <f>[1]MJ!$L19</f>
        <v>2500</v>
      </c>
      <c r="BJ19" s="31">
        <f t="shared" si="44"/>
        <v>2192.75</v>
      </c>
      <c r="BK19" s="31">
        <f t="shared" si="45"/>
        <v>307.25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[1]MJ!$M19</f>
        <v>2500</v>
      </c>
      <c r="BQ19" s="31">
        <f t="shared" si="48"/>
        <v>2192.75</v>
      </c>
      <c r="BR19" s="31">
        <f t="shared" si="49"/>
        <v>307.25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[1]MJ!$N19</f>
        <v>2500</v>
      </c>
      <c r="BX19" s="31">
        <f t="shared" si="52"/>
        <v>2192.75</v>
      </c>
      <c r="BY19" s="31">
        <f t="shared" si="53"/>
        <v>307.25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[1]MJ!$O19</f>
        <v>2500</v>
      </c>
      <c r="CE19" s="31">
        <f t="shared" si="56"/>
        <v>2192.75</v>
      </c>
      <c r="CF19" s="31">
        <f t="shared" si="57"/>
        <v>307.25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[1]MJ!$P19</f>
        <v>2500</v>
      </c>
      <c r="CL19" s="31">
        <f t="shared" si="60"/>
        <v>2192.75</v>
      </c>
      <c r="CM19" s="31">
        <f t="shared" si="61"/>
        <v>307.25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587164.72980571399</v>
      </c>
      <c r="C20" s="31">
        <f t="shared" si="0"/>
        <v>515002.18451259192</v>
      </c>
      <c r="D20" s="32">
        <f t="shared" si="0"/>
        <v>72162.545293122239</v>
      </c>
      <c r="E20" s="30">
        <f t="shared" si="15"/>
        <v>335465.90490285697</v>
      </c>
      <c r="F20" s="33">
        <f t="shared" si="15"/>
        <v>294237.14519029588</v>
      </c>
      <c r="G20" s="34">
        <f t="shared" si="15"/>
        <v>41228.759712561121</v>
      </c>
      <c r="H20" s="31">
        <f t="shared" si="1"/>
        <v>185431.814136</v>
      </c>
      <c r="I20" s="33">
        <f t="shared" si="1"/>
        <v>8575.1058639999992</v>
      </c>
      <c r="J20" s="33">
        <f t="shared" si="1"/>
        <v>194006.91999999998</v>
      </c>
      <c r="K20" s="37">
        <f t="shared" si="2"/>
        <v>-0.42167917166968183</v>
      </c>
      <c r="L20" s="36">
        <f>[1]MJ!$E20</f>
        <v>0</v>
      </c>
      <c r="M20" s="31">
        <f t="shared" si="16"/>
        <v>0</v>
      </c>
      <c r="N20" s="31">
        <f t="shared" si="17"/>
        <v>0</v>
      </c>
      <c r="O20" s="31">
        <f t="shared" si="18"/>
        <v>0</v>
      </c>
      <c r="P20" s="31">
        <f t="shared" si="19"/>
        <v>0</v>
      </c>
      <c r="Q20" s="33"/>
      <c r="R20" s="37" t="str">
        <f t="shared" si="3"/>
        <v/>
      </c>
      <c r="S20" s="36">
        <f>[1]MJ!$F20</f>
        <v>0</v>
      </c>
      <c r="T20" s="31">
        <f t="shared" si="20"/>
        <v>0</v>
      </c>
      <c r="U20" s="31">
        <f t="shared" si="21"/>
        <v>0</v>
      </c>
      <c r="V20" s="31">
        <f t="shared" si="22"/>
        <v>0</v>
      </c>
      <c r="W20" s="31">
        <f t="shared" si="23"/>
        <v>0</v>
      </c>
      <c r="X20" s="33"/>
      <c r="Y20" s="37" t="str">
        <f t="shared" si="4"/>
        <v/>
      </c>
      <c r="Z20" s="36">
        <f>[1]MJ!$G20</f>
        <v>335465.90490285697</v>
      </c>
      <c r="AA20" s="31">
        <f t="shared" si="24"/>
        <v>294237.14519029588</v>
      </c>
      <c r="AB20" s="31">
        <f t="shared" si="25"/>
        <v>41228.759712561121</v>
      </c>
      <c r="AC20" s="31">
        <f t="shared" si="26"/>
        <v>148607.54505000002</v>
      </c>
      <c r="AD20" s="31">
        <f t="shared" si="27"/>
        <v>6872.2049499999994</v>
      </c>
      <c r="AE20" s="33">
        <v>155479.75</v>
      </c>
      <c r="AF20" s="37">
        <f t="shared" si="5"/>
        <v>-0.53652592490726203</v>
      </c>
      <c r="AG20" s="36">
        <f>[1]MJ!$H20</f>
        <v>0</v>
      </c>
      <c r="AH20" s="31">
        <f t="shared" si="28"/>
        <v>0</v>
      </c>
      <c r="AI20" s="31">
        <f t="shared" si="29"/>
        <v>0</v>
      </c>
      <c r="AJ20" s="31">
        <f t="shared" si="30"/>
        <v>36824.269086</v>
      </c>
      <c r="AK20" s="31">
        <f t="shared" si="31"/>
        <v>1702.9009139999998</v>
      </c>
      <c r="AL20" s="27">
        <v>38527.17</v>
      </c>
      <c r="AM20" s="37" t="str">
        <f t="shared" si="6"/>
        <v/>
      </c>
      <c r="AN20" s="36">
        <f>[1]MJ!$I20</f>
        <v>8079.24</v>
      </c>
      <c r="AO20" s="31">
        <f t="shared" si="32"/>
        <v>7086.3014039999998</v>
      </c>
      <c r="AP20" s="31">
        <f t="shared" si="33"/>
        <v>992.93859599999996</v>
      </c>
      <c r="AQ20" s="31">
        <f t="shared" si="34"/>
        <v>0</v>
      </c>
      <c r="AR20" s="31">
        <f t="shared" si="35"/>
        <v>0</v>
      </c>
      <c r="AS20" s="33"/>
      <c r="AT20" s="37">
        <f t="shared" si="7"/>
        <v>-1</v>
      </c>
      <c r="AU20" s="36">
        <f>[1]MJ!$J20</f>
        <v>8079.24</v>
      </c>
      <c r="AV20" s="31">
        <f t="shared" si="36"/>
        <v>7086.3014039999998</v>
      </c>
      <c r="AW20" s="31">
        <f t="shared" si="37"/>
        <v>992.93859599999996</v>
      </c>
      <c r="AX20" s="31">
        <f t="shared" si="38"/>
        <v>0</v>
      </c>
      <c r="AY20" s="31">
        <f t="shared" si="39"/>
        <v>0</v>
      </c>
      <c r="AZ20" s="33"/>
      <c r="BA20" s="37">
        <f t="shared" si="8"/>
        <v>-1</v>
      </c>
      <c r="BB20" s="36">
        <f>[1]MJ!$K20</f>
        <v>156084.24</v>
      </c>
      <c r="BC20" s="31">
        <f t="shared" si="40"/>
        <v>136901.48690399999</v>
      </c>
      <c r="BD20" s="31">
        <f t="shared" si="41"/>
        <v>19182.753095999997</v>
      </c>
      <c r="BE20" s="31">
        <f t="shared" si="42"/>
        <v>0</v>
      </c>
      <c r="BF20" s="31">
        <f t="shared" si="43"/>
        <v>0</v>
      </c>
      <c r="BG20" s="27"/>
      <c r="BH20" s="37">
        <f t="shared" si="9"/>
        <v>-1</v>
      </c>
      <c r="BI20" s="36">
        <f>[1]MJ!$L20</f>
        <v>22345.144902857101</v>
      </c>
      <c r="BJ20" s="31">
        <f t="shared" si="44"/>
        <v>19598.926594295961</v>
      </c>
      <c r="BK20" s="31">
        <f t="shared" si="45"/>
        <v>2746.2183085611377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[1]MJ!$M20</f>
        <v>32873.24</v>
      </c>
      <c r="BQ20" s="31">
        <f t="shared" si="48"/>
        <v>28833.118803999998</v>
      </c>
      <c r="BR20" s="31">
        <f t="shared" si="49"/>
        <v>4040.1211959999996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[1]MJ!$N20</f>
        <v>8079.24</v>
      </c>
      <c r="BX20" s="31">
        <f t="shared" si="52"/>
        <v>7086.3014039999998</v>
      </c>
      <c r="BY20" s="31">
        <f t="shared" si="53"/>
        <v>992.93859599999996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[1]MJ!$O20</f>
        <v>8079.24</v>
      </c>
      <c r="CE20" s="31">
        <f t="shared" si="56"/>
        <v>7086.3014039999998</v>
      </c>
      <c r="CF20" s="31">
        <f t="shared" si="57"/>
        <v>992.93859599999996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[1]MJ!$P20</f>
        <v>8079.24</v>
      </c>
      <c r="CL20" s="31">
        <f t="shared" si="60"/>
        <v>7086.3014039999998</v>
      </c>
      <c r="CM20" s="31">
        <f t="shared" si="61"/>
        <v>992.93859599999996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133913.64300000001</v>
      </c>
      <c r="C21" s="31">
        <f t="shared" si="0"/>
        <v>117455.65627530002</v>
      </c>
      <c r="D21" s="32">
        <f t="shared" si="0"/>
        <v>16457.9867247</v>
      </c>
      <c r="E21" s="30">
        <f t="shared" si="15"/>
        <v>133913.64300000001</v>
      </c>
      <c r="F21" s="33">
        <f t="shared" si="15"/>
        <v>117455.65627530002</v>
      </c>
      <c r="G21" s="34">
        <f t="shared" si="15"/>
        <v>16457.9867247</v>
      </c>
      <c r="H21" s="31">
        <f t="shared" si="1"/>
        <v>65806.83</v>
      </c>
      <c r="I21" s="33">
        <f t="shared" si="1"/>
        <v>3043.1699999999996</v>
      </c>
      <c r="J21" s="33">
        <f t="shared" si="1"/>
        <v>68850</v>
      </c>
      <c r="K21" s="37">
        <f t="shared" si="2"/>
        <v>-0.48586269137641191</v>
      </c>
      <c r="L21" s="36">
        <f>[1]MJ!$E21</f>
        <v>133913.64300000001</v>
      </c>
      <c r="M21" s="31">
        <f t="shared" si="16"/>
        <v>117455.65627530002</v>
      </c>
      <c r="N21" s="31">
        <f t="shared" si="17"/>
        <v>16457.9867247</v>
      </c>
      <c r="O21" s="31">
        <f t="shared" si="18"/>
        <v>7598.61</v>
      </c>
      <c r="P21" s="31">
        <f t="shared" si="19"/>
        <v>351.39</v>
      </c>
      <c r="Q21" s="33">
        <v>7950</v>
      </c>
      <c r="R21" s="37">
        <f t="shared" si="3"/>
        <v>-0.94063338266437868</v>
      </c>
      <c r="S21" s="36">
        <f>[1]MJ!$F21</f>
        <v>0</v>
      </c>
      <c r="T21" s="31">
        <f t="shared" si="20"/>
        <v>0</v>
      </c>
      <c r="U21" s="31">
        <f t="shared" si="21"/>
        <v>0</v>
      </c>
      <c r="V21" s="31">
        <f t="shared" si="22"/>
        <v>58208.22</v>
      </c>
      <c r="W21" s="31">
        <f t="shared" si="23"/>
        <v>2691.7799999999997</v>
      </c>
      <c r="X21" s="33">
        <f>60900</f>
        <v>60900</v>
      </c>
      <c r="Y21" s="37" t="str">
        <f t="shared" si="4"/>
        <v/>
      </c>
      <c r="Z21" s="36">
        <f>[1]MJ!$G21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33"/>
      <c r="AF21" s="37" t="str">
        <f t="shared" si="5"/>
        <v/>
      </c>
      <c r="AG21" s="36">
        <f>[1]MJ!$H21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27"/>
      <c r="AM21" s="37" t="str">
        <f t="shared" si="6"/>
        <v/>
      </c>
      <c r="AN21" s="36">
        <f>[1]MJ!$I21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7"/>
        <v/>
      </c>
      <c r="AU21" s="36">
        <f>[1]MJ!$J21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33"/>
      <c r="BA21" s="37" t="str">
        <f t="shared" si="8"/>
        <v/>
      </c>
      <c r="BB21" s="36">
        <f>[1]MJ!$K21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9"/>
        <v/>
      </c>
      <c r="BI21" s="36">
        <f>[1]MJ!$L21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[1]MJ!$M21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[1]MJ!$N21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[1]MJ!$O21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[1]MJ!$P21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204605.99999999886</v>
      </c>
      <c r="C22" s="31">
        <f t="shared" si="0"/>
        <v>179459.922599999</v>
      </c>
      <c r="D22" s="32">
        <f t="shared" si="0"/>
        <v>25146.077399999849</v>
      </c>
      <c r="E22" s="30">
        <f t="shared" si="15"/>
        <v>68201.999999999607</v>
      </c>
      <c r="F22" s="33">
        <f t="shared" si="15"/>
        <v>59819.974199999655</v>
      </c>
      <c r="G22" s="34">
        <f t="shared" si="15"/>
        <v>8382.0257999999521</v>
      </c>
      <c r="H22" s="31">
        <f t="shared" si="1"/>
        <v>45660.802572000001</v>
      </c>
      <c r="I22" s="33">
        <f t="shared" si="1"/>
        <v>2111.5374279999996</v>
      </c>
      <c r="J22" s="33">
        <f t="shared" si="1"/>
        <v>47772.340000000004</v>
      </c>
      <c r="K22" s="37">
        <f t="shared" si="2"/>
        <v>-0.29954634761443533</v>
      </c>
      <c r="L22" s="36">
        <f>[1]MJ!$E22</f>
        <v>17050.499999999902</v>
      </c>
      <c r="M22" s="31">
        <f t="shared" si="16"/>
        <v>14954.993549999914</v>
      </c>
      <c r="N22" s="31">
        <f t="shared" si="17"/>
        <v>2095.506449999988</v>
      </c>
      <c r="O22" s="31">
        <f t="shared" si="18"/>
        <v>14821.647948</v>
      </c>
      <c r="P22" s="31">
        <f t="shared" si="19"/>
        <v>685.4120519999999</v>
      </c>
      <c r="Q22" s="33">
        <v>15507.06</v>
      </c>
      <c r="R22" s="37">
        <f t="shared" si="3"/>
        <v>-9.0521685581062772E-2</v>
      </c>
      <c r="S22" s="36">
        <f>[1]MJ!$F22</f>
        <v>17050.499999999902</v>
      </c>
      <c r="T22" s="31">
        <f t="shared" si="20"/>
        <v>14954.993549999914</v>
      </c>
      <c r="U22" s="31">
        <f t="shared" si="21"/>
        <v>2095.506449999988</v>
      </c>
      <c r="V22" s="31">
        <f t="shared" si="22"/>
        <v>18618.009084000001</v>
      </c>
      <c r="W22" s="31">
        <f t="shared" si="23"/>
        <v>860.97091599999987</v>
      </c>
      <c r="X22" s="33">
        <v>19478.98</v>
      </c>
      <c r="Y22" s="37">
        <f t="shared" si="4"/>
        <v>0.14242866778101004</v>
      </c>
      <c r="Z22" s="36">
        <f>[1]MJ!$G22</f>
        <v>17050.499999999902</v>
      </c>
      <c r="AA22" s="31">
        <f t="shared" si="24"/>
        <v>14954.993549999914</v>
      </c>
      <c r="AB22" s="31">
        <f t="shared" si="25"/>
        <v>2095.506449999988</v>
      </c>
      <c r="AC22" s="31">
        <f t="shared" si="26"/>
        <v>7251.1193519999997</v>
      </c>
      <c r="AD22" s="31">
        <f t="shared" si="27"/>
        <v>335.32064799999995</v>
      </c>
      <c r="AE22" s="33">
        <f>7586.44</f>
        <v>7586.44</v>
      </c>
      <c r="AF22" s="37">
        <f t="shared" si="5"/>
        <v>-0.55506055540892973</v>
      </c>
      <c r="AG22" s="36">
        <f>[1]MJ!$H22</f>
        <v>17050.499999999902</v>
      </c>
      <c r="AH22" s="31">
        <f t="shared" si="28"/>
        <v>14954.993549999914</v>
      </c>
      <c r="AI22" s="31">
        <f t="shared" si="29"/>
        <v>2095.506449999988</v>
      </c>
      <c r="AJ22" s="31">
        <f t="shared" si="30"/>
        <v>4970.0261879999998</v>
      </c>
      <c r="AK22" s="31">
        <f t="shared" si="31"/>
        <v>229.83381199999997</v>
      </c>
      <c r="AL22" s="27">
        <v>5199.8599999999997</v>
      </c>
      <c r="AM22" s="37">
        <f t="shared" si="6"/>
        <v>-0.69503181724875929</v>
      </c>
      <c r="AN22" s="36">
        <f>[1]MJ!$I22</f>
        <v>17050.499999999902</v>
      </c>
      <c r="AO22" s="31">
        <f t="shared" si="32"/>
        <v>14954.993549999914</v>
      </c>
      <c r="AP22" s="31">
        <f t="shared" si="33"/>
        <v>2095.506449999988</v>
      </c>
      <c r="AQ22" s="31">
        <f t="shared" si="34"/>
        <v>0</v>
      </c>
      <c r="AR22" s="31">
        <f t="shared" si="35"/>
        <v>0</v>
      </c>
      <c r="AS22" s="33"/>
      <c r="AT22" s="37">
        <f t="shared" si="7"/>
        <v>-1</v>
      </c>
      <c r="AU22" s="36">
        <f>[1]MJ!$J22</f>
        <v>17050.499999999902</v>
      </c>
      <c r="AV22" s="31">
        <f t="shared" si="36"/>
        <v>14954.993549999914</v>
      </c>
      <c r="AW22" s="31">
        <f t="shared" si="37"/>
        <v>2095.506449999988</v>
      </c>
      <c r="AX22" s="31">
        <f t="shared" si="38"/>
        <v>0</v>
      </c>
      <c r="AY22" s="31">
        <f t="shared" si="39"/>
        <v>0</v>
      </c>
      <c r="AZ22" s="33"/>
      <c r="BA22" s="37">
        <f t="shared" si="8"/>
        <v>-1</v>
      </c>
      <c r="BB22" s="36">
        <f>[1]MJ!$K22</f>
        <v>17050.499999999902</v>
      </c>
      <c r="BC22" s="31">
        <f t="shared" si="40"/>
        <v>14954.993549999914</v>
      </c>
      <c r="BD22" s="31">
        <f t="shared" si="41"/>
        <v>2095.506449999988</v>
      </c>
      <c r="BE22" s="31">
        <f t="shared" si="42"/>
        <v>0</v>
      </c>
      <c r="BF22" s="31">
        <f t="shared" si="43"/>
        <v>0</v>
      </c>
      <c r="BG22" s="27"/>
      <c r="BH22" s="37">
        <f t="shared" si="9"/>
        <v>-1</v>
      </c>
      <c r="BI22" s="36">
        <f>[1]MJ!$L22</f>
        <v>17050.499999999902</v>
      </c>
      <c r="BJ22" s="31">
        <f t="shared" si="44"/>
        <v>14954.993549999914</v>
      </c>
      <c r="BK22" s="31">
        <f t="shared" si="45"/>
        <v>2095.506449999988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[1]MJ!$M22</f>
        <v>17050.499999999902</v>
      </c>
      <c r="BQ22" s="31">
        <f t="shared" si="48"/>
        <v>14954.993549999914</v>
      </c>
      <c r="BR22" s="31">
        <f t="shared" si="49"/>
        <v>2095.506449999988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[1]MJ!$N22</f>
        <v>17050.499999999902</v>
      </c>
      <c r="BX22" s="31">
        <f t="shared" si="52"/>
        <v>14954.993549999914</v>
      </c>
      <c r="BY22" s="31">
        <f t="shared" si="53"/>
        <v>2095.506449999988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[1]MJ!$O22</f>
        <v>17050.499999999902</v>
      </c>
      <c r="CE22" s="31">
        <f t="shared" si="56"/>
        <v>14954.993549999914</v>
      </c>
      <c r="CF22" s="31">
        <f t="shared" si="57"/>
        <v>2095.506449999988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[1]MJ!$P22</f>
        <v>17050.499999999902</v>
      </c>
      <c r="CL22" s="31">
        <f t="shared" si="60"/>
        <v>14954.993549999914</v>
      </c>
      <c r="CM22" s="31">
        <f t="shared" si="61"/>
        <v>2095.506449999988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[1]MJ!$E23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[1]MJ!$F23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[1]MJ!$G23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[1]MJ!$H23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27"/>
      <c r="AM23" s="37" t="str">
        <f t="shared" si="6"/>
        <v/>
      </c>
      <c r="AN23" s="36">
        <f>[1]MJ!$I23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7"/>
        <v/>
      </c>
      <c r="AU23" s="36">
        <f>[1]MJ!$J23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33"/>
      <c r="BA23" s="37" t="str">
        <f t="shared" si="8"/>
        <v/>
      </c>
      <c r="BB23" s="36">
        <f>[1]MJ!$K23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9"/>
        <v/>
      </c>
      <c r="BI23" s="36">
        <f>[1]MJ!$L23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[1]MJ!$M23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[1]MJ!$N23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[1]MJ!$O23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[1]MJ!$P23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191027.98591160716</v>
      </c>
      <c r="C24" s="31">
        <f t="shared" si="0"/>
        <v>167550.64644307073</v>
      </c>
      <c r="D24" s="32">
        <f t="shared" si="0"/>
        <v>23477.339468536524</v>
      </c>
      <c r="E24" s="30">
        <f t="shared" si="15"/>
        <v>64611.483865789065</v>
      </c>
      <c r="F24" s="33">
        <f t="shared" si="15"/>
        <v>56670.732498683588</v>
      </c>
      <c r="G24" s="34">
        <f t="shared" si="15"/>
        <v>7940.7513671054758</v>
      </c>
      <c r="H24" s="31">
        <f t="shared" si="1"/>
        <v>21695.799780000001</v>
      </c>
      <c r="I24" s="33">
        <f t="shared" si="1"/>
        <v>1003.3002199999999</v>
      </c>
      <c r="J24" s="33">
        <f t="shared" si="1"/>
        <v>22699.1</v>
      </c>
      <c r="K24" s="37">
        <f t="shared" si="2"/>
        <v>-0.64868319620780479</v>
      </c>
      <c r="L24" s="36">
        <f>[1]MJ!$E24</f>
        <v>16152.870966447266</v>
      </c>
      <c r="M24" s="31">
        <f t="shared" si="16"/>
        <v>14167.683124670897</v>
      </c>
      <c r="N24" s="31">
        <f t="shared" si="17"/>
        <v>1985.1878417763689</v>
      </c>
      <c r="O24" s="31">
        <f t="shared" si="18"/>
        <v>4539.2662440000004</v>
      </c>
      <c r="P24" s="31">
        <f t="shared" si="19"/>
        <v>209.91375600000001</v>
      </c>
      <c r="Q24" s="33">
        <v>4749.18</v>
      </c>
      <c r="R24" s="37">
        <f t="shared" si="3"/>
        <v>-0.70598539356471091</v>
      </c>
      <c r="S24" s="36">
        <f>[1]MJ!$F24</f>
        <v>16152.870966447266</v>
      </c>
      <c r="T24" s="31">
        <f t="shared" si="20"/>
        <v>14167.683124670897</v>
      </c>
      <c r="U24" s="31">
        <f t="shared" si="21"/>
        <v>1985.1878417763689</v>
      </c>
      <c r="V24" s="31">
        <f t="shared" si="22"/>
        <v>0</v>
      </c>
      <c r="W24" s="31">
        <f t="shared" si="23"/>
        <v>0</v>
      </c>
      <c r="X24" s="33"/>
      <c r="Y24" s="37">
        <f t="shared" si="4"/>
        <v>-1</v>
      </c>
      <c r="Z24" s="36">
        <f>[1]MJ!$G24</f>
        <v>16152.870966447266</v>
      </c>
      <c r="AA24" s="31">
        <f t="shared" si="24"/>
        <v>14167.683124670897</v>
      </c>
      <c r="AB24" s="31">
        <f t="shared" si="25"/>
        <v>1985.1878417763689</v>
      </c>
      <c r="AC24" s="31">
        <f t="shared" si="26"/>
        <v>0</v>
      </c>
      <c r="AD24" s="31">
        <f t="shared" si="27"/>
        <v>0</v>
      </c>
      <c r="AE24" s="33"/>
      <c r="AF24" s="37">
        <f t="shared" si="5"/>
        <v>-1</v>
      </c>
      <c r="AG24" s="36">
        <f>[1]MJ!$H24</f>
        <v>16152.870966447266</v>
      </c>
      <c r="AH24" s="31">
        <f t="shared" si="28"/>
        <v>14167.683124670897</v>
      </c>
      <c r="AI24" s="31">
        <f t="shared" si="29"/>
        <v>1985.1878417763689</v>
      </c>
      <c r="AJ24" s="31">
        <f t="shared" si="30"/>
        <v>17156.533535999999</v>
      </c>
      <c r="AK24" s="31">
        <f t="shared" si="31"/>
        <v>793.38646399999982</v>
      </c>
      <c r="AL24" s="27">
        <v>17949.919999999998</v>
      </c>
      <c r="AM24" s="37">
        <f t="shared" si="6"/>
        <v>0.11125260873349152</v>
      </c>
      <c r="AN24" s="36">
        <f>[1]MJ!$I24</f>
        <v>16152.870966447266</v>
      </c>
      <c r="AO24" s="31">
        <f t="shared" si="32"/>
        <v>14167.683124670897</v>
      </c>
      <c r="AP24" s="31">
        <f t="shared" si="33"/>
        <v>1985.1878417763689</v>
      </c>
      <c r="AQ24" s="31">
        <f t="shared" si="34"/>
        <v>0</v>
      </c>
      <c r="AR24" s="31">
        <f t="shared" si="35"/>
        <v>0</v>
      </c>
      <c r="AS24" s="33"/>
      <c r="AT24" s="37">
        <f t="shared" si="7"/>
        <v>-1</v>
      </c>
      <c r="AU24" s="36">
        <f>[1]MJ!$J24</f>
        <v>16152.870966447266</v>
      </c>
      <c r="AV24" s="31">
        <f t="shared" si="36"/>
        <v>14167.683124670897</v>
      </c>
      <c r="AW24" s="31">
        <f t="shared" si="37"/>
        <v>1985.1878417763689</v>
      </c>
      <c r="AX24" s="31">
        <f t="shared" si="38"/>
        <v>0</v>
      </c>
      <c r="AY24" s="31">
        <f t="shared" si="39"/>
        <v>0</v>
      </c>
      <c r="AZ24" s="33"/>
      <c r="BA24" s="37">
        <f t="shared" si="8"/>
        <v>-1</v>
      </c>
      <c r="BB24" s="36">
        <f>[1]MJ!$K24</f>
        <v>13346.405280687268</v>
      </c>
      <c r="BC24" s="31">
        <f t="shared" si="40"/>
        <v>11706.132071690803</v>
      </c>
      <c r="BD24" s="31">
        <f t="shared" si="41"/>
        <v>1640.2732089964652</v>
      </c>
      <c r="BE24" s="31">
        <f t="shared" si="42"/>
        <v>0</v>
      </c>
      <c r="BF24" s="31">
        <f t="shared" si="43"/>
        <v>0</v>
      </c>
      <c r="BG24" s="27"/>
      <c r="BH24" s="37">
        <f t="shared" si="9"/>
        <v>-1</v>
      </c>
      <c r="BI24" s="36">
        <f>[1]MJ!$L24</f>
        <v>16152.870966447266</v>
      </c>
      <c r="BJ24" s="31">
        <f t="shared" si="44"/>
        <v>14167.683124670897</v>
      </c>
      <c r="BK24" s="31">
        <f t="shared" si="45"/>
        <v>1985.1878417763689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[1]MJ!$M24</f>
        <v>16152.870966447266</v>
      </c>
      <c r="BQ24" s="31">
        <f t="shared" si="48"/>
        <v>14167.683124670897</v>
      </c>
      <c r="BR24" s="31">
        <f t="shared" si="49"/>
        <v>1985.1878417763689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[1]MJ!$N24</f>
        <v>16152.870966447266</v>
      </c>
      <c r="BX24" s="31">
        <f t="shared" si="52"/>
        <v>14167.683124670897</v>
      </c>
      <c r="BY24" s="31">
        <f t="shared" si="53"/>
        <v>1985.1878417763689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[1]MJ!$O24</f>
        <v>16152.870966447266</v>
      </c>
      <c r="CE24" s="31">
        <f t="shared" si="56"/>
        <v>14167.683124670897</v>
      </c>
      <c r="CF24" s="31">
        <f t="shared" si="57"/>
        <v>1985.1878417763689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[1]MJ!$P24</f>
        <v>16152.870966447266</v>
      </c>
      <c r="CL24" s="31">
        <f t="shared" si="60"/>
        <v>14167.683124670897</v>
      </c>
      <c r="CM24" s="31">
        <f t="shared" si="61"/>
        <v>1985.1878417763689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692442.00476099912</v>
      </c>
      <c r="C25" s="31">
        <f t="shared" si="0"/>
        <v>607340.88237587234</v>
      </c>
      <c r="D25" s="32">
        <f t="shared" si="0"/>
        <v>85101.122385126786</v>
      </c>
      <c r="E25" s="30">
        <f t="shared" si="15"/>
        <v>177886.44900000002</v>
      </c>
      <c r="F25" s="33">
        <f t="shared" si="15"/>
        <v>156024.20441790001</v>
      </c>
      <c r="G25" s="34">
        <f t="shared" si="15"/>
        <v>21862.2445821</v>
      </c>
      <c r="H25" s="31">
        <f t="shared" si="1"/>
        <v>132637.474728</v>
      </c>
      <c r="I25" s="33">
        <f t="shared" si="1"/>
        <v>6133.6852719999997</v>
      </c>
      <c r="J25" s="33">
        <f t="shared" si="1"/>
        <v>138771.16</v>
      </c>
      <c r="K25" s="37">
        <f t="shared" si="2"/>
        <v>-0.21988908778543337</v>
      </c>
      <c r="L25" s="36">
        <f>[1]MJ!$E25</f>
        <v>0</v>
      </c>
      <c r="M25" s="31">
        <f t="shared" si="16"/>
        <v>0</v>
      </c>
      <c r="N25" s="31">
        <f t="shared" si="17"/>
        <v>0</v>
      </c>
      <c r="O25" s="31">
        <f t="shared" si="18"/>
        <v>788.525442</v>
      </c>
      <c r="P25" s="31">
        <f t="shared" si="19"/>
        <v>36.464557999999997</v>
      </c>
      <c r="Q25" s="33">
        <v>824.99</v>
      </c>
      <c r="R25" s="37" t="str">
        <f t="shared" si="3"/>
        <v/>
      </c>
      <c r="S25" s="36">
        <f>[1]MJ!$F25</f>
        <v>0</v>
      </c>
      <c r="T25" s="31">
        <f t="shared" si="20"/>
        <v>0</v>
      </c>
      <c r="U25" s="31">
        <f t="shared" si="21"/>
        <v>0</v>
      </c>
      <c r="V25" s="31">
        <f t="shared" si="22"/>
        <v>35292.981906000001</v>
      </c>
      <c r="W25" s="31">
        <f t="shared" si="23"/>
        <v>1632.088094</v>
      </c>
      <c r="X25" s="33">
        <v>36925.07</v>
      </c>
      <c r="Y25" s="37" t="str">
        <f t="shared" si="4"/>
        <v/>
      </c>
      <c r="Z25" s="36">
        <f>[1]MJ!$G25</f>
        <v>71359.47</v>
      </c>
      <c r="AA25" s="31">
        <f t="shared" si="24"/>
        <v>62589.391136999999</v>
      </c>
      <c r="AB25" s="31">
        <f t="shared" si="25"/>
        <v>8770.0788630000006</v>
      </c>
      <c r="AC25" s="31">
        <f t="shared" si="26"/>
        <v>37265.122278000003</v>
      </c>
      <c r="AD25" s="31">
        <f t="shared" si="27"/>
        <v>1723.287722</v>
      </c>
      <c r="AE25" s="33">
        <v>38988.410000000003</v>
      </c>
      <c r="AF25" s="37">
        <f t="shared" si="5"/>
        <v>-0.45363369430854794</v>
      </c>
      <c r="AG25" s="36">
        <f>[1]MJ!$H25</f>
        <v>106526.97900000001</v>
      </c>
      <c r="AH25" s="31">
        <f t="shared" si="28"/>
        <v>93434.813280900009</v>
      </c>
      <c r="AI25" s="31">
        <f t="shared" si="29"/>
        <v>13092.165719099999</v>
      </c>
      <c r="AJ25" s="31">
        <f t="shared" si="30"/>
        <v>59290.845101999999</v>
      </c>
      <c r="AK25" s="31">
        <f t="shared" si="31"/>
        <v>2741.8448979999998</v>
      </c>
      <c r="AL25" s="27">
        <v>62032.69</v>
      </c>
      <c r="AM25" s="37">
        <f t="shared" si="6"/>
        <v>-0.41768094259013955</v>
      </c>
      <c r="AN25" s="36">
        <f>[1]MJ!$I25</f>
        <v>106526.978999999</v>
      </c>
      <c r="AO25" s="31">
        <f t="shared" si="32"/>
        <v>93434.813280899121</v>
      </c>
      <c r="AP25" s="31">
        <f t="shared" si="33"/>
        <v>13092.165719099878</v>
      </c>
      <c r="AQ25" s="31">
        <f t="shared" si="34"/>
        <v>0</v>
      </c>
      <c r="AR25" s="31">
        <f t="shared" si="35"/>
        <v>0</v>
      </c>
      <c r="AS25" s="33"/>
      <c r="AT25" s="37">
        <f t="shared" si="7"/>
        <v>-1</v>
      </c>
      <c r="AU25" s="36">
        <f>[1]MJ!$J25</f>
        <v>109500.417</v>
      </c>
      <c r="AV25" s="31">
        <f t="shared" si="36"/>
        <v>96042.8157507</v>
      </c>
      <c r="AW25" s="31">
        <f t="shared" si="37"/>
        <v>13457.6012493</v>
      </c>
      <c r="AX25" s="31">
        <f t="shared" si="38"/>
        <v>0</v>
      </c>
      <c r="AY25" s="31">
        <f t="shared" si="39"/>
        <v>0</v>
      </c>
      <c r="AZ25" s="33"/>
      <c r="BA25" s="37">
        <f t="shared" si="8"/>
        <v>-1</v>
      </c>
      <c r="BB25" s="36">
        <f>[1]MJ!$K25</f>
        <v>60442.317000000003</v>
      </c>
      <c r="BC25" s="31">
        <f t="shared" si="40"/>
        <v>53013.956240700005</v>
      </c>
      <c r="BD25" s="31">
        <f t="shared" si="41"/>
        <v>7428.3607592999997</v>
      </c>
      <c r="BE25" s="31">
        <f t="shared" si="42"/>
        <v>0</v>
      </c>
      <c r="BF25" s="31">
        <f t="shared" si="43"/>
        <v>0</v>
      </c>
      <c r="BG25" s="27"/>
      <c r="BH25" s="37">
        <f t="shared" si="9"/>
        <v>-1</v>
      </c>
      <c r="BI25" s="36">
        <f>[1]MJ!$L25</f>
        <v>60442.317000000003</v>
      </c>
      <c r="BJ25" s="31">
        <f t="shared" si="44"/>
        <v>53013.956240700005</v>
      </c>
      <c r="BK25" s="31">
        <f t="shared" si="45"/>
        <v>7428.3607592999997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[1]MJ!$M25</f>
        <v>60442.317000000003</v>
      </c>
      <c r="BQ25" s="31">
        <f t="shared" si="48"/>
        <v>53013.956240700005</v>
      </c>
      <c r="BR25" s="31">
        <f t="shared" si="49"/>
        <v>7428.3607592999997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[1]MJ!$N25</f>
        <v>55016.724866999997</v>
      </c>
      <c r="BX25" s="31">
        <f t="shared" si="52"/>
        <v>48255.169380845698</v>
      </c>
      <c r="BY25" s="31">
        <f t="shared" si="53"/>
        <v>6761.5554861542996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[1]MJ!$O25</f>
        <v>31092.241946999999</v>
      </c>
      <c r="CE25" s="31">
        <f t="shared" si="56"/>
        <v>27271.005411713697</v>
      </c>
      <c r="CF25" s="31">
        <f t="shared" si="57"/>
        <v>3821.2365352862998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[1]MJ!$P25</f>
        <v>31092.241946999999</v>
      </c>
      <c r="CL25" s="31">
        <f t="shared" si="60"/>
        <v>27271.005411713697</v>
      </c>
      <c r="CM25" s="31">
        <f t="shared" si="61"/>
        <v>3821.2365352862998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2159912.5764603992</v>
      </c>
      <c r="C26" s="31">
        <f t="shared" si="0"/>
        <v>1894459.3208134163</v>
      </c>
      <c r="D26" s="32">
        <f t="shared" si="0"/>
        <v>265453.25564698305</v>
      </c>
      <c r="E26" s="30">
        <f t="shared" si="15"/>
        <v>587125.63204053335</v>
      </c>
      <c r="F26" s="33">
        <f t="shared" si="15"/>
        <v>514967.89186275186</v>
      </c>
      <c r="G26" s="34">
        <f t="shared" si="15"/>
        <v>72157.740177781554</v>
      </c>
      <c r="H26" s="31">
        <f t="shared" si="1"/>
        <v>735674.48100000003</v>
      </c>
      <c r="I26" s="33">
        <f t="shared" si="1"/>
        <v>34020.519</v>
      </c>
      <c r="J26" s="33">
        <f t="shared" si="1"/>
        <v>769695</v>
      </c>
      <c r="K26" s="37">
        <f t="shared" si="2"/>
        <v>0.3109545180729949</v>
      </c>
      <c r="L26" s="36">
        <f>[1]MJ!$E26</f>
        <v>62894.778898133336</v>
      </c>
      <c r="M26" s="31">
        <f t="shared" si="16"/>
        <v>55165.010571552746</v>
      </c>
      <c r="N26" s="31">
        <f t="shared" si="17"/>
        <v>7729.7683265805863</v>
      </c>
      <c r="O26" s="31">
        <f t="shared" si="18"/>
        <v>107499.982518</v>
      </c>
      <c r="P26" s="31">
        <f t="shared" si="19"/>
        <v>4971.2274820000002</v>
      </c>
      <c r="Q26" s="33">
        <v>112471.21</v>
      </c>
      <c r="R26" s="37">
        <f t="shared" si="3"/>
        <v>0.78824398416540187</v>
      </c>
      <c r="S26" s="36">
        <f>[1]MJ!$F26</f>
        <v>128325.54689813334</v>
      </c>
      <c r="T26" s="31">
        <f t="shared" si="20"/>
        <v>112554.33718435276</v>
      </c>
      <c r="U26" s="31">
        <f t="shared" si="21"/>
        <v>15771.209713780587</v>
      </c>
      <c r="V26" s="31">
        <f t="shared" si="22"/>
        <v>174208.05545400002</v>
      </c>
      <c r="W26" s="31">
        <f t="shared" si="23"/>
        <v>8056.0745459999998</v>
      </c>
      <c r="X26" s="33">
        <f>181578.13+686</f>
        <v>182264.13</v>
      </c>
      <c r="Y26" s="37">
        <f t="shared" si="4"/>
        <v>0.42032615021453124</v>
      </c>
      <c r="Z26" s="36">
        <f>[1]MJ!$G26</f>
        <v>197952.65312213334</v>
      </c>
      <c r="AA26" s="31">
        <f t="shared" si="24"/>
        <v>173624.27205342316</v>
      </c>
      <c r="AB26" s="31">
        <f t="shared" si="25"/>
        <v>24328.381068710187</v>
      </c>
      <c r="AC26" s="31">
        <f t="shared" si="26"/>
        <v>225437.41573200002</v>
      </c>
      <c r="AD26" s="31">
        <f t="shared" si="27"/>
        <v>10425.124268</v>
      </c>
      <c r="AE26" s="33">
        <f>235176.54+686</f>
        <v>235862.54</v>
      </c>
      <c r="AF26" s="37">
        <f t="shared" si="5"/>
        <v>0.19150987006209474</v>
      </c>
      <c r="AG26" s="36">
        <f>[1]MJ!$H26</f>
        <v>197952.65312213334</v>
      </c>
      <c r="AH26" s="31">
        <f t="shared" si="28"/>
        <v>173624.27205342316</v>
      </c>
      <c r="AI26" s="31">
        <f t="shared" si="29"/>
        <v>24328.381068710187</v>
      </c>
      <c r="AJ26" s="31">
        <f t="shared" si="30"/>
        <v>228529.02729599999</v>
      </c>
      <c r="AK26" s="31">
        <f t="shared" si="31"/>
        <v>10568.092703999999</v>
      </c>
      <c r="AL26" s="27">
        <v>239097.12</v>
      </c>
      <c r="AM26" s="37">
        <f t="shared" si="6"/>
        <v>0.20785004004205598</v>
      </c>
      <c r="AN26" s="36">
        <f>[1]MJ!$I26</f>
        <v>221918.52689813331</v>
      </c>
      <c r="AO26" s="31">
        <f t="shared" si="32"/>
        <v>194644.73994235272</v>
      </c>
      <c r="AP26" s="31">
        <f t="shared" si="33"/>
        <v>27273.786955780583</v>
      </c>
      <c r="AQ26" s="31">
        <f t="shared" si="34"/>
        <v>0</v>
      </c>
      <c r="AR26" s="31">
        <f t="shared" si="35"/>
        <v>0</v>
      </c>
      <c r="AS26" s="33"/>
      <c r="AT26" s="37">
        <f t="shared" si="7"/>
        <v>-1</v>
      </c>
      <c r="AU26" s="36">
        <f>[1]MJ!$J26</f>
        <v>171561.11912213333</v>
      </c>
      <c r="AV26" s="31">
        <f t="shared" si="36"/>
        <v>150476.25758202316</v>
      </c>
      <c r="AW26" s="31">
        <f t="shared" si="37"/>
        <v>21084.861540110185</v>
      </c>
      <c r="AX26" s="31">
        <f t="shared" si="38"/>
        <v>0</v>
      </c>
      <c r="AY26" s="31">
        <f t="shared" si="39"/>
        <v>0</v>
      </c>
      <c r="AZ26" s="33"/>
      <c r="BA26" s="37">
        <f t="shared" si="8"/>
        <v>-1</v>
      </c>
      <c r="BB26" s="36">
        <f>[1]MJ!$K26</f>
        <v>147595.24534613334</v>
      </c>
      <c r="BC26" s="31">
        <f t="shared" si="40"/>
        <v>129455.78969309355</v>
      </c>
      <c r="BD26" s="31">
        <f t="shared" si="41"/>
        <v>18139.455653039786</v>
      </c>
      <c r="BE26" s="31">
        <f t="shared" si="42"/>
        <v>0</v>
      </c>
      <c r="BF26" s="31">
        <f t="shared" si="43"/>
        <v>0</v>
      </c>
      <c r="BG26" s="27"/>
      <c r="BH26" s="37">
        <f t="shared" si="9"/>
        <v>-1</v>
      </c>
      <c r="BI26" s="36">
        <f>[1]MJ!$L26</f>
        <v>197952.65312213334</v>
      </c>
      <c r="BJ26" s="31">
        <f t="shared" si="44"/>
        <v>173624.27205342316</v>
      </c>
      <c r="BK26" s="31">
        <f t="shared" si="45"/>
        <v>24328.381068710187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[1]MJ!$M26</f>
        <v>248377.88629733335</v>
      </c>
      <c r="BQ26" s="31">
        <f t="shared" si="48"/>
        <v>217852.24407139109</v>
      </c>
      <c r="BR26" s="31">
        <f t="shared" si="49"/>
        <v>30525.642225942265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[1]MJ!$N26</f>
        <v>239440.85500333246</v>
      </c>
      <c r="BX26" s="31">
        <f t="shared" si="52"/>
        <v>210013.5739234229</v>
      </c>
      <c r="BY26" s="31">
        <f t="shared" si="53"/>
        <v>29427.281079909557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[1]MJ!$O26</f>
        <v>175068.49842733331</v>
      </c>
      <c r="CE26" s="31">
        <f t="shared" si="56"/>
        <v>153552.57997061405</v>
      </c>
      <c r="CF26" s="31">
        <f t="shared" si="57"/>
        <v>21515.918456719264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[1]MJ!$P26</f>
        <v>170872.16020333336</v>
      </c>
      <c r="CL26" s="31">
        <f t="shared" si="60"/>
        <v>149871.9717143437</v>
      </c>
      <c r="CM26" s="31">
        <f t="shared" si="61"/>
        <v>21000.188488989668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116368.960905</v>
      </c>
      <c r="C27" s="31">
        <f t="shared" si="0"/>
        <v>102067.21560977548</v>
      </c>
      <c r="D27" s="32">
        <f t="shared" si="0"/>
        <v>14301.745295224498</v>
      </c>
      <c r="E27" s="30">
        <f t="shared" si="15"/>
        <v>34336.668600000005</v>
      </c>
      <c r="F27" s="33">
        <f t="shared" si="15"/>
        <v>30116.692029060003</v>
      </c>
      <c r="G27" s="34">
        <f t="shared" si="15"/>
        <v>4219.9765709399999</v>
      </c>
      <c r="H27" s="31">
        <f t="shared" si="1"/>
        <v>40046.251770000003</v>
      </c>
      <c r="I27" s="33">
        <f t="shared" si="1"/>
        <v>1851.8982299999998</v>
      </c>
      <c r="J27" s="33">
        <f t="shared" si="1"/>
        <v>41898.15</v>
      </c>
      <c r="K27" s="37">
        <f t="shared" si="2"/>
        <v>0.22021592974223458</v>
      </c>
      <c r="L27" s="36">
        <f>[1]MJ!$E27</f>
        <v>2849.6208000000001</v>
      </c>
      <c r="M27" s="31">
        <f t="shared" si="16"/>
        <v>2499.4024036800001</v>
      </c>
      <c r="N27" s="31">
        <f t="shared" si="17"/>
        <v>350.21839632000001</v>
      </c>
      <c r="O27" s="31">
        <f t="shared" si="18"/>
        <v>16067.772198000001</v>
      </c>
      <c r="P27" s="31">
        <f t="shared" si="19"/>
        <v>743.03780199999994</v>
      </c>
      <c r="Q27" s="33">
        <f>16810.81</f>
        <v>16810.810000000001</v>
      </c>
      <c r="R27" s="37">
        <f t="shared" si="3"/>
        <v>4.8993147439125941</v>
      </c>
      <c r="S27" s="36">
        <f>[1]MJ!$F27</f>
        <v>10287.3264</v>
      </c>
      <c r="T27" s="31">
        <f t="shared" si="20"/>
        <v>9023.0139854400004</v>
      </c>
      <c r="U27" s="31">
        <f t="shared" si="21"/>
        <v>1264.31241456</v>
      </c>
      <c r="V27" s="31">
        <f t="shared" si="22"/>
        <v>17338.326696</v>
      </c>
      <c r="W27" s="31">
        <f t="shared" si="23"/>
        <v>801.79330399999992</v>
      </c>
      <c r="X27" s="33">
        <v>18140.12</v>
      </c>
      <c r="Y27" s="37">
        <f t="shared" si="4"/>
        <v>0.76334640261827391</v>
      </c>
      <c r="Z27" s="36">
        <f>[1]MJ!$G27</f>
        <v>10287.3264</v>
      </c>
      <c r="AA27" s="31">
        <f t="shared" si="24"/>
        <v>9023.0139854400004</v>
      </c>
      <c r="AB27" s="31">
        <f t="shared" si="25"/>
        <v>1264.31241456</v>
      </c>
      <c r="AC27" s="31">
        <f t="shared" si="26"/>
        <v>2463.47892</v>
      </c>
      <c r="AD27" s="31">
        <f t="shared" si="27"/>
        <v>113.92107999999999</v>
      </c>
      <c r="AE27" s="33">
        <v>2577.4</v>
      </c>
      <c r="AF27" s="37">
        <f t="shared" si="5"/>
        <v>-0.74945871261555386</v>
      </c>
      <c r="AG27" s="36">
        <f>[1]MJ!$H27</f>
        <v>10912.395</v>
      </c>
      <c r="AH27" s="31">
        <f t="shared" si="28"/>
        <v>9571.2616545000001</v>
      </c>
      <c r="AI27" s="31">
        <f t="shared" si="29"/>
        <v>1341.1333454999999</v>
      </c>
      <c r="AJ27" s="31">
        <f t="shared" si="30"/>
        <v>4176.6739559999996</v>
      </c>
      <c r="AK27" s="31">
        <f t="shared" si="31"/>
        <v>193.14604399999996</v>
      </c>
      <c r="AL27" s="27">
        <v>4369.82</v>
      </c>
      <c r="AM27" s="37">
        <f t="shared" si="6"/>
        <v>-0.59955445161213472</v>
      </c>
      <c r="AN27" s="36">
        <f>[1]MJ!$I27</f>
        <v>4274.5950000000003</v>
      </c>
      <c r="AO27" s="31">
        <f t="shared" si="32"/>
        <v>3749.2472745000005</v>
      </c>
      <c r="AP27" s="31">
        <f t="shared" si="33"/>
        <v>525.34772550000002</v>
      </c>
      <c r="AQ27" s="31">
        <f t="shared" si="34"/>
        <v>0</v>
      </c>
      <c r="AR27" s="31">
        <f t="shared" si="35"/>
        <v>0</v>
      </c>
      <c r="AS27" s="33"/>
      <c r="AT27" s="37">
        <f t="shared" si="7"/>
        <v>-1</v>
      </c>
      <c r="AU27" s="36">
        <f>[1]MJ!$J27</f>
        <v>13762.015799999999</v>
      </c>
      <c r="AV27" s="31">
        <f t="shared" si="36"/>
        <v>12070.664058179998</v>
      </c>
      <c r="AW27" s="31">
        <f t="shared" si="37"/>
        <v>1691.3517418199999</v>
      </c>
      <c r="AX27" s="31">
        <f t="shared" si="38"/>
        <v>0</v>
      </c>
      <c r="AY27" s="31">
        <f t="shared" si="39"/>
        <v>0</v>
      </c>
      <c r="AZ27" s="33"/>
      <c r="BA27" s="37">
        <f t="shared" si="8"/>
        <v>-1</v>
      </c>
      <c r="BB27" s="36">
        <f>[1]MJ!$K27</f>
        <v>7124.2157999999999</v>
      </c>
      <c r="BC27" s="31">
        <f t="shared" si="40"/>
        <v>6248.6496781799997</v>
      </c>
      <c r="BD27" s="31">
        <f t="shared" si="41"/>
        <v>875.56612181999992</v>
      </c>
      <c r="BE27" s="31">
        <f t="shared" si="42"/>
        <v>0</v>
      </c>
      <c r="BF27" s="31">
        <f t="shared" si="43"/>
        <v>0</v>
      </c>
      <c r="BG27" s="27"/>
      <c r="BH27" s="37">
        <f t="shared" si="9"/>
        <v>-1</v>
      </c>
      <c r="BI27" s="36">
        <f>[1]MJ!$L27</f>
        <v>13762.015799999999</v>
      </c>
      <c r="BJ27" s="31">
        <f t="shared" si="44"/>
        <v>12070.664058179998</v>
      </c>
      <c r="BK27" s="31">
        <f t="shared" si="45"/>
        <v>1691.3517418199999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[1]MJ!$M27</f>
        <v>13762.015799999999</v>
      </c>
      <c r="BQ27" s="31">
        <f t="shared" si="48"/>
        <v>12070.664058179998</v>
      </c>
      <c r="BR27" s="31">
        <f t="shared" si="49"/>
        <v>1691.3517418199999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[1]MJ!$N27</f>
        <v>11682.225235</v>
      </c>
      <c r="BX27" s="31">
        <f t="shared" si="52"/>
        <v>10246.4797536185</v>
      </c>
      <c r="BY27" s="31">
        <f t="shared" si="53"/>
        <v>1435.7454813815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[1]MJ!$O27</f>
        <v>8832.6044349999993</v>
      </c>
      <c r="CE27" s="31">
        <f t="shared" si="56"/>
        <v>7747.0773499384995</v>
      </c>
      <c r="CF27" s="31">
        <f t="shared" si="57"/>
        <v>1085.5270850615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[1]MJ!$P27</f>
        <v>8832.6044349999993</v>
      </c>
      <c r="CL27" s="31">
        <f t="shared" si="60"/>
        <v>7747.0773499384995</v>
      </c>
      <c r="CM27" s="31">
        <f t="shared" si="61"/>
        <v>1085.5270850615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123117.34348499999</v>
      </c>
      <c r="C28" s="31">
        <f t="shared" si="0"/>
        <v>107986.2219706935</v>
      </c>
      <c r="D28" s="32">
        <f t="shared" si="0"/>
        <v>15131.121514306498</v>
      </c>
      <c r="E28" s="30">
        <f t="shared" si="15"/>
        <v>42299.205000000002</v>
      </c>
      <c r="F28" s="33">
        <f t="shared" si="15"/>
        <v>37100.6327055</v>
      </c>
      <c r="G28" s="34">
        <f t="shared" si="15"/>
        <v>5198.5722944999998</v>
      </c>
      <c r="H28" s="31">
        <f t="shared" si="1"/>
        <v>29147.847407999998</v>
      </c>
      <c r="I28" s="33">
        <f t="shared" si="1"/>
        <v>1347.9125919999997</v>
      </c>
      <c r="J28" s="33">
        <f t="shared" si="1"/>
        <v>30495.759999999998</v>
      </c>
      <c r="K28" s="37">
        <f t="shared" si="2"/>
        <v>-0.2790464974459923</v>
      </c>
      <c r="L28" s="36">
        <f>[1]MJ!$E28</f>
        <v>9005.49</v>
      </c>
      <c r="M28" s="31">
        <f t="shared" si="16"/>
        <v>7898.715279</v>
      </c>
      <c r="N28" s="31">
        <f t="shared" si="17"/>
        <v>1106.774721</v>
      </c>
      <c r="O28" s="31">
        <f t="shared" si="18"/>
        <v>10132.598286</v>
      </c>
      <c r="P28" s="31">
        <f t="shared" si="19"/>
        <v>468.57171399999999</v>
      </c>
      <c r="Q28" s="33">
        <v>10601.17</v>
      </c>
      <c r="R28" s="37">
        <f t="shared" si="3"/>
        <v>0.17718969206561774</v>
      </c>
      <c r="S28" s="36">
        <f>[1]MJ!$F28</f>
        <v>9005.49</v>
      </c>
      <c r="T28" s="31">
        <f t="shared" si="20"/>
        <v>7898.715279</v>
      </c>
      <c r="U28" s="31">
        <f t="shared" si="21"/>
        <v>1106.774721</v>
      </c>
      <c r="V28" s="31">
        <f t="shared" si="22"/>
        <v>9290.6722979999995</v>
      </c>
      <c r="W28" s="31">
        <f t="shared" si="23"/>
        <v>429.63770199999993</v>
      </c>
      <c r="X28" s="33">
        <f>9720.31</f>
        <v>9720.31</v>
      </c>
      <c r="Y28" s="37">
        <f t="shared" si="4"/>
        <v>7.9376025069152201E-2</v>
      </c>
      <c r="Z28" s="36">
        <f>[1]MJ!$G28</f>
        <v>12007.32</v>
      </c>
      <c r="AA28" s="31">
        <f t="shared" si="24"/>
        <v>10531.620371999999</v>
      </c>
      <c r="AB28" s="31">
        <f t="shared" si="25"/>
        <v>1475.6996279999998</v>
      </c>
      <c r="AC28" s="31">
        <f t="shared" si="26"/>
        <v>4850.9239500000003</v>
      </c>
      <c r="AD28" s="31">
        <f t="shared" si="27"/>
        <v>224.32604999999998</v>
      </c>
      <c r="AE28" s="33">
        <v>5075.25</v>
      </c>
      <c r="AF28" s="37">
        <f t="shared" si="5"/>
        <v>-0.57732033459589649</v>
      </c>
      <c r="AG28" s="36">
        <f>[1]MJ!$H28</f>
        <v>12280.905000000001</v>
      </c>
      <c r="AH28" s="31">
        <f t="shared" si="28"/>
        <v>10771.581775500001</v>
      </c>
      <c r="AI28" s="31">
        <f t="shared" si="29"/>
        <v>1509.3232244999999</v>
      </c>
      <c r="AJ28" s="31">
        <f t="shared" si="30"/>
        <v>4873.6528739999994</v>
      </c>
      <c r="AK28" s="31">
        <f t="shared" si="31"/>
        <v>225.37712599999998</v>
      </c>
      <c r="AL28" s="27">
        <v>5099.03</v>
      </c>
      <c r="AM28" s="37">
        <f t="shared" si="6"/>
        <v>-0.58480014298620508</v>
      </c>
      <c r="AN28" s="36">
        <f>[1]MJ!$I28</f>
        <v>10506.405000000001</v>
      </c>
      <c r="AO28" s="31">
        <f t="shared" si="32"/>
        <v>9215.1678255000006</v>
      </c>
      <c r="AP28" s="31">
        <f t="shared" si="33"/>
        <v>1291.2371745</v>
      </c>
      <c r="AQ28" s="31">
        <f t="shared" si="34"/>
        <v>0</v>
      </c>
      <c r="AR28" s="31">
        <f t="shared" si="35"/>
        <v>0</v>
      </c>
      <c r="AS28" s="33"/>
      <c r="AT28" s="37">
        <f t="shared" si="7"/>
        <v>-1</v>
      </c>
      <c r="AU28" s="36">
        <f>[1]MJ!$J28</f>
        <v>9279.0750000000007</v>
      </c>
      <c r="AV28" s="31">
        <f t="shared" si="36"/>
        <v>8138.6766825000004</v>
      </c>
      <c r="AW28" s="31">
        <f t="shared" si="37"/>
        <v>1140.3983175000001</v>
      </c>
      <c r="AX28" s="31">
        <f t="shared" si="38"/>
        <v>0</v>
      </c>
      <c r="AY28" s="31">
        <f t="shared" si="39"/>
        <v>0</v>
      </c>
      <c r="AZ28" s="33"/>
      <c r="BA28" s="37">
        <f t="shared" si="8"/>
        <v>-1</v>
      </c>
      <c r="BB28" s="36">
        <f>[1]MJ!$K28</f>
        <v>7504.5749999999998</v>
      </c>
      <c r="BC28" s="31">
        <f t="shared" si="40"/>
        <v>6582.2627324999994</v>
      </c>
      <c r="BD28" s="31">
        <f t="shared" si="41"/>
        <v>922.31226749999996</v>
      </c>
      <c r="BE28" s="31">
        <f t="shared" si="42"/>
        <v>0</v>
      </c>
      <c r="BF28" s="31">
        <f t="shared" si="43"/>
        <v>0</v>
      </c>
      <c r="BG28" s="27"/>
      <c r="BH28" s="37">
        <f t="shared" si="9"/>
        <v>-1</v>
      </c>
      <c r="BI28" s="36">
        <f>[1]MJ!$L28</f>
        <v>12280.905000000001</v>
      </c>
      <c r="BJ28" s="31">
        <f t="shared" si="44"/>
        <v>10771.581775500001</v>
      </c>
      <c r="BK28" s="31">
        <f t="shared" si="45"/>
        <v>1509.3232244999999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[1]MJ!$M28</f>
        <v>12280.905000000001</v>
      </c>
      <c r="BQ28" s="31">
        <f t="shared" si="48"/>
        <v>10771.581775500001</v>
      </c>
      <c r="BR28" s="31">
        <f t="shared" si="49"/>
        <v>1509.3232244999999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[1]MJ!$N28</f>
        <v>11656.644495</v>
      </c>
      <c r="BX28" s="31">
        <f t="shared" si="52"/>
        <v>10224.042886564501</v>
      </c>
      <c r="BY28" s="31">
        <f t="shared" si="53"/>
        <v>1432.6016084355001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[1]MJ!$O28</f>
        <v>8654.8144950000005</v>
      </c>
      <c r="CE28" s="31">
        <f t="shared" si="56"/>
        <v>7591.1377935645005</v>
      </c>
      <c r="CF28" s="31">
        <f t="shared" si="57"/>
        <v>1063.6767014355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[1]MJ!$P28</f>
        <v>8654.8144950000005</v>
      </c>
      <c r="CL28" s="31">
        <f t="shared" si="60"/>
        <v>7591.1377935645005</v>
      </c>
      <c r="CM28" s="31">
        <f t="shared" si="61"/>
        <v>1063.6767014355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209796.06999999998</v>
      </c>
      <c r="C29" s="31">
        <f t="shared" si="0"/>
        <v>184012.13299700001</v>
      </c>
      <c r="D29" s="32">
        <f t="shared" si="0"/>
        <v>25783.937003000006</v>
      </c>
      <c r="E29" s="30">
        <f t="shared" si="15"/>
        <v>69932.023333333331</v>
      </c>
      <c r="F29" s="33">
        <f t="shared" si="15"/>
        <v>61337.37766566666</v>
      </c>
      <c r="G29" s="34">
        <f t="shared" si="15"/>
        <v>8594.6456676666658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2"/>
        <v>-1</v>
      </c>
      <c r="L29" s="36">
        <f>[1]MJ!$E29</f>
        <v>15846.698333333336</v>
      </c>
      <c r="M29" s="31">
        <f t="shared" si="16"/>
        <v>13899.139108166668</v>
      </c>
      <c r="N29" s="31">
        <f t="shared" si="17"/>
        <v>1947.5592251666669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[1]MJ!$F29</f>
        <v>19119.313333333332</v>
      </c>
      <c r="T29" s="31">
        <f t="shared" si="20"/>
        <v>16769.549724666664</v>
      </c>
      <c r="U29" s="31">
        <f t="shared" si="21"/>
        <v>2349.7636086666662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[1]MJ!$G29</f>
        <v>15846.698333333336</v>
      </c>
      <c r="AA29" s="31">
        <f t="shared" si="24"/>
        <v>13899.139108166668</v>
      </c>
      <c r="AB29" s="31">
        <f t="shared" si="25"/>
        <v>1947.5592251666669</v>
      </c>
      <c r="AC29" s="31">
        <f t="shared" si="26"/>
        <v>0</v>
      </c>
      <c r="AD29" s="31">
        <f t="shared" si="27"/>
        <v>0</v>
      </c>
      <c r="AE29" s="33"/>
      <c r="AF29" s="37">
        <f t="shared" si="5"/>
        <v>-1</v>
      </c>
      <c r="AG29" s="36">
        <f>[1]MJ!$H29</f>
        <v>19119.313333333332</v>
      </c>
      <c r="AH29" s="31">
        <f t="shared" si="28"/>
        <v>16769.549724666664</v>
      </c>
      <c r="AI29" s="31">
        <f t="shared" si="29"/>
        <v>2349.7636086666662</v>
      </c>
      <c r="AJ29" s="31">
        <f t="shared" si="30"/>
        <v>0</v>
      </c>
      <c r="AK29" s="31">
        <f t="shared" si="31"/>
        <v>0</v>
      </c>
      <c r="AL29" s="27"/>
      <c r="AM29" s="37">
        <f t="shared" si="6"/>
        <v>-1</v>
      </c>
      <c r="AN29" s="36">
        <f>[1]MJ!$I29</f>
        <v>15846.698333333336</v>
      </c>
      <c r="AO29" s="31">
        <f t="shared" si="32"/>
        <v>13899.139108166668</v>
      </c>
      <c r="AP29" s="31">
        <f t="shared" si="33"/>
        <v>1947.5592251666669</v>
      </c>
      <c r="AQ29" s="31">
        <f t="shared" si="34"/>
        <v>0</v>
      </c>
      <c r="AR29" s="31">
        <f t="shared" si="35"/>
        <v>0</v>
      </c>
      <c r="AS29" s="33"/>
      <c r="AT29" s="37">
        <f t="shared" si="7"/>
        <v>-1</v>
      </c>
      <c r="AU29" s="36">
        <f>[1]MJ!$J29</f>
        <v>19119.313333333332</v>
      </c>
      <c r="AV29" s="31">
        <f t="shared" si="36"/>
        <v>16769.549724666664</v>
      </c>
      <c r="AW29" s="31">
        <f t="shared" si="37"/>
        <v>2349.7636086666662</v>
      </c>
      <c r="AX29" s="31">
        <f t="shared" si="38"/>
        <v>0</v>
      </c>
      <c r="AY29" s="31">
        <f t="shared" si="39"/>
        <v>0</v>
      </c>
      <c r="AZ29" s="33"/>
      <c r="BA29" s="37">
        <f t="shared" si="8"/>
        <v>-1</v>
      </c>
      <c r="BB29" s="36">
        <f>[1]MJ!$K29</f>
        <v>15846.698333333336</v>
      </c>
      <c r="BC29" s="31">
        <f t="shared" si="40"/>
        <v>13899.139108166668</v>
      </c>
      <c r="BD29" s="31">
        <f t="shared" si="41"/>
        <v>1947.5592251666669</v>
      </c>
      <c r="BE29" s="31">
        <f t="shared" si="42"/>
        <v>0</v>
      </c>
      <c r="BF29" s="31">
        <f t="shared" si="43"/>
        <v>0</v>
      </c>
      <c r="BG29" s="27"/>
      <c r="BH29" s="37">
        <f t="shared" si="9"/>
        <v>-1</v>
      </c>
      <c r="BI29" s="36">
        <f>[1]MJ!$L29</f>
        <v>19119.313333333332</v>
      </c>
      <c r="BJ29" s="31">
        <f t="shared" si="44"/>
        <v>16769.549724666664</v>
      </c>
      <c r="BK29" s="31">
        <f t="shared" si="45"/>
        <v>2349.7636086666662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[1]MJ!$M29</f>
        <v>15846.698333333336</v>
      </c>
      <c r="BQ29" s="31">
        <f t="shared" si="48"/>
        <v>13899.139108166668</v>
      </c>
      <c r="BR29" s="31">
        <f t="shared" si="49"/>
        <v>1947.5592251666669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[1]MJ!$N29</f>
        <v>19119.313333333332</v>
      </c>
      <c r="BX29" s="31">
        <f t="shared" si="52"/>
        <v>16769.549724666664</v>
      </c>
      <c r="BY29" s="31">
        <f t="shared" si="53"/>
        <v>2349.7636086666662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[1]MJ!$O29</f>
        <v>15846.698333333336</v>
      </c>
      <c r="CE29" s="31">
        <f t="shared" si="56"/>
        <v>13899.139108166668</v>
      </c>
      <c r="CF29" s="31">
        <f t="shared" si="57"/>
        <v>1947.5592251666669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[1]MJ!$P29</f>
        <v>19119.313333333332</v>
      </c>
      <c r="CL29" s="31">
        <f t="shared" si="60"/>
        <v>16769.549724666664</v>
      </c>
      <c r="CM29" s="31">
        <f t="shared" si="61"/>
        <v>2349.7636086666662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30000</v>
      </c>
      <c r="C30" s="31">
        <f t="shared" si="0"/>
        <v>26313</v>
      </c>
      <c r="D30" s="32">
        <f t="shared" si="0"/>
        <v>3687</v>
      </c>
      <c r="E30" s="30">
        <f t="shared" si="15"/>
        <v>10000</v>
      </c>
      <c r="F30" s="33">
        <f t="shared" si="15"/>
        <v>8771</v>
      </c>
      <c r="G30" s="34">
        <f t="shared" si="15"/>
        <v>1229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7">
        <f t="shared" si="2"/>
        <v>-1</v>
      </c>
      <c r="L30" s="36">
        <f>[1]MJ!$E30</f>
        <v>2500</v>
      </c>
      <c r="M30" s="31">
        <f t="shared" si="16"/>
        <v>2192.75</v>
      </c>
      <c r="N30" s="31">
        <f t="shared" si="17"/>
        <v>307.25</v>
      </c>
      <c r="O30" s="31">
        <f t="shared" si="18"/>
        <v>0</v>
      </c>
      <c r="P30" s="31">
        <f t="shared" si="19"/>
        <v>0</v>
      </c>
      <c r="Q30" s="33"/>
      <c r="R30" s="37">
        <f t="shared" si="3"/>
        <v>-1</v>
      </c>
      <c r="S30" s="36">
        <f>[1]MJ!$F30</f>
        <v>2500</v>
      </c>
      <c r="T30" s="31">
        <f t="shared" si="20"/>
        <v>2192.75</v>
      </c>
      <c r="U30" s="31">
        <f t="shared" si="21"/>
        <v>307.25</v>
      </c>
      <c r="V30" s="31">
        <f t="shared" si="22"/>
        <v>0</v>
      </c>
      <c r="W30" s="31">
        <f t="shared" si="23"/>
        <v>0</v>
      </c>
      <c r="X30" s="33"/>
      <c r="Y30" s="37">
        <f t="shared" si="4"/>
        <v>-1</v>
      </c>
      <c r="Z30" s="36">
        <f>[1]MJ!$G30</f>
        <v>2500</v>
      </c>
      <c r="AA30" s="31">
        <f t="shared" si="24"/>
        <v>2192.75</v>
      </c>
      <c r="AB30" s="31">
        <f t="shared" si="25"/>
        <v>307.25</v>
      </c>
      <c r="AC30" s="31">
        <f t="shared" si="26"/>
        <v>0</v>
      </c>
      <c r="AD30" s="31">
        <f t="shared" si="27"/>
        <v>0</v>
      </c>
      <c r="AE30" s="33"/>
      <c r="AF30" s="37">
        <f t="shared" si="5"/>
        <v>-1</v>
      </c>
      <c r="AG30" s="36">
        <f>[1]MJ!$H30</f>
        <v>2500</v>
      </c>
      <c r="AH30" s="31">
        <f t="shared" si="28"/>
        <v>2192.75</v>
      </c>
      <c r="AI30" s="31">
        <f t="shared" si="29"/>
        <v>307.25</v>
      </c>
      <c r="AJ30" s="31">
        <f t="shared" si="30"/>
        <v>0</v>
      </c>
      <c r="AK30" s="31">
        <f t="shared" si="31"/>
        <v>0</v>
      </c>
      <c r="AL30" s="27"/>
      <c r="AM30" s="37">
        <f t="shared" si="6"/>
        <v>-1</v>
      </c>
      <c r="AN30" s="36">
        <f>[1]MJ!$I30</f>
        <v>2500</v>
      </c>
      <c r="AO30" s="31">
        <f t="shared" si="32"/>
        <v>2192.75</v>
      </c>
      <c r="AP30" s="31">
        <f t="shared" si="33"/>
        <v>307.25</v>
      </c>
      <c r="AQ30" s="31">
        <f t="shared" si="34"/>
        <v>0</v>
      </c>
      <c r="AR30" s="31">
        <f t="shared" si="35"/>
        <v>0</v>
      </c>
      <c r="AS30" s="33"/>
      <c r="AT30" s="37">
        <f t="shared" si="7"/>
        <v>-1</v>
      </c>
      <c r="AU30" s="36">
        <f>[1]MJ!$J30</f>
        <v>2500</v>
      </c>
      <c r="AV30" s="31">
        <f t="shared" si="36"/>
        <v>2192.75</v>
      </c>
      <c r="AW30" s="31">
        <f t="shared" si="37"/>
        <v>307.25</v>
      </c>
      <c r="AX30" s="31">
        <f t="shared" si="38"/>
        <v>0</v>
      </c>
      <c r="AY30" s="31">
        <f t="shared" si="39"/>
        <v>0</v>
      </c>
      <c r="AZ30" s="33"/>
      <c r="BA30" s="37">
        <f t="shared" si="8"/>
        <v>-1</v>
      </c>
      <c r="BB30" s="36">
        <f>[1]MJ!$K30</f>
        <v>2500</v>
      </c>
      <c r="BC30" s="31">
        <f t="shared" si="40"/>
        <v>2192.75</v>
      </c>
      <c r="BD30" s="31">
        <f t="shared" si="41"/>
        <v>307.25</v>
      </c>
      <c r="BE30" s="31">
        <f t="shared" si="42"/>
        <v>0</v>
      </c>
      <c r="BF30" s="31">
        <f t="shared" si="43"/>
        <v>0</v>
      </c>
      <c r="BG30" s="27"/>
      <c r="BH30" s="37">
        <f t="shared" si="9"/>
        <v>-1</v>
      </c>
      <c r="BI30" s="36">
        <f>[1]MJ!$L30</f>
        <v>2500</v>
      </c>
      <c r="BJ30" s="31">
        <f t="shared" si="44"/>
        <v>2192.75</v>
      </c>
      <c r="BK30" s="31">
        <f t="shared" si="45"/>
        <v>307.25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[1]MJ!$M30</f>
        <v>2500</v>
      </c>
      <c r="BQ30" s="31">
        <f t="shared" si="48"/>
        <v>2192.75</v>
      </c>
      <c r="BR30" s="31">
        <f t="shared" si="49"/>
        <v>307.25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[1]MJ!$N30</f>
        <v>2500</v>
      </c>
      <c r="BX30" s="31">
        <f t="shared" si="52"/>
        <v>2192.75</v>
      </c>
      <c r="BY30" s="31">
        <f t="shared" si="53"/>
        <v>307.25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[1]MJ!$O30</f>
        <v>2500</v>
      </c>
      <c r="CE30" s="31">
        <f t="shared" si="56"/>
        <v>2192.75</v>
      </c>
      <c r="CF30" s="31">
        <f t="shared" si="57"/>
        <v>307.25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[1]MJ!$P30</f>
        <v>2500</v>
      </c>
      <c r="CL30" s="31">
        <f t="shared" si="60"/>
        <v>2192.75</v>
      </c>
      <c r="CM30" s="31">
        <f t="shared" si="61"/>
        <v>307.25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5000</v>
      </c>
      <c r="C31" s="31">
        <f t="shared" si="0"/>
        <v>4385.5000000000009</v>
      </c>
      <c r="D31" s="32">
        <f t="shared" si="0"/>
        <v>614.5</v>
      </c>
      <c r="E31" s="30">
        <f t="shared" si="15"/>
        <v>1666.6666666666667</v>
      </c>
      <c r="F31" s="33">
        <f t="shared" si="15"/>
        <v>1461.8333333333335</v>
      </c>
      <c r="G31" s="34">
        <f t="shared" si="15"/>
        <v>204.83333333333334</v>
      </c>
      <c r="H31" s="31">
        <f t="shared" si="1"/>
        <v>0</v>
      </c>
      <c r="I31" s="33">
        <f t="shared" si="1"/>
        <v>0</v>
      </c>
      <c r="J31" s="33">
        <f t="shared" si="1"/>
        <v>0</v>
      </c>
      <c r="K31" s="37">
        <f t="shared" si="2"/>
        <v>-1</v>
      </c>
      <c r="L31" s="36">
        <f>[1]MJ!$E31</f>
        <v>416.66666666666669</v>
      </c>
      <c r="M31" s="31">
        <f t="shared" si="16"/>
        <v>365.45833333333337</v>
      </c>
      <c r="N31" s="31">
        <f t="shared" si="17"/>
        <v>51.208333333333336</v>
      </c>
      <c r="O31" s="31">
        <f t="shared" si="18"/>
        <v>0</v>
      </c>
      <c r="P31" s="31">
        <f t="shared" si="19"/>
        <v>0</v>
      </c>
      <c r="Q31" s="33"/>
      <c r="R31" s="37">
        <f t="shared" si="3"/>
        <v>-1</v>
      </c>
      <c r="S31" s="36">
        <f>[1]MJ!$F31</f>
        <v>416.66666666666669</v>
      </c>
      <c r="T31" s="31">
        <f t="shared" si="20"/>
        <v>365.45833333333337</v>
      </c>
      <c r="U31" s="31">
        <f t="shared" si="21"/>
        <v>51.208333333333336</v>
      </c>
      <c r="V31" s="31">
        <f t="shared" si="22"/>
        <v>0</v>
      </c>
      <c r="W31" s="31">
        <f t="shared" si="23"/>
        <v>0</v>
      </c>
      <c r="X31" s="33"/>
      <c r="Y31" s="37">
        <f t="shared" si="4"/>
        <v>-1</v>
      </c>
      <c r="Z31" s="36">
        <f>[1]MJ!$G31</f>
        <v>416.66666666666669</v>
      </c>
      <c r="AA31" s="31">
        <f t="shared" si="24"/>
        <v>365.45833333333337</v>
      </c>
      <c r="AB31" s="31">
        <f t="shared" si="25"/>
        <v>51.208333333333336</v>
      </c>
      <c r="AC31" s="31">
        <f t="shared" si="26"/>
        <v>0</v>
      </c>
      <c r="AD31" s="31">
        <f t="shared" si="27"/>
        <v>0</v>
      </c>
      <c r="AE31" s="33"/>
      <c r="AF31" s="37">
        <f t="shared" si="5"/>
        <v>-1</v>
      </c>
      <c r="AG31" s="36">
        <f>[1]MJ!$H31</f>
        <v>416.66666666666669</v>
      </c>
      <c r="AH31" s="31">
        <f t="shared" si="28"/>
        <v>365.45833333333337</v>
      </c>
      <c r="AI31" s="31">
        <f t="shared" si="29"/>
        <v>51.208333333333336</v>
      </c>
      <c r="AJ31" s="31">
        <f t="shared" si="30"/>
        <v>0</v>
      </c>
      <c r="AK31" s="31">
        <f t="shared" si="31"/>
        <v>0</v>
      </c>
      <c r="AL31" s="27"/>
      <c r="AM31" s="37">
        <f t="shared" si="6"/>
        <v>-1</v>
      </c>
      <c r="AN31" s="36">
        <f>[1]MJ!$I31</f>
        <v>416.66666666666669</v>
      </c>
      <c r="AO31" s="31">
        <f t="shared" si="32"/>
        <v>365.45833333333337</v>
      </c>
      <c r="AP31" s="31">
        <f t="shared" si="33"/>
        <v>51.208333333333336</v>
      </c>
      <c r="AQ31" s="31">
        <f t="shared" si="34"/>
        <v>0</v>
      </c>
      <c r="AR31" s="31">
        <f t="shared" si="35"/>
        <v>0</v>
      </c>
      <c r="AS31" s="33"/>
      <c r="AT31" s="37">
        <f t="shared" si="7"/>
        <v>-1</v>
      </c>
      <c r="AU31" s="36">
        <f>[1]MJ!$J31</f>
        <v>416.66666666666669</v>
      </c>
      <c r="AV31" s="31">
        <f t="shared" si="36"/>
        <v>365.45833333333337</v>
      </c>
      <c r="AW31" s="31">
        <f t="shared" si="37"/>
        <v>51.208333333333336</v>
      </c>
      <c r="AX31" s="31">
        <f t="shared" si="38"/>
        <v>0</v>
      </c>
      <c r="AY31" s="31">
        <f t="shared" si="39"/>
        <v>0</v>
      </c>
      <c r="AZ31" s="33"/>
      <c r="BA31" s="37">
        <f t="shared" si="8"/>
        <v>-1</v>
      </c>
      <c r="BB31" s="36">
        <f>[1]MJ!$K31</f>
        <v>416.66666666666669</v>
      </c>
      <c r="BC31" s="31">
        <f t="shared" si="40"/>
        <v>365.45833333333337</v>
      </c>
      <c r="BD31" s="31">
        <f t="shared" si="41"/>
        <v>51.208333333333336</v>
      </c>
      <c r="BE31" s="31">
        <f t="shared" si="42"/>
        <v>0</v>
      </c>
      <c r="BF31" s="31">
        <f t="shared" si="43"/>
        <v>0</v>
      </c>
      <c r="BG31" s="27"/>
      <c r="BH31" s="37">
        <f t="shared" si="9"/>
        <v>-1</v>
      </c>
      <c r="BI31" s="36">
        <f>[1]MJ!$L31</f>
        <v>416.66666666666669</v>
      </c>
      <c r="BJ31" s="31">
        <f t="shared" si="44"/>
        <v>365.45833333333337</v>
      </c>
      <c r="BK31" s="31">
        <f t="shared" si="45"/>
        <v>51.208333333333336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[1]MJ!$M31</f>
        <v>416.66666666666669</v>
      </c>
      <c r="BQ31" s="31">
        <f t="shared" si="48"/>
        <v>365.45833333333337</v>
      </c>
      <c r="BR31" s="31">
        <f t="shared" si="49"/>
        <v>51.208333333333336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[1]MJ!$N31</f>
        <v>416.66666666666669</v>
      </c>
      <c r="BX31" s="31">
        <f t="shared" si="52"/>
        <v>365.45833333333337</v>
      </c>
      <c r="BY31" s="31">
        <f t="shared" si="53"/>
        <v>51.208333333333336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[1]MJ!$O31</f>
        <v>416.66666666666669</v>
      </c>
      <c r="CE31" s="31">
        <f t="shared" si="56"/>
        <v>365.45833333333337</v>
      </c>
      <c r="CF31" s="31">
        <f t="shared" si="57"/>
        <v>51.208333333333336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[1]MJ!$P31</f>
        <v>416.66666666666669</v>
      </c>
      <c r="CL31" s="31">
        <f t="shared" si="60"/>
        <v>365.45833333333337</v>
      </c>
      <c r="CM31" s="31">
        <f t="shared" si="61"/>
        <v>51.208333333333336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168</v>
      </c>
      <c r="B32" s="30">
        <f t="shared" si="0"/>
        <v>2882339.3280000002</v>
      </c>
      <c r="C32" s="31">
        <f t="shared" si="0"/>
        <v>2528099.8245888008</v>
      </c>
      <c r="D32" s="32">
        <f t="shared" si="0"/>
        <v>354239.50341120007</v>
      </c>
      <c r="E32" s="30">
        <f t="shared" si="15"/>
        <v>1314097.6639999999</v>
      </c>
      <c r="F32" s="33">
        <f t="shared" si="15"/>
        <v>1152595.0610944</v>
      </c>
      <c r="G32" s="34">
        <f t="shared" si="15"/>
        <v>161502.60290559998</v>
      </c>
      <c r="H32" s="31">
        <f t="shared" si="1"/>
        <v>1155266.5137120001</v>
      </c>
      <c r="I32" s="33">
        <f t="shared" si="1"/>
        <v>53424.126287999992</v>
      </c>
      <c r="J32" s="33">
        <f t="shared" si="1"/>
        <v>1208690.6400000001</v>
      </c>
      <c r="K32" s="37">
        <f t="shared" si="2"/>
        <v>-8.0212473461941824E-2</v>
      </c>
      <c r="L32" s="36">
        <f>[1]MJ!$E32</f>
        <v>531514.67599999998</v>
      </c>
      <c r="M32" s="31">
        <f t="shared" si="16"/>
        <v>466191.52231959999</v>
      </c>
      <c r="N32" s="31">
        <f t="shared" si="17"/>
        <v>65323.153680399992</v>
      </c>
      <c r="O32" s="31">
        <f t="shared" si="18"/>
        <v>422492.57985600003</v>
      </c>
      <c r="P32" s="31">
        <f t="shared" si="19"/>
        <v>19537.740143999999</v>
      </c>
      <c r="Q32" s="33">
        <f>266505.28+173582+1943.04</f>
        <v>442030.32</v>
      </c>
      <c r="R32" s="37">
        <f t="shared" si="3"/>
        <v>-0.16835726281996388</v>
      </c>
      <c r="S32" s="36">
        <f>[1]MJ!$F32</f>
        <v>35376</v>
      </c>
      <c r="T32" s="31">
        <f t="shared" si="20"/>
        <v>31028.2896</v>
      </c>
      <c r="U32" s="31">
        <f t="shared" si="21"/>
        <v>4347.7103999999999</v>
      </c>
      <c r="V32" s="31">
        <f t="shared" si="22"/>
        <v>283392.10022400005</v>
      </c>
      <c r="W32" s="31">
        <f t="shared" si="23"/>
        <v>13105.179776000001</v>
      </c>
      <c r="X32" s="33">
        <f>293137.13+1844.81+1515.34</f>
        <v>296497.28000000003</v>
      </c>
      <c r="Y32" s="37">
        <f t="shared" si="4"/>
        <v>7.3813116236996841</v>
      </c>
      <c r="Z32" s="36">
        <f>[1]MJ!$G32</f>
        <v>324784.41600000003</v>
      </c>
      <c r="AA32" s="31">
        <f t="shared" si="24"/>
        <v>284868.41127360001</v>
      </c>
      <c r="AB32" s="31">
        <f t="shared" si="25"/>
        <v>39916.004726400002</v>
      </c>
      <c r="AC32" s="31">
        <f t="shared" si="26"/>
        <v>314105.96858399996</v>
      </c>
      <c r="AD32" s="31">
        <f t="shared" si="27"/>
        <v>14525.511415999998</v>
      </c>
      <c r="AE32" s="33">
        <f>308885.79+19254.83+490.86</f>
        <v>328631.48</v>
      </c>
      <c r="AF32" s="37">
        <f t="shared" si="5"/>
        <v>1.1844977192501549E-2</v>
      </c>
      <c r="AG32" s="36">
        <f>[1]MJ!$H32</f>
        <v>422422.57200000004</v>
      </c>
      <c r="AH32" s="31">
        <f t="shared" si="28"/>
        <v>370506.83790120005</v>
      </c>
      <c r="AI32" s="31">
        <f t="shared" si="29"/>
        <v>51915.734098800007</v>
      </c>
      <c r="AJ32" s="31">
        <f t="shared" si="30"/>
        <v>135275.86504800001</v>
      </c>
      <c r="AK32" s="31">
        <f t="shared" si="31"/>
        <v>6255.6949519999989</v>
      </c>
      <c r="AL32" s="27">
        <f>137088.21+2357.63+2085.72</f>
        <v>141531.56</v>
      </c>
      <c r="AM32" s="37">
        <f t="shared" si="6"/>
        <v>-0.6649526578802234</v>
      </c>
      <c r="AN32" s="36">
        <f>[1]MJ!$I32</f>
        <v>432982.57200000004</v>
      </c>
      <c r="AO32" s="31">
        <f t="shared" si="32"/>
        <v>379769.01390120003</v>
      </c>
      <c r="AP32" s="31">
        <f t="shared" si="33"/>
        <v>53213.5580988</v>
      </c>
      <c r="AQ32" s="31">
        <f t="shared" si="34"/>
        <v>0</v>
      </c>
      <c r="AR32" s="31">
        <f t="shared" si="35"/>
        <v>0</v>
      </c>
      <c r="AS32" s="33"/>
      <c r="AT32" s="37">
        <f t="shared" si="7"/>
        <v>-1</v>
      </c>
      <c r="AU32" s="36">
        <f>[1]MJ!$J32</f>
        <v>492822.57200000004</v>
      </c>
      <c r="AV32" s="31">
        <f t="shared" si="36"/>
        <v>432254.67790120002</v>
      </c>
      <c r="AW32" s="31">
        <f t="shared" si="37"/>
        <v>60567.894098800003</v>
      </c>
      <c r="AX32" s="31">
        <f t="shared" si="38"/>
        <v>0</v>
      </c>
      <c r="AY32" s="31">
        <f t="shared" si="39"/>
        <v>0</v>
      </c>
      <c r="AZ32" s="33"/>
      <c r="BA32" s="37">
        <f t="shared" si="8"/>
        <v>-1</v>
      </c>
      <c r="BB32" s="36">
        <f>[1]MJ!$K32</f>
        <v>565876.52</v>
      </c>
      <c r="BC32" s="31">
        <f t="shared" si="40"/>
        <v>496330.29569200001</v>
      </c>
      <c r="BD32" s="31">
        <f t="shared" si="41"/>
        <v>69546.224308000004</v>
      </c>
      <c r="BE32" s="31">
        <f t="shared" si="42"/>
        <v>0</v>
      </c>
      <c r="BF32" s="31">
        <f t="shared" si="43"/>
        <v>0</v>
      </c>
      <c r="BG32" s="27"/>
      <c r="BH32" s="37">
        <f t="shared" si="9"/>
        <v>-1</v>
      </c>
      <c r="BI32" s="36">
        <f>[1]MJ!$L32</f>
        <v>67760</v>
      </c>
      <c r="BJ32" s="31">
        <f t="shared" si="44"/>
        <v>59432.296000000002</v>
      </c>
      <c r="BK32" s="31">
        <f t="shared" si="45"/>
        <v>8327.7039999999997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[1]MJ!$M32</f>
        <v>4400</v>
      </c>
      <c r="BQ32" s="31">
        <f t="shared" si="48"/>
        <v>3859.24</v>
      </c>
      <c r="BR32" s="31">
        <f t="shared" si="49"/>
        <v>540.76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[1]MJ!$N32</f>
        <v>4400</v>
      </c>
      <c r="BX32" s="31">
        <f t="shared" si="52"/>
        <v>3859.24</v>
      </c>
      <c r="BY32" s="31">
        <f t="shared" si="53"/>
        <v>540.76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[1]MJ!$O32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[1]MJ!$P32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1110204.081632653</v>
      </c>
      <c r="C33" s="31">
        <f t="shared" si="0"/>
        <v>973760</v>
      </c>
      <c r="D33" s="32">
        <f t="shared" si="0"/>
        <v>136444.08163265308</v>
      </c>
      <c r="E33" s="30">
        <f t="shared" si="15"/>
        <v>555102.04081632651</v>
      </c>
      <c r="F33" s="33">
        <f t="shared" si="15"/>
        <v>486880</v>
      </c>
      <c r="G33" s="34">
        <f t="shared" si="15"/>
        <v>68222.040816326524</v>
      </c>
      <c r="H33" s="31">
        <f t="shared" si="1"/>
        <v>256075.68986999997</v>
      </c>
      <c r="I33" s="33">
        <f t="shared" si="1"/>
        <v>11841.960129999999</v>
      </c>
      <c r="J33" s="33">
        <f t="shared" si="1"/>
        <v>267917.65000000002</v>
      </c>
      <c r="K33" s="37">
        <f t="shared" si="2"/>
        <v>-0.51735423345588227</v>
      </c>
      <c r="L33" s="36">
        <f>[1]MJ!$E33</f>
        <v>225510.20408163263</v>
      </c>
      <c r="M33" s="31">
        <f t="shared" si="16"/>
        <v>197795</v>
      </c>
      <c r="N33" s="31">
        <f t="shared" si="17"/>
        <v>27715.204081632648</v>
      </c>
      <c r="O33" s="31">
        <f t="shared" si="18"/>
        <v>95755.857641999988</v>
      </c>
      <c r="P33" s="31">
        <f t="shared" si="19"/>
        <v>4428.1323579999989</v>
      </c>
      <c r="Q33" s="33">
        <f>67688.92+32495.07</f>
        <v>100183.98999999999</v>
      </c>
      <c r="R33" s="37">
        <f t="shared" si="3"/>
        <v>-0.55574520271493211</v>
      </c>
      <c r="S33" s="36">
        <f>[1]MJ!$F33</f>
        <v>0</v>
      </c>
      <c r="T33" s="31">
        <f t="shared" si="20"/>
        <v>0</v>
      </c>
      <c r="U33" s="31">
        <f t="shared" si="21"/>
        <v>0</v>
      </c>
      <c r="V33" s="31">
        <f t="shared" si="22"/>
        <v>60843.178997999996</v>
      </c>
      <c r="W33" s="31">
        <f t="shared" si="23"/>
        <v>2813.6310019999996</v>
      </c>
      <c r="X33" s="33">
        <v>63656.81</v>
      </c>
      <c r="Y33" s="37" t="str">
        <f t="shared" si="4"/>
        <v/>
      </c>
      <c r="Z33" s="36">
        <f>[1]MJ!$G33</f>
        <v>138775.51020408163</v>
      </c>
      <c r="AA33" s="31">
        <f t="shared" si="24"/>
        <v>121720</v>
      </c>
      <c r="AB33" s="31">
        <f t="shared" si="25"/>
        <v>17055.510204081631</v>
      </c>
      <c r="AC33" s="31">
        <f t="shared" si="26"/>
        <v>16895.571462</v>
      </c>
      <c r="AD33" s="31">
        <f t="shared" si="27"/>
        <v>781.31853799999988</v>
      </c>
      <c r="AE33" s="33">
        <v>17676.89</v>
      </c>
      <c r="AF33" s="37">
        <f t="shared" si="5"/>
        <v>-0.87262241029411758</v>
      </c>
      <c r="AG33" s="36">
        <f>[1]MJ!$H33</f>
        <v>190816.32653061225</v>
      </c>
      <c r="AH33" s="31">
        <f t="shared" si="28"/>
        <v>167365</v>
      </c>
      <c r="AI33" s="31">
        <f t="shared" si="29"/>
        <v>23451.326530612245</v>
      </c>
      <c r="AJ33" s="31">
        <f t="shared" si="30"/>
        <v>82581.081768000004</v>
      </c>
      <c r="AK33" s="31">
        <f t="shared" si="31"/>
        <v>3818.878232</v>
      </c>
      <c r="AL33" s="27">
        <v>86399.96</v>
      </c>
      <c r="AM33" s="37">
        <f t="shared" si="6"/>
        <v>-0.54720876577540101</v>
      </c>
      <c r="AN33" s="36">
        <f>[1]MJ!$I33</f>
        <v>190816.32653061225</v>
      </c>
      <c r="AO33" s="31">
        <f t="shared" si="32"/>
        <v>167365</v>
      </c>
      <c r="AP33" s="31">
        <f t="shared" si="33"/>
        <v>23451.326530612245</v>
      </c>
      <c r="AQ33" s="31">
        <f t="shared" si="34"/>
        <v>0</v>
      </c>
      <c r="AR33" s="31">
        <f t="shared" si="35"/>
        <v>0</v>
      </c>
      <c r="AS33" s="33"/>
      <c r="AT33" s="37">
        <f t="shared" si="7"/>
        <v>-1</v>
      </c>
      <c r="AU33" s="36">
        <f>[1]MJ!$J33</f>
        <v>190816.32653061225</v>
      </c>
      <c r="AV33" s="31">
        <f t="shared" si="36"/>
        <v>167365</v>
      </c>
      <c r="AW33" s="31">
        <f t="shared" si="37"/>
        <v>23451.326530612245</v>
      </c>
      <c r="AX33" s="31">
        <f t="shared" si="38"/>
        <v>0</v>
      </c>
      <c r="AY33" s="31">
        <f t="shared" si="39"/>
        <v>0</v>
      </c>
      <c r="AZ33" s="33"/>
      <c r="BA33" s="37">
        <f t="shared" si="8"/>
        <v>-1</v>
      </c>
      <c r="BB33" s="36">
        <f>[1]MJ!$K33</f>
        <v>173469.38775510204</v>
      </c>
      <c r="BC33" s="31">
        <f t="shared" si="40"/>
        <v>152150</v>
      </c>
      <c r="BD33" s="31">
        <f t="shared" si="41"/>
        <v>21319.387755102041</v>
      </c>
      <c r="BE33" s="31">
        <f t="shared" si="42"/>
        <v>0</v>
      </c>
      <c r="BF33" s="31">
        <f t="shared" si="43"/>
        <v>0</v>
      </c>
      <c r="BG33" s="27"/>
      <c r="BH33" s="37">
        <f t="shared" si="9"/>
        <v>-1</v>
      </c>
      <c r="BI33" s="36">
        <f>[1]MJ!$L33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[1]MJ!$M33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[1]MJ!$N33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[1]MJ!$O33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[1]MJ!$P33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[1]MJ!$E34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3"/>
        <v/>
      </c>
      <c r="S34" s="36">
        <f>[1]MJ!$F34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[1]MJ!$G34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33"/>
      <c r="AF34" s="37" t="str">
        <f t="shared" si="5"/>
        <v/>
      </c>
      <c r="AG34" s="36">
        <f>[1]MJ!$H34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27"/>
      <c r="AM34" s="37" t="str">
        <f t="shared" si="6"/>
        <v/>
      </c>
      <c r="AN34" s="36">
        <f>[1]MJ!$I34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7"/>
        <v/>
      </c>
      <c r="AU34" s="36">
        <f>[1]MJ!$J34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33"/>
      <c r="BA34" s="37" t="str">
        <f t="shared" si="8"/>
        <v/>
      </c>
      <c r="BB34" s="36">
        <f>[1]MJ!$K34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27"/>
      <c r="BH34" s="37" t="str">
        <f t="shared" si="9"/>
        <v/>
      </c>
      <c r="BI34" s="36">
        <f>[1]MJ!$L34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[1]MJ!$M34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[1]MJ!$N34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[1]MJ!$O34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[1]MJ!$P34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[1]MJ!$E35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3"/>
        <v/>
      </c>
      <c r="S35" s="36">
        <f>[1]MJ!$F35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[1]MJ!$G35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33"/>
      <c r="AF35" s="37" t="str">
        <f t="shared" si="5"/>
        <v/>
      </c>
      <c r="AG35" s="36">
        <f>[1]MJ!$H35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27"/>
      <c r="AM35" s="37" t="str">
        <f t="shared" si="6"/>
        <v/>
      </c>
      <c r="AN35" s="36">
        <f>[1]MJ!$I35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7"/>
        <v/>
      </c>
      <c r="AU35" s="36">
        <f>[1]MJ!$J35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33"/>
      <c r="BA35" s="37" t="str">
        <f t="shared" si="8"/>
        <v/>
      </c>
      <c r="BB35" s="36">
        <f>[1]MJ!$K35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9"/>
        <v/>
      </c>
      <c r="BI35" s="36">
        <f>[1]MJ!$L35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[1]MJ!$M35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[1]MJ!$N35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[1]MJ!$O35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[1]MJ!$P35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199999.99999999997</v>
      </c>
      <c r="C36" s="31">
        <f t="shared" si="64"/>
        <v>175420.00000000003</v>
      </c>
      <c r="D36" s="32">
        <f t="shared" si="64"/>
        <v>24579.999999999996</v>
      </c>
      <c r="E36" s="30">
        <f t="shared" si="15"/>
        <v>66666.666666666672</v>
      </c>
      <c r="F36" s="33">
        <f t="shared" si="15"/>
        <v>58473.333333333336</v>
      </c>
      <c r="G36" s="34">
        <f t="shared" si="15"/>
        <v>8193.3333333333339</v>
      </c>
      <c r="H36" s="31">
        <f t="shared" ref="H36:J54" si="65">+O36+V36+AC36+AJ36+AQ36+AX36+BE36+BL36+BS36+BZ36+CG36+CN36</f>
        <v>68879.746116000009</v>
      </c>
      <c r="I36" s="33">
        <f t="shared" si="65"/>
        <v>3185.2738840000002</v>
      </c>
      <c r="J36" s="33">
        <f t="shared" si="65"/>
        <v>72065.02</v>
      </c>
      <c r="K36" s="37">
        <f t="shared" si="2"/>
        <v>8.0975299999999972E-2</v>
      </c>
      <c r="L36" s="36">
        <f>[1]MJ!$E36</f>
        <v>16666.666666666668</v>
      </c>
      <c r="M36" s="31">
        <f t="shared" si="16"/>
        <v>14618.333333333334</v>
      </c>
      <c r="N36" s="31">
        <f t="shared" si="17"/>
        <v>2048.3333333333335</v>
      </c>
      <c r="O36" s="31">
        <f t="shared" si="18"/>
        <v>14111.966448000001</v>
      </c>
      <c r="P36" s="31">
        <f t="shared" si="19"/>
        <v>652.59355200000005</v>
      </c>
      <c r="Q36" s="33">
        <f>59.96+53.59+129.89+186.44+1500+7.06+81.5+53.12+25.83+51.08+21.47+1058.87+242.56+237.29+1104+1104+1595+60.02+95+190+148.63+58.21+235.19+50.37+1100+86.25+383.28+1290+345+1500+560+53.13+57.49+32.25+211.51+107+399+290.57</f>
        <v>14764.560000000001</v>
      </c>
      <c r="R36" s="37">
        <f t="shared" si="3"/>
        <v>-0.11412639999999996</v>
      </c>
      <c r="S36" s="36">
        <f>[1]MJ!$F36</f>
        <v>16666.666666666668</v>
      </c>
      <c r="T36" s="31">
        <f t="shared" si="20"/>
        <v>14618.333333333334</v>
      </c>
      <c r="U36" s="31">
        <f t="shared" si="21"/>
        <v>2048.3333333333335</v>
      </c>
      <c r="V36" s="31">
        <f t="shared" si="22"/>
        <v>28050.942654000006</v>
      </c>
      <c r="W36" s="31">
        <f t="shared" si="23"/>
        <v>1297.1873460000002</v>
      </c>
      <c r="X36" s="33">
        <f>850+13.8+64.76+44.56+118.45+2198+663.7+1712+118.69+185.38+700+275+395+5381.5+618+850.5+36.38+1126.75+55.08+92+43.7+22.57+80+181.2+66.34+29.06+64+60.03+3195+300+53.58+500+2870+587+520+260+650+20.38+875+750+560+788.75+234+145+550+214.97+228</f>
        <v>29348.130000000005</v>
      </c>
      <c r="Y36" s="37">
        <f t="shared" si="4"/>
        <v>0.76088780000000011</v>
      </c>
      <c r="Z36" s="36">
        <f>[1]MJ!$G36</f>
        <v>16666.666666666668</v>
      </c>
      <c r="AA36" s="31">
        <f t="shared" si="24"/>
        <v>14618.333333333334</v>
      </c>
      <c r="AB36" s="31">
        <f t="shared" si="25"/>
        <v>2048.3333333333335</v>
      </c>
      <c r="AC36" s="31">
        <f t="shared" si="26"/>
        <v>16175.079864000001</v>
      </c>
      <c r="AD36" s="31">
        <f t="shared" si="27"/>
        <v>748.000136</v>
      </c>
      <c r="AE36" s="33">
        <f>700+20.59+211.6+1218+46.37+800+380+268.18+61.54+47.98+5.1+5.24+35.66+53.85+292.12+28.02+26.2+7.03+808.7+93.12+1416.57+90+210+570+29.11+924+900+160.07+2283+65.8+23.03+44.39+808.71+45.05+788.75+730+48.77+520+836.53+1320</f>
        <v>16923.080000000002</v>
      </c>
      <c r="AF36" s="37">
        <f t="shared" si="5"/>
        <v>1.5384800000000087E-2</v>
      </c>
      <c r="AG36" s="36">
        <f>[1]MJ!$H36</f>
        <v>16666.666666666668</v>
      </c>
      <c r="AH36" s="31">
        <f t="shared" si="28"/>
        <v>14618.333333333334</v>
      </c>
      <c r="AI36" s="31">
        <f t="shared" si="29"/>
        <v>2048.3333333333335</v>
      </c>
      <c r="AJ36" s="31">
        <f t="shared" si="30"/>
        <v>10541.757150000001</v>
      </c>
      <c r="AK36" s="31">
        <f t="shared" si="31"/>
        <v>487.49285000000003</v>
      </c>
      <c r="AL36" s="27">
        <f>11.5+22.6+2.54+1300+22.54+41.3+40.95+17.65+63.7+250+252.39+8.74+1200+400+740+42.37+450+175.6+95+160+750+840+38.13+67.79+340+42.37+978.28+1604+33.28+150+15.41+50.84+182.27+350+290</f>
        <v>11029.250000000002</v>
      </c>
      <c r="AM36" s="37">
        <f t="shared" si="6"/>
        <v>-0.33824499999999991</v>
      </c>
      <c r="AN36" s="36">
        <f>[1]MJ!$I36</f>
        <v>16666.666666666668</v>
      </c>
      <c r="AO36" s="31">
        <f t="shared" si="32"/>
        <v>14618.333333333334</v>
      </c>
      <c r="AP36" s="31">
        <f t="shared" si="33"/>
        <v>2048.3333333333335</v>
      </c>
      <c r="AQ36" s="31">
        <f t="shared" si="34"/>
        <v>0</v>
      </c>
      <c r="AR36" s="31">
        <f t="shared" si="35"/>
        <v>0</v>
      </c>
      <c r="AS36" s="33"/>
      <c r="AT36" s="37">
        <f t="shared" si="7"/>
        <v>-1</v>
      </c>
      <c r="AU36" s="36">
        <f>[1]MJ!$J36</f>
        <v>16666.666666666668</v>
      </c>
      <c r="AV36" s="31">
        <f t="shared" si="36"/>
        <v>14618.333333333334</v>
      </c>
      <c r="AW36" s="31">
        <f t="shared" si="37"/>
        <v>2048.3333333333335</v>
      </c>
      <c r="AX36" s="31">
        <f t="shared" si="38"/>
        <v>0</v>
      </c>
      <c r="AY36" s="31">
        <f t="shared" si="39"/>
        <v>0</v>
      </c>
      <c r="AZ36" s="33"/>
      <c r="BA36" s="37">
        <f t="shared" si="8"/>
        <v>-1</v>
      </c>
      <c r="BB36" s="36">
        <f>[1]MJ!$K36</f>
        <v>16666.666666666668</v>
      </c>
      <c r="BC36" s="31">
        <f t="shared" si="40"/>
        <v>14618.333333333334</v>
      </c>
      <c r="BD36" s="31">
        <f t="shared" si="41"/>
        <v>2048.3333333333335</v>
      </c>
      <c r="BE36" s="31">
        <f t="shared" si="42"/>
        <v>0</v>
      </c>
      <c r="BF36" s="31">
        <f t="shared" si="43"/>
        <v>0</v>
      </c>
      <c r="BG36" s="27"/>
      <c r="BH36" s="37">
        <f t="shared" si="9"/>
        <v>-1</v>
      </c>
      <c r="BI36" s="36">
        <f>[1]MJ!$L36</f>
        <v>16666.666666666668</v>
      </c>
      <c r="BJ36" s="31">
        <f t="shared" si="44"/>
        <v>14618.333333333334</v>
      </c>
      <c r="BK36" s="31">
        <f t="shared" si="45"/>
        <v>2048.3333333333335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[1]MJ!$M36</f>
        <v>16666.666666666668</v>
      </c>
      <c r="BQ36" s="31">
        <f t="shared" si="48"/>
        <v>14618.333333333334</v>
      </c>
      <c r="BR36" s="31">
        <f t="shared" si="49"/>
        <v>2048.3333333333335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[1]MJ!$N36</f>
        <v>16666.666666666668</v>
      </c>
      <c r="BX36" s="31">
        <f t="shared" si="52"/>
        <v>14618.333333333334</v>
      </c>
      <c r="BY36" s="31">
        <f t="shared" si="53"/>
        <v>2048.3333333333335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[1]MJ!$O36</f>
        <v>16666.666666666668</v>
      </c>
      <c r="CE36" s="31">
        <f t="shared" si="56"/>
        <v>14618.333333333334</v>
      </c>
      <c r="CF36" s="31">
        <f t="shared" si="57"/>
        <v>2048.3333333333335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[1]MJ!$P36</f>
        <v>16666.666666666668</v>
      </c>
      <c r="CL36" s="31">
        <f t="shared" si="60"/>
        <v>14618.333333333334</v>
      </c>
      <c r="CM36" s="31">
        <f t="shared" si="61"/>
        <v>2048.3333333333335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160000</v>
      </c>
      <c r="C37" s="31">
        <f t="shared" si="64"/>
        <v>140336.00000000003</v>
      </c>
      <c r="D37" s="32">
        <f t="shared" si="64"/>
        <v>19664</v>
      </c>
      <c r="E37" s="30">
        <f t="shared" ref="E37:G54" si="66">+L37+S37+Z37+AG37</f>
        <v>53333.333333333336</v>
      </c>
      <c r="F37" s="33">
        <f t="shared" si="66"/>
        <v>46778.666666666672</v>
      </c>
      <c r="G37" s="34">
        <f t="shared" si="66"/>
        <v>6554.666666666667</v>
      </c>
      <c r="H37" s="31">
        <f t="shared" si="65"/>
        <v>83894.140691999986</v>
      </c>
      <c r="I37" s="33">
        <f t="shared" si="65"/>
        <v>3879.5993079999994</v>
      </c>
      <c r="J37" s="33">
        <f t="shared" si="65"/>
        <v>87773.739999999991</v>
      </c>
      <c r="K37" s="37">
        <f t="shared" si="2"/>
        <v>0.64575762499999967</v>
      </c>
      <c r="L37" s="36">
        <f>[1]MJ!$E37</f>
        <v>13333.333333333334</v>
      </c>
      <c r="M37" s="31">
        <f t="shared" si="16"/>
        <v>11694.666666666668</v>
      </c>
      <c r="N37" s="31">
        <f t="shared" si="17"/>
        <v>1638.6666666666667</v>
      </c>
      <c r="O37" s="31">
        <f t="shared" si="18"/>
        <v>15099.2505</v>
      </c>
      <c r="P37" s="31">
        <f t="shared" si="19"/>
        <v>698.2494999999999</v>
      </c>
      <c r="Q37" s="33">
        <f>(29776.81+785.25)-Q36</f>
        <v>15797.5</v>
      </c>
      <c r="R37" s="37">
        <f t="shared" si="3"/>
        <v>0.18481250000000005</v>
      </c>
      <c r="S37" s="36">
        <f>[1]MJ!$F37</f>
        <v>13333.333333333334</v>
      </c>
      <c r="T37" s="31">
        <f t="shared" si="20"/>
        <v>11694.666666666668</v>
      </c>
      <c r="U37" s="31">
        <f t="shared" si="21"/>
        <v>1638.6666666666667</v>
      </c>
      <c r="V37" s="31">
        <f t="shared" si="22"/>
        <v>10221.048017999992</v>
      </c>
      <c r="W37" s="31">
        <f t="shared" si="23"/>
        <v>472.66198199999963</v>
      </c>
      <c r="X37" s="33">
        <f>40041.84-X36</f>
        <v>10693.709999999992</v>
      </c>
      <c r="Y37" s="37">
        <f t="shared" si="4"/>
        <v>-0.19797175000000067</v>
      </c>
      <c r="Z37" s="36">
        <f>[1]MJ!$G37</f>
        <v>13333.333333333334</v>
      </c>
      <c r="AA37" s="31">
        <f t="shared" si="24"/>
        <v>11694.666666666668</v>
      </c>
      <c r="AB37" s="31">
        <f t="shared" si="25"/>
        <v>1638.6666666666667</v>
      </c>
      <c r="AC37" s="31">
        <f t="shared" si="26"/>
        <v>22221.078785999998</v>
      </c>
      <c r="AD37" s="31">
        <f t="shared" si="27"/>
        <v>1027.5912139999998</v>
      </c>
      <c r="AE37" s="33">
        <f>40171.75-AE36</f>
        <v>23248.67</v>
      </c>
      <c r="AF37" s="37">
        <f t="shared" si="5"/>
        <v>0.74365024999999974</v>
      </c>
      <c r="AG37" s="36">
        <f>[1]MJ!$H37</f>
        <v>13333.333333333334</v>
      </c>
      <c r="AH37" s="31">
        <f t="shared" si="28"/>
        <v>11694.666666666668</v>
      </c>
      <c r="AI37" s="31">
        <f t="shared" si="29"/>
        <v>1638.6666666666667</v>
      </c>
      <c r="AJ37" s="31">
        <f t="shared" si="30"/>
        <v>36352.763387999999</v>
      </c>
      <c r="AK37" s="31">
        <f t="shared" si="31"/>
        <v>1681.0966119999998</v>
      </c>
      <c r="AL37" s="27">
        <f>49063.11-AL36</f>
        <v>38033.86</v>
      </c>
      <c r="AM37" s="37">
        <f t="shared" si="6"/>
        <v>1.8525394999999998</v>
      </c>
      <c r="AN37" s="36">
        <f>[1]MJ!$I37</f>
        <v>13333.333333333334</v>
      </c>
      <c r="AO37" s="31">
        <f t="shared" si="32"/>
        <v>11694.666666666668</v>
      </c>
      <c r="AP37" s="31">
        <f t="shared" si="33"/>
        <v>1638.6666666666667</v>
      </c>
      <c r="AQ37" s="31">
        <f t="shared" si="34"/>
        <v>0</v>
      </c>
      <c r="AR37" s="31">
        <f t="shared" si="35"/>
        <v>0</v>
      </c>
      <c r="AS37" s="33"/>
      <c r="AT37" s="37">
        <f t="shared" si="7"/>
        <v>-1</v>
      </c>
      <c r="AU37" s="36">
        <f>[1]MJ!$J37</f>
        <v>13333.333333333334</v>
      </c>
      <c r="AV37" s="31">
        <f t="shared" si="36"/>
        <v>11694.666666666668</v>
      </c>
      <c r="AW37" s="31">
        <f t="shared" si="37"/>
        <v>1638.6666666666667</v>
      </c>
      <c r="AX37" s="31">
        <f t="shared" si="38"/>
        <v>0</v>
      </c>
      <c r="AY37" s="31">
        <f t="shared" si="39"/>
        <v>0</v>
      </c>
      <c r="AZ37" s="33"/>
      <c r="BA37" s="37">
        <f t="shared" si="8"/>
        <v>-1</v>
      </c>
      <c r="BB37" s="36">
        <f>[1]MJ!$K37</f>
        <v>13333.333333333334</v>
      </c>
      <c r="BC37" s="31">
        <f t="shared" si="40"/>
        <v>11694.666666666668</v>
      </c>
      <c r="BD37" s="31">
        <f t="shared" si="41"/>
        <v>1638.6666666666667</v>
      </c>
      <c r="BE37" s="31">
        <f t="shared" si="42"/>
        <v>0</v>
      </c>
      <c r="BF37" s="31">
        <f t="shared" si="43"/>
        <v>0</v>
      </c>
      <c r="BG37" s="27"/>
      <c r="BH37" s="37">
        <f t="shared" si="9"/>
        <v>-1</v>
      </c>
      <c r="BI37" s="36">
        <f>[1]MJ!$L37</f>
        <v>13333.333333333334</v>
      </c>
      <c r="BJ37" s="31">
        <f t="shared" si="44"/>
        <v>11694.666666666668</v>
      </c>
      <c r="BK37" s="31">
        <f t="shared" si="45"/>
        <v>1638.6666666666667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[1]MJ!$M37</f>
        <v>13333.333333333334</v>
      </c>
      <c r="BQ37" s="31">
        <f t="shared" si="48"/>
        <v>11694.666666666668</v>
      </c>
      <c r="BR37" s="31">
        <f t="shared" si="49"/>
        <v>1638.6666666666667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[1]MJ!$N37</f>
        <v>13333.333333333334</v>
      </c>
      <c r="BX37" s="31">
        <f t="shared" si="52"/>
        <v>11694.666666666668</v>
      </c>
      <c r="BY37" s="31">
        <f t="shared" si="53"/>
        <v>1638.6666666666667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[1]MJ!$O37</f>
        <v>13333.333333333334</v>
      </c>
      <c r="CE37" s="31">
        <f t="shared" si="56"/>
        <v>11694.666666666668</v>
      </c>
      <c r="CF37" s="31">
        <f t="shared" si="57"/>
        <v>1638.6666666666667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[1]MJ!$P37</f>
        <v>13333.333333333334</v>
      </c>
      <c r="CL37" s="31">
        <f t="shared" si="60"/>
        <v>11694.666666666668</v>
      </c>
      <c r="CM37" s="31">
        <f t="shared" si="61"/>
        <v>1638.6666666666667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10000</v>
      </c>
      <c r="C38" s="31">
        <f t="shared" si="64"/>
        <v>8771.0000000000018</v>
      </c>
      <c r="D38" s="32">
        <f t="shared" si="64"/>
        <v>1229</v>
      </c>
      <c r="E38" s="30">
        <f t="shared" si="66"/>
        <v>3333.3333333333335</v>
      </c>
      <c r="F38" s="33">
        <f t="shared" si="66"/>
        <v>2923.666666666667</v>
      </c>
      <c r="G38" s="34">
        <f t="shared" si="66"/>
        <v>409.66666666666669</v>
      </c>
      <c r="H38" s="31">
        <f t="shared" si="65"/>
        <v>8207.2156500000001</v>
      </c>
      <c r="I38" s="33">
        <f t="shared" si="65"/>
        <v>379.53434999999996</v>
      </c>
      <c r="J38" s="33">
        <f t="shared" si="65"/>
        <v>8586.75</v>
      </c>
      <c r="K38" s="37">
        <f t="shared" si="2"/>
        <v>1.576025</v>
      </c>
      <c r="L38" s="36">
        <f>[1]MJ!$E38</f>
        <v>833.33333333333337</v>
      </c>
      <c r="M38" s="31">
        <f t="shared" si="16"/>
        <v>730.91666666666674</v>
      </c>
      <c r="N38" s="31">
        <f t="shared" si="17"/>
        <v>102.41666666666667</v>
      </c>
      <c r="O38" s="31">
        <f t="shared" si="18"/>
        <v>834.25091400000008</v>
      </c>
      <c r="P38" s="31">
        <f t="shared" si="19"/>
        <v>38.579085999999997</v>
      </c>
      <c r="Q38" s="33">
        <f>872.83</f>
        <v>872.83</v>
      </c>
      <c r="R38" s="37">
        <f t="shared" si="3"/>
        <v>4.7395999999999994E-2</v>
      </c>
      <c r="S38" s="36">
        <f>[1]MJ!$F38</f>
        <v>833.33333333333337</v>
      </c>
      <c r="T38" s="31">
        <f t="shared" si="20"/>
        <v>730.91666666666674</v>
      </c>
      <c r="U38" s="31">
        <f t="shared" si="21"/>
        <v>102.41666666666667</v>
      </c>
      <c r="V38" s="31">
        <f t="shared" si="22"/>
        <v>2452.0953419999996</v>
      </c>
      <c r="W38" s="31">
        <f t="shared" si="23"/>
        <v>113.39465799999998</v>
      </c>
      <c r="X38" s="33">
        <v>2565.4899999999998</v>
      </c>
      <c r="Y38" s="37">
        <f t="shared" si="4"/>
        <v>2.0785879999999994</v>
      </c>
      <c r="Z38" s="36">
        <f>[1]MJ!$G38</f>
        <v>833.33333333333337</v>
      </c>
      <c r="AA38" s="31">
        <f t="shared" si="24"/>
        <v>730.91666666666674</v>
      </c>
      <c r="AB38" s="31">
        <f t="shared" si="25"/>
        <v>102.41666666666667</v>
      </c>
      <c r="AC38" s="31">
        <f t="shared" si="26"/>
        <v>2652.2303040000002</v>
      </c>
      <c r="AD38" s="31">
        <f t="shared" si="27"/>
        <v>122.64969599999999</v>
      </c>
      <c r="AE38" s="33">
        <f>2199.88+575</f>
        <v>2774.88</v>
      </c>
      <c r="AF38" s="37">
        <f t="shared" si="5"/>
        <v>2.3298559999999999</v>
      </c>
      <c r="AG38" s="36">
        <f>[1]MJ!$H38</f>
        <v>833.33333333333337</v>
      </c>
      <c r="AH38" s="31">
        <f t="shared" si="28"/>
        <v>730.91666666666674</v>
      </c>
      <c r="AI38" s="31">
        <f t="shared" si="29"/>
        <v>102.41666666666667</v>
      </c>
      <c r="AJ38" s="31">
        <f t="shared" si="30"/>
        <v>2268.6390900000001</v>
      </c>
      <c r="AK38" s="31">
        <f t="shared" si="31"/>
        <v>104.91091</v>
      </c>
      <c r="AL38" s="27">
        <v>2373.5500000000002</v>
      </c>
      <c r="AM38" s="37">
        <f t="shared" si="6"/>
        <v>1.8482600000000002</v>
      </c>
      <c r="AN38" s="36">
        <f>[1]MJ!$I38</f>
        <v>833.33333333333337</v>
      </c>
      <c r="AO38" s="31">
        <f t="shared" si="32"/>
        <v>730.91666666666674</v>
      </c>
      <c r="AP38" s="31">
        <f t="shared" si="33"/>
        <v>102.41666666666667</v>
      </c>
      <c r="AQ38" s="31">
        <f t="shared" si="34"/>
        <v>0</v>
      </c>
      <c r="AR38" s="31">
        <f t="shared" si="35"/>
        <v>0</v>
      </c>
      <c r="AS38" s="33"/>
      <c r="AT38" s="37">
        <f t="shared" si="7"/>
        <v>-1</v>
      </c>
      <c r="AU38" s="36">
        <f>[1]MJ!$J38</f>
        <v>833.33333333333337</v>
      </c>
      <c r="AV38" s="31">
        <f t="shared" si="36"/>
        <v>730.91666666666674</v>
      </c>
      <c r="AW38" s="31">
        <f t="shared" si="37"/>
        <v>102.41666666666667</v>
      </c>
      <c r="AX38" s="31">
        <f t="shared" si="38"/>
        <v>0</v>
      </c>
      <c r="AY38" s="31">
        <f t="shared" si="39"/>
        <v>0</v>
      </c>
      <c r="AZ38" s="33"/>
      <c r="BA38" s="37">
        <f t="shared" si="8"/>
        <v>-1</v>
      </c>
      <c r="BB38" s="36">
        <f>[1]MJ!$K38</f>
        <v>833.33333333333337</v>
      </c>
      <c r="BC38" s="31">
        <f t="shared" si="40"/>
        <v>730.91666666666674</v>
      </c>
      <c r="BD38" s="31">
        <f t="shared" si="41"/>
        <v>102.41666666666667</v>
      </c>
      <c r="BE38" s="31">
        <f t="shared" si="42"/>
        <v>0</v>
      </c>
      <c r="BF38" s="31">
        <f t="shared" si="43"/>
        <v>0</v>
      </c>
      <c r="BG38" s="27"/>
      <c r="BH38" s="37">
        <f t="shared" si="9"/>
        <v>-1</v>
      </c>
      <c r="BI38" s="36">
        <f>[1]MJ!$L38</f>
        <v>833.33333333333337</v>
      </c>
      <c r="BJ38" s="31">
        <f t="shared" si="44"/>
        <v>730.91666666666674</v>
      </c>
      <c r="BK38" s="31">
        <f t="shared" si="45"/>
        <v>102.41666666666667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[1]MJ!$M38</f>
        <v>833.33333333333337</v>
      </c>
      <c r="BQ38" s="31">
        <f t="shared" si="48"/>
        <v>730.91666666666674</v>
      </c>
      <c r="BR38" s="31">
        <f t="shared" si="49"/>
        <v>102.41666666666667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[1]MJ!$N38</f>
        <v>833.33333333333337</v>
      </c>
      <c r="BX38" s="31">
        <f t="shared" si="52"/>
        <v>730.91666666666674</v>
      </c>
      <c r="BY38" s="31">
        <f t="shared" si="53"/>
        <v>102.41666666666667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[1]MJ!$O38</f>
        <v>833.33333333333337</v>
      </c>
      <c r="CE38" s="31">
        <f t="shared" si="56"/>
        <v>730.91666666666674</v>
      </c>
      <c r="CF38" s="31">
        <f t="shared" si="57"/>
        <v>102.41666666666667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[1]MJ!$P38</f>
        <v>833.33333333333337</v>
      </c>
      <c r="CL38" s="31">
        <f t="shared" si="60"/>
        <v>730.91666666666674</v>
      </c>
      <c r="CM38" s="31">
        <f t="shared" si="61"/>
        <v>102.41666666666667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8000.0000000000009</v>
      </c>
      <c r="C39" s="31">
        <f t="shared" si="64"/>
        <v>7016.800000000002</v>
      </c>
      <c r="D39" s="32">
        <f t="shared" si="64"/>
        <v>983.1999999999997</v>
      </c>
      <c r="E39" s="30">
        <f t="shared" si="66"/>
        <v>2666.6666666666665</v>
      </c>
      <c r="F39" s="33">
        <f t="shared" si="66"/>
        <v>2338.9333333333334</v>
      </c>
      <c r="G39" s="34">
        <f t="shared" si="66"/>
        <v>327.73333333333329</v>
      </c>
      <c r="H39" s="31">
        <f t="shared" si="65"/>
        <v>5128.5551759999998</v>
      </c>
      <c r="I39" s="33">
        <f t="shared" si="65"/>
        <v>237.16482399999998</v>
      </c>
      <c r="J39" s="33">
        <f t="shared" si="65"/>
        <v>5365.72</v>
      </c>
      <c r="K39" s="37">
        <f t="shared" si="2"/>
        <v>1.0121450000000003</v>
      </c>
      <c r="L39" s="36">
        <f>[1]MJ!$E39</f>
        <v>666.66666666666663</v>
      </c>
      <c r="M39" s="31">
        <f t="shared" si="16"/>
        <v>584.73333333333335</v>
      </c>
      <c r="N39" s="31">
        <f t="shared" si="17"/>
        <v>81.933333333333323</v>
      </c>
      <c r="O39" s="31">
        <f t="shared" si="18"/>
        <v>896.54039999999998</v>
      </c>
      <c r="P39" s="31">
        <f t="shared" si="19"/>
        <v>41.459599999999995</v>
      </c>
      <c r="Q39" s="33">
        <f>938</f>
        <v>938</v>
      </c>
      <c r="R39" s="37">
        <f t="shared" si="3"/>
        <v>0.40700000000000003</v>
      </c>
      <c r="S39" s="36">
        <f>[1]MJ!$F39</f>
        <v>666.66666666666663</v>
      </c>
      <c r="T39" s="31">
        <f t="shared" si="20"/>
        <v>584.73333333333335</v>
      </c>
      <c r="U39" s="31">
        <f t="shared" si="21"/>
        <v>81.933333333333323</v>
      </c>
      <c r="V39" s="31">
        <f t="shared" si="22"/>
        <v>0</v>
      </c>
      <c r="W39" s="31">
        <f t="shared" si="23"/>
        <v>0</v>
      </c>
      <c r="X39" s="33"/>
      <c r="Y39" s="37">
        <f t="shared" si="4"/>
        <v>-1</v>
      </c>
      <c r="Z39" s="36">
        <f>[1]MJ!$G39</f>
        <v>666.66666666666663</v>
      </c>
      <c r="AA39" s="31">
        <f t="shared" si="24"/>
        <v>584.73333333333335</v>
      </c>
      <c r="AB39" s="31">
        <f t="shared" si="25"/>
        <v>81.933333333333323</v>
      </c>
      <c r="AC39" s="31">
        <f t="shared" si="26"/>
        <v>0</v>
      </c>
      <c r="AD39" s="31">
        <f t="shared" si="27"/>
        <v>0</v>
      </c>
      <c r="AE39" s="33"/>
      <c r="AF39" s="37">
        <f t="shared" si="5"/>
        <v>-1</v>
      </c>
      <c r="AG39" s="36">
        <f>[1]MJ!$H39</f>
        <v>666.66666666666663</v>
      </c>
      <c r="AH39" s="31">
        <f t="shared" si="28"/>
        <v>584.73333333333335</v>
      </c>
      <c r="AI39" s="31">
        <f t="shared" si="29"/>
        <v>81.933333333333323</v>
      </c>
      <c r="AJ39" s="31">
        <f t="shared" si="30"/>
        <v>4232.014776</v>
      </c>
      <c r="AK39" s="31">
        <f t="shared" si="31"/>
        <v>195.70522399999999</v>
      </c>
      <c r="AL39" s="27">
        <f>4427.72</f>
        <v>4427.72</v>
      </c>
      <c r="AM39" s="37">
        <f t="shared" si="6"/>
        <v>5.6415800000000011</v>
      </c>
      <c r="AN39" s="36">
        <f>[1]MJ!$I39</f>
        <v>666.66666666666663</v>
      </c>
      <c r="AO39" s="31">
        <f t="shared" si="32"/>
        <v>584.73333333333335</v>
      </c>
      <c r="AP39" s="31">
        <f t="shared" si="33"/>
        <v>81.933333333333323</v>
      </c>
      <c r="AQ39" s="31">
        <f t="shared" si="34"/>
        <v>0</v>
      </c>
      <c r="AR39" s="31">
        <f t="shared" si="35"/>
        <v>0</v>
      </c>
      <c r="AS39" s="33"/>
      <c r="AT39" s="37">
        <f t="shared" si="7"/>
        <v>-1</v>
      </c>
      <c r="AU39" s="36">
        <f>[1]MJ!$J39</f>
        <v>666.66666666666663</v>
      </c>
      <c r="AV39" s="31">
        <f t="shared" si="36"/>
        <v>584.73333333333335</v>
      </c>
      <c r="AW39" s="31">
        <f t="shared" si="37"/>
        <v>81.933333333333323</v>
      </c>
      <c r="AX39" s="31">
        <f t="shared" si="38"/>
        <v>0</v>
      </c>
      <c r="AY39" s="31">
        <f t="shared" si="39"/>
        <v>0</v>
      </c>
      <c r="AZ39" s="33"/>
      <c r="BA39" s="37">
        <f t="shared" si="8"/>
        <v>-1</v>
      </c>
      <c r="BB39" s="36">
        <f>[1]MJ!$K39</f>
        <v>666.66666666666663</v>
      </c>
      <c r="BC39" s="31">
        <f t="shared" si="40"/>
        <v>584.73333333333335</v>
      </c>
      <c r="BD39" s="31">
        <f t="shared" si="41"/>
        <v>81.933333333333323</v>
      </c>
      <c r="BE39" s="31">
        <f t="shared" si="42"/>
        <v>0</v>
      </c>
      <c r="BF39" s="31">
        <f t="shared" si="43"/>
        <v>0</v>
      </c>
      <c r="BG39" s="27"/>
      <c r="BH39" s="37">
        <f t="shared" si="9"/>
        <v>-1</v>
      </c>
      <c r="BI39" s="36">
        <f>[1]MJ!$L39</f>
        <v>666.66666666666663</v>
      </c>
      <c r="BJ39" s="31">
        <f t="shared" si="44"/>
        <v>584.73333333333335</v>
      </c>
      <c r="BK39" s="31">
        <f t="shared" si="45"/>
        <v>81.933333333333323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[1]MJ!$M39</f>
        <v>666.66666666666663</v>
      </c>
      <c r="BQ39" s="31">
        <f t="shared" si="48"/>
        <v>584.73333333333335</v>
      </c>
      <c r="BR39" s="31">
        <f t="shared" si="49"/>
        <v>81.933333333333323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[1]MJ!$N39</f>
        <v>666.66666666666663</v>
      </c>
      <c r="BX39" s="31">
        <f t="shared" si="52"/>
        <v>584.73333333333335</v>
      </c>
      <c r="BY39" s="31">
        <f t="shared" si="53"/>
        <v>81.933333333333323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[1]MJ!$O39</f>
        <v>666.66666666666663</v>
      </c>
      <c r="CE39" s="31">
        <f t="shared" si="56"/>
        <v>584.73333333333335</v>
      </c>
      <c r="CF39" s="31">
        <f t="shared" si="57"/>
        <v>81.933333333333323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[1]MJ!$P39</f>
        <v>666.66666666666663</v>
      </c>
      <c r="CL39" s="31">
        <f t="shared" si="60"/>
        <v>584.73333333333335</v>
      </c>
      <c r="CM39" s="31">
        <f t="shared" si="61"/>
        <v>81.933333333333323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24999.999999999996</v>
      </c>
      <c r="C40" s="31">
        <f t="shared" si="64"/>
        <v>21927.500000000004</v>
      </c>
      <c r="D40" s="32">
        <f t="shared" si="64"/>
        <v>3072.4999999999995</v>
      </c>
      <c r="E40" s="30">
        <f t="shared" si="66"/>
        <v>8333.3333333333339</v>
      </c>
      <c r="F40" s="33">
        <f t="shared" si="66"/>
        <v>7309.166666666667</v>
      </c>
      <c r="G40" s="34">
        <f t="shared" si="66"/>
        <v>1024.1666666666667</v>
      </c>
      <c r="H40" s="31">
        <f t="shared" si="65"/>
        <v>10914.194178</v>
      </c>
      <c r="I40" s="33">
        <f t="shared" si="65"/>
        <v>504.715822</v>
      </c>
      <c r="J40" s="33">
        <f t="shared" si="65"/>
        <v>11418.91</v>
      </c>
      <c r="K40" s="37">
        <f t="shared" si="2"/>
        <v>0.37026919999999985</v>
      </c>
      <c r="L40" s="36">
        <f>[1]MJ!$E40</f>
        <v>2083.3333333333335</v>
      </c>
      <c r="M40" s="31">
        <f t="shared" si="16"/>
        <v>1827.2916666666667</v>
      </c>
      <c r="N40" s="31">
        <f t="shared" si="17"/>
        <v>256.04166666666669</v>
      </c>
      <c r="O40" s="31">
        <f t="shared" si="18"/>
        <v>2110.0240800000001</v>
      </c>
      <c r="P40" s="31">
        <f t="shared" si="19"/>
        <v>97.575919999999982</v>
      </c>
      <c r="Q40" s="33">
        <f>2207.6</f>
        <v>2207.6</v>
      </c>
      <c r="R40" s="37">
        <f t="shared" si="3"/>
        <v>5.9647999999999923E-2</v>
      </c>
      <c r="S40" s="36">
        <f>[1]MJ!$F40</f>
        <v>2083.3333333333335</v>
      </c>
      <c r="T40" s="31">
        <f t="shared" si="20"/>
        <v>1827.2916666666667</v>
      </c>
      <c r="U40" s="31">
        <f t="shared" si="21"/>
        <v>256.04166666666669</v>
      </c>
      <c r="V40" s="31">
        <f t="shared" si="22"/>
        <v>1775.4940799999999</v>
      </c>
      <c r="W40" s="31">
        <f t="shared" si="23"/>
        <v>82.105919999999983</v>
      </c>
      <c r="X40" s="33">
        <f>1857.6</f>
        <v>1857.6</v>
      </c>
      <c r="Y40" s="37">
        <f t="shared" si="4"/>
        <v>-0.10835200000000011</v>
      </c>
      <c r="Z40" s="36">
        <f>[1]MJ!$G40</f>
        <v>2083.3333333333335</v>
      </c>
      <c r="AA40" s="31">
        <f t="shared" si="24"/>
        <v>1827.2916666666667</v>
      </c>
      <c r="AB40" s="31">
        <f t="shared" si="25"/>
        <v>256.04166666666669</v>
      </c>
      <c r="AC40" s="31">
        <f t="shared" si="26"/>
        <v>4470.3721800000003</v>
      </c>
      <c r="AD40" s="31">
        <f t="shared" si="27"/>
        <v>206.72782000000001</v>
      </c>
      <c r="AE40" s="33">
        <f>4677.1</f>
        <v>4677.1000000000004</v>
      </c>
      <c r="AF40" s="37">
        <f t="shared" si="5"/>
        <v>1.2450079999999999</v>
      </c>
      <c r="AG40" s="36">
        <f>[1]MJ!$H40</f>
        <v>2083.3333333333335</v>
      </c>
      <c r="AH40" s="31">
        <f t="shared" si="28"/>
        <v>1827.2916666666667</v>
      </c>
      <c r="AI40" s="31">
        <f t="shared" si="29"/>
        <v>256.04166666666669</v>
      </c>
      <c r="AJ40" s="31">
        <f t="shared" si="30"/>
        <v>2558.3038380000003</v>
      </c>
      <c r="AK40" s="31">
        <f t="shared" si="31"/>
        <v>118.306162</v>
      </c>
      <c r="AL40" s="27">
        <f>2676.61</f>
        <v>2676.61</v>
      </c>
      <c r="AM40" s="37">
        <f t="shared" si="6"/>
        <v>0.28477280000000005</v>
      </c>
      <c r="AN40" s="36">
        <f>[1]MJ!$I40</f>
        <v>2083.3333333333335</v>
      </c>
      <c r="AO40" s="31">
        <f t="shared" si="32"/>
        <v>1827.2916666666667</v>
      </c>
      <c r="AP40" s="31">
        <f t="shared" si="33"/>
        <v>256.04166666666669</v>
      </c>
      <c r="AQ40" s="31">
        <f t="shared" si="34"/>
        <v>0</v>
      </c>
      <c r="AR40" s="31">
        <f t="shared" si="35"/>
        <v>0</v>
      </c>
      <c r="AS40" s="33"/>
      <c r="AT40" s="37">
        <f t="shared" si="7"/>
        <v>-1</v>
      </c>
      <c r="AU40" s="36">
        <f>[1]MJ!$J40</f>
        <v>2083.3333333333335</v>
      </c>
      <c r="AV40" s="31">
        <f t="shared" si="36"/>
        <v>1827.2916666666667</v>
      </c>
      <c r="AW40" s="31">
        <f t="shared" si="37"/>
        <v>256.04166666666669</v>
      </c>
      <c r="AX40" s="31">
        <f t="shared" si="38"/>
        <v>0</v>
      </c>
      <c r="AY40" s="31">
        <f t="shared" si="39"/>
        <v>0</v>
      </c>
      <c r="AZ40" s="33"/>
      <c r="BA40" s="37">
        <f t="shared" si="8"/>
        <v>-1</v>
      </c>
      <c r="BB40" s="36">
        <f>[1]MJ!$K40</f>
        <v>2083.3333333333335</v>
      </c>
      <c r="BC40" s="31">
        <f t="shared" si="40"/>
        <v>1827.2916666666667</v>
      </c>
      <c r="BD40" s="31">
        <f t="shared" si="41"/>
        <v>256.04166666666669</v>
      </c>
      <c r="BE40" s="31">
        <f t="shared" si="42"/>
        <v>0</v>
      </c>
      <c r="BF40" s="31">
        <f t="shared" si="43"/>
        <v>0</v>
      </c>
      <c r="BG40" s="27"/>
      <c r="BH40" s="37">
        <f t="shared" si="9"/>
        <v>-1</v>
      </c>
      <c r="BI40" s="36">
        <f>[1]MJ!$L40</f>
        <v>2083.3333333333335</v>
      </c>
      <c r="BJ40" s="31">
        <f t="shared" si="44"/>
        <v>1827.2916666666667</v>
      </c>
      <c r="BK40" s="31">
        <f t="shared" si="45"/>
        <v>256.04166666666669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[1]MJ!$M40</f>
        <v>2083.3333333333335</v>
      </c>
      <c r="BQ40" s="31">
        <f t="shared" si="48"/>
        <v>1827.2916666666667</v>
      </c>
      <c r="BR40" s="31">
        <f t="shared" si="49"/>
        <v>256.04166666666669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[1]MJ!$N40</f>
        <v>2083.3333333333335</v>
      </c>
      <c r="BX40" s="31">
        <f t="shared" si="52"/>
        <v>1827.2916666666667</v>
      </c>
      <c r="BY40" s="31">
        <f t="shared" si="53"/>
        <v>256.04166666666669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[1]MJ!$O40</f>
        <v>2083.3333333333335</v>
      </c>
      <c r="CE40" s="31">
        <f t="shared" si="56"/>
        <v>1827.2916666666667</v>
      </c>
      <c r="CF40" s="31">
        <f t="shared" si="57"/>
        <v>256.04166666666669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[1]MJ!$P40</f>
        <v>2083.3333333333335</v>
      </c>
      <c r="CL40" s="31">
        <f t="shared" si="60"/>
        <v>1827.2916666666667</v>
      </c>
      <c r="CM40" s="31">
        <f t="shared" si="61"/>
        <v>256.04166666666669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157000</v>
      </c>
      <c r="C41" s="31">
        <f t="shared" si="64"/>
        <v>137704.69999999998</v>
      </c>
      <c r="D41" s="32">
        <f t="shared" si="64"/>
        <v>19295.299999999996</v>
      </c>
      <c r="E41" s="30">
        <f t="shared" si="66"/>
        <v>52333.333333333336</v>
      </c>
      <c r="F41" s="33">
        <f t="shared" si="66"/>
        <v>45901.566666666666</v>
      </c>
      <c r="G41" s="34">
        <f t="shared" si="66"/>
        <v>6431.7666666666664</v>
      </c>
      <c r="H41" s="31">
        <f t="shared" si="65"/>
        <v>50020.200000000004</v>
      </c>
      <c r="I41" s="33">
        <f t="shared" si="65"/>
        <v>2313.1333333333332</v>
      </c>
      <c r="J41" s="33">
        <f t="shared" si="65"/>
        <v>52333.333333333336</v>
      </c>
      <c r="K41" s="37">
        <f t="shared" si="2"/>
        <v>0</v>
      </c>
      <c r="L41" s="46">
        <f>[1]MJ!$E41</f>
        <v>13083.333333333334</v>
      </c>
      <c r="M41" s="47">
        <f t="shared" si="16"/>
        <v>11475.391666666666</v>
      </c>
      <c r="N41" s="47">
        <f t="shared" si="17"/>
        <v>1607.9416666666666</v>
      </c>
      <c r="O41" s="47">
        <f t="shared" si="18"/>
        <v>12505.050000000001</v>
      </c>
      <c r="P41" s="47">
        <f t="shared" si="19"/>
        <v>578.2833333333333</v>
      </c>
      <c r="Q41" s="45">
        <v>13083.333333333334</v>
      </c>
      <c r="R41" s="37">
        <f t="shared" si="3"/>
        <v>0</v>
      </c>
      <c r="S41" s="46">
        <f>[1]MJ!$F41</f>
        <v>13083.333333333334</v>
      </c>
      <c r="T41" s="47">
        <f t="shared" si="20"/>
        <v>11475.391666666666</v>
      </c>
      <c r="U41" s="47">
        <f t="shared" si="21"/>
        <v>1607.9416666666666</v>
      </c>
      <c r="V41" s="47">
        <f t="shared" si="22"/>
        <v>12505.050000000001</v>
      </c>
      <c r="W41" s="47">
        <f t="shared" si="23"/>
        <v>578.2833333333333</v>
      </c>
      <c r="X41" s="45">
        <v>13083.333333333334</v>
      </c>
      <c r="Y41" s="37">
        <f t="shared" si="4"/>
        <v>0</v>
      </c>
      <c r="Z41" s="46">
        <f>[1]MJ!$G41</f>
        <v>13083.333333333334</v>
      </c>
      <c r="AA41" s="47">
        <f t="shared" si="24"/>
        <v>11475.391666666666</v>
      </c>
      <c r="AB41" s="47">
        <f t="shared" si="25"/>
        <v>1607.9416666666666</v>
      </c>
      <c r="AC41" s="47">
        <f t="shared" si="26"/>
        <v>12505.050000000001</v>
      </c>
      <c r="AD41" s="47">
        <f t="shared" si="27"/>
        <v>578.2833333333333</v>
      </c>
      <c r="AE41" s="45">
        <v>13083.333333333334</v>
      </c>
      <c r="AF41" s="37">
        <f t="shared" si="5"/>
        <v>0</v>
      </c>
      <c r="AG41" s="46">
        <f>[1]MJ!$H41</f>
        <v>13083.333333333334</v>
      </c>
      <c r="AH41" s="47">
        <f t="shared" si="28"/>
        <v>11475.391666666666</v>
      </c>
      <c r="AI41" s="47">
        <f t="shared" si="29"/>
        <v>1607.9416666666666</v>
      </c>
      <c r="AJ41" s="47">
        <f t="shared" si="30"/>
        <v>12505.050000000001</v>
      </c>
      <c r="AK41" s="47">
        <f t="shared" si="31"/>
        <v>578.2833333333333</v>
      </c>
      <c r="AL41" s="48">
        <v>13083.333333333334</v>
      </c>
      <c r="AM41" s="37">
        <f t="shared" si="6"/>
        <v>0</v>
      </c>
      <c r="AN41" s="46">
        <f>[1]MJ!$I41</f>
        <v>13083.333333333334</v>
      </c>
      <c r="AO41" s="47">
        <f t="shared" si="32"/>
        <v>11475.391666666666</v>
      </c>
      <c r="AP41" s="47">
        <f t="shared" si="33"/>
        <v>1607.9416666666666</v>
      </c>
      <c r="AQ41" s="47">
        <f t="shared" si="34"/>
        <v>0</v>
      </c>
      <c r="AR41" s="47">
        <f t="shared" si="35"/>
        <v>0</v>
      </c>
      <c r="AS41" s="45"/>
      <c r="AT41" s="37">
        <f t="shared" si="7"/>
        <v>-1</v>
      </c>
      <c r="AU41" s="46">
        <f>[1]MJ!$J41</f>
        <v>13083.333333333334</v>
      </c>
      <c r="AV41" s="47">
        <f t="shared" si="36"/>
        <v>11475.391666666666</v>
      </c>
      <c r="AW41" s="47">
        <f t="shared" si="37"/>
        <v>1607.9416666666666</v>
      </c>
      <c r="AX41" s="47">
        <f t="shared" si="38"/>
        <v>0</v>
      </c>
      <c r="AY41" s="47">
        <f t="shared" si="39"/>
        <v>0</v>
      </c>
      <c r="AZ41" s="45"/>
      <c r="BA41" s="37">
        <f t="shared" si="8"/>
        <v>-1</v>
      </c>
      <c r="BB41" s="46">
        <f>[1]MJ!$K41</f>
        <v>13083.333333333334</v>
      </c>
      <c r="BC41" s="47">
        <f t="shared" si="40"/>
        <v>11475.391666666666</v>
      </c>
      <c r="BD41" s="47">
        <f t="shared" si="41"/>
        <v>1607.9416666666666</v>
      </c>
      <c r="BE41" s="47">
        <f t="shared" si="42"/>
        <v>0</v>
      </c>
      <c r="BF41" s="47">
        <f t="shared" si="43"/>
        <v>0</v>
      </c>
      <c r="BG41" s="48"/>
      <c r="BH41" s="37">
        <f t="shared" si="9"/>
        <v>-1</v>
      </c>
      <c r="BI41" s="46">
        <f>[1]MJ!$L41</f>
        <v>13083.333333333334</v>
      </c>
      <c r="BJ41" s="47">
        <f t="shared" si="44"/>
        <v>11475.391666666666</v>
      </c>
      <c r="BK41" s="47">
        <f t="shared" si="45"/>
        <v>1607.9416666666666</v>
      </c>
      <c r="BL41" s="47">
        <f t="shared" si="46"/>
        <v>0</v>
      </c>
      <c r="BM41" s="47">
        <f t="shared" si="47"/>
        <v>0</v>
      </c>
      <c r="BN41" s="45"/>
      <c r="BO41" s="37">
        <f t="shared" si="10"/>
        <v>-1</v>
      </c>
      <c r="BP41" s="46">
        <f>[1]MJ!$M41</f>
        <v>13083.333333333334</v>
      </c>
      <c r="BQ41" s="47">
        <f t="shared" si="48"/>
        <v>11475.391666666666</v>
      </c>
      <c r="BR41" s="47">
        <f t="shared" si="49"/>
        <v>1607.9416666666666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[1]MJ!$N41</f>
        <v>13083.333333333334</v>
      </c>
      <c r="BX41" s="47">
        <f t="shared" si="52"/>
        <v>11475.391666666666</v>
      </c>
      <c r="BY41" s="47">
        <f t="shared" si="53"/>
        <v>1607.9416666666666</v>
      </c>
      <c r="BZ41" s="47">
        <f t="shared" si="54"/>
        <v>0</v>
      </c>
      <c r="CA41" s="47">
        <f t="shared" si="55"/>
        <v>0</v>
      </c>
      <c r="CB41" s="46"/>
      <c r="CC41" s="37">
        <f t="shared" si="12"/>
        <v>-1</v>
      </c>
      <c r="CD41" s="46">
        <f>[1]MJ!$O41</f>
        <v>13083.333333333334</v>
      </c>
      <c r="CE41" s="47">
        <f t="shared" si="56"/>
        <v>11475.391666666666</v>
      </c>
      <c r="CF41" s="47">
        <f t="shared" si="57"/>
        <v>1607.9416666666666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[1]MJ!$P41</f>
        <v>13083.333333333334</v>
      </c>
      <c r="CL41" s="47">
        <f t="shared" si="60"/>
        <v>11475.391666666666</v>
      </c>
      <c r="CM41" s="47">
        <f t="shared" si="61"/>
        <v>1607.9416666666666</v>
      </c>
      <c r="CN41" s="47">
        <f t="shared" si="62"/>
        <v>0</v>
      </c>
      <c r="CO41" s="47">
        <f t="shared" si="63"/>
        <v>0</v>
      </c>
      <c r="CP41" s="45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972784.80000000016</v>
      </c>
      <c r="C42" s="31">
        <f t="shared" si="64"/>
        <v>853229.54807999975</v>
      </c>
      <c r="D42" s="32">
        <f t="shared" si="64"/>
        <v>119555.25191999997</v>
      </c>
      <c r="E42" s="30">
        <f t="shared" si="66"/>
        <v>324261.59999999998</v>
      </c>
      <c r="F42" s="33">
        <f t="shared" si="66"/>
        <v>284409.84935999999</v>
      </c>
      <c r="G42" s="34">
        <f t="shared" si="66"/>
        <v>39851.750639999998</v>
      </c>
      <c r="H42" s="31">
        <f t="shared" si="65"/>
        <v>314617.50318599999</v>
      </c>
      <c r="I42" s="33">
        <f t="shared" si="65"/>
        <v>14549.166814</v>
      </c>
      <c r="J42" s="33">
        <f t="shared" si="65"/>
        <v>329166.67</v>
      </c>
      <c r="K42" s="37">
        <f t="shared" si="2"/>
        <v>1.5126891374125151E-2</v>
      </c>
      <c r="L42" s="36">
        <f>[1]MJ!$E42</f>
        <v>81065.399999999994</v>
      </c>
      <c r="M42" s="31">
        <f t="shared" si="16"/>
        <v>71102.462339999998</v>
      </c>
      <c r="N42" s="31">
        <f t="shared" si="17"/>
        <v>9962.9376599999996</v>
      </c>
      <c r="O42" s="31">
        <f t="shared" si="18"/>
        <v>73277.993627999997</v>
      </c>
      <c r="P42" s="31">
        <f t="shared" si="19"/>
        <v>3388.6663719999997</v>
      </c>
      <c r="Q42" s="33">
        <f>76666.66</f>
        <v>76666.66</v>
      </c>
      <c r="R42" s="37">
        <f t="shared" si="3"/>
        <v>-5.4261620864141658E-2</v>
      </c>
      <c r="S42" s="36">
        <f>[1]MJ!$F42</f>
        <v>81065.399999999994</v>
      </c>
      <c r="T42" s="31">
        <f t="shared" si="20"/>
        <v>71102.462339999998</v>
      </c>
      <c r="U42" s="31">
        <f t="shared" si="21"/>
        <v>9962.9376599999996</v>
      </c>
      <c r="V42" s="31">
        <f t="shared" si="22"/>
        <v>80446.503186000002</v>
      </c>
      <c r="W42" s="31">
        <f t="shared" si="23"/>
        <v>3720.1668139999997</v>
      </c>
      <c r="X42" s="33">
        <f>84166.67</f>
        <v>84166.67</v>
      </c>
      <c r="Y42" s="37">
        <f t="shared" si="4"/>
        <v>3.8256395453547531E-2</v>
      </c>
      <c r="Z42" s="36">
        <f>[1]MJ!$G42</f>
        <v>81065.399999999994</v>
      </c>
      <c r="AA42" s="31">
        <f t="shared" si="24"/>
        <v>71102.462339999998</v>
      </c>
      <c r="AB42" s="31">
        <f t="shared" si="25"/>
        <v>9962.9376599999996</v>
      </c>
      <c r="AC42" s="31">
        <f t="shared" si="26"/>
        <v>80446.503186000002</v>
      </c>
      <c r="AD42" s="31">
        <f t="shared" si="27"/>
        <v>3720.1668139999997</v>
      </c>
      <c r="AE42" s="33">
        <v>84166.67</v>
      </c>
      <c r="AF42" s="37">
        <f t="shared" si="5"/>
        <v>3.8256395453547531E-2</v>
      </c>
      <c r="AG42" s="36">
        <f>[1]MJ!$H42</f>
        <v>81065.399999999994</v>
      </c>
      <c r="AH42" s="31">
        <f t="shared" si="28"/>
        <v>71102.462339999998</v>
      </c>
      <c r="AI42" s="31">
        <f t="shared" si="29"/>
        <v>9962.9376599999996</v>
      </c>
      <c r="AJ42" s="31">
        <f t="shared" si="30"/>
        <v>80446.503186000002</v>
      </c>
      <c r="AK42" s="31">
        <f t="shared" si="31"/>
        <v>3720.1668139999997</v>
      </c>
      <c r="AL42" s="27">
        <f>84166.67</f>
        <v>84166.67</v>
      </c>
      <c r="AM42" s="37">
        <f t="shared" si="6"/>
        <v>3.8256395453547531E-2</v>
      </c>
      <c r="AN42" s="36">
        <f>[1]MJ!$I42</f>
        <v>81065.399999999994</v>
      </c>
      <c r="AO42" s="31">
        <f t="shared" si="32"/>
        <v>71102.462339999998</v>
      </c>
      <c r="AP42" s="31">
        <f t="shared" si="33"/>
        <v>9962.9376599999996</v>
      </c>
      <c r="AQ42" s="31">
        <f t="shared" si="34"/>
        <v>0</v>
      </c>
      <c r="AR42" s="31">
        <f t="shared" si="35"/>
        <v>0</v>
      </c>
      <c r="AS42" s="33"/>
      <c r="AT42" s="37">
        <f t="shared" si="7"/>
        <v>-1</v>
      </c>
      <c r="AU42" s="36">
        <f>[1]MJ!$J42</f>
        <v>81065.399999999994</v>
      </c>
      <c r="AV42" s="31">
        <f t="shared" si="36"/>
        <v>71102.462339999998</v>
      </c>
      <c r="AW42" s="31">
        <f t="shared" si="37"/>
        <v>9962.9376599999996</v>
      </c>
      <c r="AX42" s="31">
        <f t="shared" si="38"/>
        <v>0</v>
      </c>
      <c r="AY42" s="31">
        <f t="shared" si="39"/>
        <v>0</v>
      </c>
      <c r="AZ42" s="33"/>
      <c r="BA42" s="37">
        <f t="shared" si="8"/>
        <v>-1</v>
      </c>
      <c r="BB42" s="36">
        <f>[1]MJ!$K42</f>
        <v>81065.399999999994</v>
      </c>
      <c r="BC42" s="31">
        <f t="shared" si="40"/>
        <v>71102.462339999998</v>
      </c>
      <c r="BD42" s="31">
        <f t="shared" si="41"/>
        <v>9962.9376599999996</v>
      </c>
      <c r="BE42" s="31">
        <f t="shared" si="42"/>
        <v>0</v>
      </c>
      <c r="BF42" s="31">
        <f t="shared" si="43"/>
        <v>0</v>
      </c>
      <c r="BG42" s="27"/>
      <c r="BH42" s="37">
        <f t="shared" si="9"/>
        <v>-1</v>
      </c>
      <c r="BI42" s="36">
        <f>[1]MJ!$L42</f>
        <v>81065.399999999994</v>
      </c>
      <c r="BJ42" s="31">
        <f t="shared" si="44"/>
        <v>71102.462339999998</v>
      </c>
      <c r="BK42" s="31">
        <f t="shared" si="45"/>
        <v>9962.9376599999996</v>
      </c>
      <c r="BL42" s="31">
        <f t="shared" si="46"/>
        <v>0</v>
      </c>
      <c r="BM42" s="31">
        <f t="shared" si="47"/>
        <v>0</v>
      </c>
      <c r="BN42" s="33"/>
      <c r="BO42" s="37">
        <f t="shared" si="10"/>
        <v>-1</v>
      </c>
      <c r="BP42" s="36">
        <f>[1]MJ!$M42</f>
        <v>81065.399999999994</v>
      </c>
      <c r="BQ42" s="31">
        <f t="shared" si="48"/>
        <v>71102.462339999998</v>
      </c>
      <c r="BR42" s="31">
        <f t="shared" si="49"/>
        <v>9962.9376599999996</v>
      </c>
      <c r="BS42" s="31">
        <f t="shared" si="50"/>
        <v>0</v>
      </c>
      <c r="BT42" s="31">
        <f t="shared" si="51"/>
        <v>0</v>
      </c>
      <c r="BU42" s="33"/>
      <c r="BV42" s="37">
        <f t="shared" si="11"/>
        <v>-1</v>
      </c>
      <c r="BW42" s="36">
        <f>[1]MJ!$N42</f>
        <v>81065.399999999994</v>
      </c>
      <c r="BX42" s="31">
        <f t="shared" si="52"/>
        <v>71102.462339999998</v>
      </c>
      <c r="BY42" s="31">
        <f t="shared" si="53"/>
        <v>9962.9376599999996</v>
      </c>
      <c r="BZ42" s="31">
        <f t="shared" si="54"/>
        <v>0</v>
      </c>
      <c r="CA42" s="31">
        <f t="shared" si="55"/>
        <v>0</v>
      </c>
      <c r="CB42" s="33"/>
      <c r="CC42" s="37">
        <f t="shared" si="12"/>
        <v>-1</v>
      </c>
      <c r="CD42" s="36">
        <f>[1]MJ!$O42</f>
        <v>81065.399999999994</v>
      </c>
      <c r="CE42" s="31">
        <f t="shared" si="56"/>
        <v>71102.462339999998</v>
      </c>
      <c r="CF42" s="31">
        <f t="shared" si="57"/>
        <v>9962.9376599999996</v>
      </c>
      <c r="CG42" s="31">
        <f t="shared" si="58"/>
        <v>0</v>
      </c>
      <c r="CH42" s="31">
        <f t="shared" si="59"/>
        <v>0</v>
      </c>
      <c r="CI42" s="33"/>
      <c r="CJ42" s="37">
        <f t="shared" si="13"/>
        <v>-1</v>
      </c>
      <c r="CK42" s="36">
        <f>[1]MJ!$P42</f>
        <v>81065.399999999994</v>
      </c>
      <c r="CL42" s="31">
        <f t="shared" si="60"/>
        <v>71102.462339999998</v>
      </c>
      <c r="CM42" s="31">
        <f t="shared" si="61"/>
        <v>9962.9376599999996</v>
      </c>
      <c r="CN42" s="31">
        <f t="shared" si="62"/>
        <v>0</v>
      </c>
      <c r="CO42" s="31">
        <f t="shared" si="63"/>
        <v>0</v>
      </c>
      <c r="CP42" s="33"/>
      <c r="CQ42" s="37">
        <f t="shared" si="14"/>
        <v>-1</v>
      </c>
    </row>
    <row r="43" spans="1:95" s="26" customFormat="1" ht="16" customHeight="1" x14ac:dyDescent="0.2">
      <c r="A43" s="38" t="s">
        <v>67</v>
      </c>
      <c r="B43" s="30">
        <f t="shared" si="64"/>
        <v>61659</v>
      </c>
      <c r="C43" s="31">
        <f t="shared" si="64"/>
        <v>54081.108900000014</v>
      </c>
      <c r="D43" s="32">
        <f t="shared" si="64"/>
        <v>7577.8910999999998</v>
      </c>
      <c r="E43" s="30">
        <f t="shared" si="66"/>
        <v>20553</v>
      </c>
      <c r="F43" s="33">
        <f t="shared" si="66"/>
        <v>18027.0363</v>
      </c>
      <c r="G43" s="34">
        <f t="shared" si="66"/>
        <v>2525.9636999999998</v>
      </c>
      <c r="H43" s="31">
        <f t="shared" si="65"/>
        <v>22001.330808000002</v>
      </c>
      <c r="I43" s="33">
        <f t="shared" si="65"/>
        <v>1017.4291919999999</v>
      </c>
      <c r="J43" s="33">
        <f t="shared" si="65"/>
        <v>23018.76</v>
      </c>
      <c r="K43" s="37">
        <f t="shared" si="2"/>
        <v>0.11997080718143338</v>
      </c>
      <c r="L43" s="36">
        <f>[1]MJ!$E43</f>
        <v>5138.25</v>
      </c>
      <c r="M43" s="31">
        <f t="shared" si="16"/>
        <v>4506.7590749999999</v>
      </c>
      <c r="N43" s="31">
        <f t="shared" si="17"/>
        <v>631.49092499999995</v>
      </c>
      <c r="O43" s="31">
        <f t="shared" si="18"/>
        <v>5913.5441580000006</v>
      </c>
      <c r="P43" s="31">
        <f t="shared" si="19"/>
        <v>273.46584200000001</v>
      </c>
      <c r="Q43" s="33">
        <f>6187.01</f>
        <v>6187.01</v>
      </c>
      <c r="R43" s="37">
        <f t="shared" si="3"/>
        <v>0.20410840266627739</v>
      </c>
      <c r="S43" s="36">
        <f>[1]MJ!$F43</f>
        <v>5138.25</v>
      </c>
      <c r="T43" s="31">
        <f t="shared" si="20"/>
        <v>4506.7590749999999</v>
      </c>
      <c r="U43" s="31">
        <f t="shared" si="21"/>
        <v>631.49092499999995</v>
      </c>
      <c r="V43" s="31">
        <f t="shared" si="22"/>
        <v>5061.9263580000006</v>
      </c>
      <c r="W43" s="31">
        <f t="shared" si="23"/>
        <v>234.083642</v>
      </c>
      <c r="X43" s="33">
        <f>5296.01</f>
        <v>5296.01</v>
      </c>
      <c r="Y43" s="37">
        <f t="shared" si="4"/>
        <v>3.0703060380479874E-2</v>
      </c>
      <c r="Z43" s="36">
        <f>[1]MJ!$G43</f>
        <v>5138.25</v>
      </c>
      <c r="AA43" s="31">
        <f t="shared" si="24"/>
        <v>4506.7590749999999</v>
      </c>
      <c r="AB43" s="31">
        <f t="shared" si="25"/>
        <v>631.49092499999995</v>
      </c>
      <c r="AC43" s="31">
        <f t="shared" si="26"/>
        <v>5287.8679199999997</v>
      </c>
      <c r="AD43" s="31">
        <f t="shared" si="27"/>
        <v>244.53207999999995</v>
      </c>
      <c r="AE43" s="33">
        <f>5532.4</f>
        <v>5532.4</v>
      </c>
      <c r="AF43" s="37">
        <f t="shared" si="5"/>
        <v>7.6708996253588291E-2</v>
      </c>
      <c r="AG43" s="36">
        <f>[1]MJ!$H43</f>
        <v>5138.25</v>
      </c>
      <c r="AH43" s="31">
        <f t="shared" si="28"/>
        <v>4506.7590749999999</v>
      </c>
      <c r="AI43" s="31">
        <f t="shared" si="29"/>
        <v>631.49092499999995</v>
      </c>
      <c r="AJ43" s="31">
        <f t="shared" si="30"/>
        <v>5737.9923720000006</v>
      </c>
      <c r="AK43" s="31">
        <f t="shared" si="31"/>
        <v>265.34762799999999</v>
      </c>
      <c r="AL43" s="27">
        <f>6003.34</f>
        <v>6003.34</v>
      </c>
      <c r="AM43" s="37">
        <f t="shared" si="6"/>
        <v>0.16836276942538797</v>
      </c>
      <c r="AN43" s="36">
        <f>[1]MJ!$I43</f>
        <v>5138.25</v>
      </c>
      <c r="AO43" s="31">
        <f t="shared" si="32"/>
        <v>4506.7590749999999</v>
      </c>
      <c r="AP43" s="31">
        <f t="shared" si="33"/>
        <v>631.49092499999995</v>
      </c>
      <c r="AQ43" s="31">
        <f t="shared" si="34"/>
        <v>0</v>
      </c>
      <c r="AR43" s="31">
        <f t="shared" si="35"/>
        <v>0</v>
      </c>
      <c r="AS43" s="33"/>
      <c r="AT43" s="37">
        <f t="shared" si="7"/>
        <v>-1</v>
      </c>
      <c r="AU43" s="36">
        <f>[1]MJ!$J43</f>
        <v>5138.25</v>
      </c>
      <c r="AV43" s="31">
        <f t="shared" si="36"/>
        <v>4506.7590749999999</v>
      </c>
      <c r="AW43" s="31">
        <f t="shared" si="37"/>
        <v>631.49092499999995</v>
      </c>
      <c r="AX43" s="31">
        <f t="shared" si="38"/>
        <v>0</v>
      </c>
      <c r="AY43" s="31">
        <f t="shared" si="39"/>
        <v>0</v>
      </c>
      <c r="AZ43" s="33"/>
      <c r="BA43" s="37">
        <f t="shared" si="8"/>
        <v>-1</v>
      </c>
      <c r="BB43" s="36">
        <f>[1]MJ!$K43</f>
        <v>5138.25</v>
      </c>
      <c r="BC43" s="31">
        <f t="shared" si="40"/>
        <v>4506.7590749999999</v>
      </c>
      <c r="BD43" s="31">
        <f t="shared" si="41"/>
        <v>631.49092499999995</v>
      </c>
      <c r="BE43" s="31">
        <f t="shared" si="42"/>
        <v>0</v>
      </c>
      <c r="BF43" s="31">
        <f t="shared" si="43"/>
        <v>0</v>
      </c>
      <c r="BG43" s="27"/>
      <c r="BH43" s="37">
        <f t="shared" si="9"/>
        <v>-1</v>
      </c>
      <c r="BI43" s="36">
        <f>[1]MJ!$L43</f>
        <v>5138.25</v>
      </c>
      <c r="BJ43" s="31">
        <f t="shared" si="44"/>
        <v>4506.7590749999999</v>
      </c>
      <c r="BK43" s="31">
        <f t="shared" si="45"/>
        <v>631.49092499999995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[1]MJ!$M43</f>
        <v>5138.25</v>
      </c>
      <c r="BQ43" s="31">
        <f t="shared" si="48"/>
        <v>4506.7590749999999</v>
      </c>
      <c r="BR43" s="31">
        <f t="shared" si="49"/>
        <v>631.49092499999995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[1]MJ!$N43</f>
        <v>5138.25</v>
      </c>
      <c r="BX43" s="31">
        <f t="shared" si="52"/>
        <v>4506.7590749999999</v>
      </c>
      <c r="BY43" s="31">
        <f t="shared" si="53"/>
        <v>631.49092499999995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[1]MJ!$O43</f>
        <v>5138.25</v>
      </c>
      <c r="CE43" s="31">
        <f t="shared" si="56"/>
        <v>4506.7590749999999</v>
      </c>
      <c r="CF43" s="31">
        <f t="shared" si="57"/>
        <v>631.49092499999995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[1]MJ!$P43</f>
        <v>5138.25</v>
      </c>
      <c r="CL43" s="31">
        <f t="shared" si="60"/>
        <v>4506.7590749999999</v>
      </c>
      <c r="CM43" s="31">
        <f t="shared" si="61"/>
        <v>631.49092499999995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[1]MJ!$E44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[1]MJ!$F44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[1]MJ!$G44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33"/>
      <c r="AF44" s="37" t="str">
        <f t="shared" si="5"/>
        <v/>
      </c>
      <c r="AG44" s="36">
        <f>[1]MJ!$H44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27"/>
      <c r="AM44" s="37" t="str">
        <f t="shared" si="6"/>
        <v/>
      </c>
      <c r="AN44" s="36">
        <f>[1]MJ!$I44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7"/>
        <v/>
      </c>
      <c r="AU44" s="36">
        <f>[1]MJ!$J44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33"/>
      <c r="BA44" s="37" t="str">
        <f t="shared" si="8"/>
        <v/>
      </c>
      <c r="BB44" s="36">
        <f>[1]MJ!$K44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9"/>
        <v/>
      </c>
      <c r="BI44" s="36">
        <f>[1]MJ!$L44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[1]MJ!$M44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[1]MJ!$N44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[1]MJ!$O44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[1]MJ!$P44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[1]MJ!$E45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[1]MJ!$F45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[1]MJ!$G45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33"/>
      <c r="AF45" s="37" t="str">
        <f t="shared" si="5"/>
        <v/>
      </c>
      <c r="AG45" s="36">
        <f>[1]MJ!$H45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27"/>
      <c r="AM45" s="37" t="str">
        <f t="shared" si="6"/>
        <v/>
      </c>
      <c r="AN45" s="36">
        <f>[1]MJ!$I45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7"/>
        <v/>
      </c>
      <c r="AU45" s="36">
        <f>[1]MJ!$J45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33"/>
      <c r="BA45" s="37" t="str">
        <f t="shared" si="8"/>
        <v/>
      </c>
      <c r="BB45" s="36">
        <f>[1]MJ!$K45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9"/>
        <v/>
      </c>
      <c r="BI45" s="36">
        <f>[1]MJ!$L45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[1]MJ!$M45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[1]MJ!$N45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[1]MJ!$O45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[1]MJ!$P45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[1]MJ!$E46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[1]MJ!$F46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[1]MJ!$G46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33"/>
      <c r="AF46" s="37" t="str">
        <f t="shared" si="5"/>
        <v/>
      </c>
      <c r="AG46" s="36">
        <f>[1]MJ!$H46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27"/>
      <c r="AM46" s="37" t="str">
        <f t="shared" si="6"/>
        <v/>
      </c>
      <c r="AN46" s="36">
        <f>[1]MJ!$I46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7"/>
        <v/>
      </c>
      <c r="AU46" s="36">
        <f>[1]MJ!$J46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33"/>
      <c r="BA46" s="37" t="str">
        <f t="shared" si="8"/>
        <v/>
      </c>
      <c r="BB46" s="36">
        <f>[1]MJ!$K46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9"/>
        <v/>
      </c>
      <c r="BI46" s="36">
        <f>[1]MJ!$L46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[1]MJ!$M46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[1]MJ!$N46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[1]MJ!$O46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[1]MJ!$P46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[1]MJ!$E47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[1]MJ!$F47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[1]MJ!$G47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33"/>
      <c r="AF47" s="37" t="str">
        <f t="shared" si="5"/>
        <v/>
      </c>
      <c r="AG47" s="36">
        <f>[1]MJ!$H47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27"/>
      <c r="AM47" s="37" t="str">
        <f t="shared" si="6"/>
        <v/>
      </c>
      <c r="AN47" s="36">
        <f>[1]MJ!$I47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7"/>
        <v/>
      </c>
      <c r="AU47" s="36">
        <f>[1]MJ!$J47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33"/>
      <c r="BA47" s="37" t="str">
        <f t="shared" si="8"/>
        <v/>
      </c>
      <c r="BB47" s="36">
        <f>[1]MJ!$K47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9"/>
        <v/>
      </c>
      <c r="BI47" s="36">
        <f>[1]MJ!$L47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[1]MJ!$M47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[1]MJ!$N47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[1]MJ!$O47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[1]MJ!$P47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24999.999999999996</v>
      </c>
      <c r="C48" s="31">
        <f t="shared" si="64"/>
        <v>21927.500000000004</v>
      </c>
      <c r="D48" s="32">
        <f t="shared" si="64"/>
        <v>3072.4999999999995</v>
      </c>
      <c r="E48" s="30">
        <f t="shared" si="66"/>
        <v>8333.3333333333339</v>
      </c>
      <c r="F48" s="33">
        <f t="shared" si="66"/>
        <v>7309.166666666667</v>
      </c>
      <c r="G48" s="34">
        <f t="shared" si="66"/>
        <v>1024.1666666666667</v>
      </c>
      <c r="H48" s="31">
        <f t="shared" si="65"/>
        <v>5699.0435219999999</v>
      </c>
      <c r="I48" s="33">
        <f t="shared" si="65"/>
        <v>263.54647799999998</v>
      </c>
      <c r="J48" s="33">
        <f t="shared" si="65"/>
        <v>5962.5899999999992</v>
      </c>
      <c r="K48" s="37">
        <f t="shared" si="2"/>
        <v>-0.28448920000000011</v>
      </c>
      <c r="L48" s="36">
        <f>[1]MJ!$E48</f>
        <v>2083.3333333333335</v>
      </c>
      <c r="M48" s="31">
        <f t="shared" si="16"/>
        <v>1827.2916666666667</v>
      </c>
      <c r="N48" s="31">
        <f t="shared" si="17"/>
        <v>256.04166666666669</v>
      </c>
      <c r="O48" s="31">
        <f t="shared" si="18"/>
        <v>2457.2184299999999</v>
      </c>
      <c r="P48" s="31">
        <f t="shared" si="19"/>
        <v>113.63156999999998</v>
      </c>
      <c r="Q48" s="33">
        <f>2570.85</f>
        <v>2570.85</v>
      </c>
      <c r="R48" s="37">
        <f t="shared" si="3"/>
        <v>0.23400799999999977</v>
      </c>
      <c r="S48" s="36">
        <f>[1]MJ!$F48</f>
        <v>2083.3333333333335</v>
      </c>
      <c r="T48" s="31">
        <f t="shared" si="20"/>
        <v>1827.2916666666667</v>
      </c>
      <c r="U48" s="31">
        <f t="shared" si="21"/>
        <v>256.04166666666669</v>
      </c>
      <c r="V48" s="31">
        <f t="shared" si="22"/>
        <v>1593.84429</v>
      </c>
      <c r="W48" s="31">
        <f t="shared" si="23"/>
        <v>73.705709999999996</v>
      </c>
      <c r="X48" s="33">
        <f>1667.55</f>
        <v>1667.55</v>
      </c>
      <c r="Y48" s="37">
        <f t="shared" si="4"/>
        <v>-0.19957600000000009</v>
      </c>
      <c r="Z48" s="36">
        <f>[1]MJ!$G48</f>
        <v>2083.3333333333335</v>
      </c>
      <c r="AA48" s="31">
        <f t="shared" si="24"/>
        <v>1827.2916666666667</v>
      </c>
      <c r="AB48" s="31">
        <f t="shared" si="25"/>
        <v>256.04166666666669</v>
      </c>
      <c r="AC48" s="31">
        <f t="shared" si="26"/>
        <v>761.33293200000003</v>
      </c>
      <c r="AD48" s="31">
        <f t="shared" si="27"/>
        <v>35.207067999999992</v>
      </c>
      <c r="AE48" s="33">
        <f>796.54</f>
        <v>796.54</v>
      </c>
      <c r="AF48" s="37">
        <f t="shared" si="5"/>
        <v>-0.61766080000000012</v>
      </c>
      <c r="AG48" s="36">
        <f>[1]MJ!$H48</f>
        <v>2083.3333333333335</v>
      </c>
      <c r="AH48" s="31">
        <f t="shared" si="28"/>
        <v>1827.2916666666667</v>
      </c>
      <c r="AI48" s="31">
        <f t="shared" si="29"/>
        <v>256.04166666666669</v>
      </c>
      <c r="AJ48" s="31">
        <f t="shared" si="30"/>
        <v>886.64787000000001</v>
      </c>
      <c r="AK48" s="31">
        <f t="shared" si="31"/>
        <v>41.002129999999994</v>
      </c>
      <c r="AL48" s="27">
        <v>927.65</v>
      </c>
      <c r="AM48" s="37">
        <f t="shared" si="6"/>
        <v>-0.55472800000000011</v>
      </c>
      <c r="AN48" s="36">
        <f>[1]MJ!$I48</f>
        <v>2083.3333333333335</v>
      </c>
      <c r="AO48" s="31">
        <f t="shared" si="32"/>
        <v>1827.2916666666667</v>
      </c>
      <c r="AP48" s="31">
        <f t="shared" si="33"/>
        <v>256.04166666666669</v>
      </c>
      <c r="AQ48" s="31">
        <f t="shared" si="34"/>
        <v>0</v>
      </c>
      <c r="AR48" s="31">
        <f t="shared" si="35"/>
        <v>0</v>
      </c>
      <c r="AS48" s="33"/>
      <c r="AT48" s="37">
        <f t="shared" si="7"/>
        <v>-1</v>
      </c>
      <c r="AU48" s="36">
        <f>[1]MJ!$J48</f>
        <v>2083.3333333333335</v>
      </c>
      <c r="AV48" s="31">
        <f t="shared" si="36"/>
        <v>1827.2916666666667</v>
      </c>
      <c r="AW48" s="31">
        <f t="shared" si="37"/>
        <v>256.04166666666669</v>
      </c>
      <c r="AX48" s="31">
        <f t="shared" si="38"/>
        <v>0</v>
      </c>
      <c r="AY48" s="31">
        <f t="shared" si="39"/>
        <v>0</v>
      </c>
      <c r="AZ48" s="33"/>
      <c r="BA48" s="37">
        <f t="shared" si="8"/>
        <v>-1</v>
      </c>
      <c r="BB48" s="36">
        <f>[1]MJ!$K48</f>
        <v>2083.3333333333335</v>
      </c>
      <c r="BC48" s="31">
        <f t="shared" si="40"/>
        <v>1827.2916666666667</v>
      </c>
      <c r="BD48" s="31">
        <f t="shared" si="41"/>
        <v>256.04166666666669</v>
      </c>
      <c r="BE48" s="31">
        <f t="shared" si="42"/>
        <v>0</v>
      </c>
      <c r="BF48" s="31">
        <f t="shared" si="43"/>
        <v>0</v>
      </c>
      <c r="BG48" s="27"/>
      <c r="BH48" s="37">
        <f t="shared" si="9"/>
        <v>-1</v>
      </c>
      <c r="BI48" s="36">
        <f>[1]MJ!$L48</f>
        <v>2083.3333333333335</v>
      </c>
      <c r="BJ48" s="31">
        <f t="shared" si="44"/>
        <v>1827.2916666666667</v>
      </c>
      <c r="BK48" s="31">
        <f t="shared" si="45"/>
        <v>256.04166666666669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[1]MJ!$M48</f>
        <v>2083.3333333333335</v>
      </c>
      <c r="BQ48" s="31">
        <f t="shared" si="48"/>
        <v>1827.2916666666667</v>
      </c>
      <c r="BR48" s="31">
        <f t="shared" si="49"/>
        <v>256.04166666666669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[1]MJ!$N48</f>
        <v>2083.3333333333335</v>
      </c>
      <c r="BX48" s="31">
        <f t="shared" si="52"/>
        <v>1827.2916666666667</v>
      </c>
      <c r="BY48" s="31">
        <f t="shared" si="53"/>
        <v>256.04166666666669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[1]MJ!$O48</f>
        <v>2083.3333333333335</v>
      </c>
      <c r="CE48" s="31">
        <f t="shared" si="56"/>
        <v>1827.2916666666667</v>
      </c>
      <c r="CF48" s="31">
        <f t="shared" si="57"/>
        <v>256.04166666666669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[1]MJ!$P48</f>
        <v>2083.3333333333335</v>
      </c>
      <c r="CL48" s="31">
        <f t="shared" si="60"/>
        <v>1827.2916666666667</v>
      </c>
      <c r="CM48" s="31">
        <f t="shared" si="61"/>
        <v>256.04166666666669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62500.000000000007</v>
      </c>
      <c r="C49" s="31">
        <f t="shared" si="64"/>
        <v>54818.749999999978</v>
      </c>
      <c r="D49" s="32">
        <f t="shared" si="64"/>
        <v>7681.2500000000009</v>
      </c>
      <c r="E49" s="30">
        <f t="shared" si="66"/>
        <v>20833.333333333332</v>
      </c>
      <c r="F49" s="33">
        <f t="shared" si="66"/>
        <v>18272.916666666664</v>
      </c>
      <c r="G49" s="34">
        <f t="shared" si="66"/>
        <v>2560.4166666666665</v>
      </c>
      <c r="H49" s="31">
        <f t="shared" si="65"/>
        <v>31298.722379999996</v>
      </c>
      <c r="I49" s="33">
        <f t="shared" si="65"/>
        <v>1447.3776199999998</v>
      </c>
      <c r="J49" s="33">
        <f t="shared" si="65"/>
        <v>32746.1</v>
      </c>
      <c r="K49" s="37">
        <f t="shared" si="2"/>
        <v>0.57181280000000001</v>
      </c>
      <c r="L49" s="36">
        <f>[1]MJ!$E49</f>
        <v>5208.333333333333</v>
      </c>
      <c r="M49" s="31">
        <f t="shared" si="16"/>
        <v>4568.2291666666661</v>
      </c>
      <c r="N49" s="31">
        <f t="shared" si="17"/>
        <v>640.10416666666663</v>
      </c>
      <c r="O49" s="31">
        <f t="shared" si="18"/>
        <v>9265.668569999998</v>
      </c>
      <c r="P49" s="40">
        <f t="shared" si="19"/>
        <v>428.48142999999988</v>
      </c>
      <c r="Q49" s="33">
        <f>R79</f>
        <v>9694.1499999999978</v>
      </c>
      <c r="R49" s="37">
        <f t="shared" si="3"/>
        <v>0.86127679999999973</v>
      </c>
      <c r="S49" s="36">
        <f>[1]MJ!$F49</f>
        <v>5208.333333333333</v>
      </c>
      <c r="T49" s="31">
        <f t="shared" si="20"/>
        <v>4568.2291666666661</v>
      </c>
      <c r="U49" s="31">
        <f t="shared" si="21"/>
        <v>640.10416666666663</v>
      </c>
      <c r="V49" s="31">
        <f t="shared" si="22"/>
        <v>10615.994135999999</v>
      </c>
      <c r="W49" s="40">
        <f t="shared" si="23"/>
        <v>490.92586399999993</v>
      </c>
      <c r="X49" s="33">
        <f>Y79</f>
        <v>11106.92</v>
      </c>
      <c r="Y49" s="37">
        <f t="shared" si="4"/>
        <v>1.1325286400000003</v>
      </c>
      <c r="Z49" s="36">
        <f>[1]MJ!$G49</f>
        <v>5208.333333333333</v>
      </c>
      <c r="AA49" s="31">
        <f t="shared" si="24"/>
        <v>4568.2291666666661</v>
      </c>
      <c r="AB49" s="31">
        <f t="shared" si="25"/>
        <v>640.10416666666663</v>
      </c>
      <c r="AC49" s="31">
        <f t="shared" si="26"/>
        <v>4298.9685659999986</v>
      </c>
      <c r="AD49" s="40">
        <f t="shared" si="27"/>
        <v>198.80143399999992</v>
      </c>
      <c r="AE49" s="33">
        <f>AF79</f>
        <v>4497.7699999999986</v>
      </c>
      <c r="AF49" s="37">
        <f t="shared" si="5"/>
        <v>-0.13642816000000024</v>
      </c>
      <c r="AG49" s="36">
        <f>[1]MJ!$H49</f>
        <v>5208.333333333333</v>
      </c>
      <c r="AH49" s="31">
        <f t="shared" si="28"/>
        <v>4568.2291666666661</v>
      </c>
      <c r="AI49" s="31">
        <f t="shared" si="29"/>
        <v>640.10416666666663</v>
      </c>
      <c r="AJ49" s="31">
        <f t="shared" si="30"/>
        <v>7118.0911080000005</v>
      </c>
      <c r="AK49" s="40">
        <f t="shared" si="31"/>
        <v>329.16889199999997</v>
      </c>
      <c r="AL49" s="27">
        <f>AM79</f>
        <v>7447.26</v>
      </c>
      <c r="AM49" s="37">
        <f t="shared" si="6"/>
        <v>0.42987392000000013</v>
      </c>
      <c r="AN49" s="36">
        <f>[1]MJ!$I49</f>
        <v>5208.333333333333</v>
      </c>
      <c r="AO49" s="31">
        <f t="shared" si="32"/>
        <v>4568.2291666666661</v>
      </c>
      <c r="AP49" s="31">
        <f t="shared" si="33"/>
        <v>640.10416666666663</v>
      </c>
      <c r="AQ49" s="31">
        <f t="shared" si="34"/>
        <v>0</v>
      </c>
      <c r="AR49" s="40">
        <f t="shared" si="35"/>
        <v>0</v>
      </c>
      <c r="AS49" s="33"/>
      <c r="AT49" s="37">
        <f t="shared" si="7"/>
        <v>-1</v>
      </c>
      <c r="AU49" s="36">
        <f>[1]MJ!$J49</f>
        <v>5208.333333333333</v>
      </c>
      <c r="AV49" s="31">
        <f t="shared" si="36"/>
        <v>4568.2291666666661</v>
      </c>
      <c r="AW49" s="31">
        <f t="shared" si="37"/>
        <v>640.10416666666663</v>
      </c>
      <c r="AX49" s="31">
        <f t="shared" si="38"/>
        <v>0</v>
      </c>
      <c r="AY49" s="40">
        <f t="shared" si="39"/>
        <v>0</v>
      </c>
      <c r="AZ49" s="33"/>
      <c r="BA49" s="37">
        <f t="shared" si="8"/>
        <v>-1</v>
      </c>
      <c r="BB49" s="36">
        <f>[1]MJ!$K49</f>
        <v>5208.333333333333</v>
      </c>
      <c r="BC49" s="31">
        <f t="shared" si="40"/>
        <v>4568.2291666666661</v>
      </c>
      <c r="BD49" s="31">
        <f t="shared" si="41"/>
        <v>640.10416666666663</v>
      </c>
      <c r="BE49" s="31">
        <f t="shared" si="42"/>
        <v>0</v>
      </c>
      <c r="BF49" s="40">
        <f t="shared" si="43"/>
        <v>0</v>
      </c>
      <c r="BG49" s="27"/>
      <c r="BH49" s="37">
        <f t="shared" si="9"/>
        <v>-1</v>
      </c>
      <c r="BI49" s="36">
        <f>[1]MJ!$L49</f>
        <v>5208.333333333333</v>
      </c>
      <c r="BJ49" s="31">
        <f t="shared" si="44"/>
        <v>4568.2291666666661</v>
      </c>
      <c r="BK49" s="31">
        <f t="shared" si="45"/>
        <v>640.10416666666663</v>
      </c>
      <c r="BL49" s="31">
        <f t="shared" si="46"/>
        <v>0</v>
      </c>
      <c r="BM49" s="40">
        <f t="shared" si="47"/>
        <v>0</v>
      </c>
      <c r="BN49" s="33"/>
      <c r="BO49" s="37">
        <f t="shared" si="10"/>
        <v>-1</v>
      </c>
      <c r="BP49" s="36">
        <f>[1]MJ!$M49</f>
        <v>5208.333333333333</v>
      </c>
      <c r="BQ49" s="31">
        <f t="shared" si="48"/>
        <v>4568.2291666666661</v>
      </c>
      <c r="BR49" s="31">
        <f t="shared" si="49"/>
        <v>640.10416666666663</v>
      </c>
      <c r="BS49" s="31">
        <f t="shared" si="50"/>
        <v>0</v>
      </c>
      <c r="BT49" s="40">
        <f t="shared" si="51"/>
        <v>0</v>
      </c>
      <c r="BU49" s="33"/>
      <c r="BV49" s="37">
        <f t="shared" si="11"/>
        <v>-1</v>
      </c>
      <c r="BW49" s="36">
        <f>[1]MJ!$N49</f>
        <v>5208.333333333333</v>
      </c>
      <c r="BX49" s="31">
        <f t="shared" si="52"/>
        <v>4568.2291666666661</v>
      </c>
      <c r="BY49" s="31">
        <f t="shared" si="53"/>
        <v>640.10416666666663</v>
      </c>
      <c r="BZ49" s="31">
        <f t="shared" si="54"/>
        <v>0</v>
      </c>
      <c r="CA49" s="40">
        <f t="shared" si="55"/>
        <v>0</v>
      </c>
      <c r="CB49" s="33"/>
      <c r="CC49" s="37">
        <f t="shared" si="12"/>
        <v>-1</v>
      </c>
      <c r="CD49" s="36">
        <f>[1]MJ!$O49</f>
        <v>5208.333333333333</v>
      </c>
      <c r="CE49" s="31">
        <f t="shared" si="56"/>
        <v>4568.2291666666661</v>
      </c>
      <c r="CF49" s="31">
        <f t="shared" si="57"/>
        <v>640.10416666666663</v>
      </c>
      <c r="CG49" s="31">
        <f t="shared" si="58"/>
        <v>0</v>
      </c>
      <c r="CH49" s="40">
        <f t="shared" si="59"/>
        <v>0</v>
      </c>
      <c r="CI49" s="33"/>
      <c r="CJ49" s="37">
        <f t="shared" si="13"/>
        <v>-1</v>
      </c>
      <c r="CK49" s="36">
        <f>[1]MJ!$P49</f>
        <v>5208.333333333333</v>
      </c>
      <c r="CL49" s="31">
        <f t="shared" si="60"/>
        <v>4568.2291666666661</v>
      </c>
      <c r="CM49" s="31">
        <f t="shared" si="61"/>
        <v>640.10416666666663</v>
      </c>
      <c r="CN49" s="31">
        <f t="shared" si="62"/>
        <v>0</v>
      </c>
      <c r="CO49" s="40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7335.199999999998</v>
      </c>
      <c r="C50" s="31">
        <f t="shared" si="64"/>
        <v>6433.7039200000008</v>
      </c>
      <c r="D50" s="32">
        <f t="shared" si="64"/>
        <v>901.49608000000023</v>
      </c>
      <c r="E50" s="30">
        <f t="shared" si="66"/>
        <v>2445.0666666666666</v>
      </c>
      <c r="F50" s="33">
        <f t="shared" si="66"/>
        <v>2144.5679733333332</v>
      </c>
      <c r="G50" s="34">
        <f t="shared" si="66"/>
        <v>300.49869333333334</v>
      </c>
      <c r="H50" s="31">
        <f t="shared" si="65"/>
        <v>2811.8489040000004</v>
      </c>
      <c r="I50" s="33">
        <f t="shared" si="65"/>
        <v>130.03109599999999</v>
      </c>
      <c r="J50" s="33">
        <f t="shared" si="65"/>
        <v>2941.88</v>
      </c>
      <c r="K50" s="37">
        <f t="shared" si="2"/>
        <v>0.2031900970662015</v>
      </c>
      <c r="L50" s="36">
        <f>[1]MJ!$E50</f>
        <v>611.26666666666665</v>
      </c>
      <c r="M50" s="28">
        <f t="shared" si="16"/>
        <v>536.14199333333329</v>
      </c>
      <c r="N50" s="28">
        <f t="shared" si="17"/>
        <v>75.124673333333334</v>
      </c>
      <c r="O50" s="28">
        <f t="shared" si="18"/>
        <v>546.36395400000004</v>
      </c>
      <c r="P50" s="117">
        <f t="shared" si="19"/>
        <v>25.266045999999999</v>
      </c>
      <c r="Q50" s="151">
        <f>571.63</f>
        <v>571.63</v>
      </c>
      <c r="R50" s="37">
        <f t="shared" si="3"/>
        <v>-6.4843494383247879E-2</v>
      </c>
      <c r="S50" s="36">
        <f>[1]MJ!$F50</f>
        <v>611.26666666666665</v>
      </c>
      <c r="T50" s="28">
        <f t="shared" si="20"/>
        <v>536.14199333333329</v>
      </c>
      <c r="U50" s="28">
        <f t="shared" si="21"/>
        <v>75.124673333333334</v>
      </c>
      <c r="V50" s="28">
        <f t="shared" si="22"/>
        <v>632.7396</v>
      </c>
      <c r="W50" s="117">
        <f t="shared" si="23"/>
        <v>29.260399999999997</v>
      </c>
      <c r="X50" s="151">
        <f>662</f>
        <v>662</v>
      </c>
      <c r="Y50" s="37">
        <f t="shared" si="4"/>
        <v>8.2997055295015887E-2</v>
      </c>
      <c r="Z50" s="36">
        <f>[1]MJ!$G50</f>
        <v>611.26666666666665</v>
      </c>
      <c r="AA50" s="28">
        <f t="shared" si="24"/>
        <v>536.14199333333329</v>
      </c>
      <c r="AB50" s="28">
        <f t="shared" si="25"/>
        <v>75.124673333333334</v>
      </c>
      <c r="AC50" s="28">
        <f t="shared" si="26"/>
        <v>1116.058986</v>
      </c>
      <c r="AD50" s="117">
        <f t="shared" si="27"/>
        <v>51.611013999999997</v>
      </c>
      <c r="AE50" s="151">
        <f>1167.67</f>
        <v>1167.67</v>
      </c>
      <c r="AF50" s="37">
        <f t="shared" si="5"/>
        <v>0.91024648271349129</v>
      </c>
      <c r="AG50" s="36">
        <f>[1]MJ!$H50</f>
        <v>611.26666666666665</v>
      </c>
      <c r="AH50" s="28">
        <f t="shared" si="28"/>
        <v>536.14199333333329</v>
      </c>
      <c r="AI50" s="28">
        <f t="shared" si="29"/>
        <v>75.124673333333334</v>
      </c>
      <c r="AJ50" s="28">
        <f t="shared" si="30"/>
        <v>516.68636400000003</v>
      </c>
      <c r="AK50" s="117">
        <f t="shared" si="31"/>
        <v>23.893636000000001</v>
      </c>
      <c r="AL50" s="153">
        <v>540.58000000000004</v>
      </c>
      <c r="AM50" s="37">
        <f t="shared" si="6"/>
        <v>-0.11563965536045362</v>
      </c>
      <c r="AN50" s="36">
        <f>[1]MJ!$I50</f>
        <v>611.26666666666665</v>
      </c>
      <c r="AO50" s="28">
        <f t="shared" si="32"/>
        <v>536.14199333333329</v>
      </c>
      <c r="AP50" s="28">
        <f t="shared" si="33"/>
        <v>75.124673333333334</v>
      </c>
      <c r="AQ50" s="28">
        <f t="shared" si="34"/>
        <v>0</v>
      </c>
      <c r="AR50" s="117">
        <f t="shared" si="35"/>
        <v>0</v>
      </c>
      <c r="AS50" s="151"/>
      <c r="AT50" s="37">
        <f t="shared" si="7"/>
        <v>-1</v>
      </c>
      <c r="AU50" s="36">
        <f>[1]MJ!$J50</f>
        <v>611.26666666666665</v>
      </c>
      <c r="AV50" s="28">
        <f t="shared" si="36"/>
        <v>536.14199333333329</v>
      </c>
      <c r="AW50" s="28">
        <f t="shared" si="37"/>
        <v>75.124673333333334</v>
      </c>
      <c r="AX50" s="28">
        <f t="shared" si="38"/>
        <v>0</v>
      </c>
      <c r="AY50" s="117">
        <f t="shared" si="39"/>
        <v>0</v>
      </c>
      <c r="AZ50" s="151"/>
      <c r="BA50" s="37">
        <f t="shared" si="8"/>
        <v>-1</v>
      </c>
      <c r="BB50" s="36">
        <f>[1]MJ!$K50</f>
        <v>611.26666666666665</v>
      </c>
      <c r="BC50" s="28">
        <f t="shared" si="40"/>
        <v>536.14199333333329</v>
      </c>
      <c r="BD50" s="28">
        <f t="shared" si="41"/>
        <v>75.124673333333334</v>
      </c>
      <c r="BE50" s="28">
        <f t="shared" si="42"/>
        <v>0</v>
      </c>
      <c r="BF50" s="117">
        <f t="shared" si="43"/>
        <v>0</v>
      </c>
      <c r="BG50" s="153"/>
      <c r="BH50" s="37">
        <f t="shared" si="9"/>
        <v>-1</v>
      </c>
      <c r="BI50" s="36">
        <f>[1]MJ!$L50</f>
        <v>611.26666666666665</v>
      </c>
      <c r="BJ50" s="28">
        <f t="shared" si="44"/>
        <v>536.14199333333329</v>
      </c>
      <c r="BK50" s="28">
        <f t="shared" si="45"/>
        <v>75.124673333333334</v>
      </c>
      <c r="BL50" s="28">
        <f t="shared" si="46"/>
        <v>0</v>
      </c>
      <c r="BM50" s="117">
        <f t="shared" si="47"/>
        <v>0</v>
      </c>
      <c r="BN50" s="151"/>
      <c r="BO50" s="37">
        <f t="shared" si="10"/>
        <v>-1</v>
      </c>
      <c r="BP50" s="36">
        <f>[1]MJ!$M50</f>
        <v>611.26666666666665</v>
      </c>
      <c r="BQ50" s="28">
        <f t="shared" si="48"/>
        <v>536.14199333333329</v>
      </c>
      <c r="BR50" s="28">
        <f t="shared" si="49"/>
        <v>75.124673333333334</v>
      </c>
      <c r="BS50" s="28">
        <f t="shared" si="50"/>
        <v>0</v>
      </c>
      <c r="BT50" s="117">
        <f t="shared" si="51"/>
        <v>0</v>
      </c>
      <c r="BU50" s="151"/>
      <c r="BV50" s="37">
        <f t="shared" si="11"/>
        <v>-1</v>
      </c>
      <c r="BW50" s="36">
        <f>[1]MJ!$N50</f>
        <v>611.26666666666665</v>
      </c>
      <c r="BX50" s="28">
        <f t="shared" si="52"/>
        <v>536.14199333333329</v>
      </c>
      <c r="BY50" s="28">
        <f t="shared" si="53"/>
        <v>75.124673333333334</v>
      </c>
      <c r="BZ50" s="28">
        <f t="shared" si="54"/>
        <v>0</v>
      </c>
      <c r="CA50" s="117">
        <f t="shared" si="55"/>
        <v>0</v>
      </c>
      <c r="CB50" s="151"/>
      <c r="CC50" s="37">
        <f t="shared" si="12"/>
        <v>-1</v>
      </c>
      <c r="CD50" s="36">
        <f>[1]MJ!$O50</f>
        <v>611.26666666666665</v>
      </c>
      <c r="CE50" s="28">
        <f t="shared" si="56"/>
        <v>536.14199333333329</v>
      </c>
      <c r="CF50" s="28">
        <f t="shared" si="57"/>
        <v>75.124673333333334</v>
      </c>
      <c r="CG50" s="28">
        <f t="shared" si="58"/>
        <v>0</v>
      </c>
      <c r="CH50" s="117">
        <f t="shared" si="59"/>
        <v>0</v>
      </c>
      <c r="CI50" s="151"/>
      <c r="CJ50" s="37">
        <f t="shared" si="13"/>
        <v>-1</v>
      </c>
      <c r="CK50" s="36">
        <f>[1]MJ!$P50</f>
        <v>611.26666666666665</v>
      </c>
      <c r="CL50" s="28">
        <f t="shared" si="60"/>
        <v>536.14199333333329</v>
      </c>
      <c r="CM50" s="28">
        <f t="shared" si="61"/>
        <v>75.124673333333334</v>
      </c>
      <c r="CN50" s="28">
        <f t="shared" si="62"/>
        <v>0</v>
      </c>
      <c r="CO50" s="117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5513.2331999999997</v>
      </c>
      <c r="C51" s="31">
        <f t="shared" si="64"/>
        <v>4835.6568397199999</v>
      </c>
      <c r="D51" s="32">
        <f t="shared" si="64"/>
        <v>677.5763602799999</v>
      </c>
      <c r="E51" s="30">
        <f t="shared" si="66"/>
        <v>1837.7444</v>
      </c>
      <c r="F51" s="33">
        <f t="shared" si="66"/>
        <v>1611.8856132400001</v>
      </c>
      <c r="G51" s="34">
        <f t="shared" si="66"/>
        <v>225.85878675999999</v>
      </c>
      <c r="H51" s="31">
        <f t="shared" si="65"/>
        <v>1777.9887180000001</v>
      </c>
      <c r="I51" s="33">
        <f t="shared" si="65"/>
        <v>82.221281999999988</v>
      </c>
      <c r="J51" s="33">
        <f t="shared" si="65"/>
        <v>1860.21</v>
      </c>
      <c r="K51" s="37">
        <f t="shared" si="2"/>
        <v>1.2224550922315336E-2</v>
      </c>
      <c r="L51" s="36">
        <f>[1]MJ!$E51</f>
        <v>459.43610000000001</v>
      </c>
      <c r="M51" s="31">
        <f t="shared" si="16"/>
        <v>402.97140331000003</v>
      </c>
      <c r="N51" s="31">
        <f t="shared" si="17"/>
        <v>56.464696689999997</v>
      </c>
      <c r="O51" s="31">
        <f t="shared" si="18"/>
        <v>434.93679000000003</v>
      </c>
      <c r="P51" s="76">
        <f t="shared" si="19"/>
        <v>20.113209999999999</v>
      </c>
      <c r="Q51" s="45">
        <f>455.05</f>
        <v>455.05</v>
      </c>
      <c r="R51" s="37">
        <f t="shared" si="3"/>
        <v>-9.5467030126713537E-3</v>
      </c>
      <c r="S51" s="36">
        <f>[1]MJ!$F51</f>
        <v>459.43610000000001</v>
      </c>
      <c r="T51" s="31">
        <f t="shared" si="20"/>
        <v>402.97140331000003</v>
      </c>
      <c r="U51" s="31">
        <f t="shared" si="21"/>
        <v>56.464696689999997</v>
      </c>
      <c r="V51" s="31">
        <f t="shared" si="22"/>
        <v>423.61055999999996</v>
      </c>
      <c r="W51" s="76">
        <f t="shared" si="23"/>
        <v>19.589439999999996</v>
      </c>
      <c r="X51" s="45">
        <f>443.2</f>
        <v>443.2</v>
      </c>
      <c r="Y51" s="37">
        <f t="shared" si="4"/>
        <v>-3.5339190803683085E-2</v>
      </c>
      <c r="Z51" s="36">
        <f>[1]MJ!$G51</f>
        <v>459.43610000000001</v>
      </c>
      <c r="AA51" s="31">
        <f t="shared" si="24"/>
        <v>402.97140331000003</v>
      </c>
      <c r="AB51" s="31">
        <f t="shared" si="25"/>
        <v>56.464696689999997</v>
      </c>
      <c r="AC51" s="31">
        <f t="shared" si="26"/>
        <v>393.99987600000003</v>
      </c>
      <c r="AD51" s="76">
        <f t="shared" si="27"/>
        <v>18.220123999999998</v>
      </c>
      <c r="AE51" s="45">
        <f>412.22</f>
        <v>412.22</v>
      </c>
      <c r="AF51" s="37">
        <f t="shared" si="5"/>
        <v>-0.10276967787250502</v>
      </c>
      <c r="AG51" s="36">
        <f>[1]MJ!$H51</f>
        <v>459.43610000000001</v>
      </c>
      <c r="AH51" s="31">
        <f t="shared" si="28"/>
        <v>402.97140331000003</v>
      </c>
      <c r="AI51" s="31">
        <f t="shared" si="29"/>
        <v>56.464696689999997</v>
      </c>
      <c r="AJ51" s="31">
        <f t="shared" si="30"/>
        <v>525.44149200000004</v>
      </c>
      <c r="AK51" s="76">
        <f t="shared" si="31"/>
        <v>24.298507999999998</v>
      </c>
      <c r="AL51" s="48">
        <v>549.74</v>
      </c>
      <c r="AM51" s="37">
        <f t="shared" si="6"/>
        <v>0.19655377537812102</v>
      </c>
      <c r="AN51" s="36">
        <f>[1]MJ!$I51</f>
        <v>459.43610000000001</v>
      </c>
      <c r="AO51" s="31">
        <f t="shared" si="32"/>
        <v>402.97140331000003</v>
      </c>
      <c r="AP51" s="31">
        <f t="shared" si="33"/>
        <v>56.464696689999997</v>
      </c>
      <c r="AQ51" s="31">
        <f t="shared" si="34"/>
        <v>0</v>
      </c>
      <c r="AR51" s="76">
        <f t="shared" si="35"/>
        <v>0</v>
      </c>
      <c r="AS51" s="45"/>
      <c r="AT51" s="37">
        <f t="shared" si="7"/>
        <v>-1</v>
      </c>
      <c r="AU51" s="36">
        <f>[1]MJ!$J51</f>
        <v>459.43610000000001</v>
      </c>
      <c r="AV51" s="31">
        <f t="shared" si="36"/>
        <v>402.97140331000003</v>
      </c>
      <c r="AW51" s="31">
        <f t="shared" si="37"/>
        <v>56.464696689999997</v>
      </c>
      <c r="AX51" s="31">
        <f t="shared" si="38"/>
        <v>0</v>
      </c>
      <c r="AY51" s="76">
        <f t="shared" si="39"/>
        <v>0</v>
      </c>
      <c r="AZ51" s="45"/>
      <c r="BA51" s="37">
        <f t="shared" si="8"/>
        <v>-1</v>
      </c>
      <c r="BB51" s="36">
        <f>[1]MJ!$K51</f>
        <v>459.43610000000001</v>
      </c>
      <c r="BC51" s="31">
        <f t="shared" si="40"/>
        <v>402.97140331000003</v>
      </c>
      <c r="BD51" s="31">
        <f t="shared" si="41"/>
        <v>56.464696689999997</v>
      </c>
      <c r="BE51" s="31">
        <f t="shared" si="42"/>
        <v>0</v>
      </c>
      <c r="BF51" s="76">
        <f t="shared" si="43"/>
        <v>0</v>
      </c>
      <c r="BG51" s="48"/>
      <c r="BH51" s="37">
        <f t="shared" si="9"/>
        <v>-1</v>
      </c>
      <c r="BI51" s="36">
        <f>[1]MJ!$L51</f>
        <v>459.43610000000001</v>
      </c>
      <c r="BJ51" s="31">
        <f t="shared" si="44"/>
        <v>402.97140331000003</v>
      </c>
      <c r="BK51" s="31">
        <f t="shared" si="45"/>
        <v>56.464696689999997</v>
      </c>
      <c r="BL51" s="31">
        <f t="shared" si="46"/>
        <v>0</v>
      </c>
      <c r="BM51" s="76">
        <f t="shared" si="47"/>
        <v>0</v>
      </c>
      <c r="BN51" s="45"/>
      <c r="BO51" s="37">
        <f t="shared" si="10"/>
        <v>-1</v>
      </c>
      <c r="BP51" s="36">
        <f>[1]MJ!$M51</f>
        <v>459.43610000000001</v>
      </c>
      <c r="BQ51" s="31">
        <f t="shared" si="48"/>
        <v>402.97140331000003</v>
      </c>
      <c r="BR51" s="31">
        <f t="shared" si="49"/>
        <v>56.464696689999997</v>
      </c>
      <c r="BS51" s="31">
        <f t="shared" si="50"/>
        <v>0</v>
      </c>
      <c r="BT51" s="76">
        <f t="shared" si="51"/>
        <v>0</v>
      </c>
      <c r="BU51" s="45"/>
      <c r="BV51" s="37">
        <f t="shared" si="11"/>
        <v>-1</v>
      </c>
      <c r="BW51" s="36">
        <f>[1]MJ!$N51</f>
        <v>459.43610000000001</v>
      </c>
      <c r="BX51" s="31">
        <f t="shared" si="52"/>
        <v>402.97140331000003</v>
      </c>
      <c r="BY51" s="31">
        <f t="shared" si="53"/>
        <v>56.464696689999997</v>
      </c>
      <c r="BZ51" s="31">
        <f t="shared" si="54"/>
        <v>0</v>
      </c>
      <c r="CA51" s="76">
        <f t="shared" si="55"/>
        <v>0</v>
      </c>
      <c r="CB51" s="45"/>
      <c r="CC51" s="37">
        <f t="shared" si="12"/>
        <v>-1</v>
      </c>
      <c r="CD51" s="36">
        <f>[1]MJ!$O51</f>
        <v>459.43610000000001</v>
      </c>
      <c r="CE51" s="31">
        <f t="shared" si="56"/>
        <v>402.97140331000003</v>
      </c>
      <c r="CF51" s="31">
        <f t="shared" si="57"/>
        <v>56.464696689999997</v>
      </c>
      <c r="CG51" s="31">
        <f t="shared" si="58"/>
        <v>0</v>
      </c>
      <c r="CH51" s="76">
        <f t="shared" si="59"/>
        <v>0</v>
      </c>
      <c r="CI51" s="45"/>
      <c r="CJ51" s="37">
        <f t="shared" si="13"/>
        <v>-1</v>
      </c>
      <c r="CK51" s="36">
        <f>[1]MJ!$P51</f>
        <v>459.43610000000001</v>
      </c>
      <c r="CL51" s="31">
        <f t="shared" si="60"/>
        <v>402.97140331000003</v>
      </c>
      <c r="CM51" s="31">
        <f t="shared" si="61"/>
        <v>56.464696689999997</v>
      </c>
      <c r="CN51" s="31">
        <f t="shared" si="62"/>
        <v>0</v>
      </c>
      <c r="CO51" s="76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20000</v>
      </c>
      <c r="C52" s="31">
        <f t="shared" si="64"/>
        <v>17542.000000000004</v>
      </c>
      <c r="D52" s="32">
        <f t="shared" si="64"/>
        <v>2458</v>
      </c>
      <c r="E52" s="30">
        <f t="shared" si="66"/>
        <v>6666.666666666667</v>
      </c>
      <c r="F52" s="33">
        <f t="shared" si="66"/>
        <v>5847.3333333333339</v>
      </c>
      <c r="G52" s="34">
        <f t="shared" si="66"/>
        <v>819.33333333333337</v>
      </c>
      <c r="H52" s="31">
        <f t="shared" si="65"/>
        <v>8112.0562019999998</v>
      </c>
      <c r="I52" s="33">
        <f t="shared" si="65"/>
        <v>375.13379799999996</v>
      </c>
      <c r="J52" s="33">
        <f t="shared" si="65"/>
        <v>8487.19</v>
      </c>
      <c r="K52" s="37">
        <f t="shared" si="2"/>
        <v>0.2730785</v>
      </c>
      <c r="L52" s="36">
        <f>[1]MJ!$E52</f>
        <v>1666.6666666666667</v>
      </c>
      <c r="M52" s="31">
        <f t="shared" si="16"/>
        <v>1461.8333333333335</v>
      </c>
      <c r="N52" s="31">
        <f t="shared" si="17"/>
        <v>204.83333333333334</v>
      </c>
      <c r="O52" s="31">
        <f t="shared" si="18"/>
        <v>1138.5394020000001</v>
      </c>
      <c r="P52" s="31">
        <f t="shared" si="19"/>
        <v>52.650597999999995</v>
      </c>
      <c r="Q52" s="33">
        <f>1191.19</f>
        <v>1191.19</v>
      </c>
      <c r="R52" s="37">
        <f t="shared" si="3"/>
        <v>-0.28528600000000004</v>
      </c>
      <c r="S52" s="36">
        <f>[1]MJ!$F52</f>
        <v>1666.6666666666667</v>
      </c>
      <c r="T52" s="31">
        <f t="shared" si="20"/>
        <v>1461.8333333333335</v>
      </c>
      <c r="U52" s="31">
        <f t="shared" si="21"/>
        <v>204.83333333333334</v>
      </c>
      <c r="V52" s="31">
        <f t="shared" si="22"/>
        <v>0</v>
      </c>
      <c r="W52" s="31">
        <f t="shared" si="23"/>
        <v>0</v>
      </c>
      <c r="X52" s="33"/>
      <c r="Y52" s="37">
        <f t="shared" si="4"/>
        <v>-1</v>
      </c>
      <c r="Z52" s="36">
        <f>[1]MJ!$G52</f>
        <v>1666.6666666666667</v>
      </c>
      <c r="AA52" s="31">
        <f t="shared" si="24"/>
        <v>1461.8333333333335</v>
      </c>
      <c r="AB52" s="31">
        <f t="shared" si="25"/>
        <v>204.83333333333334</v>
      </c>
      <c r="AC52" s="31">
        <f t="shared" si="26"/>
        <v>716.85</v>
      </c>
      <c r="AD52" s="31">
        <f t="shared" si="27"/>
        <v>33.15</v>
      </c>
      <c r="AE52" s="33">
        <f>750</f>
        <v>750</v>
      </c>
      <c r="AF52" s="37">
        <f t="shared" si="5"/>
        <v>-0.55000000000000004</v>
      </c>
      <c r="AG52" s="36">
        <f>[1]MJ!$H52</f>
        <v>1666.6666666666667</v>
      </c>
      <c r="AH52" s="31">
        <f t="shared" si="28"/>
        <v>1461.8333333333335</v>
      </c>
      <c r="AI52" s="31">
        <f t="shared" si="29"/>
        <v>204.83333333333334</v>
      </c>
      <c r="AJ52" s="31">
        <f t="shared" si="30"/>
        <v>6256.6668</v>
      </c>
      <c r="AK52" s="31">
        <f t="shared" si="31"/>
        <v>289.33319999999998</v>
      </c>
      <c r="AL52" s="27">
        <v>6546</v>
      </c>
      <c r="AM52" s="37">
        <f t="shared" si="6"/>
        <v>2.9276</v>
      </c>
      <c r="AN52" s="36">
        <f>[1]MJ!$I52</f>
        <v>1666.6666666666667</v>
      </c>
      <c r="AO52" s="31">
        <f t="shared" si="32"/>
        <v>1461.8333333333335</v>
      </c>
      <c r="AP52" s="31">
        <f t="shared" si="33"/>
        <v>204.83333333333334</v>
      </c>
      <c r="AQ52" s="31">
        <f t="shared" si="34"/>
        <v>0</v>
      </c>
      <c r="AR52" s="31">
        <f t="shared" si="35"/>
        <v>0</v>
      </c>
      <c r="AS52" s="33"/>
      <c r="AT52" s="37">
        <f t="shared" si="7"/>
        <v>-1</v>
      </c>
      <c r="AU52" s="36">
        <f>[1]MJ!$J52</f>
        <v>1666.6666666666667</v>
      </c>
      <c r="AV52" s="31">
        <f t="shared" si="36"/>
        <v>1461.8333333333335</v>
      </c>
      <c r="AW52" s="31">
        <f t="shared" si="37"/>
        <v>204.83333333333334</v>
      </c>
      <c r="AX52" s="31">
        <f t="shared" si="38"/>
        <v>0</v>
      </c>
      <c r="AY52" s="31">
        <f t="shared" si="39"/>
        <v>0</v>
      </c>
      <c r="AZ52" s="33"/>
      <c r="BA52" s="37">
        <f t="shared" si="8"/>
        <v>-1</v>
      </c>
      <c r="BB52" s="36">
        <f>[1]MJ!$K52</f>
        <v>1666.6666666666667</v>
      </c>
      <c r="BC52" s="31">
        <f t="shared" si="40"/>
        <v>1461.8333333333335</v>
      </c>
      <c r="BD52" s="31">
        <f t="shared" si="41"/>
        <v>204.83333333333334</v>
      </c>
      <c r="BE52" s="31">
        <f t="shared" si="42"/>
        <v>0</v>
      </c>
      <c r="BF52" s="31">
        <f t="shared" si="43"/>
        <v>0</v>
      </c>
      <c r="BG52" s="27"/>
      <c r="BH52" s="37">
        <f t="shared" si="9"/>
        <v>-1</v>
      </c>
      <c r="BI52" s="36">
        <f>[1]MJ!$L52</f>
        <v>1666.6666666666667</v>
      </c>
      <c r="BJ52" s="31">
        <f t="shared" si="44"/>
        <v>1461.8333333333335</v>
      </c>
      <c r="BK52" s="31">
        <f t="shared" si="45"/>
        <v>204.83333333333334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[1]MJ!$M52</f>
        <v>1666.6666666666667</v>
      </c>
      <c r="BQ52" s="31">
        <f t="shared" si="48"/>
        <v>1461.8333333333335</v>
      </c>
      <c r="BR52" s="31">
        <f t="shared" si="49"/>
        <v>204.83333333333334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[1]MJ!$N52</f>
        <v>1666.6666666666667</v>
      </c>
      <c r="BX52" s="31">
        <f t="shared" si="52"/>
        <v>1461.8333333333335</v>
      </c>
      <c r="BY52" s="31">
        <f t="shared" si="53"/>
        <v>204.83333333333334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[1]MJ!$O52</f>
        <v>1666.6666666666667</v>
      </c>
      <c r="CE52" s="31">
        <f t="shared" si="56"/>
        <v>1461.8333333333335</v>
      </c>
      <c r="CF52" s="31">
        <f t="shared" si="57"/>
        <v>204.83333333333334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[1]MJ!$P52</f>
        <v>1666.6666666666667</v>
      </c>
      <c r="CL52" s="31">
        <f t="shared" si="60"/>
        <v>1461.8333333333335</v>
      </c>
      <c r="CM52" s="31">
        <f t="shared" si="61"/>
        <v>204.83333333333334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12000</v>
      </c>
      <c r="C53" s="31">
        <f t="shared" si="64"/>
        <v>10525.200000000003</v>
      </c>
      <c r="D53" s="32">
        <f t="shared" si="64"/>
        <v>1474.8000000000002</v>
      </c>
      <c r="E53" s="30">
        <f t="shared" si="66"/>
        <v>4000</v>
      </c>
      <c r="F53" s="33">
        <f t="shared" si="66"/>
        <v>3508.4</v>
      </c>
      <c r="G53" s="34">
        <f t="shared" si="66"/>
        <v>491.59999999999997</v>
      </c>
      <c r="H53" s="31">
        <f t="shared" si="65"/>
        <v>0</v>
      </c>
      <c r="I53" s="33">
        <f t="shared" si="65"/>
        <v>0</v>
      </c>
      <c r="J53" s="33">
        <f t="shared" si="65"/>
        <v>0</v>
      </c>
      <c r="K53" s="37">
        <f t="shared" si="2"/>
        <v>-1</v>
      </c>
      <c r="L53" s="36">
        <f>[1]MJ!$E53</f>
        <v>1000</v>
      </c>
      <c r="M53" s="31">
        <f t="shared" si="16"/>
        <v>877.1</v>
      </c>
      <c r="N53" s="31">
        <f t="shared" si="17"/>
        <v>122.89999999999999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f>[1]MJ!$F53</f>
        <v>1000</v>
      </c>
      <c r="T53" s="31">
        <f t="shared" si="20"/>
        <v>877.1</v>
      </c>
      <c r="U53" s="31">
        <f t="shared" si="21"/>
        <v>122.89999999999999</v>
      </c>
      <c r="V53" s="31">
        <f t="shared" si="22"/>
        <v>0</v>
      </c>
      <c r="W53" s="31">
        <f t="shared" si="23"/>
        <v>0</v>
      </c>
      <c r="X53" s="33"/>
      <c r="Y53" s="37">
        <f t="shared" si="4"/>
        <v>-1</v>
      </c>
      <c r="Z53" s="36">
        <f>[1]MJ!$G53</f>
        <v>1000</v>
      </c>
      <c r="AA53" s="31">
        <f t="shared" si="24"/>
        <v>877.1</v>
      </c>
      <c r="AB53" s="31">
        <f t="shared" si="25"/>
        <v>122.89999999999999</v>
      </c>
      <c r="AC53" s="31">
        <f t="shared" si="26"/>
        <v>0</v>
      </c>
      <c r="AD53" s="31">
        <f t="shared" si="27"/>
        <v>0</v>
      </c>
      <c r="AE53" s="33"/>
      <c r="AF53" s="37">
        <f t="shared" si="5"/>
        <v>-1</v>
      </c>
      <c r="AG53" s="36">
        <f>[1]MJ!$H53</f>
        <v>1000</v>
      </c>
      <c r="AH53" s="31">
        <f t="shared" si="28"/>
        <v>877.1</v>
      </c>
      <c r="AI53" s="31">
        <f t="shared" si="29"/>
        <v>122.89999999999999</v>
      </c>
      <c r="AJ53" s="31">
        <f t="shared" si="30"/>
        <v>0</v>
      </c>
      <c r="AK53" s="31">
        <f t="shared" si="31"/>
        <v>0</v>
      </c>
      <c r="AL53" s="27"/>
      <c r="AM53" s="37">
        <f t="shared" si="6"/>
        <v>-1</v>
      </c>
      <c r="AN53" s="36">
        <f>[1]MJ!$I53</f>
        <v>1000</v>
      </c>
      <c r="AO53" s="31">
        <f t="shared" si="32"/>
        <v>877.1</v>
      </c>
      <c r="AP53" s="31">
        <f t="shared" si="33"/>
        <v>122.89999999999999</v>
      </c>
      <c r="AQ53" s="31">
        <f t="shared" si="34"/>
        <v>0</v>
      </c>
      <c r="AR53" s="31">
        <f t="shared" si="35"/>
        <v>0</v>
      </c>
      <c r="AS53" s="33"/>
      <c r="AT53" s="37">
        <f t="shared" si="7"/>
        <v>-1</v>
      </c>
      <c r="AU53" s="36">
        <f>[1]MJ!$J53</f>
        <v>1000</v>
      </c>
      <c r="AV53" s="31">
        <f t="shared" si="36"/>
        <v>877.1</v>
      </c>
      <c r="AW53" s="31">
        <f t="shared" si="37"/>
        <v>122.89999999999999</v>
      </c>
      <c r="AX53" s="31">
        <f t="shared" si="38"/>
        <v>0</v>
      </c>
      <c r="AY53" s="31">
        <f t="shared" si="39"/>
        <v>0</v>
      </c>
      <c r="AZ53" s="33"/>
      <c r="BA53" s="37">
        <f t="shared" si="8"/>
        <v>-1</v>
      </c>
      <c r="BB53" s="36">
        <f>[1]MJ!$K53</f>
        <v>1000</v>
      </c>
      <c r="BC53" s="31">
        <f t="shared" si="40"/>
        <v>877.1</v>
      </c>
      <c r="BD53" s="31">
        <f t="shared" si="41"/>
        <v>122.89999999999999</v>
      </c>
      <c r="BE53" s="31">
        <f t="shared" si="42"/>
        <v>0</v>
      </c>
      <c r="BF53" s="31">
        <f t="shared" si="43"/>
        <v>0</v>
      </c>
      <c r="BG53" s="27"/>
      <c r="BH53" s="37">
        <f t="shared" si="9"/>
        <v>-1</v>
      </c>
      <c r="BI53" s="36">
        <f>[1]MJ!$L53</f>
        <v>1000</v>
      </c>
      <c r="BJ53" s="31">
        <f t="shared" si="44"/>
        <v>877.1</v>
      </c>
      <c r="BK53" s="31">
        <f t="shared" si="45"/>
        <v>122.89999999999999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[1]MJ!$M53</f>
        <v>1000</v>
      </c>
      <c r="BQ53" s="31">
        <f t="shared" si="48"/>
        <v>877.1</v>
      </c>
      <c r="BR53" s="31">
        <f t="shared" si="49"/>
        <v>122.89999999999999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[1]MJ!$N53</f>
        <v>1000</v>
      </c>
      <c r="BX53" s="31">
        <f t="shared" si="52"/>
        <v>877.1</v>
      </c>
      <c r="BY53" s="31">
        <f t="shared" si="53"/>
        <v>122.89999999999999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[1]MJ!$O53</f>
        <v>1000</v>
      </c>
      <c r="CE53" s="31">
        <f t="shared" si="56"/>
        <v>877.1</v>
      </c>
      <c r="CF53" s="31">
        <f t="shared" si="57"/>
        <v>122.89999999999999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[1]MJ!$P53</f>
        <v>1000</v>
      </c>
      <c r="CL53" s="31">
        <f t="shared" si="60"/>
        <v>877.1</v>
      </c>
      <c r="CM53" s="31">
        <f t="shared" si="61"/>
        <v>122.89999999999999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176800.00000000003</v>
      </c>
      <c r="C54" s="40">
        <f t="shared" si="64"/>
        <v>155071.28000000003</v>
      </c>
      <c r="D54" s="51">
        <f t="shared" si="64"/>
        <v>21728.720000000001</v>
      </c>
      <c r="E54" s="52">
        <f t="shared" si="66"/>
        <v>101028.57142857143</v>
      </c>
      <c r="F54" s="53">
        <f t="shared" si="66"/>
        <v>88612.160000000003</v>
      </c>
      <c r="G54" s="54">
        <f t="shared" si="66"/>
        <v>12416.411428571429</v>
      </c>
      <c r="H54" s="40">
        <f t="shared" si="65"/>
        <v>47320.520598000003</v>
      </c>
      <c r="I54" s="53">
        <f t="shared" si="65"/>
        <v>2188.2894019999999</v>
      </c>
      <c r="J54" s="53">
        <f t="shared" si="65"/>
        <v>49508.81</v>
      </c>
      <c r="K54" s="60">
        <f t="shared" si="2"/>
        <v>-0.50995238970588241</v>
      </c>
      <c r="L54" s="87">
        <f>[1]MJ!$E54</f>
        <v>25257.142857142859</v>
      </c>
      <c r="M54" s="40">
        <f t="shared" si="16"/>
        <v>22153.040000000001</v>
      </c>
      <c r="N54" s="40">
        <f t="shared" si="17"/>
        <v>3104.1028571428574</v>
      </c>
      <c r="O54" s="40">
        <f t="shared" si="18"/>
        <v>3754.363284</v>
      </c>
      <c r="P54" s="40">
        <f t="shared" si="19"/>
        <v>173.616716</v>
      </c>
      <c r="Q54" s="53">
        <f>3927.98</f>
        <v>3927.98</v>
      </c>
      <c r="R54" s="60">
        <f t="shared" si="3"/>
        <v>-0.84448042986425342</v>
      </c>
      <c r="S54" s="87">
        <f>[1]MJ!$F54</f>
        <v>25257.142857142859</v>
      </c>
      <c r="T54" s="40">
        <f t="shared" si="20"/>
        <v>22153.040000000001</v>
      </c>
      <c r="U54" s="40">
        <f t="shared" si="21"/>
        <v>3104.1028571428574</v>
      </c>
      <c r="V54" s="40">
        <f t="shared" si="22"/>
        <v>17928.676566000002</v>
      </c>
      <c r="W54" s="40">
        <f t="shared" si="23"/>
        <v>829.093434</v>
      </c>
      <c r="X54" s="53">
        <v>18757.77</v>
      </c>
      <c r="Y54" s="60">
        <f t="shared" si="4"/>
        <v>-0.25732811085972851</v>
      </c>
      <c r="Z54" s="87">
        <f>[1]MJ!$G54</f>
        <v>25257.142857142859</v>
      </c>
      <c r="AA54" s="40">
        <f t="shared" si="24"/>
        <v>22153.040000000001</v>
      </c>
      <c r="AB54" s="40">
        <f t="shared" si="25"/>
        <v>3104.1028571428574</v>
      </c>
      <c r="AC54" s="40">
        <f t="shared" si="26"/>
        <v>16620.492222000001</v>
      </c>
      <c r="AD54" s="40">
        <f t="shared" si="27"/>
        <v>768.59777799999995</v>
      </c>
      <c r="AE54" s="53">
        <v>17389.09</v>
      </c>
      <c r="AF54" s="60">
        <f t="shared" si="5"/>
        <v>-0.31151792986425342</v>
      </c>
      <c r="AG54" s="87">
        <f>[1]MJ!$H54</f>
        <v>25257.142857142859</v>
      </c>
      <c r="AH54" s="40">
        <f t="shared" si="28"/>
        <v>22153.040000000001</v>
      </c>
      <c r="AI54" s="40">
        <f t="shared" si="29"/>
        <v>3104.1028571428574</v>
      </c>
      <c r="AJ54" s="40">
        <f t="shared" si="30"/>
        <v>9016.9885259999992</v>
      </c>
      <c r="AK54" s="40">
        <f t="shared" si="31"/>
        <v>416.98147399999993</v>
      </c>
      <c r="AL54" s="61">
        <v>9433.9699999999993</v>
      </c>
      <c r="AM54" s="60">
        <f t="shared" si="6"/>
        <v>-0.62648308823529419</v>
      </c>
      <c r="AN54" s="56">
        <f>[1]MJ!$I54</f>
        <v>25257.142857142859</v>
      </c>
      <c r="AO54" s="40">
        <f t="shared" si="32"/>
        <v>22153.040000000001</v>
      </c>
      <c r="AP54" s="40">
        <f t="shared" si="33"/>
        <v>3104.1028571428574</v>
      </c>
      <c r="AQ54" s="40">
        <f t="shared" si="34"/>
        <v>0</v>
      </c>
      <c r="AR54" s="40">
        <f t="shared" si="35"/>
        <v>0</v>
      </c>
      <c r="AS54" s="58"/>
      <c r="AT54" s="60">
        <f t="shared" si="7"/>
        <v>-1</v>
      </c>
      <c r="AU54" s="56">
        <f>[1]MJ!$J54</f>
        <v>25257.142857142859</v>
      </c>
      <c r="AV54" s="40">
        <f t="shared" si="36"/>
        <v>22153.040000000001</v>
      </c>
      <c r="AW54" s="40">
        <f t="shared" si="37"/>
        <v>3104.1028571428574</v>
      </c>
      <c r="AX54" s="40">
        <f t="shared" si="38"/>
        <v>0</v>
      </c>
      <c r="AY54" s="40">
        <f t="shared" si="39"/>
        <v>0</v>
      </c>
      <c r="AZ54" s="58"/>
      <c r="BA54" s="60">
        <f t="shared" si="8"/>
        <v>-1</v>
      </c>
      <c r="BB54" s="56">
        <f>[1]MJ!$K54</f>
        <v>25257.142857142859</v>
      </c>
      <c r="BC54" s="40">
        <f t="shared" si="40"/>
        <v>22153.040000000001</v>
      </c>
      <c r="BD54" s="40">
        <f t="shared" si="41"/>
        <v>3104.1028571428574</v>
      </c>
      <c r="BE54" s="40">
        <f t="shared" si="42"/>
        <v>0</v>
      </c>
      <c r="BF54" s="40">
        <f t="shared" si="43"/>
        <v>0</v>
      </c>
      <c r="BG54" s="59"/>
      <c r="BH54" s="60">
        <f t="shared" si="9"/>
        <v>-1</v>
      </c>
      <c r="BI54" s="56">
        <f>[1]MJ!$L54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10"/>
        <v/>
      </c>
      <c r="BP54" s="56">
        <f>[1]MJ!$M54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1"/>
        <v/>
      </c>
      <c r="BW54" s="87">
        <f>[1]MJ!$N54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2"/>
        <v/>
      </c>
      <c r="CD54" s="87">
        <f>[1]MJ!$O54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3"/>
        <v/>
      </c>
      <c r="CK54" s="87">
        <f>[1]MJ!$P54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12241433.356645333</v>
      </c>
      <c r="C55" s="64">
        <f t="shared" si="67"/>
        <v>10736961.197113618</v>
      </c>
      <c r="D55" s="65">
        <f t="shared" si="67"/>
        <v>1504472.1595317111</v>
      </c>
      <c r="E55" s="63">
        <f t="shared" si="67"/>
        <v>4692472.9107636763</v>
      </c>
      <c r="F55" s="66">
        <f t="shared" si="67"/>
        <v>4115767.9900308205</v>
      </c>
      <c r="G55" s="67">
        <f t="shared" si="67"/>
        <v>576704.9207328558</v>
      </c>
      <c r="H55" s="64">
        <f t="shared" si="67"/>
        <v>3902148.1942920005</v>
      </c>
      <c r="I55" s="66">
        <f t="shared" si="67"/>
        <v>180450.87904133333</v>
      </c>
      <c r="J55" s="66">
        <f t="shared" si="67"/>
        <v>4082599.0733333337</v>
      </c>
      <c r="K55" s="120">
        <f>+J55/E55-1</f>
        <v>-0.12996853663905084</v>
      </c>
      <c r="L55" s="121">
        <f t="shared" ref="L55:Q55" si="68">SUM(L4:L54)</f>
        <v>1333369.2811307558</v>
      </c>
      <c r="M55" s="121">
        <f t="shared" si="68"/>
        <v>1169498.1964797864</v>
      </c>
      <c r="N55" s="121">
        <f t="shared" si="68"/>
        <v>163871.08465096989</v>
      </c>
      <c r="O55" s="122">
        <f t="shared" si="68"/>
        <v>966869.66779199999</v>
      </c>
      <c r="P55" s="122">
        <f t="shared" si="68"/>
        <v>44711.905541333319</v>
      </c>
      <c r="Q55" s="123">
        <f t="shared" si="68"/>
        <v>1011581.5733333334</v>
      </c>
      <c r="R55" s="120">
        <f>+Q55/L55-1</f>
        <v>-0.24133427427136489</v>
      </c>
      <c r="S55" s="121">
        <f t="shared" ref="S55:X55" si="69">SUM(S4:S54)</f>
        <v>588924.84664912347</v>
      </c>
      <c r="T55" s="121">
        <f t="shared" si="69"/>
        <v>516545.98299594619</v>
      </c>
      <c r="U55" s="121">
        <f t="shared" si="69"/>
        <v>72378.863653177279</v>
      </c>
      <c r="V55" s="122">
        <f t="shared" si="69"/>
        <v>957361.11132600019</v>
      </c>
      <c r="W55" s="122">
        <f t="shared" si="69"/>
        <v>44272.192007333324</v>
      </c>
      <c r="X55" s="123">
        <f t="shared" si="69"/>
        <v>1001633.3033333336</v>
      </c>
      <c r="Y55" s="120">
        <f>+X55/S55-1</f>
        <v>0.70078289111496495</v>
      </c>
      <c r="Z55" s="121">
        <f t="shared" ref="Z55:AE55" si="70">SUM(Z4:Z54)</f>
        <v>1458313.4689800618</v>
      </c>
      <c r="AA55" s="121">
        <f t="shared" si="70"/>
        <v>1279086.7436424131</v>
      </c>
      <c r="AB55" s="121">
        <f t="shared" si="70"/>
        <v>179226.72533764955</v>
      </c>
      <c r="AC55" s="122">
        <f t="shared" si="70"/>
        <v>1089242.2423980001</v>
      </c>
      <c r="AD55" s="122">
        <f t="shared" si="70"/>
        <v>50370.900935333339</v>
      </c>
      <c r="AE55" s="123">
        <f t="shared" si="70"/>
        <v>1139613.1433333333</v>
      </c>
      <c r="AF55" s="120">
        <f>+AE55/Z55-1</f>
        <v>-0.21854034295495206</v>
      </c>
      <c r="AG55" s="121">
        <f t="shared" ref="AG55:AL55" si="71">SUM(AG4:AG54)</f>
        <v>1311865.3140037355</v>
      </c>
      <c r="AH55" s="121">
        <f t="shared" si="71"/>
        <v>1150637.0669126769</v>
      </c>
      <c r="AI55" s="121">
        <f t="shared" si="71"/>
        <v>161228.24709105908</v>
      </c>
      <c r="AJ55" s="122">
        <f t="shared" si="71"/>
        <v>888675.17277600011</v>
      </c>
      <c r="AK55" s="122">
        <f t="shared" si="71"/>
        <v>41095.880557333337</v>
      </c>
      <c r="AL55" s="124">
        <f t="shared" si="71"/>
        <v>929771.05333333334</v>
      </c>
      <c r="AM55" s="120">
        <f>+AL55/AG55-1</f>
        <v>-0.29126028151798078</v>
      </c>
      <c r="AN55" s="121">
        <f t="shared" ref="AN55:AS55" si="72">SUM(AN4:AN54)</f>
        <v>1342785.5127797343</v>
      </c>
      <c r="AO55" s="121">
        <f t="shared" si="72"/>
        <v>1177757.1732591058</v>
      </c>
      <c r="AP55" s="121">
        <f t="shared" si="72"/>
        <v>165028.33952062935</v>
      </c>
      <c r="AQ55" s="122">
        <f t="shared" si="72"/>
        <v>0</v>
      </c>
      <c r="AR55" s="122">
        <f t="shared" si="72"/>
        <v>0</v>
      </c>
      <c r="AS55" s="123">
        <f t="shared" si="72"/>
        <v>0</v>
      </c>
      <c r="AT55" s="120">
        <f>+AS55/AN55-1</f>
        <v>-1</v>
      </c>
      <c r="AU55" s="121">
        <f t="shared" ref="AU55:AZ55" si="73">SUM(AU4:AU54)</f>
        <v>1366774.2488037355</v>
      </c>
      <c r="AV55" s="121">
        <f t="shared" si="73"/>
        <v>1198797.693625757</v>
      </c>
      <c r="AW55" s="121">
        <f t="shared" si="73"/>
        <v>167976.55517797908</v>
      </c>
      <c r="AX55" s="122">
        <f t="shared" si="73"/>
        <v>0</v>
      </c>
      <c r="AY55" s="122">
        <f t="shared" si="73"/>
        <v>0</v>
      </c>
      <c r="AZ55" s="123">
        <f t="shared" si="73"/>
        <v>0</v>
      </c>
      <c r="BA55" s="120">
        <f>+AZ55/AU55-1</f>
        <v>-1</v>
      </c>
      <c r="BB55" s="121">
        <f t="shared" ref="BB55:BG55" si="74">SUM(BB4:BB54)</f>
        <v>1550547.2405506652</v>
      </c>
      <c r="BC55" s="121">
        <f t="shared" si="74"/>
        <v>1359984.9846869891</v>
      </c>
      <c r="BD55" s="121">
        <f t="shared" si="74"/>
        <v>190562.25586367675</v>
      </c>
      <c r="BE55" s="122">
        <f t="shared" si="74"/>
        <v>0</v>
      </c>
      <c r="BF55" s="122">
        <f t="shared" si="74"/>
        <v>0</v>
      </c>
      <c r="BG55" s="123">
        <f t="shared" si="74"/>
        <v>0</v>
      </c>
      <c r="BH55" s="120">
        <f>+BG55/BB55-1</f>
        <v>-1</v>
      </c>
      <c r="BI55" s="121">
        <f t="shared" ref="BI55:BN55" si="75">SUM(BI4:BI54)</f>
        <v>726380.06059302995</v>
      </c>
      <c r="BJ55" s="121">
        <f t="shared" si="75"/>
        <v>637107.95114614605</v>
      </c>
      <c r="BK55" s="121">
        <f t="shared" si="75"/>
        <v>89272.109446883362</v>
      </c>
      <c r="BL55" s="122">
        <f t="shared" si="75"/>
        <v>0</v>
      </c>
      <c r="BM55" s="122">
        <f t="shared" si="75"/>
        <v>0</v>
      </c>
      <c r="BN55" s="123">
        <f t="shared" si="75"/>
        <v>0</v>
      </c>
      <c r="BO55" s="120">
        <f>+BN55/BI55-1</f>
        <v>-1</v>
      </c>
      <c r="BP55" s="121">
        <f t="shared" ref="BP55:BU55" si="76">SUM(BP4:BP54)</f>
        <v>720700.77386537287</v>
      </c>
      <c r="BQ55" s="121">
        <f t="shared" si="76"/>
        <v>632126.64875731803</v>
      </c>
      <c r="BR55" s="121">
        <f t="shared" si="76"/>
        <v>88574.125108054301</v>
      </c>
      <c r="BS55" s="122">
        <f t="shared" si="76"/>
        <v>0</v>
      </c>
      <c r="BT55" s="122">
        <f t="shared" si="76"/>
        <v>0</v>
      </c>
      <c r="BU55" s="123">
        <f t="shared" si="76"/>
        <v>0</v>
      </c>
      <c r="BV55" s="120">
        <f>+BU55/BP55-1</f>
        <v>-1</v>
      </c>
      <c r="BW55" s="121">
        <f t="shared" ref="BW55:CB55" si="77">SUM(BW4:BW54)</f>
        <v>682112.71436837188</v>
      </c>
      <c r="BX55" s="121">
        <f t="shared" si="77"/>
        <v>598281.06177249865</v>
      </c>
      <c r="BY55" s="121">
        <f t="shared" si="77"/>
        <v>83831.652595872874</v>
      </c>
      <c r="BZ55" s="122">
        <f t="shared" si="77"/>
        <v>0</v>
      </c>
      <c r="CA55" s="122">
        <f t="shared" si="77"/>
        <v>0</v>
      </c>
      <c r="CB55" s="123">
        <f t="shared" si="77"/>
        <v>0</v>
      </c>
      <c r="CC55" s="120">
        <f>+CB55/BW55-1</f>
        <v>-1</v>
      </c>
      <c r="CD55" s="121">
        <f t="shared" ref="CD55:CI55" si="78">SUM(CD4:CD54)</f>
        <v>580291.80907237262</v>
      </c>
      <c r="CE55" s="121">
        <f t="shared" si="78"/>
        <v>508973.94573737803</v>
      </c>
      <c r="CF55" s="121">
        <f t="shared" si="78"/>
        <v>71317.863334994589</v>
      </c>
      <c r="CG55" s="122">
        <f t="shared" si="78"/>
        <v>0</v>
      </c>
      <c r="CH55" s="122">
        <f t="shared" si="78"/>
        <v>0</v>
      </c>
      <c r="CI55" s="123">
        <f t="shared" si="78"/>
        <v>0</v>
      </c>
      <c r="CJ55" s="120">
        <f>+CI55/CD55-1</f>
        <v>-1</v>
      </c>
      <c r="CK55" s="121">
        <f t="shared" ref="CK55:CP55" si="79">SUM(CK4:CK54)</f>
        <v>579368.08584837266</v>
      </c>
      <c r="CL55" s="121">
        <f t="shared" si="79"/>
        <v>508163.74809760769</v>
      </c>
      <c r="CM55" s="121">
        <f t="shared" si="79"/>
        <v>71204.337750765</v>
      </c>
      <c r="CN55" s="122">
        <f t="shared" si="79"/>
        <v>0</v>
      </c>
      <c r="CO55" s="122">
        <f t="shared" si="79"/>
        <v>0</v>
      </c>
      <c r="CP55" s="123">
        <f t="shared" si="79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-166089.96539792386</v>
      </c>
      <c r="C56" s="76">
        <f t="shared" ref="C56:D57" si="80">+M56+T56+AA56+AH56+AO56+AV56+BC56+BJ56+BQ56+BX56+CE56+CL56</f>
        <v>-145677.50865051898</v>
      </c>
      <c r="D56" s="77">
        <f t="shared" si="80"/>
        <v>-20412.456747404842</v>
      </c>
      <c r="E56" s="75">
        <f>+L56+S56+Z56+AG56</f>
        <v>-55363.321799307952</v>
      </c>
      <c r="F56" s="78">
        <f t="shared" ref="F56:G57" si="81">+M56+T56+AA56+AH56</f>
        <v>-48559.169550173006</v>
      </c>
      <c r="G56" s="79">
        <f t="shared" si="81"/>
        <v>-6804.1522491349469</v>
      </c>
      <c r="H56" s="76">
        <f t="shared" ref="H56:J57" si="82">+O56+V56+AC56+AJ56+AQ56+AX56+BE56+BL56+BS56+BZ56+CG56+CN56</f>
        <v>-26950.214699999997</v>
      </c>
      <c r="I56" s="78">
        <f t="shared" si="82"/>
        <v>-1246.2852999999998</v>
      </c>
      <c r="J56" s="78">
        <f t="shared" si="82"/>
        <v>-28196.5</v>
      </c>
      <c r="K56" s="25">
        <f t="shared" ref="K56:K57" si="83">IF(E56=0,"",(+J56/E56-1))</f>
        <v>-0.49070071874999999</v>
      </c>
      <c r="L56" s="23">
        <f>[1]MJ!$E56</f>
        <v>-13840.830449826988</v>
      </c>
      <c r="M56" s="18">
        <f t="shared" ref="M56:M57" si="84">L56-N56</f>
        <v>-12139.792387543252</v>
      </c>
      <c r="N56" s="18">
        <f t="shared" ref="N56:N57" si="85">+L56*12.29%</f>
        <v>-1701.0380622837367</v>
      </c>
      <c r="O56" s="18">
        <f t="shared" ref="O56:O57" si="86">+Q56-P56</f>
        <v>0</v>
      </c>
      <c r="P56" s="18">
        <f t="shared" ref="P56:P57" si="87">+Q56*4.42%</f>
        <v>0</v>
      </c>
      <c r="Q56" s="20"/>
      <c r="R56" s="25">
        <f t="shared" ref="R56:R57" si="88">IF(L56=0,"",(+Q56/L56-1))</f>
        <v>-1</v>
      </c>
      <c r="S56" s="23">
        <f>[1]MJ!$F56</f>
        <v>-13840.830449826988</v>
      </c>
      <c r="T56" s="18">
        <f t="shared" ref="T56:T57" si="89">S56-U56</f>
        <v>-12139.792387543252</v>
      </c>
      <c r="U56" s="18">
        <f t="shared" ref="U56:U57" si="90">+S56*12.29%</f>
        <v>-1701.0380622837367</v>
      </c>
      <c r="V56" s="18">
        <f t="shared" ref="V56:V57" si="91">+X56-W56</f>
        <v>-13158.938268</v>
      </c>
      <c r="W56" s="18">
        <f t="shared" ref="W56:W57" si="92">+X56*4.42%</f>
        <v>-608.52173199999993</v>
      </c>
      <c r="X56" s="20">
        <v>-13767.46</v>
      </c>
      <c r="Y56" s="25">
        <f>IF(S56=0,"",(+X56/S56-1))</f>
        <v>-5.301014999999909E-3</v>
      </c>
      <c r="Z56" s="23">
        <f>[1]MJ!$G56</f>
        <v>-13840.830449826988</v>
      </c>
      <c r="AA56" s="18">
        <f t="shared" ref="AA56:AA57" si="93">Z56-AB56</f>
        <v>-12139.792387543252</v>
      </c>
      <c r="AB56" s="18">
        <f t="shared" ref="AB56:AB57" si="94">+Z56*12.29%</f>
        <v>-1701.0380622837367</v>
      </c>
      <c r="AC56" s="18">
        <f t="shared" ref="AC56:AC57" si="95">+AE56-AD56</f>
        <v>1236.814758</v>
      </c>
      <c r="AD56" s="18">
        <f t="shared" ref="AD56:AD57" si="96">+AE56*4.42%</f>
        <v>57.195241999999993</v>
      </c>
      <c r="AE56" s="20">
        <f>1294.01</f>
        <v>1294.01</v>
      </c>
      <c r="AF56" s="25">
        <f t="shared" ref="AF56:AF57" si="97">IF(Z56=0,"",(+AE56/Z56-1))</f>
        <v>-1.0934922225000001</v>
      </c>
      <c r="AG56" s="23">
        <f>[1]MJ!$H56</f>
        <v>-13840.830449826988</v>
      </c>
      <c r="AH56" s="18">
        <f t="shared" ref="AH56:AH57" si="98">AG56-AI56</f>
        <v>-12139.792387543252</v>
      </c>
      <c r="AI56" s="18">
        <f t="shared" ref="AI56:AI57" si="99">+AG56*12.29%</f>
        <v>-1701.0380622837367</v>
      </c>
      <c r="AJ56" s="18">
        <f t="shared" ref="AJ56:AJ57" si="100">+AL56-AK56</f>
        <v>-15028.091189999999</v>
      </c>
      <c r="AK56" s="18">
        <f t="shared" ref="AK56:AK57" si="101">+AL56*4.42%</f>
        <v>-694.95880999999986</v>
      </c>
      <c r="AL56" s="24">
        <f>-17245.98+1522.93</f>
        <v>-15723.05</v>
      </c>
      <c r="AM56" s="25">
        <f t="shared" ref="AM56:AM57" si="102">IF(AG56=0,"",(+AL56/AG56-1))</f>
        <v>0.13599036250000007</v>
      </c>
      <c r="AN56" s="23">
        <f>[1]MJ!$I56</f>
        <v>-13840.830449826988</v>
      </c>
      <c r="AO56" s="18">
        <f t="shared" ref="AO56:AO57" si="103">AN56-AP56</f>
        <v>-12139.792387543252</v>
      </c>
      <c r="AP56" s="18">
        <f t="shared" ref="AP56:AP57" si="104">+AN56*12.29%</f>
        <v>-1701.0380622837367</v>
      </c>
      <c r="AQ56" s="18">
        <f t="shared" ref="AQ56:AQ57" si="105">+AS56-AR56</f>
        <v>0</v>
      </c>
      <c r="AR56" s="18">
        <f t="shared" ref="AR56:AR57" si="106">+AS56*4.42%</f>
        <v>0</v>
      </c>
      <c r="AS56" s="20"/>
      <c r="AT56" s="25">
        <f t="shared" ref="AT56:AT57" si="107">IF(AN56=0,"",(+AS56/AN56-1))</f>
        <v>-1</v>
      </c>
      <c r="AU56" s="23">
        <f>[1]MJ!$J56</f>
        <v>-13840.830449826988</v>
      </c>
      <c r="AV56" s="18">
        <f t="shared" ref="AV56:AV57" si="108">AU56-AW56</f>
        <v>-12139.792387543252</v>
      </c>
      <c r="AW56" s="18">
        <f t="shared" ref="AW56:AW57" si="109">+AU56*12.29%</f>
        <v>-1701.0380622837367</v>
      </c>
      <c r="AX56" s="18">
        <f t="shared" ref="AX56:AX57" si="110">+AZ56-AY56</f>
        <v>0</v>
      </c>
      <c r="AY56" s="18">
        <f t="shared" ref="AY56:AY57" si="111">+AZ56*4.42%</f>
        <v>0</v>
      </c>
      <c r="AZ56" s="20"/>
      <c r="BA56" s="25">
        <f t="shared" ref="BA56:BA57" si="112">IF(AU56=0,"",(+AZ56/AU56-1))</f>
        <v>-1</v>
      </c>
      <c r="BB56" s="23">
        <f>[1]MJ!$K56</f>
        <v>-13840.830449826988</v>
      </c>
      <c r="BC56" s="18">
        <f t="shared" ref="BC56:BC57" si="113">BB56-BD56</f>
        <v>-12139.792387543252</v>
      </c>
      <c r="BD56" s="18">
        <f t="shared" ref="BD56:BD57" si="114">+BB56*12.29%</f>
        <v>-1701.0380622837367</v>
      </c>
      <c r="BE56" s="18">
        <f t="shared" ref="BE56:BE57" si="115">+BG56-BF56</f>
        <v>0</v>
      </c>
      <c r="BF56" s="18">
        <f t="shared" ref="BF56:BF57" si="116">+BG56*4.42%</f>
        <v>0</v>
      </c>
      <c r="BG56" s="20"/>
      <c r="BH56" s="25">
        <f t="shared" ref="BH56:BH57" si="117">IF(BB56=0,"",(+BG56/BB56-1))</f>
        <v>-1</v>
      </c>
      <c r="BI56" s="23">
        <f>[1]MJ!$L56</f>
        <v>-13840.830449826988</v>
      </c>
      <c r="BJ56" s="18">
        <f t="shared" ref="BJ56:BJ57" si="118">BI56-BK56</f>
        <v>-12139.792387543252</v>
      </c>
      <c r="BK56" s="18">
        <f t="shared" ref="BK56:BK57" si="119">+BI56*12.29%</f>
        <v>-1701.0380622837367</v>
      </c>
      <c r="BL56" s="18">
        <f t="shared" ref="BL56:BL57" si="120">+BN56-BM56</f>
        <v>0</v>
      </c>
      <c r="BM56" s="18">
        <f t="shared" ref="BM56:BM57" si="121">+BN56*4.42%</f>
        <v>0</v>
      </c>
      <c r="BN56" s="20"/>
      <c r="BO56" s="25">
        <f t="shared" ref="BO56:BO57" si="122">IF(BI56=0,"",(+BN56/BI56-1))</f>
        <v>-1</v>
      </c>
      <c r="BP56" s="23">
        <f>[1]MJ!$M56</f>
        <v>-13840.830449826988</v>
      </c>
      <c r="BQ56" s="18">
        <f t="shared" ref="BQ56:BQ57" si="123">BP56-BR56</f>
        <v>-12139.792387543252</v>
      </c>
      <c r="BR56" s="18">
        <f t="shared" ref="BR56:BR57" si="124">+BP56*12.29%</f>
        <v>-1701.0380622837367</v>
      </c>
      <c r="BS56" s="18">
        <f t="shared" ref="BS56:BS57" si="125">+BU56-BT56</f>
        <v>0</v>
      </c>
      <c r="BT56" s="18">
        <f t="shared" ref="BT56:BT57" si="126">+BU56*4.42%</f>
        <v>0</v>
      </c>
      <c r="BU56" s="20"/>
      <c r="BV56" s="25">
        <f t="shared" ref="BV56:BV57" si="127">IF(BP56=0,"",(+BU56/BP56-1))</f>
        <v>-1</v>
      </c>
      <c r="BW56" s="23">
        <f>[1]MJ!$N56</f>
        <v>-13840.830449826988</v>
      </c>
      <c r="BX56" s="18">
        <f t="shared" ref="BX56:BX57" si="128">BW56-BY56</f>
        <v>-12139.792387543252</v>
      </c>
      <c r="BY56" s="18">
        <f t="shared" ref="BY56:BY57" si="129">+BW56*12.29%</f>
        <v>-1701.0380622837367</v>
      </c>
      <c r="BZ56" s="18">
        <f t="shared" ref="BZ56:BZ57" si="130">+CB56-CA56</f>
        <v>0</v>
      </c>
      <c r="CA56" s="18">
        <f t="shared" ref="CA56:CA57" si="131">+CB56*4.42%</f>
        <v>0</v>
      </c>
      <c r="CB56" s="20"/>
      <c r="CC56" s="25">
        <f t="shared" ref="CC56:CC57" si="132">IF(BW56=0,"",(+CB56/BW56-1))</f>
        <v>-1</v>
      </c>
      <c r="CD56" s="23">
        <f>[1]MJ!$O56</f>
        <v>-13840.830449826988</v>
      </c>
      <c r="CE56" s="18">
        <f t="shared" ref="CE56:CE57" si="133">CD56-CF56</f>
        <v>-12139.792387543252</v>
      </c>
      <c r="CF56" s="18">
        <f t="shared" ref="CF56:CF57" si="134">+CD56*12.29%</f>
        <v>-1701.0380622837367</v>
      </c>
      <c r="CG56" s="18">
        <f t="shared" ref="CG56:CG57" si="135">+CI56-CH56</f>
        <v>0</v>
      </c>
      <c r="CH56" s="18">
        <f t="shared" ref="CH56:CH57" si="136">+CI56*4.42%</f>
        <v>0</v>
      </c>
      <c r="CI56" s="20"/>
      <c r="CJ56" s="25">
        <f t="shared" ref="CJ56:CJ57" si="137">IF(CD56=0,"",(+CI56/CD56-1))</f>
        <v>-1</v>
      </c>
      <c r="CK56" s="23">
        <f>[1]MJ!$P56</f>
        <v>-13840.830449826988</v>
      </c>
      <c r="CL56" s="18">
        <f t="shared" ref="CL56:CL57" si="138">CK56-CM56</f>
        <v>-12139.792387543252</v>
      </c>
      <c r="CM56" s="18">
        <f t="shared" ref="CM56:CM57" si="139">+CK56*12.29%</f>
        <v>-1701.0380622837367</v>
      </c>
      <c r="CN56" s="18">
        <f t="shared" ref="CN56:CN57" si="140">+CP56-CO56</f>
        <v>0</v>
      </c>
      <c r="CO56" s="18">
        <f t="shared" ref="CO56:CO57" si="141">+CP56*4.42%</f>
        <v>0</v>
      </c>
      <c r="CP56" s="20"/>
      <c r="CQ56" s="25">
        <f t="shared" ref="CQ56:CQ57" si="142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-55363.321799307967</v>
      </c>
      <c r="C57" s="40">
        <f t="shared" si="80"/>
        <v>-48559.169550173014</v>
      </c>
      <c r="D57" s="51">
        <f t="shared" si="80"/>
        <v>-6804.1522491349469</v>
      </c>
      <c r="E57" s="50">
        <f>+L57+S57+Z57+AG57</f>
        <v>-18454.440599769321</v>
      </c>
      <c r="F57" s="58">
        <f t="shared" si="81"/>
        <v>-16186.389850057672</v>
      </c>
      <c r="G57" s="85">
        <f t="shared" si="81"/>
        <v>-2268.0507497116496</v>
      </c>
      <c r="H57" s="57">
        <f t="shared" si="82"/>
        <v>-31250.722103999997</v>
      </c>
      <c r="I57" s="58">
        <f t="shared" si="82"/>
        <v>-1445.1578959999997</v>
      </c>
      <c r="J57" s="58">
        <f t="shared" si="82"/>
        <v>-32695.879999999997</v>
      </c>
      <c r="K57" s="127">
        <f t="shared" si="83"/>
        <v>0.77170799749999963</v>
      </c>
      <c r="L57" s="56">
        <f>[1]MJ!$E57</f>
        <v>-4613.6101499423303</v>
      </c>
      <c r="M57" s="57">
        <f t="shared" si="84"/>
        <v>-4046.5974625144181</v>
      </c>
      <c r="N57" s="57">
        <f t="shared" si="85"/>
        <v>-567.0126874279124</v>
      </c>
      <c r="O57" s="57">
        <f t="shared" si="86"/>
        <v>-17386.967357999998</v>
      </c>
      <c r="P57" s="57">
        <f t="shared" si="87"/>
        <v>-804.04264199999989</v>
      </c>
      <c r="Q57" s="58">
        <v>-18191.009999999998</v>
      </c>
      <c r="R57" s="127">
        <f t="shared" si="88"/>
        <v>2.9429014174999995</v>
      </c>
      <c r="S57" s="56">
        <f>[1]MJ!$F57</f>
        <v>-4613.6101499423303</v>
      </c>
      <c r="T57" s="57">
        <f t="shared" si="89"/>
        <v>-4046.5974625144181</v>
      </c>
      <c r="U57" s="57">
        <f t="shared" si="90"/>
        <v>-567.0126874279124</v>
      </c>
      <c r="V57" s="57">
        <f t="shared" si="91"/>
        <v>-2568.9418919999998</v>
      </c>
      <c r="W57" s="57">
        <f t="shared" si="92"/>
        <v>-118.79810799999998</v>
      </c>
      <c r="X57" s="58">
        <v>-2687.74</v>
      </c>
      <c r="Y57" s="127">
        <f>IF(S57=0,"",(+X57/S57-1))</f>
        <v>-0.41743235500000009</v>
      </c>
      <c r="Z57" s="56">
        <f>[1]MJ!$G57</f>
        <v>-4613.6101499423303</v>
      </c>
      <c r="AA57" s="57">
        <f t="shared" si="93"/>
        <v>-4046.5974625144181</v>
      </c>
      <c r="AB57" s="57">
        <f t="shared" si="94"/>
        <v>-567.0126874279124</v>
      </c>
      <c r="AC57" s="57">
        <f t="shared" si="95"/>
        <v>-11294.812854</v>
      </c>
      <c r="AD57" s="57">
        <f t="shared" si="96"/>
        <v>-522.31714599999987</v>
      </c>
      <c r="AE57" s="58">
        <f>-11817.13</f>
        <v>-11817.13</v>
      </c>
      <c r="AF57" s="127">
        <f t="shared" si="97"/>
        <v>1.5613629274999994</v>
      </c>
      <c r="AG57" s="56">
        <f>[1]MJ!$H57</f>
        <v>-4613.6101499423303</v>
      </c>
      <c r="AH57" s="57">
        <f t="shared" si="98"/>
        <v>-4046.5974625144181</v>
      </c>
      <c r="AI57" s="57">
        <f t="shared" si="99"/>
        <v>-567.0126874279124</v>
      </c>
      <c r="AJ57" s="57">
        <f t="shared" si="100"/>
        <v>0</v>
      </c>
      <c r="AK57" s="57">
        <f t="shared" si="101"/>
        <v>0</v>
      </c>
      <c r="AL57" s="59"/>
      <c r="AM57" s="127">
        <f t="shared" si="102"/>
        <v>-1</v>
      </c>
      <c r="AN57" s="56">
        <f>[1]MJ!$I57</f>
        <v>-4613.6101499423303</v>
      </c>
      <c r="AO57" s="57">
        <f t="shared" si="103"/>
        <v>-4046.5974625144181</v>
      </c>
      <c r="AP57" s="57">
        <f t="shared" si="104"/>
        <v>-567.0126874279124</v>
      </c>
      <c r="AQ57" s="57">
        <f t="shared" si="105"/>
        <v>0</v>
      </c>
      <c r="AR57" s="57">
        <f t="shared" si="106"/>
        <v>0</v>
      </c>
      <c r="AS57" s="58"/>
      <c r="AT57" s="127">
        <f t="shared" si="107"/>
        <v>-1</v>
      </c>
      <c r="AU57" s="56">
        <f>[1]MJ!$J57</f>
        <v>-4613.6101499423303</v>
      </c>
      <c r="AV57" s="57">
        <f t="shared" si="108"/>
        <v>-4046.5974625144181</v>
      </c>
      <c r="AW57" s="57">
        <f t="shared" si="109"/>
        <v>-567.0126874279124</v>
      </c>
      <c r="AX57" s="57">
        <f t="shared" si="110"/>
        <v>0</v>
      </c>
      <c r="AY57" s="57">
        <f t="shared" si="111"/>
        <v>0</v>
      </c>
      <c r="AZ57" s="58"/>
      <c r="BA57" s="127">
        <f t="shared" si="112"/>
        <v>-1</v>
      </c>
      <c r="BB57" s="56">
        <f>[1]MJ!$K57</f>
        <v>-4613.6101499423303</v>
      </c>
      <c r="BC57" s="57">
        <f t="shared" si="113"/>
        <v>-4046.5974625144181</v>
      </c>
      <c r="BD57" s="57">
        <f t="shared" si="114"/>
        <v>-567.0126874279124</v>
      </c>
      <c r="BE57" s="57">
        <f t="shared" si="115"/>
        <v>0</v>
      </c>
      <c r="BF57" s="57">
        <f t="shared" si="116"/>
        <v>0</v>
      </c>
      <c r="BG57" s="58"/>
      <c r="BH57" s="127">
        <f t="shared" si="117"/>
        <v>-1</v>
      </c>
      <c r="BI57" s="56">
        <f>[1]MJ!$L57</f>
        <v>-4613.6101499423303</v>
      </c>
      <c r="BJ57" s="57">
        <f t="shared" si="118"/>
        <v>-4046.5974625144181</v>
      </c>
      <c r="BK57" s="57">
        <f t="shared" si="119"/>
        <v>-567.0126874279124</v>
      </c>
      <c r="BL57" s="57">
        <f t="shared" si="120"/>
        <v>0</v>
      </c>
      <c r="BM57" s="57">
        <f t="shared" si="121"/>
        <v>0</v>
      </c>
      <c r="BN57" s="58"/>
      <c r="BO57" s="127">
        <f t="shared" si="122"/>
        <v>-1</v>
      </c>
      <c r="BP57" s="56">
        <f>[1]MJ!$M57</f>
        <v>-4613.6101499423303</v>
      </c>
      <c r="BQ57" s="57">
        <f t="shared" si="123"/>
        <v>-4046.5974625144181</v>
      </c>
      <c r="BR57" s="57">
        <f t="shared" si="124"/>
        <v>-567.0126874279124</v>
      </c>
      <c r="BS57" s="57">
        <f t="shared" si="125"/>
        <v>0</v>
      </c>
      <c r="BT57" s="57">
        <f t="shared" si="126"/>
        <v>0</v>
      </c>
      <c r="BU57" s="58"/>
      <c r="BV57" s="127">
        <f t="shared" si="127"/>
        <v>-1</v>
      </c>
      <c r="BW57" s="56">
        <f>[1]MJ!$N57</f>
        <v>-4613.6101499423303</v>
      </c>
      <c r="BX57" s="57">
        <f t="shared" si="128"/>
        <v>-4046.5974625144181</v>
      </c>
      <c r="BY57" s="57">
        <f t="shared" si="129"/>
        <v>-567.0126874279124</v>
      </c>
      <c r="BZ57" s="57">
        <f t="shared" si="130"/>
        <v>0</v>
      </c>
      <c r="CA57" s="57">
        <f t="shared" si="131"/>
        <v>0</v>
      </c>
      <c r="CB57" s="58"/>
      <c r="CC57" s="127">
        <f t="shared" si="132"/>
        <v>-1</v>
      </c>
      <c r="CD57" s="56">
        <f>[1]MJ!$O57</f>
        <v>-4613.6101499423303</v>
      </c>
      <c r="CE57" s="57">
        <f t="shared" si="133"/>
        <v>-4046.5974625144181</v>
      </c>
      <c r="CF57" s="57">
        <f t="shared" si="134"/>
        <v>-567.0126874279124</v>
      </c>
      <c r="CG57" s="57">
        <f t="shared" si="135"/>
        <v>0</v>
      </c>
      <c r="CH57" s="57">
        <f t="shared" si="136"/>
        <v>0</v>
      </c>
      <c r="CI57" s="58"/>
      <c r="CJ57" s="127">
        <f t="shared" si="137"/>
        <v>-1</v>
      </c>
      <c r="CK57" s="56">
        <f>[1]MJ!$P57</f>
        <v>-4613.6101499423303</v>
      </c>
      <c r="CL57" s="57">
        <f t="shared" si="138"/>
        <v>-4046.5974625144181</v>
      </c>
      <c r="CM57" s="57">
        <f t="shared" si="139"/>
        <v>-567.0126874279124</v>
      </c>
      <c r="CN57" s="57">
        <f t="shared" si="140"/>
        <v>0</v>
      </c>
      <c r="CO57" s="57">
        <f t="shared" si="141"/>
        <v>0</v>
      </c>
      <c r="CP57" s="58"/>
      <c r="CQ57" s="127">
        <f t="shared" si="142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12019980.0694481</v>
      </c>
      <c r="C58" s="90">
        <f t="shared" ref="C58:D58" si="143">+C55+C56+C57</f>
        <v>10542724.518912926</v>
      </c>
      <c r="D58" s="91">
        <f t="shared" si="143"/>
        <v>1477255.5505351715</v>
      </c>
      <c r="E58" s="92">
        <f t="shared" ref="E58:J58" si="144">SUM(E55:E57)</f>
        <v>4618655.1483645989</v>
      </c>
      <c r="F58" s="93">
        <f t="shared" si="144"/>
        <v>4051022.4306305898</v>
      </c>
      <c r="G58" s="94">
        <f t="shared" si="144"/>
        <v>567632.71773400914</v>
      </c>
      <c r="H58" s="95">
        <f t="shared" si="144"/>
        <v>3843947.2574880007</v>
      </c>
      <c r="I58" s="96">
        <f t="shared" si="144"/>
        <v>177759.43584533336</v>
      </c>
      <c r="J58" s="96">
        <f t="shared" si="144"/>
        <v>4021706.6933333338</v>
      </c>
      <c r="K58" s="132">
        <f>+J58/E55-1</f>
        <v>-0.14294514431649186</v>
      </c>
      <c r="L58" s="133">
        <f t="shared" ref="L58:Q58" si="145">SUM(L55:L57)</f>
        <v>1314914.8405309864</v>
      </c>
      <c r="M58" s="133">
        <f t="shared" si="145"/>
        <v>1153311.8066297288</v>
      </c>
      <c r="N58" s="133">
        <f t="shared" si="145"/>
        <v>161603.03390125823</v>
      </c>
      <c r="O58" s="95">
        <f t="shared" si="145"/>
        <v>949482.700434</v>
      </c>
      <c r="P58" s="95">
        <f t="shared" si="145"/>
        <v>43907.862899333319</v>
      </c>
      <c r="Q58" s="96">
        <f t="shared" si="145"/>
        <v>993390.56333333335</v>
      </c>
      <c r="R58" s="132">
        <f>+Q58/L55-1</f>
        <v>-0.25497716394748915</v>
      </c>
      <c r="S58" s="133">
        <f t="shared" ref="S58:X58" si="146">SUM(S55:S57)</f>
        <v>570470.40604935412</v>
      </c>
      <c r="T58" s="133">
        <f t="shared" si="146"/>
        <v>500359.59314588853</v>
      </c>
      <c r="U58" s="133">
        <f t="shared" si="146"/>
        <v>70110.81290346563</v>
      </c>
      <c r="V58" s="95">
        <f t="shared" si="146"/>
        <v>941633.23116600013</v>
      </c>
      <c r="W58" s="95">
        <f t="shared" si="146"/>
        <v>43544.87216733332</v>
      </c>
      <c r="X58" s="96">
        <f t="shared" si="146"/>
        <v>985178.10333333362</v>
      </c>
      <c r="Y58" s="132">
        <f>+X58/S55-1</f>
        <v>0.67284180475457944</v>
      </c>
      <c r="Z58" s="133">
        <f t="shared" ref="Z58:AE58" si="147">SUM(Z55:Z57)</f>
        <v>1439859.0283802925</v>
      </c>
      <c r="AA58" s="133">
        <f t="shared" si="147"/>
        <v>1262900.3537923554</v>
      </c>
      <c r="AB58" s="133">
        <f t="shared" si="147"/>
        <v>176958.67458793789</v>
      </c>
      <c r="AC58" s="95">
        <f t="shared" si="147"/>
        <v>1079184.2443020002</v>
      </c>
      <c r="AD58" s="95">
        <f t="shared" si="147"/>
        <v>49905.779031333339</v>
      </c>
      <c r="AE58" s="96">
        <f t="shared" si="147"/>
        <v>1129090.0233333334</v>
      </c>
      <c r="AF58" s="132">
        <f>+AE58/Z55-1</f>
        <v>-0.22575629495967409</v>
      </c>
      <c r="AG58" s="133">
        <f t="shared" ref="AG58:AL58" si="148">SUM(AG55:AG57)</f>
        <v>1293410.8734039662</v>
      </c>
      <c r="AH58" s="133">
        <f t="shared" si="148"/>
        <v>1134450.6770626192</v>
      </c>
      <c r="AI58" s="133">
        <f t="shared" si="148"/>
        <v>158960.19634134742</v>
      </c>
      <c r="AJ58" s="95">
        <f t="shared" si="148"/>
        <v>873647.08158600016</v>
      </c>
      <c r="AK58" s="95">
        <f t="shared" si="148"/>
        <v>40400.921747333341</v>
      </c>
      <c r="AL58" s="137">
        <f t="shared" si="148"/>
        <v>914048.0033333333</v>
      </c>
      <c r="AM58" s="132">
        <f>+AL58/AG55-1</f>
        <v>-0.30324554390136838</v>
      </c>
      <c r="AN58" s="133">
        <f t="shared" ref="AN58:AS58" si="149">SUM(AN55:AN57)</f>
        <v>1324331.072179965</v>
      </c>
      <c r="AO58" s="133">
        <f t="shared" si="149"/>
        <v>1161570.7834090481</v>
      </c>
      <c r="AP58" s="133">
        <f t="shared" si="149"/>
        <v>162760.28877091769</v>
      </c>
      <c r="AQ58" s="95">
        <f t="shared" si="149"/>
        <v>0</v>
      </c>
      <c r="AR58" s="95">
        <f t="shared" si="149"/>
        <v>0</v>
      </c>
      <c r="AS58" s="96">
        <f t="shared" si="149"/>
        <v>0</v>
      </c>
      <c r="AT58" s="132">
        <f>+AS58/AN55-1</f>
        <v>-1</v>
      </c>
      <c r="AU58" s="133">
        <f t="shared" ref="AU58:AZ58" si="150">SUM(AU55:AU57)</f>
        <v>1348319.8082039661</v>
      </c>
      <c r="AV58" s="133">
        <f t="shared" si="150"/>
        <v>1182611.3037756993</v>
      </c>
      <c r="AW58" s="133">
        <f t="shared" si="150"/>
        <v>165708.50442826742</v>
      </c>
      <c r="AX58" s="133">
        <f t="shared" si="150"/>
        <v>0</v>
      </c>
      <c r="AY58" s="95">
        <f t="shared" si="150"/>
        <v>0</v>
      </c>
      <c r="AZ58" s="96">
        <f t="shared" si="150"/>
        <v>0</v>
      </c>
      <c r="BA58" s="132">
        <f>+AZ58/AU55-1</f>
        <v>-1</v>
      </c>
      <c r="BB58" s="133">
        <f t="shared" ref="BB58:BG58" si="151">SUM(BB55:BB57)</f>
        <v>1532092.7999508958</v>
      </c>
      <c r="BC58" s="133">
        <f t="shared" si="151"/>
        <v>1343798.5948369314</v>
      </c>
      <c r="BD58" s="133">
        <f t="shared" si="151"/>
        <v>188294.20511396509</v>
      </c>
      <c r="BE58" s="95">
        <f t="shared" si="151"/>
        <v>0</v>
      </c>
      <c r="BF58" s="95">
        <f t="shared" si="151"/>
        <v>0</v>
      </c>
      <c r="BG58" s="96">
        <f t="shared" si="151"/>
        <v>0</v>
      </c>
      <c r="BH58" s="132">
        <f>+BG58/BB55-1</f>
        <v>-1</v>
      </c>
      <c r="BI58" s="133">
        <f t="shared" ref="BI58:BN58" si="152">SUM(BI55:BI57)</f>
        <v>707925.6199932606</v>
      </c>
      <c r="BJ58" s="133">
        <f t="shared" si="152"/>
        <v>620921.56129608839</v>
      </c>
      <c r="BK58" s="133">
        <f t="shared" si="152"/>
        <v>87004.058697171713</v>
      </c>
      <c r="BL58" s="95">
        <f t="shared" si="152"/>
        <v>0</v>
      </c>
      <c r="BM58" s="95">
        <f t="shared" si="152"/>
        <v>0</v>
      </c>
      <c r="BN58" s="96">
        <f t="shared" si="152"/>
        <v>0</v>
      </c>
      <c r="BO58" s="132">
        <f>+BN58/BI55-1</f>
        <v>-1</v>
      </c>
      <c r="BP58" s="133">
        <f t="shared" ref="BP58:BU58" si="153">SUM(BP55:BP57)</f>
        <v>702246.33326560352</v>
      </c>
      <c r="BQ58" s="133">
        <f t="shared" si="153"/>
        <v>615940.25890726037</v>
      </c>
      <c r="BR58" s="133">
        <f t="shared" si="153"/>
        <v>86306.074358342652</v>
      </c>
      <c r="BS58" s="95">
        <f t="shared" si="153"/>
        <v>0</v>
      </c>
      <c r="BT58" s="95">
        <f t="shared" si="153"/>
        <v>0</v>
      </c>
      <c r="BU58" s="96">
        <f t="shared" si="153"/>
        <v>0</v>
      </c>
      <c r="BV58" s="132">
        <f>+BU58/BP55-1</f>
        <v>-1</v>
      </c>
      <c r="BW58" s="133">
        <f t="shared" ref="BW58:CB58" si="154">SUM(BW55:BW57)</f>
        <v>663658.27376860252</v>
      </c>
      <c r="BX58" s="133">
        <f t="shared" si="154"/>
        <v>582094.67192244099</v>
      </c>
      <c r="BY58" s="133">
        <f t="shared" si="154"/>
        <v>81563.601846161226</v>
      </c>
      <c r="BZ58" s="95">
        <f t="shared" si="154"/>
        <v>0</v>
      </c>
      <c r="CA58" s="95">
        <f t="shared" si="154"/>
        <v>0</v>
      </c>
      <c r="CB58" s="96">
        <f t="shared" si="154"/>
        <v>0</v>
      </c>
      <c r="CC58" s="132">
        <f>+CB58/BW55-1</f>
        <v>-1</v>
      </c>
      <c r="CD58" s="133">
        <f t="shared" ref="CD58:CI58" si="155">SUM(CD55:CD57)</f>
        <v>561837.36847260327</v>
      </c>
      <c r="CE58" s="133">
        <f t="shared" si="155"/>
        <v>492787.55588732037</v>
      </c>
      <c r="CF58" s="133">
        <f t="shared" si="155"/>
        <v>69049.81258528294</v>
      </c>
      <c r="CG58" s="95">
        <f t="shared" si="155"/>
        <v>0</v>
      </c>
      <c r="CH58" s="95">
        <f t="shared" si="155"/>
        <v>0</v>
      </c>
      <c r="CI58" s="96">
        <f t="shared" si="155"/>
        <v>0</v>
      </c>
      <c r="CJ58" s="132">
        <f>+CI58/CD55-1</f>
        <v>-1</v>
      </c>
      <c r="CK58" s="133">
        <f t="shared" ref="CK58:CP58" si="156">SUM(CK55:CK57)</f>
        <v>560913.64524860331</v>
      </c>
      <c r="CL58" s="133">
        <f t="shared" si="156"/>
        <v>491977.35824755003</v>
      </c>
      <c r="CM58" s="133">
        <f t="shared" si="156"/>
        <v>68936.287001053352</v>
      </c>
      <c r="CN58" s="95">
        <f t="shared" si="156"/>
        <v>0</v>
      </c>
      <c r="CO58" s="95">
        <f t="shared" si="156"/>
        <v>0</v>
      </c>
      <c r="CP58" s="96">
        <f t="shared" si="156"/>
        <v>0</v>
      </c>
      <c r="CQ58" s="132">
        <f>+CP58/CK55-1</f>
        <v>-1</v>
      </c>
    </row>
    <row r="59" spans="1:99" s="175" customFormat="1" ht="14.25" customHeight="1" x14ac:dyDescent="0.2">
      <c r="B59" s="139"/>
      <c r="C59" s="139"/>
      <c r="D59" s="139"/>
      <c r="J59" s="139">
        <f>J58-[2]MONJOLINHO!$N$57</f>
        <v>0</v>
      </c>
      <c r="L59" s="176"/>
      <c r="M59" s="176"/>
      <c r="N59" s="176"/>
      <c r="O59" s="176"/>
      <c r="P59" s="176"/>
      <c r="Q59" s="176">
        <f>+Q58-[2]MONJOLINHO!$N$120</f>
        <v>0</v>
      </c>
      <c r="R59" s="176"/>
      <c r="S59" s="176"/>
      <c r="T59" s="176"/>
      <c r="U59" s="176"/>
      <c r="V59" s="176"/>
      <c r="W59" s="176"/>
      <c r="X59" s="176">
        <f>+X58-[2]MONJOLINHO!$N$180</f>
        <v>0</v>
      </c>
      <c r="Y59" s="176"/>
      <c r="Z59" s="176"/>
      <c r="AA59" s="176"/>
      <c r="AB59" s="176"/>
      <c r="AC59" s="176"/>
      <c r="AD59" s="176"/>
      <c r="AE59" s="176">
        <f>AE58-[2]MONJOLINHO!$N$240</f>
        <v>0</v>
      </c>
      <c r="AF59" s="176"/>
      <c r="AG59" s="176"/>
      <c r="AH59" s="176"/>
      <c r="AI59" s="176"/>
      <c r="AJ59" s="176"/>
      <c r="AK59" s="176"/>
      <c r="AL59" s="176">
        <f>AL58-[2]MONJOLINHO!$N$302</f>
        <v>0</v>
      </c>
      <c r="AM59" s="176"/>
      <c r="AN59" s="176"/>
      <c r="AO59" s="176"/>
      <c r="AP59" s="176"/>
      <c r="AQ59" s="176"/>
      <c r="AR59" s="176"/>
      <c r="AS59" s="176">
        <f>AS58-[3]MONJOLINHO!$N$357</f>
        <v>0</v>
      </c>
      <c r="AT59" s="176"/>
      <c r="AU59" s="176"/>
      <c r="AV59" s="176"/>
      <c r="AW59" s="176"/>
      <c r="AX59" s="176"/>
      <c r="AY59" s="176"/>
      <c r="AZ59" s="176">
        <f>AZ58-[3]MONJOLINHO!$N$417</f>
        <v>0</v>
      </c>
      <c r="BA59" s="176"/>
      <c r="BB59" s="176"/>
      <c r="BC59" s="176"/>
      <c r="BD59" s="176"/>
      <c r="BE59" s="176"/>
      <c r="BF59" s="176"/>
      <c r="BG59" s="176">
        <f>BG58-[3]MONJOLINHO!$N$477</f>
        <v>0</v>
      </c>
      <c r="BH59" s="176"/>
      <c r="BI59" s="176"/>
      <c r="BJ59" s="176"/>
      <c r="BK59" s="176"/>
      <c r="BL59" s="176"/>
      <c r="BM59" s="176"/>
      <c r="BN59" s="176">
        <f>BN58-[3]MONJOLINHO!$N$537</f>
        <v>0</v>
      </c>
      <c r="BO59" s="176"/>
      <c r="BP59" s="176"/>
      <c r="BQ59" s="176"/>
      <c r="BR59" s="176"/>
      <c r="BS59" s="176"/>
      <c r="BT59" s="176"/>
      <c r="BU59" s="176">
        <f>BU58-[3]MONJOLINHO!$N$597</f>
        <v>0</v>
      </c>
      <c r="BV59" s="176"/>
      <c r="BW59" s="176"/>
      <c r="BX59" s="176"/>
      <c r="BY59" s="176"/>
      <c r="BZ59" s="176"/>
      <c r="CA59" s="176"/>
      <c r="CB59" s="176">
        <f>CB58-[3]MONJOLINHO!$N$657</f>
        <v>0</v>
      </c>
      <c r="CC59" s="176"/>
      <c r="CD59" s="176"/>
      <c r="CE59" s="176"/>
      <c r="CF59" s="176"/>
      <c r="CG59" s="176"/>
      <c r="CH59" s="176"/>
      <c r="CI59" s="176">
        <f>CI58-[3]MONJOLINHO!$N$717</f>
        <v>0</v>
      </c>
      <c r="CJ59" s="176"/>
      <c r="CK59" s="176"/>
      <c r="CL59" s="176"/>
      <c r="CM59" s="176"/>
      <c r="CN59" s="176"/>
      <c r="CO59" s="176"/>
      <c r="CP59" s="176">
        <f>CP58-[3]MONJOLINHO!$N$777</f>
        <v>0</v>
      </c>
      <c r="CQ59" s="176"/>
    </row>
    <row r="60" spans="1:99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84</v>
      </c>
      <c r="M61" s="108"/>
      <c r="N61" s="108"/>
      <c r="O61" s="108"/>
      <c r="P61" s="108"/>
      <c r="Q61" s="109"/>
      <c r="R61" s="114">
        <f>14.79+919.73+53.3+4.61+85.99+3.49+830.27+244.38+130.33+436.39+51.78+8.73+7.45+47.49+541.49+65.79+1.24+919.73+7.65+830.57+4.4</f>
        <v>5209.5999999999985</v>
      </c>
      <c r="S61" s="107" t="s">
        <v>84</v>
      </c>
      <c r="T61" s="108"/>
      <c r="U61" s="108"/>
      <c r="V61" s="108"/>
      <c r="W61" s="108"/>
      <c r="X61" s="109"/>
      <c r="Y61" s="114">
        <f>20.95+16.08+25.6+86+19.49+17.46+893.84+56.1+439.38+84.57+5.83+31.42+919.73+104.73+4.61+30.58+3.49+9.31+436.39+8.73</f>
        <v>3214.2899999999995</v>
      </c>
      <c r="Z61" s="107" t="s">
        <v>84</v>
      </c>
      <c r="AA61" s="108"/>
      <c r="AB61" s="108"/>
      <c r="AC61" s="108"/>
      <c r="AD61" s="108"/>
      <c r="AE61" s="109"/>
      <c r="AF61" s="114">
        <f>21.53+4.61+23.23+3.49+139.64+436.39+45.52+919.73+12.8+47.62+377.03+65.85</f>
        <v>2097.4399999999996</v>
      </c>
      <c r="AG61" s="107" t="s">
        <v>84</v>
      </c>
      <c r="AH61" s="108"/>
      <c r="AI61" s="108"/>
      <c r="AJ61" s="108"/>
      <c r="AK61" s="108"/>
      <c r="AL61" s="109"/>
      <c r="AM61" s="114">
        <f>14.08+4.61+244.38+33.7+6.06+3.49+848.63+436.39+8.73+195.5+38.4+43.15+494.37+58.38+919.73+21.53</f>
        <v>3371.1300000000006</v>
      </c>
      <c r="AN61" s="107"/>
      <c r="AO61" s="108"/>
      <c r="AP61" s="108"/>
      <c r="AQ61" s="108"/>
      <c r="AR61" s="108"/>
      <c r="AS61" s="109"/>
      <c r="AT61" s="114"/>
      <c r="AU61" s="107"/>
      <c r="AV61" s="108"/>
      <c r="AW61" s="108"/>
      <c r="AX61" s="108"/>
      <c r="AY61" s="108"/>
      <c r="AZ61" s="109"/>
      <c r="BA61" s="114"/>
      <c r="BB61" s="107"/>
      <c r="BC61" s="108"/>
      <c r="BD61" s="108"/>
      <c r="BE61" s="108"/>
      <c r="BF61" s="108"/>
      <c r="BG61" s="109"/>
      <c r="BH61" s="114"/>
      <c r="BI61" s="107"/>
      <c r="BJ61" s="108"/>
      <c r="BK61" s="108"/>
      <c r="BL61" s="108"/>
      <c r="BM61" s="108"/>
      <c r="BN61" s="109"/>
      <c r="BO61" s="114"/>
      <c r="BP61" s="107"/>
      <c r="BQ61" s="108"/>
      <c r="BR61" s="108"/>
      <c r="BS61" s="108"/>
      <c r="BT61" s="108"/>
      <c r="BU61" s="109"/>
      <c r="BV61" s="114"/>
      <c r="BW61" s="107"/>
      <c r="BX61" s="108"/>
      <c r="BY61" s="108"/>
      <c r="BZ61" s="108"/>
      <c r="CA61" s="108"/>
      <c r="CB61" s="109"/>
      <c r="CC61" s="114"/>
      <c r="CD61" s="107"/>
      <c r="CE61" s="108"/>
      <c r="CF61" s="108"/>
      <c r="CG61" s="108"/>
      <c r="CH61" s="108"/>
      <c r="CI61" s="109"/>
      <c r="CJ61" s="114"/>
      <c r="CK61" s="107"/>
      <c r="CL61" s="108"/>
      <c r="CM61" s="108"/>
      <c r="CN61" s="108"/>
      <c r="CO61" s="108"/>
      <c r="CP61" s="109"/>
      <c r="CQ61" s="114"/>
    </row>
    <row r="62" spans="1:99" ht="14.25" customHeight="1" x14ac:dyDescent="0.2">
      <c r="L62" s="107" t="s">
        <v>86</v>
      </c>
      <c r="M62" s="108"/>
      <c r="N62" s="108"/>
      <c r="O62" s="108"/>
      <c r="P62" s="108"/>
      <c r="Q62" s="109"/>
      <c r="R62" s="114">
        <f>522.02</f>
        <v>522.02</v>
      </c>
      <c r="S62" s="107" t="s">
        <v>86</v>
      </c>
      <c r="T62" s="108"/>
      <c r="U62" s="108"/>
      <c r="V62" s="108"/>
      <c r="W62" s="108"/>
      <c r="X62" s="109"/>
      <c r="Y62" s="114">
        <f>412.01</f>
        <v>412.01</v>
      </c>
      <c r="Z62" s="107" t="s">
        <v>86</v>
      </c>
      <c r="AA62" s="108"/>
      <c r="AB62" s="108"/>
      <c r="AC62" s="108"/>
      <c r="AD62" s="108"/>
      <c r="AE62" s="109"/>
      <c r="AF62" s="114">
        <f>533.74</f>
        <v>533.74</v>
      </c>
      <c r="AG62" s="107" t="s">
        <v>86</v>
      </c>
      <c r="AH62" s="108"/>
      <c r="AI62" s="108"/>
      <c r="AJ62" s="108"/>
      <c r="AK62" s="108"/>
      <c r="AL62" s="109"/>
      <c r="AM62" s="114">
        <f>498.16</f>
        <v>498.16</v>
      </c>
      <c r="AN62" s="107"/>
      <c r="AO62" s="108"/>
      <c r="AP62" s="108"/>
      <c r="AQ62" s="108"/>
      <c r="AR62" s="108"/>
      <c r="AS62" s="109"/>
      <c r="AT62" s="114"/>
      <c r="AU62" s="107"/>
      <c r="AV62" s="108"/>
      <c r="AW62" s="108"/>
      <c r="AX62" s="108"/>
      <c r="AY62" s="108"/>
      <c r="AZ62" s="109"/>
      <c r="BA62" s="114"/>
      <c r="BB62" s="107"/>
      <c r="BC62" s="108"/>
      <c r="BD62" s="108"/>
      <c r="BE62" s="108"/>
      <c r="BF62" s="108"/>
      <c r="BG62" s="109"/>
      <c r="BH62" s="114"/>
      <c r="BI62" s="107"/>
      <c r="BJ62" s="108"/>
      <c r="BK62" s="108"/>
      <c r="BL62" s="108"/>
      <c r="BM62" s="108"/>
      <c r="BN62" s="109"/>
      <c r="BO62" s="114"/>
      <c r="BP62" s="107"/>
      <c r="BQ62" s="108"/>
      <c r="BR62" s="108"/>
      <c r="BS62" s="108"/>
      <c r="BT62" s="108"/>
      <c r="BU62" s="109"/>
      <c r="BV62" s="114"/>
      <c r="BW62" s="107"/>
      <c r="BX62" s="108"/>
      <c r="BY62" s="108"/>
      <c r="BZ62" s="108"/>
      <c r="CA62" s="108"/>
      <c r="CB62" s="109"/>
      <c r="CC62" s="114"/>
      <c r="CD62" s="107"/>
      <c r="CE62" s="108"/>
      <c r="CF62" s="108"/>
      <c r="CG62" s="108"/>
      <c r="CH62" s="108"/>
      <c r="CI62" s="109"/>
      <c r="CJ62" s="114"/>
      <c r="CK62" s="107"/>
      <c r="CL62" s="108"/>
      <c r="CM62" s="108"/>
      <c r="CN62" s="108"/>
      <c r="CO62" s="108"/>
      <c r="CP62" s="109"/>
      <c r="CQ62" s="114"/>
    </row>
    <row r="63" spans="1:99" ht="14.25" customHeight="1" x14ac:dyDescent="0.2">
      <c r="L63" s="107" t="s">
        <v>87</v>
      </c>
      <c r="M63" s="108"/>
      <c r="N63" s="108"/>
      <c r="O63" s="108"/>
      <c r="P63" s="108"/>
      <c r="Q63" s="109"/>
      <c r="R63" s="114">
        <f>407.82</f>
        <v>407.82</v>
      </c>
      <c r="S63" s="107" t="s">
        <v>87</v>
      </c>
      <c r="T63" s="108"/>
      <c r="U63" s="108"/>
      <c r="V63" s="108"/>
      <c r="W63" s="108"/>
      <c r="X63" s="109"/>
      <c r="Y63" s="110">
        <f>827.94</f>
        <v>827.94</v>
      </c>
      <c r="Z63" s="107" t="s">
        <v>87</v>
      </c>
      <c r="AA63" s="108"/>
      <c r="AB63" s="108"/>
      <c r="AC63" s="108"/>
      <c r="AD63" s="108"/>
      <c r="AE63" s="109"/>
      <c r="AF63" s="110">
        <f>448.74</f>
        <v>448.74</v>
      </c>
      <c r="AG63" s="107" t="s">
        <v>87</v>
      </c>
      <c r="AH63" s="108"/>
      <c r="AI63" s="108"/>
      <c r="AJ63" s="108"/>
      <c r="AK63" s="108"/>
      <c r="AL63" s="109"/>
      <c r="AM63" s="110">
        <f>255.18+120</f>
        <v>375.18</v>
      </c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10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10"/>
      <c r="CD63" s="107"/>
      <c r="CE63" s="108"/>
      <c r="CF63" s="108"/>
      <c r="CG63" s="108"/>
      <c r="CH63" s="108"/>
      <c r="CI63" s="109"/>
      <c r="CJ63" s="110"/>
      <c r="CK63" s="107"/>
      <c r="CL63" s="108"/>
      <c r="CM63" s="108"/>
      <c r="CN63" s="108"/>
      <c r="CO63" s="108"/>
      <c r="CP63" s="109"/>
      <c r="CQ63" s="110"/>
    </row>
    <row r="64" spans="1:99" ht="14.25" customHeight="1" x14ac:dyDescent="0.2">
      <c r="L64" s="107" t="s">
        <v>89</v>
      </c>
      <c r="M64" s="108"/>
      <c r="N64" s="108"/>
      <c r="O64" s="108"/>
      <c r="P64" s="108"/>
      <c r="Q64" s="109"/>
      <c r="R64" s="114">
        <f>410.41</f>
        <v>410.41</v>
      </c>
      <c r="S64" s="107" t="s">
        <v>89</v>
      </c>
      <c r="T64" s="108"/>
      <c r="U64" s="108"/>
      <c r="V64" s="108"/>
      <c r="W64" s="108"/>
      <c r="X64" s="109"/>
      <c r="Y64" s="110">
        <f>445.92+290.04</f>
        <v>735.96</v>
      </c>
      <c r="Z64" s="107" t="s">
        <v>89</v>
      </c>
      <c r="AA64" s="108"/>
      <c r="AB64" s="108"/>
      <c r="AC64" s="108"/>
      <c r="AD64" s="108"/>
      <c r="AE64" s="109"/>
      <c r="AF64" s="110">
        <f>55.3</f>
        <v>55.3</v>
      </c>
      <c r="AG64" s="107" t="s">
        <v>89</v>
      </c>
      <c r="AH64" s="108"/>
      <c r="AI64" s="108"/>
      <c r="AJ64" s="108"/>
      <c r="AK64" s="108"/>
      <c r="AL64" s="109"/>
      <c r="AM64" s="110">
        <f>327.52</f>
        <v>327.52</v>
      </c>
      <c r="AN64" s="107"/>
      <c r="AO64" s="108"/>
      <c r="AP64" s="108"/>
      <c r="AQ64" s="108"/>
      <c r="AR64" s="108"/>
      <c r="AS64" s="109"/>
      <c r="AT64" s="110"/>
      <c r="AU64" s="107"/>
      <c r="AV64" s="108"/>
      <c r="AW64" s="108"/>
      <c r="AX64" s="108"/>
      <c r="AY64" s="108"/>
      <c r="AZ64" s="109"/>
      <c r="BA64" s="110"/>
      <c r="BB64" s="107"/>
      <c r="BC64" s="108"/>
      <c r="BD64" s="108"/>
      <c r="BE64" s="108"/>
      <c r="BF64" s="108"/>
      <c r="BG64" s="109"/>
      <c r="BH64" s="110"/>
      <c r="BI64" s="107"/>
      <c r="BJ64" s="108"/>
      <c r="BK64" s="108"/>
      <c r="BL64" s="108"/>
      <c r="BM64" s="108"/>
      <c r="BN64" s="109"/>
      <c r="BO64" s="110"/>
      <c r="BP64" s="107"/>
      <c r="BQ64" s="108"/>
      <c r="BR64" s="108"/>
      <c r="BS64" s="108"/>
      <c r="BT64" s="108"/>
      <c r="BU64" s="109"/>
      <c r="BV64" s="110"/>
      <c r="BW64" s="107"/>
      <c r="BX64" s="108"/>
      <c r="BY64" s="108"/>
      <c r="BZ64" s="108"/>
      <c r="CA64" s="108"/>
      <c r="CB64" s="109"/>
      <c r="CC64" s="110"/>
      <c r="CD64" s="107"/>
      <c r="CE64" s="108"/>
      <c r="CF64" s="108"/>
      <c r="CG64" s="108"/>
      <c r="CH64" s="108"/>
      <c r="CI64" s="109"/>
      <c r="CJ64" s="110"/>
      <c r="CK64" s="107"/>
      <c r="CL64" s="108"/>
      <c r="CM64" s="108"/>
      <c r="CN64" s="108"/>
      <c r="CO64" s="108"/>
      <c r="CP64" s="109"/>
      <c r="CQ64" s="110"/>
    </row>
    <row r="65" spans="12:99" ht="14.25" customHeight="1" x14ac:dyDescent="0.2">
      <c r="L65" s="107" t="s">
        <v>94</v>
      </c>
      <c r="M65" s="108"/>
      <c r="N65" s="108"/>
      <c r="O65" s="108"/>
      <c r="P65" s="108"/>
      <c r="Q65" s="109"/>
      <c r="R65" s="114">
        <f>117.58</f>
        <v>117.58</v>
      </c>
      <c r="S65" s="107" t="s">
        <v>94</v>
      </c>
      <c r="T65" s="108"/>
      <c r="U65" s="108"/>
      <c r="V65" s="108"/>
      <c r="W65" s="108"/>
      <c r="X65" s="109"/>
      <c r="Y65" s="110"/>
      <c r="Z65" s="107" t="s">
        <v>94</v>
      </c>
      <c r="AA65" s="108"/>
      <c r="AB65" s="108"/>
      <c r="AC65" s="108"/>
      <c r="AD65" s="108"/>
      <c r="AE65" s="109"/>
      <c r="AF65" s="110"/>
      <c r="AG65" s="107" t="s">
        <v>94</v>
      </c>
      <c r="AH65" s="108"/>
      <c r="AI65" s="108"/>
      <c r="AJ65" s="108"/>
      <c r="AK65" s="108"/>
      <c r="AL65" s="109"/>
      <c r="AM65" s="110"/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10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10"/>
      <c r="CD65" s="107"/>
      <c r="CE65" s="108"/>
      <c r="CF65" s="108"/>
      <c r="CG65" s="108"/>
      <c r="CH65" s="108"/>
      <c r="CI65" s="109"/>
      <c r="CJ65" s="110"/>
      <c r="CK65" s="107"/>
      <c r="CL65" s="108"/>
      <c r="CM65" s="108"/>
      <c r="CN65" s="108"/>
      <c r="CO65" s="108"/>
      <c r="CP65" s="109"/>
      <c r="CQ65" s="110"/>
    </row>
    <row r="66" spans="12:99" ht="14.25" customHeight="1" x14ac:dyDescent="0.2">
      <c r="L66" s="107" t="s">
        <v>136</v>
      </c>
      <c r="M66" s="108"/>
      <c r="N66" s="108"/>
      <c r="O66" s="108"/>
      <c r="P66" s="108"/>
      <c r="Q66" s="109"/>
      <c r="R66" s="114">
        <f>570</f>
        <v>570</v>
      </c>
      <c r="S66" s="107" t="s">
        <v>169</v>
      </c>
      <c r="T66" s="108"/>
      <c r="U66" s="108"/>
      <c r="V66" s="108"/>
      <c r="W66" s="108"/>
      <c r="X66" s="109"/>
      <c r="Y66" s="110">
        <v>1000</v>
      </c>
      <c r="Z66" s="107" t="s">
        <v>169</v>
      </c>
      <c r="AA66" s="108"/>
      <c r="AB66" s="108"/>
      <c r="AC66" s="108"/>
      <c r="AD66" s="108"/>
      <c r="AE66" s="109"/>
      <c r="AF66" s="110"/>
      <c r="AG66" s="107" t="s">
        <v>169</v>
      </c>
      <c r="AH66" s="108"/>
      <c r="AI66" s="108"/>
      <c r="AJ66" s="108"/>
      <c r="AK66" s="108"/>
      <c r="AL66" s="109"/>
      <c r="AM66" s="110"/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10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10"/>
      <c r="CD66" s="107"/>
      <c r="CE66" s="108"/>
      <c r="CF66" s="108"/>
      <c r="CG66" s="108"/>
      <c r="CH66" s="108"/>
      <c r="CI66" s="109"/>
      <c r="CJ66" s="110"/>
      <c r="CK66" s="107"/>
      <c r="CL66" s="108"/>
      <c r="CM66" s="108"/>
      <c r="CN66" s="108"/>
      <c r="CO66" s="108"/>
      <c r="CP66" s="109"/>
      <c r="CQ66" s="110"/>
    </row>
    <row r="67" spans="12:99" ht="14.25" customHeight="1" x14ac:dyDescent="0.2">
      <c r="L67" s="107" t="s">
        <v>170</v>
      </c>
      <c r="M67" s="108"/>
      <c r="N67" s="108"/>
      <c r="O67" s="108"/>
      <c r="P67" s="108"/>
      <c r="Q67" s="109"/>
      <c r="R67" s="114">
        <f>98.84</f>
        <v>98.84</v>
      </c>
      <c r="S67" s="107" t="s">
        <v>129</v>
      </c>
      <c r="T67" s="108"/>
      <c r="U67" s="108"/>
      <c r="V67" s="108"/>
      <c r="W67" s="108"/>
      <c r="X67" s="109"/>
      <c r="Y67" s="110">
        <v>238.74</v>
      </c>
      <c r="Z67" s="107" t="s">
        <v>129</v>
      </c>
      <c r="AA67" s="108"/>
      <c r="AB67" s="108"/>
      <c r="AC67" s="108"/>
      <c r="AD67" s="108"/>
      <c r="AE67" s="109"/>
      <c r="AF67" s="110"/>
      <c r="AG67" s="107" t="s">
        <v>129</v>
      </c>
      <c r="AH67" s="108"/>
      <c r="AI67" s="108"/>
      <c r="AJ67" s="108"/>
      <c r="AK67" s="108"/>
      <c r="AL67" s="109"/>
      <c r="AM67" s="110">
        <v>238.74</v>
      </c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10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10"/>
      <c r="CD67" s="107"/>
      <c r="CE67" s="108"/>
      <c r="CF67" s="108"/>
      <c r="CG67" s="108"/>
      <c r="CH67" s="108"/>
      <c r="CI67" s="109"/>
      <c r="CJ67" s="110"/>
      <c r="CK67" s="107"/>
      <c r="CL67" s="108"/>
      <c r="CM67" s="108"/>
      <c r="CN67" s="108"/>
      <c r="CO67" s="108"/>
      <c r="CP67" s="109"/>
      <c r="CQ67" s="110"/>
    </row>
    <row r="68" spans="12:99" ht="14.25" customHeight="1" x14ac:dyDescent="0.2">
      <c r="L68" s="107" t="s">
        <v>90</v>
      </c>
      <c r="M68" s="108"/>
      <c r="N68" s="108"/>
      <c r="O68" s="108"/>
      <c r="P68" s="108"/>
      <c r="Q68" s="109"/>
      <c r="R68" s="114">
        <f>393</f>
        <v>393</v>
      </c>
      <c r="S68" s="107" t="s">
        <v>90</v>
      </c>
      <c r="T68" s="108"/>
      <c r="U68" s="108"/>
      <c r="V68" s="108"/>
      <c r="W68" s="108"/>
      <c r="X68" s="109"/>
      <c r="Y68" s="110">
        <f>180+3050</f>
        <v>3230</v>
      </c>
      <c r="Z68" s="107" t="s">
        <v>90</v>
      </c>
      <c r="AA68" s="108"/>
      <c r="AB68" s="108"/>
      <c r="AC68" s="108"/>
      <c r="AD68" s="108"/>
      <c r="AE68" s="109"/>
      <c r="AF68" s="110">
        <f>211+449.2</f>
        <v>660.2</v>
      </c>
      <c r="AG68" s="107" t="s">
        <v>90</v>
      </c>
      <c r="AH68" s="108"/>
      <c r="AI68" s="108"/>
      <c r="AJ68" s="108"/>
      <c r="AK68" s="108"/>
      <c r="AL68" s="109"/>
      <c r="AM68" s="110">
        <f>1060+351</f>
        <v>1411</v>
      </c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10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10"/>
      <c r="CD68" s="107"/>
      <c r="CE68" s="108"/>
      <c r="CF68" s="108"/>
      <c r="CG68" s="108"/>
      <c r="CH68" s="108"/>
      <c r="CI68" s="109"/>
      <c r="CJ68" s="110"/>
      <c r="CK68" s="107"/>
      <c r="CL68" s="108"/>
      <c r="CM68" s="108"/>
      <c r="CN68" s="108"/>
      <c r="CO68" s="108"/>
      <c r="CP68" s="109"/>
      <c r="CQ68" s="110"/>
    </row>
    <row r="69" spans="12:99" ht="14.25" customHeight="1" x14ac:dyDescent="0.2">
      <c r="L69" s="107" t="s">
        <v>96</v>
      </c>
      <c r="M69" s="108"/>
      <c r="N69" s="108"/>
      <c r="O69" s="108"/>
      <c r="P69" s="108"/>
      <c r="Q69" s="109"/>
      <c r="R69" s="114">
        <f>702</f>
        <v>702</v>
      </c>
      <c r="S69" s="107" t="s">
        <v>96</v>
      </c>
      <c r="T69" s="108"/>
      <c r="U69" s="108"/>
      <c r="V69" s="108"/>
      <c r="W69" s="108"/>
      <c r="X69" s="109"/>
      <c r="Y69" s="110"/>
      <c r="Z69" s="107" t="s">
        <v>96</v>
      </c>
      <c r="AA69" s="108"/>
      <c r="AB69" s="108"/>
      <c r="AC69" s="108"/>
      <c r="AD69" s="108"/>
      <c r="AE69" s="109"/>
      <c r="AF69" s="110"/>
      <c r="AG69" s="107" t="s">
        <v>96</v>
      </c>
      <c r="AH69" s="108"/>
      <c r="AI69" s="108"/>
      <c r="AJ69" s="108"/>
      <c r="AK69" s="108"/>
      <c r="AL69" s="109"/>
      <c r="AM69" s="110"/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10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10"/>
      <c r="CD69" s="107"/>
      <c r="CE69" s="108"/>
      <c r="CF69" s="108"/>
      <c r="CG69" s="108"/>
      <c r="CH69" s="108"/>
      <c r="CI69" s="109"/>
      <c r="CJ69" s="110"/>
      <c r="CK69" s="107"/>
      <c r="CL69" s="108"/>
      <c r="CM69" s="108"/>
      <c r="CN69" s="108"/>
      <c r="CO69" s="108"/>
      <c r="CP69" s="109"/>
      <c r="CQ69" s="110"/>
    </row>
    <row r="70" spans="12:99" ht="14.25" customHeight="1" x14ac:dyDescent="0.2">
      <c r="L70" s="107" t="s">
        <v>159</v>
      </c>
      <c r="M70" s="108"/>
      <c r="N70" s="108"/>
      <c r="O70" s="108"/>
      <c r="P70" s="108"/>
      <c r="Q70" s="109"/>
      <c r="R70" s="114">
        <f>551.4</f>
        <v>551.4</v>
      </c>
      <c r="S70" s="107" t="s">
        <v>159</v>
      </c>
      <c r="T70" s="108"/>
      <c r="U70" s="108"/>
      <c r="V70" s="108"/>
      <c r="W70" s="108"/>
      <c r="X70" s="108"/>
      <c r="Y70" s="110">
        <f>751.51+134.22+239.9</f>
        <v>1125.6300000000001</v>
      </c>
      <c r="Z70" s="107" t="s">
        <v>159</v>
      </c>
      <c r="AA70" s="108"/>
      <c r="AB70" s="108"/>
      <c r="AC70" s="108"/>
      <c r="AD70" s="108"/>
      <c r="AE70" s="108"/>
      <c r="AF70" s="169"/>
      <c r="AG70" s="107" t="s">
        <v>159</v>
      </c>
      <c r="AH70" s="108"/>
      <c r="AI70" s="108"/>
      <c r="AJ70" s="108"/>
      <c r="AK70" s="108"/>
      <c r="AL70" s="108"/>
      <c r="AM70" s="110">
        <f>134.22+150.7</f>
        <v>284.91999999999996</v>
      </c>
      <c r="AN70" s="107"/>
      <c r="AO70" s="108"/>
      <c r="AP70" s="108"/>
      <c r="AQ70" s="108"/>
      <c r="AR70" s="108"/>
      <c r="AS70" s="108"/>
      <c r="AT70" s="169"/>
      <c r="AU70" s="107"/>
      <c r="AV70" s="108"/>
      <c r="AW70" s="108"/>
      <c r="AX70" s="108"/>
      <c r="AY70" s="108"/>
      <c r="AZ70" s="108"/>
      <c r="BA70" s="169"/>
      <c r="BB70" s="107"/>
      <c r="BC70" s="108"/>
      <c r="BD70" s="108"/>
      <c r="BE70" s="108"/>
      <c r="BF70" s="108"/>
      <c r="BG70" s="108"/>
      <c r="BH70" s="169"/>
      <c r="BI70" s="107"/>
      <c r="BJ70" s="108"/>
      <c r="BK70" s="108"/>
      <c r="BL70" s="108"/>
      <c r="BM70" s="108"/>
      <c r="BN70" s="108"/>
      <c r="BO70" s="169"/>
      <c r="BP70" s="107"/>
      <c r="BQ70" s="108"/>
      <c r="BR70" s="108"/>
      <c r="BS70" s="108"/>
      <c r="BT70" s="108"/>
      <c r="BU70" s="108"/>
      <c r="BV70" s="169"/>
      <c r="BW70" s="107"/>
      <c r="BX70" s="108"/>
      <c r="BY70" s="108"/>
      <c r="BZ70" s="108"/>
      <c r="CA70" s="108"/>
      <c r="CB70" s="108"/>
      <c r="CC70" s="169"/>
      <c r="CD70" s="107"/>
      <c r="CE70" s="108"/>
      <c r="CF70" s="108"/>
      <c r="CG70" s="108"/>
      <c r="CH70" s="108"/>
      <c r="CI70" s="108"/>
      <c r="CJ70" s="169"/>
      <c r="CK70" s="107"/>
      <c r="CL70" s="108"/>
      <c r="CM70" s="108"/>
      <c r="CN70" s="108"/>
      <c r="CO70" s="108"/>
      <c r="CP70" s="108"/>
      <c r="CQ70" s="169"/>
    </row>
    <row r="71" spans="12:99" ht="14.25" customHeight="1" x14ac:dyDescent="0.2">
      <c r="L71" s="107" t="s">
        <v>98</v>
      </c>
      <c r="M71" s="108"/>
      <c r="N71" s="108"/>
      <c r="O71" s="108"/>
      <c r="P71" s="108"/>
      <c r="Q71" s="109"/>
      <c r="R71" s="114">
        <f>194.57</f>
        <v>194.57</v>
      </c>
      <c r="S71" s="107" t="s">
        <v>98</v>
      </c>
      <c r="T71" s="108"/>
      <c r="U71" s="108"/>
      <c r="V71" s="108"/>
      <c r="W71" s="108"/>
      <c r="X71" s="108"/>
      <c r="Y71" s="110">
        <f>102.35</f>
        <v>102.35</v>
      </c>
      <c r="Z71" s="107" t="s">
        <v>98</v>
      </c>
      <c r="AA71" s="108"/>
      <c r="AB71" s="108"/>
      <c r="AC71" s="108"/>
      <c r="AD71" s="108"/>
      <c r="AE71" s="108"/>
      <c r="AF71" s="110">
        <f>102.35</f>
        <v>102.35</v>
      </c>
      <c r="AG71" s="107" t="s">
        <v>98</v>
      </c>
      <c r="AH71" s="108"/>
      <c r="AI71" s="108"/>
      <c r="AJ71" s="108"/>
      <c r="AK71" s="108"/>
      <c r="AL71" s="108"/>
      <c r="AM71" s="110">
        <v>102.35</v>
      </c>
      <c r="AN71" s="107"/>
      <c r="AO71" s="108"/>
      <c r="AP71" s="108"/>
      <c r="AQ71" s="108"/>
      <c r="AR71" s="108"/>
      <c r="AS71" s="108"/>
      <c r="AT71" s="110"/>
      <c r="AU71" s="107"/>
      <c r="AV71" s="108"/>
      <c r="AW71" s="108"/>
      <c r="AX71" s="108"/>
      <c r="AY71" s="108"/>
      <c r="AZ71" s="108"/>
      <c r="BA71" s="110"/>
      <c r="BB71" s="107"/>
      <c r="BC71" s="108"/>
      <c r="BD71" s="108"/>
      <c r="BE71" s="108"/>
      <c r="BF71" s="108"/>
      <c r="BG71" s="108"/>
      <c r="BH71" s="110"/>
      <c r="BI71" s="107"/>
      <c r="BJ71" s="108"/>
      <c r="BK71" s="108"/>
      <c r="BL71" s="108"/>
      <c r="BM71" s="108"/>
      <c r="BN71" s="108"/>
      <c r="BO71" s="110"/>
      <c r="BP71" s="107"/>
      <c r="BQ71" s="108"/>
      <c r="BR71" s="108"/>
      <c r="BS71" s="108"/>
      <c r="BT71" s="108"/>
      <c r="BU71" s="108"/>
      <c r="BV71" s="110"/>
      <c r="BW71" s="107"/>
      <c r="BX71" s="108"/>
      <c r="BY71" s="108"/>
      <c r="BZ71" s="108"/>
      <c r="CA71" s="108"/>
      <c r="CB71" s="108"/>
      <c r="CC71" s="110"/>
      <c r="CD71" s="107"/>
      <c r="CE71" s="108"/>
      <c r="CF71" s="108"/>
      <c r="CG71" s="108"/>
      <c r="CH71" s="108"/>
      <c r="CI71" s="108"/>
      <c r="CJ71" s="110"/>
      <c r="CK71" s="107"/>
      <c r="CL71" s="108"/>
      <c r="CM71" s="108"/>
      <c r="CN71" s="108"/>
      <c r="CO71" s="108"/>
      <c r="CP71" s="108"/>
      <c r="CQ71" s="110"/>
      <c r="CU71" s="155"/>
    </row>
    <row r="72" spans="12:99" ht="14.25" customHeight="1" x14ac:dyDescent="0.2">
      <c r="L72" s="107" t="s">
        <v>163</v>
      </c>
      <c r="M72" s="108"/>
      <c r="N72" s="108"/>
      <c r="O72" s="108"/>
      <c r="P72" s="108"/>
      <c r="Q72" s="109"/>
      <c r="R72" s="114">
        <v>34.32</v>
      </c>
      <c r="S72" s="107" t="s">
        <v>163</v>
      </c>
      <c r="T72" s="108"/>
      <c r="U72" s="108"/>
      <c r="V72" s="108"/>
      <c r="W72" s="108"/>
      <c r="X72" s="108"/>
      <c r="Y72" s="110"/>
      <c r="Z72" s="107" t="s">
        <v>163</v>
      </c>
      <c r="AA72" s="108"/>
      <c r="AB72" s="108"/>
      <c r="AC72" s="108"/>
      <c r="AD72" s="108"/>
      <c r="AE72" s="108"/>
      <c r="AF72" s="110"/>
      <c r="AG72" s="107" t="s">
        <v>163</v>
      </c>
      <c r="AH72" s="108"/>
      <c r="AI72" s="108"/>
      <c r="AJ72" s="108"/>
      <c r="AK72" s="108"/>
      <c r="AL72" s="108"/>
      <c r="AM72" s="110"/>
      <c r="AN72" s="107"/>
      <c r="AO72" s="108"/>
      <c r="AP72" s="108"/>
      <c r="AQ72" s="108"/>
      <c r="AR72" s="108"/>
      <c r="AS72" s="108"/>
      <c r="AT72" s="110"/>
      <c r="AU72" s="107"/>
      <c r="AV72" s="108"/>
      <c r="AW72" s="108"/>
      <c r="AX72" s="108"/>
      <c r="AY72" s="108"/>
      <c r="AZ72" s="108"/>
      <c r="BA72" s="110"/>
      <c r="BB72" s="107"/>
      <c r="BC72" s="108"/>
      <c r="BD72" s="108"/>
      <c r="BE72" s="108"/>
      <c r="BF72" s="108"/>
      <c r="BG72" s="108"/>
      <c r="BH72" s="110"/>
      <c r="BI72" s="107"/>
      <c r="BJ72" s="108"/>
      <c r="BK72" s="108"/>
      <c r="BL72" s="108"/>
      <c r="BM72" s="108"/>
      <c r="BN72" s="108"/>
      <c r="BO72" s="110"/>
      <c r="BP72" s="107"/>
      <c r="BQ72" s="108"/>
      <c r="BR72" s="108"/>
      <c r="BS72" s="108"/>
      <c r="BT72" s="108"/>
      <c r="BU72" s="108"/>
      <c r="BV72" s="110"/>
      <c r="BW72" s="107"/>
      <c r="BX72" s="108"/>
      <c r="BY72" s="108"/>
      <c r="BZ72" s="108"/>
      <c r="CA72" s="108"/>
      <c r="CB72" s="108"/>
      <c r="CC72" s="110"/>
      <c r="CD72" s="107"/>
      <c r="CE72" s="108"/>
      <c r="CF72" s="108"/>
      <c r="CG72" s="108"/>
      <c r="CH72" s="108"/>
      <c r="CI72" s="108"/>
      <c r="CJ72" s="110"/>
      <c r="CK72" s="107"/>
      <c r="CL72" s="108"/>
      <c r="CM72" s="108"/>
      <c r="CN72" s="108"/>
      <c r="CO72" s="108"/>
      <c r="CP72" s="108"/>
      <c r="CQ72" s="110"/>
      <c r="CU72" s="155"/>
    </row>
    <row r="73" spans="12:99" ht="14.25" customHeight="1" x14ac:dyDescent="0.2">
      <c r="L73" s="107" t="s">
        <v>171</v>
      </c>
      <c r="M73" s="108"/>
      <c r="N73" s="108"/>
      <c r="O73" s="108"/>
      <c r="P73" s="108"/>
      <c r="Q73" s="109"/>
      <c r="R73" s="114">
        <v>482.59</v>
      </c>
      <c r="S73" s="107" t="s">
        <v>171</v>
      </c>
      <c r="T73" s="108"/>
      <c r="U73" s="108"/>
      <c r="V73" s="108"/>
      <c r="W73" s="108"/>
      <c r="X73" s="108"/>
      <c r="Y73" s="168"/>
      <c r="Z73" s="107" t="s">
        <v>171</v>
      </c>
      <c r="AA73" s="108"/>
      <c r="AB73" s="108"/>
      <c r="AC73" s="108"/>
      <c r="AD73" s="108"/>
      <c r="AE73" s="108"/>
      <c r="AF73" s="168"/>
      <c r="AG73" s="107" t="s">
        <v>171</v>
      </c>
      <c r="AH73" s="108"/>
      <c r="AI73" s="108"/>
      <c r="AJ73" s="108"/>
      <c r="AK73" s="108"/>
      <c r="AL73" s="108"/>
      <c r="AM73" s="168"/>
      <c r="AN73" s="107"/>
      <c r="AO73" s="108"/>
      <c r="AP73" s="108"/>
      <c r="AQ73" s="108"/>
      <c r="AR73" s="108"/>
      <c r="AS73" s="108"/>
      <c r="AT73" s="168"/>
      <c r="AU73" s="107"/>
      <c r="AV73" s="108"/>
      <c r="AW73" s="108"/>
      <c r="AX73" s="108"/>
      <c r="AY73" s="108"/>
      <c r="AZ73" s="108"/>
      <c r="BA73" s="168"/>
      <c r="BB73" s="107"/>
      <c r="BC73" s="108"/>
      <c r="BD73" s="108"/>
      <c r="BE73" s="108"/>
      <c r="BF73" s="108"/>
      <c r="BG73" s="108"/>
      <c r="BH73" s="168"/>
      <c r="BI73" s="107"/>
      <c r="BJ73" s="108"/>
      <c r="BK73" s="108"/>
      <c r="BL73" s="108"/>
      <c r="BM73" s="108"/>
      <c r="BN73" s="108"/>
      <c r="BO73" s="168"/>
      <c r="BP73" s="107"/>
      <c r="BQ73" s="108"/>
      <c r="BR73" s="108"/>
      <c r="BS73" s="108"/>
      <c r="BT73" s="108"/>
      <c r="BU73" s="108"/>
      <c r="BV73" s="168"/>
      <c r="BW73" s="107"/>
      <c r="BX73" s="108"/>
      <c r="BY73" s="108"/>
      <c r="BZ73" s="108"/>
      <c r="CA73" s="108"/>
      <c r="CB73" s="108"/>
      <c r="CC73" s="168"/>
      <c r="CD73" s="107"/>
      <c r="CE73" s="108"/>
      <c r="CF73" s="108"/>
      <c r="CG73" s="108"/>
      <c r="CH73" s="108"/>
      <c r="CI73" s="108"/>
      <c r="CJ73" s="168"/>
      <c r="CK73" s="107"/>
      <c r="CL73" s="108"/>
      <c r="CM73" s="108"/>
      <c r="CN73" s="108"/>
      <c r="CO73" s="108"/>
      <c r="CP73" s="108"/>
      <c r="CQ73" s="168"/>
      <c r="CU73" s="155"/>
    </row>
    <row r="74" spans="12:99" ht="14.25" customHeight="1" x14ac:dyDescent="0.2">
      <c r="L74" s="107"/>
      <c r="M74" s="108"/>
      <c r="N74" s="108"/>
      <c r="O74" s="108"/>
      <c r="P74" s="108"/>
      <c r="Q74" s="109"/>
      <c r="R74" s="114"/>
      <c r="S74" s="107" t="s">
        <v>172</v>
      </c>
      <c r="T74" s="108"/>
      <c r="U74" s="108"/>
      <c r="V74" s="108"/>
      <c r="W74" s="108"/>
      <c r="X74" s="108"/>
      <c r="Y74" s="168">
        <f>220</f>
        <v>220</v>
      </c>
      <c r="Z74" s="107" t="s">
        <v>172</v>
      </c>
      <c r="AA74" s="108"/>
      <c r="AB74" s="108"/>
      <c r="AC74" s="108"/>
      <c r="AD74" s="108"/>
      <c r="AE74" s="108"/>
      <c r="AF74" s="177"/>
      <c r="AG74" s="107" t="s">
        <v>172</v>
      </c>
      <c r="AH74" s="108"/>
      <c r="AI74" s="108"/>
      <c r="AJ74" s="108"/>
      <c r="AK74" s="108"/>
      <c r="AL74" s="108"/>
      <c r="AM74" s="168"/>
      <c r="AN74" s="107"/>
      <c r="AO74" s="108"/>
      <c r="AP74" s="108"/>
      <c r="AQ74" s="108"/>
      <c r="AR74" s="108"/>
      <c r="AS74" s="108"/>
      <c r="AT74" s="177"/>
      <c r="AU74" s="107"/>
      <c r="AV74" s="108"/>
      <c r="AW74" s="108"/>
      <c r="AX74" s="108"/>
      <c r="AY74" s="108"/>
      <c r="AZ74" s="108"/>
      <c r="BA74" s="177"/>
      <c r="BB74" s="107"/>
      <c r="BC74" s="108"/>
      <c r="BD74" s="108"/>
      <c r="BE74" s="108"/>
      <c r="BF74" s="108"/>
      <c r="BG74" s="108"/>
      <c r="BH74" s="177"/>
      <c r="BI74" s="107"/>
      <c r="BJ74" s="108"/>
      <c r="BK74" s="108"/>
      <c r="BL74" s="108"/>
      <c r="BM74" s="108"/>
      <c r="BN74" s="108"/>
      <c r="BO74" s="177"/>
      <c r="BP74" s="107"/>
      <c r="BQ74" s="108"/>
      <c r="BR74" s="108"/>
      <c r="BS74" s="108"/>
      <c r="BT74" s="108"/>
      <c r="BU74" s="108"/>
      <c r="BV74" s="177"/>
      <c r="BW74" s="107"/>
      <c r="BX74" s="108"/>
      <c r="BY74" s="108"/>
      <c r="BZ74" s="108"/>
      <c r="CA74" s="108"/>
      <c r="CB74" s="108"/>
      <c r="CC74" s="177"/>
      <c r="CD74" s="107"/>
      <c r="CE74" s="108"/>
      <c r="CF74" s="108"/>
      <c r="CG74" s="108"/>
      <c r="CH74" s="108"/>
      <c r="CI74" s="108"/>
      <c r="CJ74" s="177"/>
      <c r="CK74" s="107"/>
      <c r="CL74" s="108"/>
      <c r="CM74" s="108"/>
      <c r="CN74" s="108"/>
      <c r="CO74" s="108"/>
      <c r="CP74" s="108"/>
      <c r="CQ74" s="177"/>
      <c r="CU74" s="155"/>
    </row>
    <row r="75" spans="12:99" ht="14.25" customHeight="1" x14ac:dyDescent="0.2">
      <c r="L75" s="107"/>
      <c r="M75" s="108"/>
      <c r="N75" s="108"/>
      <c r="O75" s="108"/>
      <c r="P75" s="108"/>
      <c r="Q75" s="109"/>
      <c r="R75" s="114"/>
      <c r="S75" s="107"/>
      <c r="T75" s="108"/>
      <c r="U75" s="108"/>
      <c r="V75" s="108"/>
      <c r="W75" s="108"/>
      <c r="X75" s="108"/>
      <c r="Y75" s="110"/>
      <c r="Z75" s="107" t="s">
        <v>173</v>
      </c>
      <c r="AA75" s="108"/>
      <c r="AB75" s="108"/>
      <c r="AC75" s="108"/>
      <c r="AD75" s="108"/>
      <c r="AE75" s="108"/>
      <c r="AF75" s="110">
        <v>600</v>
      </c>
      <c r="AG75" s="107" t="s">
        <v>173</v>
      </c>
      <c r="AH75" s="108"/>
      <c r="AI75" s="108"/>
      <c r="AJ75" s="108"/>
      <c r="AK75" s="108"/>
      <c r="AL75" s="108"/>
      <c r="AM75" s="110">
        <v>630</v>
      </c>
      <c r="AN75" s="107"/>
      <c r="AO75" s="108"/>
      <c r="AP75" s="108"/>
      <c r="AQ75" s="108"/>
      <c r="AR75" s="108"/>
      <c r="AS75" s="108"/>
      <c r="AT75" s="110"/>
      <c r="AU75" s="107"/>
      <c r="AV75" s="108"/>
      <c r="AW75" s="108"/>
      <c r="AX75" s="108"/>
      <c r="AY75" s="108"/>
      <c r="AZ75" s="108"/>
      <c r="BA75" s="110"/>
      <c r="BB75" s="107"/>
      <c r="BC75" s="108"/>
      <c r="BD75" s="108"/>
      <c r="BE75" s="108"/>
      <c r="BF75" s="108"/>
      <c r="BG75" s="108"/>
      <c r="BH75" s="110"/>
      <c r="BI75" s="107"/>
      <c r="BJ75" s="108"/>
      <c r="BK75" s="108"/>
      <c r="BL75" s="108"/>
      <c r="BM75" s="108"/>
      <c r="BN75" s="108"/>
      <c r="BO75" s="110"/>
      <c r="BP75" s="107"/>
      <c r="BQ75" s="108"/>
      <c r="BR75" s="108"/>
      <c r="BS75" s="108"/>
      <c r="BT75" s="108"/>
      <c r="BU75" s="108"/>
      <c r="BV75" s="110"/>
      <c r="BW75" s="107"/>
      <c r="BX75" s="108"/>
      <c r="BY75" s="108"/>
      <c r="BZ75" s="108"/>
      <c r="CA75" s="108"/>
      <c r="CB75" s="108"/>
      <c r="CC75" s="110"/>
      <c r="CD75" s="107"/>
      <c r="CE75" s="108"/>
      <c r="CF75" s="108"/>
      <c r="CG75" s="108"/>
      <c r="CH75" s="108"/>
      <c r="CI75" s="108"/>
      <c r="CJ75" s="110"/>
      <c r="CK75" s="107"/>
      <c r="CL75" s="108"/>
      <c r="CM75" s="108"/>
      <c r="CN75" s="108"/>
      <c r="CO75" s="108"/>
      <c r="CP75" s="108"/>
      <c r="CQ75" s="110"/>
      <c r="CU75" s="155"/>
    </row>
    <row r="76" spans="12:99" ht="14.25" customHeight="1" x14ac:dyDescent="0.2">
      <c r="L76" s="107"/>
      <c r="M76" s="108"/>
      <c r="N76" s="108"/>
      <c r="O76" s="108"/>
      <c r="P76" s="108"/>
      <c r="Q76" s="109"/>
      <c r="R76" s="114"/>
      <c r="S76" s="107"/>
      <c r="T76" s="108"/>
      <c r="U76" s="108"/>
      <c r="V76" s="108"/>
      <c r="W76" s="108"/>
      <c r="X76" s="108"/>
      <c r="Y76" s="110"/>
      <c r="Z76" s="107"/>
      <c r="AA76" s="108"/>
      <c r="AB76" s="108"/>
      <c r="AC76" s="108"/>
      <c r="AD76" s="108"/>
      <c r="AE76" s="108"/>
      <c r="AF76" s="110"/>
      <c r="AG76" s="107" t="s">
        <v>174</v>
      </c>
      <c r="AH76" s="108"/>
      <c r="AI76" s="108"/>
      <c r="AJ76" s="108"/>
      <c r="AK76" s="108"/>
      <c r="AL76" s="108"/>
      <c r="AM76" s="110">
        <f>208.26</f>
        <v>208.26</v>
      </c>
      <c r="AN76" s="107"/>
      <c r="AO76" s="108"/>
      <c r="AP76" s="108"/>
      <c r="AQ76" s="108"/>
      <c r="AR76" s="108"/>
      <c r="AS76" s="108"/>
      <c r="AT76" s="110"/>
      <c r="AU76" s="107"/>
      <c r="AV76" s="108"/>
      <c r="AW76" s="108"/>
      <c r="AX76" s="108"/>
      <c r="AY76" s="108"/>
      <c r="AZ76" s="108"/>
      <c r="BA76" s="110"/>
      <c r="BB76" s="107"/>
      <c r="BC76" s="108"/>
      <c r="BD76" s="108"/>
      <c r="BE76" s="108"/>
      <c r="BF76" s="108"/>
      <c r="BG76" s="108"/>
      <c r="BH76" s="110"/>
      <c r="BI76" s="107"/>
      <c r="BJ76" s="108"/>
      <c r="BK76" s="108"/>
      <c r="BL76" s="108"/>
      <c r="BM76" s="108"/>
      <c r="BN76" s="108"/>
      <c r="BO76" s="110"/>
      <c r="BP76" s="107"/>
      <c r="BQ76" s="108"/>
      <c r="BR76" s="108"/>
      <c r="BS76" s="108"/>
      <c r="BT76" s="108"/>
      <c r="BU76" s="108"/>
      <c r="BV76" s="110"/>
      <c r="BW76" s="107"/>
      <c r="BX76" s="108"/>
      <c r="BY76" s="108"/>
      <c r="BZ76" s="108"/>
      <c r="CA76" s="108"/>
      <c r="CB76" s="108"/>
      <c r="CC76" s="110"/>
      <c r="CD76" s="107"/>
      <c r="CE76" s="108"/>
      <c r="CF76" s="108"/>
      <c r="CG76" s="108"/>
      <c r="CH76" s="108"/>
      <c r="CI76" s="108"/>
      <c r="CJ76" s="110"/>
      <c r="CK76" s="107"/>
      <c r="CL76" s="108"/>
      <c r="CM76" s="108"/>
      <c r="CN76" s="108"/>
      <c r="CO76" s="108"/>
      <c r="CP76" s="108"/>
      <c r="CQ76" s="110"/>
    </row>
    <row r="77" spans="12:99" ht="14.25" customHeight="1" x14ac:dyDescent="0.2">
      <c r="L77" s="107"/>
      <c r="M77" s="108"/>
      <c r="N77" s="108"/>
      <c r="O77" s="108"/>
      <c r="P77" s="108"/>
      <c r="Q77" s="109"/>
      <c r="R77" s="114"/>
      <c r="S77" s="107"/>
      <c r="T77" s="108"/>
      <c r="U77" s="108"/>
      <c r="V77" s="108"/>
      <c r="W77" s="108"/>
      <c r="X77" s="108"/>
      <c r="Y77" s="110"/>
      <c r="Z77" s="107"/>
      <c r="AA77" s="108"/>
      <c r="AB77" s="108"/>
      <c r="AC77" s="108"/>
      <c r="AD77" s="108"/>
      <c r="AE77" s="108"/>
      <c r="AF77" s="110"/>
      <c r="AG77" s="107"/>
      <c r="AH77" s="108"/>
      <c r="AI77" s="108"/>
      <c r="AJ77" s="108"/>
      <c r="AK77" s="108"/>
      <c r="AL77" s="108"/>
      <c r="AM77" s="110"/>
      <c r="AN77" s="107"/>
      <c r="AO77" s="108"/>
      <c r="AP77" s="108"/>
      <c r="AQ77" s="108"/>
      <c r="AR77" s="108"/>
      <c r="AS77" s="108"/>
      <c r="AT77" s="110"/>
      <c r="AU77" s="107"/>
      <c r="AV77" s="108"/>
      <c r="AW77" s="108"/>
      <c r="AX77" s="108"/>
      <c r="AY77" s="108"/>
      <c r="AZ77" s="108"/>
      <c r="BA77" s="110"/>
      <c r="BB77" s="107"/>
      <c r="BC77" s="108"/>
      <c r="BD77" s="108"/>
      <c r="BE77" s="108"/>
      <c r="BF77" s="108"/>
      <c r="BG77" s="108"/>
      <c r="BH77" s="110"/>
      <c r="BI77" s="107"/>
      <c r="BJ77" s="108"/>
      <c r="BK77" s="108"/>
      <c r="BL77" s="108"/>
      <c r="BM77" s="108"/>
      <c r="BN77" s="108"/>
      <c r="BO77" s="110"/>
      <c r="BP77" s="107"/>
      <c r="BQ77" s="108"/>
      <c r="BR77" s="108"/>
      <c r="BS77" s="108"/>
      <c r="BT77" s="108"/>
      <c r="BU77" s="108"/>
      <c r="BV77" s="110"/>
      <c r="BW77" s="107"/>
      <c r="BX77" s="108"/>
      <c r="BY77" s="108"/>
      <c r="BZ77" s="108"/>
      <c r="CA77" s="108"/>
      <c r="CB77" s="108"/>
      <c r="CC77" s="110"/>
      <c r="CD77" s="107"/>
      <c r="CE77" s="108"/>
      <c r="CF77" s="108"/>
      <c r="CG77" s="108"/>
      <c r="CH77" s="108"/>
      <c r="CI77" s="108"/>
      <c r="CJ77" s="110"/>
      <c r="CK77" s="107"/>
      <c r="CL77" s="108"/>
      <c r="CM77" s="108"/>
      <c r="CN77" s="108"/>
      <c r="CO77" s="108"/>
      <c r="CP77" s="108"/>
      <c r="CQ77" s="110"/>
    </row>
    <row r="78" spans="12:99" ht="14.25" customHeight="1" x14ac:dyDescent="0.2">
      <c r="L78" s="107"/>
      <c r="M78" s="108"/>
      <c r="N78" s="108"/>
      <c r="O78" s="108"/>
      <c r="P78" s="108"/>
      <c r="Q78" s="109"/>
      <c r="R78" s="114"/>
      <c r="S78" s="107"/>
      <c r="T78" s="108"/>
      <c r="U78" s="108"/>
      <c r="V78" s="108"/>
      <c r="W78" s="108"/>
      <c r="X78" s="108"/>
      <c r="Y78" s="110"/>
      <c r="Z78" s="107"/>
      <c r="AA78" s="108"/>
      <c r="AB78" s="108"/>
      <c r="AC78" s="108"/>
      <c r="AD78" s="108"/>
      <c r="AE78" s="108"/>
      <c r="AF78" s="110"/>
      <c r="AG78" s="107"/>
      <c r="AH78" s="108"/>
      <c r="AI78" s="108"/>
      <c r="AJ78" s="108"/>
      <c r="AK78" s="108"/>
      <c r="AL78" s="108"/>
      <c r="AM78" s="110"/>
      <c r="AN78" s="107"/>
      <c r="AO78" s="108"/>
      <c r="AP78" s="108"/>
      <c r="AQ78" s="108"/>
      <c r="AR78" s="108"/>
      <c r="AS78" s="108"/>
      <c r="AT78" s="110"/>
      <c r="AU78" s="107"/>
      <c r="AV78" s="108"/>
      <c r="AW78" s="108"/>
      <c r="AX78" s="108"/>
      <c r="AY78" s="108"/>
      <c r="AZ78" s="108"/>
      <c r="BA78" s="110"/>
      <c r="BB78" s="107"/>
      <c r="BC78" s="108"/>
      <c r="BD78" s="108"/>
      <c r="BE78" s="108"/>
      <c r="BF78" s="108"/>
      <c r="BG78" s="108"/>
      <c r="BH78" s="110"/>
      <c r="BI78" s="107"/>
      <c r="BJ78" s="108"/>
      <c r="BK78" s="108"/>
      <c r="BL78" s="108"/>
      <c r="BM78" s="108"/>
      <c r="BN78" s="108"/>
      <c r="BO78" s="110"/>
      <c r="BP78" s="107"/>
      <c r="BQ78" s="108"/>
      <c r="BR78" s="108"/>
      <c r="BS78" s="108"/>
      <c r="BT78" s="108"/>
      <c r="BU78" s="108"/>
      <c r="BV78" s="110"/>
      <c r="BW78" s="107"/>
      <c r="BX78" s="108"/>
      <c r="BY78" s="108"/>
      <c r="BZ78" s="108"/>
      <c r="CA78" s="108"/>
      <c r="CB78" s="108"/>
      <c r="CC78" s="110"/>
      <c r="CD78" s="107"/>
      <c r="CE78" s="108"/>
      <c r="CF78" s="108"/>
      <c r="CG78" s="108"/>
      <c r="CH78" s="108"/>
      <c r="CI78" s="108"/>
      <c r="CJ78" s="110"/>
      <c r="CK78" s="107"/>
      <c r="CL78" s="108"/>
      <c r="CM78" s="108"/>
      <c r="CN78" s="108"/>
      <c r="CO78" s="108"/>
      <c r="CP78" s="108"/>
      <c r="CQ78" s="110"/>
    </row>
    <row r="79" spans="12:99" ht="14.25" customHeight="1" x14ac:dyDescent="0.2">
      <c r="L79" s="107" t="s">
        <v>82</v>
      </c>
      <c r="M79" s="108"/>
      <c r="N79" s="108"/>
      <c r="O79" s="108"/>
      <c r="P79" s="108"/>
      <c r="Q79" s="109"/>
      <c r="R79" s="114">
        <f>SUM(R61:R78)</f>
        <v>9694.1499999999978</v>
      </c>
      <c r="S79" s="107" t="s">
        <v>82</v>
      </c>
      <c r="T79" s="108"/>
      <c r="U79" s="108"/>
      <c r="V79" s="108"/>
      <c r="W79" s="108"/>
      <c r="X79" s="108"/>
      <c r="Y79" s="114">
        <f>SUM(Y61:Y78)</f>
        <v>11106.92</v>
      </c>
      <c r="Z79" s="107" t="s">
        <v>82</v>
      </c>
      <c r="AA79" s="108"/>
      <c r="AB79" s="108"/>
      <c r="AC79" s="108"/>
      <c r="AD79" s="108"/>
      <c r="AE79" s="108"/>
      <c r="AF79" s="114">
        <f>SUM(AF61:AF78)</f>
        <v>4497.7699999999986</v>
      </c>
      <c r="AG79" s="107" t="s">
        <v>82</v>
      </c>
      <c r="AH79" s="108"/>
      <c r="AI79" s="108"/>
      <c r="AJ79" s="108"/>
      <c r="AK79" s="108"/>
      <c r="AL79" s="108"/>
      <c r="AM79" s="114">
        <f>SUM(AM61:AM78)</f>
        <v>7447.26</v>
      </c>
      <c r="AN79" s="107"/>
      <c r="AO79" s="108"/>
      <c r="AP79" s="108"/>
      <c r="AQ79" s="108"/>
      <c r="AR79" s="108"/>
      <c r="AS79" s="108"/>
      <c r="AT79" s="114"/>
      <c r="AU79" s="107"/>
      <c r="AV79" s="108"/>
      <c r="AW79" s="108"/>
      <c r="AX79" s="108"/>
      <c r="AY79" s="108"/>
      <c r="AZ79" s="108"/>
      <c r="BA79" s="114"/>
      <c r="BB79" s="107"/>
      <c r="BC79" s="108"/>
      <c r="BD79" s="108"/>
      <c r="BE79" s="108"/>
      <c r="BF79" s="108"/>
      <c r="BG79" s="108"/>
      <c r="BH79" s="114"/>
      <c r="BI79" s="107"/>
      <c r="BJ79" s="108"/>
      <c r="BK79" s="108"/>
      <c r="BL79" s="108"/>
      <c r="BM79" s="108"/>
      <c r="BN79" s="108"/>
      <c r="BO79" s="114"/>
      <c r="BP79" s="107"/>
      <c r="BQ79" s="108"/>
      <c r="BR79" s="108"/>
      <c r="BS79" s="108"/>
      <c r="BT79" s="108"/>
      <c r="BU79" s="108"/>
      <c r="BV79" s="114"/>
      <c r="BW79" s="107"/>
      <c r="BX79" s="108"/>
      <c r="BY79" s="108"/>
      <c r="BZ79" s="108"/>
      <c r="CA79" s="108"/>
      <c r="CB79" s="108"/>
      <c r="CC79" s="114"/>
      <c r="CD79" s="107"/>
      <c r="CE79" s="108"/>
      <c r="CF79" s="108"/>
      <c r="CG79" s="108"/>
      <c r="CH79" s="108"/>
      <c r="CI79" s="108"/>
      <c r="CJ79" s="114"/>
      <c r="CK79" s="107"/>
      <c r="CL79" s="108"/>
      <c r="CM79" s="108"/>
      <c r="CN79" s="108"/>
      <c r="CO79" s="108"/>
      <c r="CP79" s="108"/>
      <c r="CQ79" s="114"/>
    </row>
    <row r="80" spans="12:99" ht="14.25" customHeight="1" x14ac:dyDescent="0.2"/>
    <row r="81" spans="53:53" ht="14.25" customHeight="1" x14ac:dyDescent="0.2"/>
    <row r="82" spans="53:53" ht="14.25" customHeight="1" x14ac:dyDescent="0.2"/>
    <row r="83" spans="53:53" ht="14.25" customHeight="1" x14ac:dyDescent="0.2">
      <c r="BA83" s="139"/>
    </row>
    <row r="84" spans="53:53" ht="14.25" customHeight="1" x14ac:dyDescent="0.2">
      <c r="BA84" s="139"/>
    </row>
    <row r="85" spans="53:53" ht="14.25" customHeight="1" x14ac:dyDescent="0.2"/>
    <row r="86" spans="53:53" ht="14.25" customHeight="1" x14ac:dyDescent="0.2"/>
    <row r="87" spans="53:53" ht="14.25" customHeight="1" x14ac:dyDescent="0.2"/>
    <row r="88" spans="53:53" ht="14.25" customHeight="1" x14ac:dyDescent="0.2"/>
    <row r="89" spans="53:53" ht="14.25" customHeight="1" x14ac:dyDescent="0.2"/>
    <row r="90" spans="53:53" ht="14.25" customHeight="1" x14ac:dyDescent="0.2"/>
    <row r="91" spans="53:53" ht="14.25" customHeight="1" x14ac:dyDescent="0.2"/>
    <row r="92" spans="53:53" ht="14.25" customHeight="1" x14ac:dyDescent="0.2"/>
    <row r="93" spans="53:53" ht="14.25" customHeight="1" x14ac:dyDescent="0.2"/>
    <row r="94" spans="53:53" ht="14.25" customHeight="1" x14ac:dyDescent="0.2"/>
    <row r="95" spans="53:53" ht="14.25" customHeight="1" x14ac:dyDescent="0.2"/>
    <row r="96" spans="53:53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>
      <c r="CU193" s="155"/>
    </row>
    <row r="194" spans="99:99" ht="14.25" customHeight="1" x14ac:dyDescent="0.2">
      <c r="CU194" s="155"/>
    </row>
    <row r="195" spans="99:99" ht="14.25" customHeight="1" x14ac:dyDescent="0.2">
      <c r="CU195" s="155"/>
    </row>
    <row r="196" spans="99:99" ht="14.25" customHeight="1" x14ac:dyDescent="0.2">
      <c r="CU196" s="155"/>
    </row>
    <row r="197" spans="99:99" ht="14.25" customHeight="1" x14ac:dyDescent="0.2">
      <c r="CU197" s="155"/>
    </row>
    <row r="198" spans="99:99" ht="14.25" customHeight="1" x14ac:dyDescent="0.2">
      <c r="CU198" s="155"/>
    </row>
    <row r="199" spans="99:99" ht="14.25" customHeight="1" x14ac:dyDescent="0.2">
      <c r="CU199" s="155"/>
    </row>
    <row r="200" spans="99:99" ht="14.25" customHeight="1" x14ac:dyDescent="0.2">
      <c r="CU200" s="155"/>
    </row>
    <row r="201" spans="99:99" ht="14.25" customHeight="1" x14ac:dyDescent="0.2">
      <c r="CU201" s="155"/>
    </row>
    <row r="202" spans="99:99" ht="14.25" customHeight="1" x14ac:dyDescent="0.2">
      <c r="CU202" s="155"/>
    </row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1952-9B9A-AE42-A05C-AD82CFBBB358}">
  <sheetPr>
    <pageSetUpPr fitToPage="1"/>
  </sheetPr>
  <dimension ref="A1:DD1000"/>
  <sheetViews>
    <sheetView zoomScale="85" zoomScaleNormal="85" workbookViewId="0">
      <pane xSplit="11" ySplit="3" topLeftCell="L43" activePane="bottomRight" state="frozen"/>
      <selection activeCell="J2" sqref="J2:P58"/>
      <selection pane="topRight" activeCell="J2" sqref="J2:P58"/>
      <selection pane="bottomLeft" activeCell="J2" sqref="J2:P58"/>
      <selection pane="bottomRight" activeCell="H58" sqref="H58"/>
    </sheetView>
  </sheetViews>
  <sheetFormatPr baseColWidth="10" defaultColWidth="14.5" defaultRowHeight="15" customHeight="1" x14ac:dyDescent="0.2"/>
  <cols>
    <col min="1" max="1" width="27.83203125" customWidth="1"/>
    <col min="2" max="86" width="11.5" customWidth="1"/>
    <col min="87" max="87" width="13.5" customWidth="1"/>
    <col min="88" max="96" width="11.5" customWidth="1"/>
    <col min="97" max="99" width="10.33203125" hidden="1" customWidth="1"/>
    <col min="100" max="100" width="9.1640625" hidden="1" customWidth="1"/>
    <col min="101" max="101" width="9.33203125" hidden="1" customWidth="1"/>
    <col min="102" max="102" width="9.5" hidden="1" customWidth="1"/>
    <col min="103" max="104" width="9.33203125" hidden="1" customWidth="1"/>
    <col min="105" max="105" width="9.1640625" hidden="1" customWidth="1"/>
    <col min="106" max="106" width="10.1640625" hidden="1" customWidth="1"/>
    <col min="107" max="107" width="9.6640625" hidden="1" customWidth="1"/>
    <col min="108" max="108" width="9.1640625" hidden="1" customWidth="1"/>
  </cols>
  <sheetData>
    <row r="1" spans="1:108" ht="20" customHeight="1" thickBot="1" x14ac:dyDescent="0.25">
      <c r="A1" s="178" t="s">
        <v>175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46"/>
      <c r="DB1" s="4"/>
      <c r="DC1" s="4"/>
      <c r="DD1" s="4"/>
    </row>
    <row r="2" spans="1:108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  <c r="CR2" s="179"/>
      <c r="CS2" s="179"/>
      <c r="CT2" s="179"/>
      <c r="CU2" s="179"/>
      <c r="CV2" s="179"/>
      <c r="CW2" s="179"/>
      <c r="CX2" s="179"/>
    </row>
    <row r="3" spans="1:108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27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27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  <c r="CR3" s="179"/>
      <c r="CS3" s="179" t="s">
        <v>176</v>
      </c>
      <c r="CT3" s="179" t="s">
        <v>177</v>
      </c>
      <c r="CU3" s="179" t="s">
        <v>178</v>
      </c>
      <c r="CV3" s="179" t="s">
        <v>179</v>
      </c>
      <c r="CW3" s="179" t="s">
        <v>180</v>
      </c>
      <c r="CX3" s="179" t="s">
        <v>181</v>
      </c>
      <c r="CY3" s="179" t="s">
        <v>182</v>
      </c>
      <c r="CZ3" s="179" t="s">
        <v>183</v>
      </c>
      <c r="DA3" s="179" t="s">
        <v>184</v>
      </c>
      <c r="DB3" s="179" t="s">
        <v>185</v>
      </c>
      <c r="DC3" s="179" t="s">
        <v>186</v>
      </c>
      <c r="DD3" s="179" t="s">
        <v>187</v>
      </c>
    </row>
    <row r="4" spans="1:108" s="26" customFormat="1" ht="14.25" customHeight="1" x14ac:dyDescent="0.2">
      <c r="A4" s="180" t="s">
        <v>28</v>
      </c>
      <c r="B4" s="17">
        <f t="shared" ref="B4:D35" si="0">+L4+S4+Z4+AG4+AN4+AU4+BB4+BI4+BP4+BW4+CD4+CK4</f>
        <v>1175314.1667968002</v>
      </c>
      <c r="C4" s="18">
        <f t="shared" si="0"/>
        <v>1030868.0556974733</v>
      </c>
      <c r="D4" s="19">
        <f t="shared" si="0"/>
        <v>144446.11109932675</v>
      </c>
      <c r="E4" s="17">
        <f>+L4+S4+Z4+AG4</f>
        <v>412045.34412800008</v>
      </c>
      <c r="F4" s="20">
        <f>+M4+T4+AA4+AH4</f>
        <v>361404.97133466881</v>
      </c>
      <c r="G4" s="21">
        <f>+N4+U4+AB4+AI4</f>
        <v>50640.372793331197</v>
      </c>
      <c r="H4" s="18">
        <f t="shared" ref="H4:J35" si="1">+O4+V4+AC4+AJ4+AQ4+AX4+BE4+BL4+BS4+BZ4+CG4+CN4</f>
        <v>355567.47725400003</v>
      </c>
      <c r="I4" s="20">
        <f t="shared" si="1"/>
        <v>10468.632745999999</v>
      </c>
      <c r="J4" s="20">
        <f t="shared" si="1"/>
        <v>366036.11</v>
      </c>
      <c r="K4" s="25">
        <f>IF(E4=0,"",(+J4/E4-1))</f>
        <v>-0.11166060916273213</v>
      </c>
      <c r="L4" s="23">
        <f>[1]RB!$E4</f>
        <v>90865.336032000007</v>
      </c>
      <c r="M4" s="18">
        <f>L4-N4</f>
        <v>79697.986233667209</v>
      </c>
      <c r="N4" s="18">
        <f>+L4*12.29%</f>
        <v>11167.3497983328</v>
      </c>
      <c r="O4" s="18">
        <f>+Q4-P4</f>
        <v>70582.059995999982</v>
      </c>
      <c r="P4" s="18">
        <f>+Q4*2.86%</f>
        <v>2078.0800039999995</v>
      </c>
      <c r="Q4" s="20">
        <f>100407.67-Q5-Q6-Q7-Q8-Q9</f>
        <v>72660.139999999985</v>
      </c>
      <c r="R4" s="25">
        <f t="shared" ref="R4:R54" si="2">IF(L4=0,"",(+Q4/L4-1))</f>
        <v>-0.20035358726444052</v>
      </c>
      <c r="S4" s="23">
        <f>[1]RB!$F4</f>
        <v>139449.33603200002</v>
      </c>
      <c r="T4" s="18">
        <f>S4-U4</f>
        <v>122311.01263366721</v>
      </c>
      <c r="U4" s="18">
        <f>+S4*12.29%</f>
        <v>17138.323398332803</v>
      </c>
      <c r="V4" s="18">
        <f>+X4-W4</f>
        <v>75801.848754000021</v>
      </c>
      <c r="W4" s="18">
        <f>+X4*2.86%</f>
        <v>2231.7612460000005</v>
      </c>
      <c r="X4" s="20">
        <f>99668.97-X5-X6-X7-X8-X9</f>
        <v>78033.610000000015</v>
      </c>
      <c r="Y4" s="25">
        <f t="shared" ref="Y4:Y54" si="3">IF(S4=0,"",(+X4/S4-1))</f>
        <v>-0.44041605201982947</v>
      </c>
      <c r="Z4" s="23">
        <f>[1]RB!$G4</f>
        <v>90865.336032000007</v>
      </c>
      <c r="AA4" s="18">
        <f>Z4-AB4</f>
        <v>79697.986233667209</v>
      </c>
      <c r="AB4" s="18">
        <f>+Z4*12.29%</f>
        <v>11167.3497983328</v>
      </c>
      <c r="AC4" s="18">
        <f>+AE4-AD4</f>
        <v>72676.825811999995</v>
      </c>
      <c r="AD4" s="18">
        <f>+AE4*2.86%</f>
        <v>2139.7541879999999</v>
      </c>
      <c r="AE4" s="24">
        <f>101138.85-AE5-AE6-AE7-AE8-AE9</f>
        <v>74816.58</v>
      </c>
      <c r="AF4" s="25">
        <f t="shared" ref="AF4:AF54" si="4">IF(Z4=0,"",(+AE4/Z4-1))</f>
        <v>-0.17662132483996007</v>
      </c>
      <c r="AG4" s="23">
        <f>[1]RB!$H4</f>
        <v>90865.336032000007</v>
      </c>
      <c r="AH4" s="18">
        <f>AG4-AI4</f>
        <v>79697.986233667209</v>
      </c>
      <c r="AI4" s="18">
        <f>+AG4*12.29%</f>
        <v>11167.3497983328</v>
      </c>
      <c r="AJ4" s="18">
        <f>+AL4-AK4</f>
        <v>136506.742692</v>
      </c>
      <c r="AK4" s="18">
        <f>+AL4*2.86%</f>
        <v>4019.0373079999999</v>
      </c>
      <c r="AL4" s="20">
        <f>167110.6-AL5-AL6-AL7-AL8-AL9</f>
        <v>140525.78</v>
      </c>
      <c r="AM4" s="25">
        <f t="shared" ref="AM4:AM54" si="5">IF(AG4=0,"",(+AL4/AG4-1))</f>
        <v>0.54652792953421869</v>
      </c>
      <c r="AN4" s="23">
        <f>[1]RB!$I4</f>
        <v>90865.336032000007</v>
      </c>
      <c r="AO4" s="18">
        <f>AN4-AP4</f>
        <v>79697.986233667209</v>
      </c>
      <c r="AP4" s="18">
        <f>+AN4*12.29%</f>
        <v>11167.3497983328</v>
      </c>
      <c r="AQ4" s="18">
        <f>+AS4-AR4</f>
        <v>0</v>
      </c>
      <c r="AR4" s="18">
        <f>+AS4*2.86%</f>
        <v>0</v>
      </c>
      <c r="AS4" s="20"/>
      <c r="AT4" s="25">
        <f t="shared" ref="AT4:AT54" si="6">IF(AN4=0,"",(+AS4/AN4-1))</f>
        <v>-1</v>
      </c>
      <c r="AU4" s="23">
        <f>[1]RB!$J4</f>
        <v>90865.336032000007</v>
      </c>
      <c r="AV4" s="18">
        <f>AU4-AW4</f>
        <v>79697.986233667209</v>
      </c>
      <c r="AW4" s="18">
        <f>+AU4*12.29%</f>
        <v>11167.3497983328</v>
      </c>
      <c r="AX4" s="18">
        <f>+AZ4-AY4</f>
        <v>0</v>
      </c>
      <c r="AY4" s="18">
        <f>+AZ4*2.86%</f>
        <v>0</v>
      </c>
      <c r="AZ4" s="24"/>
      <c r="BA4" s="25">
        <f t="shared" ref="BA4:BA54" si="7">IF(AU4=0,"",(+AZ4/AU4-1))</f>
        <v>-1</v>
      </c>
      <c r="BB4" s="23">
        <f>[1]RB!$K4</f>
        <v>90865.336032000007</v>
      </c>
      <c r="BC4" s="18">
        <f>BB4-BD4</f>
        <v>79697.986233667209</v>
      </c>
      <c r="BD4" s="18">
        <f>+BB4*12.29%</f>
        <v>11167.3497983328</v>
      </c>
      <c r="BE4" s="18">
        <f>+BG4-BF4</f>
        <v>0</v>
      </c>
      <c r="BF4" s="18">
        <f>+BG4*2.86%</f>
        <v>0</v>
      </c>
      <c r="BG4" s="24"/>
      <c r="BH4" s="25">
        <f t="shared" ref="BH4:BH54" si="8">IF(BB4=0,"",(+BG4/BB4-1))</f>
        <v>-1</v>
      </c>
      <c r="BI4" s="23">
        <f>[1]RB!$L4</f>
        <v>98134.562914560011</v>
      </c>
      <c r="BJ4" s="18">
        <f>BI4-BK4</f>
        <v>86073.82513236058</v>
      </c>
      <c r="BK4" s="18">
        <f>+BI4*12.29%</f>
        <v>12060.737782199425</v>
      </c>
      <c r="BL4" s="18">
        <f>+BN4-BM4</f>
        <v>0</v>
      </c>
      <c r="BM4" s="18">
        <f>+BN4*2.86%</f>
        <v>0</v>
      </c>
      <c r="BN4" s="20"/>
      <c r="BO4" s="25">
        <f t="shared" ref="BO4:BO54" si="9">IF(BI4=0,"",(+BN4/BI4-1))</f>
        <v>-1</v>
      </c>
      <c r="BP4" s="23">
        <f>[1]RB!$M4</f>
        <v>98134.562914560011</v>
      </c>
      <c r="BQ4" s="18">
        <f>BP4-BR4</f>
        <v>86073.82513236058</v>
      </c>
      <c r="BR4" s="18">
        <f>+BP4*12.29%</f>
        <v>12060.737782199425</v>
      </c>
      <c r="BS4" s="18">
        <f>+BU4-BT4</f>
        <v>0</v>
      </c>
      <c r="BT4" s="18">
        <f>+BU4*2.86%</f>
        <v>0</v>
      </c>
      <c r="BU4" s="20"/>
      <c r="BV4" s="25">
        <f t="shared" ref="BV4:BV54" si="10">IF(BP4=0,"",(+BU4/BP4-1))</f>
        <v>-1</v>
      </c>
      <c r="BW4" s="23">
        <f>[1]RB!$N4</f>
        <v>98134.562914560011</v>
      </c>
      <c r="BX4" s="18">
        <f>BW4-BY4</f>
        <v>86073.82513236058</v>
      </c>
      <c r="BY4" s="18">
        <f>+BW4*12.29%</f>
        <v>12060.737782199425</v>
      </c>
      <c r="BZ4" s="18">
        <f>+CB4-CA4</f>
        <v>0</v>
      </c>
      <c r="CA4" s="18">
        <f>+CB4*2.86%</f>
        <v>0</v>
      </c>
      <c r="CB4" s="20"/>
      <c r="CC4" s="25">
        <f t="shared" ref="CC4:CC54" si="11">IF(BW4=0,"",(+CB4/BW4-1))</f>
        <v>-1</v>
      </c>
      <c r="CD4" s="23">
        <f>[1]RB!$O4</f>
        <v>98134.562914560011</v>
      </c>
      <c r="CE4" s="18">
        <f>CD4-CF4</f>
        <v>86073.82513236058</v>
      </c>
      <c r="CF4" s="18">
        <f>+CD4*12.29%</f>
        <v>12060.737782199425</v>
      </c>
      <c r="CG4" s="18">
        <f>+CI4-CH4</f>
        <v>0</v>
      </c>
      <c r="CH4" s="18">
        <f>+CI4*2.86%</f>
        <v>0</v>
      </c>
      <c r="CI4" s="20"/>
      <c r="CJ4" s="25">
        <f t="shared" ref="CJ4:CJ54" si="12">IF(CD4=0,"",(+CI4/CD4-1))</f>
        <v>-1</v>
      </c>
      <c r="CK4" s="23">
        <f>[1]RB!$P4</f>
        <v>98134.562914560011</v>
      </c>
      <c r="CL4" s="18">
        <f>CK4-CM4</f>
        <v>86073.82513236058</v>
      </c>
      <c r="CM4" s="18">
        <f>+CK4*12.29%</f>
        <v>12060.737782199425</v>
      </c>
      <c r="CN4" s="18">
        <f>+CP4-CO4</f>
        <v>0</v>
      </c>
      <c r="CO4" s="18">
        <f>+CP4*2.86%</f>
        <v>0</v>
      </c>
      <c r="CP4" s="20"/>
      <c r="CQ4" s="25">
        <f t="shared" ref="CQ4:CQ54" si="13">IF(CK4=0,"",(+CP4/CK4-1))</f>
        <v>-1</v>
      </c>
      <c r="CR4" s="181"/>
      <c r="CS4" s="27">
        <f>200308.63-CS5-CS6-CS7-CS8-CS9</f>
        <v>139192.29999999999</v>
      </c>
      <c r="CT4" s="27">
        <f>156594.76-CT5-CT6-CT7-CT8-CT9</f>
        <v>101021.92000000001</v>
      </c>
      <c r="CU4" s="27">
        <f>156870.9-CU5-CU6-CU7-CU8-CU9</f>
        <v>127415.92</v>
      </c>
      <c r="CV4" s="27"/>
      <c r="CW4" s="27"/>
      <c r="CX4" s="27"/>
      <c r="CY4" s="27"/>
      <c r="CZ4" s="27"/>
      <c r="DA4" s="27"/>
      <c r="DB4" s="27"/>
      <c r="DC4" s="27"/>
      <c r="DD4" s="27"/>
    </row>
    <row r="5" spans="1:108" s="26" customFormat="1" ht="14.25" customHeight="1" x14ac:dyDescent="0.2">
      <c r="A5" s="182" t="s">
        <v>29</v>
      </c>
      <c r="B5" s="30">
        <f t="shared" si="0"/>
        <v>35000.000000000007</v>
      </c>
      <c r="C5" s="31">
        <f t="shared" si="0"/>
        <v>30698.499999999989</v>
      </c>
      <c r="D5" s="32">
        <f t="shared" si="0"/>
        <v>4301.5000000000009</v>
      </c>
      <c r="E5" s="30">
        <f t="shared" ref="E5:G36" si="14">+L5+S5+Z5+AG5</f>
        <v>11666.666666666666</v>
      </c>
      <c r="F5" s="33">
        <f t="shared" si="14"/>
        <v>10232.833333333332</v>
      </c>
      <c r="G5" s="34">
        <f t="shared" si="14"/>
        <v>1433.8333333333333</v>
      </c>
      <c r="H5" s="31">
        <f t="shared" si="1"/>
        <v>17988.122922000002</v>
      </c>
      <c r="I5" s="33">
        <f t="shared" si="1"/>
        <v>529.607078</v>
      </c>
      <c r="J5" s="33">
        <f t="shared" si="1"/>
        <v>18517.730000000003</v>
      </c>
      <c r="K5" s="37">
        <f t="shared" ref="K5:K54" si="15">IF(E5=0,"",(+J5/E5-1))</f>
        <v>0.58723400000000026</v>
      </c>
      <c r="L5" s="36">
        <f>[1]RB!$E5</f>
        <v>2916.6666666666665</v>
      </c>
      <c r="M5" s="31">
        <f t="shared" ref="M5:M54" si="16">L5-N5</f>
        <v>2558.208333333333</v>
      </c>
      <c r="N5" s="31">
        <f t="shared" ref="N5:N54" si="17">+L5*12.29%</f>
        <v>358.45833333333331</v>
      </c>
      <c r="O5" s="31">
        <f t="shared" ref="O5:O54" si="18">+Q5-P5</f>
        <v>3528.1539420000004</v>
      </c>
      <c r="P5" s="31">
        <f t="shared" ref="P5:P54" si="19">+Q5*2.86%</f>
        <v>103.876058</v>
      </c>
      <c r="Q5" s="33">
        <f>3018.65+613.38</f>
        <v>3632.03</v>
      </c>
      <c r="R5" s="37">
        <f t="shared" si="2"/>
        <v>0.24526742857142869</v>
      </c>
      <c r="S5" s="36">
        <f>[1]RB!$F5</f>
        <v>2916.6666666666665</v>
      </c>
      <c r="T5" s="31">
        <f t="shared" ref="T5:T54" si="20">S5-U5</f>
        <v>2558.208333333333</v>
      </c>
      <c r="U5" s="31">
        <f t="shared" ref="U5:U54" si="21">+S5*12.29%</f>
        <v>358.45833333333331</v>
      </c>
      <c r="V5" s="31">
        <f t="shared" ref="V5:V54" si="22">+X5-W5</f>
        <v>3683.8013640000004</v>
      </c>
      <c r="W5" s="31">
        <f t="shared" ref="W5:W54" si="23">+X5*2.86%</f>
        <v>108.45863600000001</v>
      </c>
      <c r="X5" s="33">
        <f>3592.26+200</f>
        <v>3792.26</v>
      </c>
      <c r="Y5" s="37">
        <f t="shared" si="3"/>
        <v>0.30020342857142879</v>
      </c>
      <c r="Z5" s="36">
        <f>[1]RB!$G5</f>
        <v>2916.6666666666665</v>
      </c>
      <c r="AA5" s="31">
        <f t="shared" ref="AA5:AA54" si="24">Z5-AB5</f>
        <v>2558.208333333333</v>
      </c>
      <c r="AB5" s="31">
        <f t="shared" ref="AB5:AB54" si="25">+Z5*12.29%</f>
        <v>358.45833333333331</v>
      </c>
      <c r="AC5" s="31">
        <f t="shared" ref="AC5:AC54" si="26">+AE5-AD5</f>
        <v>4118.7554280000004</v>
      </c>
      <c r="AD5" s="31">
        <f t="shared" ref="AD5:AD54" si="27">+AE5*2.86%</f>
        <v>121.26457200000002</v>
      </c>
      <c r="AE5" s="27">
        <f>3698.75+541.27</f>
        <v>4240.0200000000004</v>
      </c>
      <c r="AF5" s="37">
        <f t="shared" si="4"/>
        <v>0.45372114285714304</v>
      </c>
      <c r="AG5" s="36">
        <f>[1]RB!$H5</f>
        <v>2916.6666666666665</v>
      </c>
      <c r="AH5" s="31">
        <f t="shared" ref="AH5:AH54" si="28">AG5-AI5</f>
        <v>2558.208333333333</v>
      </c>
      <c r="AI5" s="31">
        <f t="shared" ref="AI5:AI54" si="29">+AG5*12.29%</f>
        <v>358.45833333333331</v>
      </c>
      <c r="AJ5" s="31">
        <f t="shared" ref="AJ5:AJ54" si="30">+AL5-AK5</f>
        <v>6657.4121880000002</v>
      </c>
      <c r="AK5" s="31">
        <f t="shared" ref="AK5:AK54" si="31">+AL5*2.86%</f>
        <v>196.007812</v>
      </c>
      <c r="AL5" s="33">
        <f>4646.32+2207.1</f>
        <v>6853.42</v>
      </c>
      <c r="AM5" s="37">
        <f t="shared" si="5"/>
        <v>1.3497440000000003</v>
      </c>
      <c r="AN5" s="36">
        <f>[1]RB!$I5</f>
        <v>2916.6666666666665</v>
      </c>
      <c r="AO5" s="31">
        <f t="shared" ref="AO5:AO54" si="32">AN5-AP5</f>
        <v>2558.208333333333</v>
      </c>
      <c r="AP5" s="31">
        <f t="shared" ref="AP5:AP54" si="33">+AN5*12.29%</f>
        <v>358.45833333333331</v>
      </c>
      <c r="AQ5" s="31">
        <f t="shared" ref="AQ5:AQ54" si="34">+AS5-AR5</f>
        <v>0</v>
      </c>
      <c r="AR5" s="31">
        <f t="shared" ref="AR5:AR54" si="35">+AS5*2.86%</f>
        <v>0</v>
      </c>
      <c r="AS5" s="33"/>
      <c r="AT5" s="37">
        <f t="shared" si="6"/>
        <v>-1</v>
      </c>
      <c r="AU5" s="36">
        <f>[1]RB!$J5</f>
        <v>2916.6666666666665</v>
      </c>
      <c r="AV5" s="31">
        <f t="shared" ref="AV5:AV54" si="36">AU5-AW5</f>
        <v>2558.208333333333</v>
      </c>
      <c r="AW5" s="31">
        <f t="shared" ref="AW5:AW54" si="37">+AU5*12.29%</f>
        <v>358.45833333333331</v>
      </c>
      <c r="AX5" s="31">
        <f t="shared" ref="AX5:AX54" si="38">+AZ5-AY5</f>
        <v>0</v>
      </c>
      <c r="AY5" s="31">
        <f t="shared" ref="AY5:AY54" si="39">+AZ5*2.86%</f>
        <v>0</v>
      </c>
      <c r="AZ5" s="27"/>
      <c r="BA5" s="37">
        <f t="shared" si="7"/>
        <v>-1</v>
      </c>
      <c r="BB5" s="36">
        <f>[1]RB!$K5</f>
        <v>2916.6666666666665</v>
      </c>
      <c r="BC5" s="31">
        <f t="shared" ref="BC5:BC54" si="40">BB5-BD5</f>
        <v>2558.208333333333</v>
      </c>
      <c r="BD5" s="31">
        <f t="shared" ref="BD5:BD54" si="41">+BB5*12.29%</f>
        <v>358.45833333333331</v>
      </c>
      <c r="BE5" s="31">
        <f t="shared" ref="BE5:BE54" si="42">+BG5-BF5</f>
        <v>0</v>
      </c>
      <c r="BF5" s="31">
        <f t="shared" ref="BF5:BF54" si="43">+BG5*2.86%</f>
        <v>0</v>
      </c>
      <c r="BG5" s="27"/>
      <c r="BH5" s="37">
        <f t="shared" si="8"/>
        <v>-1</v>
      </c>
      <c r="BI5" s="36">
        <f>[1]RB!$L5</f>
        <v>2916.6666666666665</v>
      </c>
      <c r="BJ5" s="31">
        <f t="shared" ref="BJ5:BJ54" si="44">BI5-BK5</f>
        <v>2558.208333333333</v>
      </c>
      <c r="BK5" s="31">
        <f t="shared" ref="BK5:BK54" si="45">+BI5*12.29%</f>
        <v>358.45833333333331</v>
      </c>
      <c r="BL5" s="31">
        <f t="shared" ref="BL5:BL54" si="46">+BN5-BM5</f>
        <v>0</v>
      </c>
      <c r="BM5" s="31">
        <f t="shared" ref="BM5:BM54" si="47">+BN5*2.86%</f>
        <v>0</v>
      </c>
      <c r="BN5" s="33"/>
      <c r="BO5" s="37">
        <f t="shared" si="9"/>
        <v>-1</v>
      </c>
      <c r="BP5" s="36">
        <f>[1]RB!$M5</f>
        <v>2916.6666666666665</v>
      </c>
      <c r="BQ5" s="31">
        <f t="shared" ref="BQ5:BQ54" si="48">BP5-BR5</f>
        <v>2558.208333333333</v>
      </c>
      <c r="BR5" s="31">
        <f t="shared" ref="BR5:BR54" si="49">+BP5*12.29%</f>
        <v>358.45833333333331</v>
      </c>
      <c r="BS5" s="31">
        <f t="shared" ref="BS5:BS54" si="50">+BU5-BT5</f>
        <v>0</v>
      </c>
      <c r="BT5" s="31">
        <f t="shared" ref="BT5:BT54" si="51">+BU5*2.86%</f>
        <v>0</v>
      </c>
      <c r="BU5" s="33"/>
      <c r="BV5" s="37">
        <f t="shared" si="10"/>
        <v>-1</v>
      </c>
      <c r="BW5" s="36">
        <f>[1]RB!$N5</f>
        <v>2916.6666666666665</v>
      </c>
      <c r="BX5" s="31">
        <f t="shared" ref="BX5:BX54" si="52">BW5-BY5</f>
        <v>2558.208333333333</v>
      </c>
      <c r="BY5" s="31">
        <f t="shared" ref="BY5:BY54" si="53">+BW5*12.29%</f>
        <v>358.45833333333331</v>
      </c>
      <c r="BZ5" s="31">
        <f t="shared" ref="BZ5:BZ54" si="54">+CB5-CA5</f>
        <v>0</v>
      </c>
      <c r="CA5" s="31">
        <f t="shared" ref="CA5:CA54" si="55">+CB5*2.86%</f>
        <v>0</v>
      </c>
      <c r="CB5" s="33"/>
      <c r="CC5" s="37">
        <f t="shared" si="11"/>
        <v>-1</v>
      </c>
      <c r="CD5" s="36">
        <f>[1]RB!$O5</f>
        <v>2916.6666666666665</v>
      </c>
      <c r="CE5" s="31">
        <f t="shared" ref="CE5:CE54" si="56">CD5-CF5</f>
        <v>2558.208333333333</v>
      </c>
      <c r="CF5" s="31">
        <f t="shared" ref="CF5:CF54" si="57">+CD5*12.29%</f>
        <v>358.45833333333331</v>
      </c>
      <c r="CG5" s="31">
        <f t="shared" ref="CG5:CG54" si="58">+CI5-CH5</f>
        <v>0</v>
      </c>
      <c r="CH5" s="31">
        <f t="shared" ref="CH5:CH54" si="59">+CI5*2.86%</f>
        <v>0</v>
      </c>
      <c r="CI5" s="33"/>
      <c r="CJ5" s="37">
        <f t="shared" si="12"/>
        <v>-1</v>
      </c>
      <c r="CK5" s="36">
        <f>[1]RB!$P5</f>
        <v>2916.6666666666665</v>
      </c>
      <c r="CL5" s="31">
        <f t="shared" ref="CL5:CL54" si="60">CK5-CM5</f>
        <v>2558.208333333333</v>
      </c>
      <c r="CM5" s="31">
        <f t="shared" ref="CM5:CM54" si="61">+CK5*12.29%</f>
        <v>358.45833333333331</v>
      </c>
      <c r="CN5" s="31">
        <f t="shared" ref="CN5:CN54" si="62">+CP5-CO5</f>
        <v>0</v>
      </c>
      <c r="CO5" s="31">
        <f t="shared" ref="CO5:CO54" si="63">+CP5*2.86%</f>
        <v>0</v>
      </c>
      <c r="CP5" s="33"/>
      <c r="CQ5" s="37">
        <f t="shared" si="13"/>
        <v>-1</v>
      </c>
      <c r="CR5" s="181"/>
      <c r="CS5" s="27">
        <f>6010.13+2414.32+81.66</f>
        <v>8506.11</v>
      </c>
      <c r="CT5" s="27">
        <v>8424.4500000000007</v>
      </c>
      <c r="CU5" s="27">
        <f>4378.91</f>
        <v>4378.91</v>
      </c>
      <c r="CV5" s="27"/>
      <c r="CW5" s="27"/>
      <c r="CX5" s="27"/>
      <c r="CY5" s="27"/>
      <c r="CZ5" s="27"/>
      <c r="DA5" s="27"/>
      <c r="DB5" s="27"/>
      <c r="DC5" s="27"/>
      <c r="DD5" s="27"/>
    </row>
    <row r="6" spans="1:108" s="26" customFormat="1" ht="14.25" customHeight="1" x14ac:dyDescent="0.2">
      <c r="A6" s="182" t="s">
        <v>30</v>
      </c>
      <c r="B6" s="30">
        <f t="shared" si="0"/>
        <v>138819.67867500804</v>
      </c>
      <c r="C6" s="31">
        <f t="shared" si="0"/>
        <v>121758.74016584954</v>
      </c>
      <c r="D6" s="32">
        <f t="shared" si="0"/>
        <v>17060.938509158485</v>
      </c>
      <c r="E6" s="30">
        <f t="shared" si="14"/>
        <v>44822.014626346674</v>
      </c>
      <c r="F6" s="33">
        <f t="shared" si="14"/>
        <v>39313.389028768666</v>
      </c>
      <c r="G6" s="34">
        <f t="shared" si="14"/>
        <v>5508.6255975780059</v>
      </c>
      <c r="H6" s="31">
        <f t="shared" si="1"/>
        <v>38465.934330000004</v>
      </c>
      <c r="I6" s="33">
        <f t="shared" si="1"/>
        <v>1132.51567</v>
      </c>
      <c r="J6" s="33">
        <f t="shared" si="1"/>
        <v>39598.449999999997</v>
      </c>
      <c r="K6" s="37">
        <f t="shared" si="15"/>
        <v>-0.11654015710566101</v>
      </c>
      <c r="L6" s="36">
        <f>[1]RB!$E6</f>
        <v>11205.503656586669</v>
      </c>
      <c r="M6" s="31">
        <f t="shared" si="16"/>
        <v>9828.3472571921666</v>
      </c>
      <c r="N6" s="31">
        <f t="shared" si="17"/>
        <v>1377.1563993945015</v>
      </c>
      <c r="O6" s="31">
        <f t="shared" si="18"/>
        <v>8694.9139739999991</v>
      </c>
      <c r="P6" s="31">
        <f t="shared" si="19"/>
        <v>255.996026</v>
      </c>
      <c r="Q6" s="33">
        <v>8950.91</v>
      </c>
      <c r="R6" s="37">
        <f t="shared" si="2"/>
        <v>-0.20120413376166302</v>
      </c>
      <c r="S6" s="36">
        <f>[1]RB!$F6</f>
        <v>11205.503656586669</v>
      </c>
      <c r="T6" s="31">
        <f t="shared" si="20"/>
        <v>9828.3472571921666</v>
      </c>
      <c r="U6" s="31">
        <f t="shared" si="21"/>
        <v>1377.1563993945015</v>
      </c>
      <c r="V6" s="31">
        <f t="shared" si="22"/>
        <v>8702.3063280000006</v>
      </c>
      <c r="W6" s="31">
        <f t="shared" si="23"/>
        <v>256.21367200000003</v>
      </c>
      <c r="X6" s="33">
        <v>8958.52</v>
      </c>
      <c r="Y6" s="37">
        <f t="shared" si="3"/>
        <v>-0.20052500319928734</v>
      </c>
      <c r="Z6" s="36">
        <f>[1]RB!$G6</f>
        <v>11205.503656586669</v>
      </c>
      <c r="AA6" s="31">
        <f t="shared" si="24"/>
        <v>9828.3472571921666</v>
      </c>
      <c r="AB6" s="31">
        <f t="shared" si="25"/>
        <v>1377.1563993945015</v>
      </c>
      <c r="AC6" s="31">
        <f t="shared" si="26"/>
        <v>9882.9944579999992</v>
      </c>
      <c r="AD6" s="31">
        <f t="shared" si="27"/>
        <v>290.97554199999996</v>
      </c>
      <c r="AE6" s="27">
        <v>10173.969999999999</v>
      </c>
      <c r="AF6" s="37">
        <f t="shared" si="4"/>
        <v>-9.2055983220381776E-2</v>
      </c>
      <c r="AG6" s="36">
        <f>[1]RB!$H6</f>
        <v>11205.503656586669</v>
      </c>
      <c r="AH6" s="31">
        <f t="shared" si="28"/>
        <v>9828.3472571921666</v>
      </c>
      <c r="AI6" s="31">
        <f t="shared" si="29"/>
        <v>1377.1563993945015</v>
      </c>
      <c r="AJ6" s="31">
        <f t="shared" si="30"/>
        <v>11185.719569999999</v>
      </c>
      <c r="AK6" s="31">
        <f t="shared" si="31"/>
        <v>329.33042999999998</v>
      </c>
      <c r="AL6" s="33">
        <v>11515.05</v>
      </c>
      <c r="AM6" s="37">
        <f t="shared" si="5"/>
        <v>2.7624491758688308E-2</v>
      </c>
      <c r="AN6" s="36">
        <f>[1]RB!$I6</f>
        <v>11205.503656586669</v>
      </c>
      <c r="AO6" s="31">
        <f t="shared" si="32"/>
        <v>9828.3472571921666</v>
      </c>
      <c r="AP6" s="31">
        <f t="shared" si="33"/>
        <v>1377.1563993945015</v>
      </c>
      <c r="AQ6" s="31">
        <f t="shared" si="34"/>
        <v>0</v>
      </c>
      <c r="AR6" s="31">
        <f t="shared" si="35"/>
        <v>0</v>
      </c>
      <c r="AS6" s="33"/>
      <c r="AT6" s="37">
        <f t="shared" si="6"/>
        <v>-1</v>
      </c>
      <c r="AU6" s="36">
        <f>[1]RB!$J6</f>
        <v>11205.503656586669</v>
      </c>
      <c r="AV6" s="31">
        <f t="shared" si="36"/>
        <v>9828.3472571921666</v>
      </c>
      <c r="AW6" s="31">
        <f t="shared" si="37"/>
        <v>1377.1563993945015</v>
      </c>
      <c r="AX6" s="31">
        <f t="shared" si="38"/>
        <v>0</v>
      </c>
      <c r="AY6" s="31">
        <f t="shared" si="39"/>
        <v>0</v>
      </c>
      <c r="AZ6" s="27"/>
      <c r="BA6" s="37">
        <f t="shared" si="7"/>
        <v>-1</v>
      </c>
      <c r="BB6" s="36">
        <f>[1]RB!$K6</f>
        <v>11205.503656586669</v>
      </c>
      <c r="BC6" s="31">
        <f t="shared" si="40"/>
        <v>9828.3472571921666</v>
      </c>
      <c r="BD6" s="31">
        <f t="shared" si="41"/>
        <v>1377.1563993945015</v>
      </c>
      <c r="BE6" s="31">
        <f t="shared" si="42"/>
        <v>0</v>
      </c>
      <c r="BF6" s="31">
        <f t="shared" si="43"/>
        <v>0</v>
      </c>
      <c r="BG6" s="27"/>
      <c r="BH6" s="37">
        <f t="shared" si="8"/>
        <v>-1</v>
      </c>
      <c r="BI6" s="36">
        <f>[1]RB!$L6</f>
        <v>12076.230615780269</v>
      </c>
      <c r="BJ6" s="31">
        <f t="shared" si="44"/>
        <v>10592.061873100874</v>
      </c>
      <c r="BK6" s="31">
        <f t="shared" si="45"/>
        <v>1484.1687426793949</v>
      </c>
      <c r="BL6" s="31">
        <f t="shared" si="46"/>
        <v>0</v>
      </c>
      <c r="BM6" s="31">
        <f t="shared" si="47"/>
        <v>0</v>
      </c>
      <c r="BN6" s="33"/>
      <c r="BO6" s="37">
        <f t="shared" si="9"/>
        <v>-1</v>
      </c>
      <c r="BP6" s="36">
        <f>[1]RB!$M6</f>
        <v>12076.230615780269</v>
      </c>
      <c r="BQ6" s="31">
        <f t="shared" si="48"/>
        <v>10592.061873100874</v>
      </c>
      <c r="BR6" s="31">
        <f t="shared" si="49"/>
        <v>1484.1687426793949</v>
      </c>
      <c r="BS6" s="31">
        <f t="shared" si="50"/>
        <v>0</v>
      </c>
      <c r="BT6" s="31">
        <f t="shared" si="51"/>
        <v>0</v>
      </c>
      <c r="BU6" s="33"/>
      <c r="BV6" s="37">
        <f t="shared" si="10"/>
        <v>-1</v>
      </c>
      <c r="BW6" s="36">
        <f>[1]RB!$N6</f>
        <v>12076.230615780269</v>
      </c>
      <c r="BX6" s="31">
        <f t="shared" si="52"/>
        <v>10592.061873100874</v>
      </c>
      <c r="BY6" s="31">
        <f t="shared" si="53"/>
        <v>1484.1687426793949</v>
      </c>
      <c r="BZ6" s="31">
        <f t="shared" si="54"/>
        <v>0</v>
      </c>
      <c r="CA6" s="31">
        <f t="shared" si="55"/>
        <v>0</v>
      </c>
      <c r="CB6" s="33"/>
      <c r="CC6" s="37">
        <f t="shared" si="11"/>
        <v>-1</v>
      </c>
      <c r="CD6" s="36">
        <f>[1]RB!$O6</f>
        <v>12076.230615780269</v>
      </c>
      <c r="CE6" s="31">
        <f t="shared" si="56"/>
        <v>10592.061873100874</v>
      </c>
      <c r="CF6" s="31">
        <f t="shared" si="57"/>
        <v>1484.1687426793949</v>
      </c>
      <c r="CG6" s="31">
        <f t="shared" si="58"/>
        <v>0</v>
      </c>
      <c r="CH6" s="31">
        <f t="shared" si="59"/>
        <v>0</v>
      </c>
      <c r="CI6" s="33"/>
      <c r="CJ6" s="37">
        <f t="shared" si="12"/>
        <v>-1</v>
      </c>
      <c r="CK6" s="36">
        <f>[1]RB!$P6</f>
        <v>12076.230615780269</v>
      </c>
      <c r="CL6" s="31">
        <f t="shared" si="60"/>
        <v>10592.061873100874</v>
      </c>
      <c r="CM6" s="31">
        <f t="shared" si="61"/>
        <v>1484.1687426793949</v>
      </c>
      <c r="CN6" s="31">
        <f t="shared" si="62"/>
        <v>0</v>
      </c>
      <c r="CO6" s="31">
        <f t="shared" si="63"/>
        <v>0</v>
      </c>
      <c r="CP6" s="33"/>
      <c r="CQ6" s="37">
        <f t="shared" si="13"/>
        <v>-1</v>
      </c>
      <c r="CR6" s="181"/>
      <c r="CS6" s="27">
        <v>22771.7</v>
      </c>
      <c r="CT6" s="27">
        <v>15108.61</v>
      </c>
      <c r="CU6" s="27">
        <v>11606.03</v>
      </c>
      <c r="CV6" s="27"/>
      <c r="CW6" s="27"/>
      <c r="CX6" s="27"/>
      <c r="CY6" s="27"/>
      <c r="CZ6" s="27"/>
      <c r="DA6" s="27"/>
      <c r="DB6" s="27"/>
      <c r="DC6" s="27"/>
      <c r="DD6" s="27"/>
    </row>
    <row r="7" spans="1:108" s="26" customFormat="1" ht="14.25" customHeight="1" x14ac:dyDescent="0.2">
      <c r="A7" s="182" t="s">
        <v>31</v>
      </c>
      <c r="B7" s="30">
        <f t="shared" si="0"/>
        <v>107704.92310991998</v>
      </c>
      <c r="C7" s="31">
        <f t="shared" si="0"/>
        <v>94467.988059710828</v>
      </c>
      <c r="D7" s="32">
        <f t="shared" si="0"/>
        <v>13236.935050209167</v>
      </c>
      <c r="E7" s="30">
        <f t="shared" si="14"/>
        <v>34775.701003199996</v>
      </c>
      <c r="F7" s="33">
        <f t="shared" si="14"/>
        <v>30501.767349906717</v>
      </c>
      <c r="G7" s="34">
        <f t="shared" si="14"/>
        <v>4273.9336532932793</v>
      </c>
      <c r="H7" s="31">
        <f t="shared" si="1"/>
        <v>26095.602174</v>
      </c>
      <c r="I7" s="33">
        <f t="shared" si="1"/>
        <v>768.30782599999998</v>
      </c>
      <c r="J7" s="33">
        <f t="shared" si="1"/>
        <v>26863.910000000003</v>
      </c>
      <c r="K7" s="37">
        <f t="shared" si="15"/>
        <v>-0.22750917378982427</v>
      </c>
      <c r="L7" s="36">
        <f>[1]RB!$E7</f>
        <v>8693.925250799999</v>
      </c>
      <c r="M7" s="31">
        <f t="shared" si="16"/>
        <v>7625.4418374766792</v>
      </c>
      <c r="N7" s="31">
        <f t="shared" si="17"/>
        <v>1068.4834133233198</v>
      </c>
      <c r="O7" s="31">
        <f t="shared" si="18"/>
        <v>5920.4887200000003</v>
      </c>
      <c r="P7" s="31">
        <f t="shared" si="19"/>
        <v>174.31128000000001</v>
      </c>
      <c r="Q7" s="33">
        <v>6094.8</v>
      </c>
      <c r="R7" s="37">
        <f t="shared" si="2"/>
        <v>-0.29895877590629527</v>
      </c>
      <c r="S7" s="36">
        <f>[1]RB!$F7</f>
        <v>8693.925250799999</v>
      </c>
      <c r="T7" s="31">
        <f t="shared" si="20"/>
        <v>7625.4418374766792</v>
      </c>
      <c r="U7" s="31">
        <f t="shared" si="21"/>
        <v>1068.4834133233198</v>
      </c>
      <c r="V7" s="31">
        <f t="shared" si="22"/>
        <v>5978.3841599999996</v>
      </c>
      <c r="W7" s="31">
        <f t="shared" si="23"/>
        <v>176.01584</v>
      </c>
      <c r="X7" s="33">
        <v>6154.4</v>
      </c>
      <c r="Y7" s="37">
        <f t="shared" si="3"/>
        <v>-0.29210341445784993</v>
      </c>
      <c r="Z7" s="36">
        <f>[1]RB!$G7</f>
        <v>8693.925250799999</v>
      </c>
      <c r="AA7" s="31">
        <f t="shared" si="24"/>
        <v>7625.4418374766792</v>
      </c>
      <c r="AB7" s="31">
        <f t="shared" si="25"/>
        <v>1068.4834133233198</v>
      </c>
      <c r="AC7" s="31">
        <f t="shared" si="26"/>
        <v>6668.4764340000002</v>
      </c>
      <c r="AD7" s="31">
        <f t="shared" si="27"/>
        <v>196.33356600000002</v>
      </c>
      <c r="AE7" s="27">
        <v>6864.81</v>
      </c>
      <c r="AF7" s="37">
        <f t="shared" si="4"/>
        <v>-0.21039003649492927</v>
      </c>
      <c r="AG7" s="36">
        <f>[1]RB!$H7</f>
        <v>8693.925250799999</v>
      </c>
      <c r="AH7" s="31">
        <f t="shared" si="28"/>
        <v>7625.4418374766792</v>
      </c>
      <c r="AI7" s="31">
        <f t="shared" si="29"/>
        <v>1068.4834133233198</v>
      </c>
      <c r="AJ7" s="31">
        <f t="shared" si="30"/>
        <v>7528.2528599999996</v>
      </c>
      <c r="AK7" s="31">
        <f t="shared" si="31"/>
        <v>221.64713999999998</v>
      </c>
      <c r="AL7" s="33">
        <v>7749.9</v>
      </c>
      <c r="AM7" s="37">
        <f t="shared" si="5"/>
        <v>-0.10858446830022284</v>
      </c>
      <c r="AN7" s="36">
        <f>[1]RB!$I7</f>
        <v>8693.925250799999</v>
      </c>
      <c r="AO7" s="31">
        <f t="shared" si="32"/>
        <v>7625.4418374766792</v>
      </c>
      <c r="AP7" s="31">
        <f t="shared" si="33"/>
        <v>1068.4834133233198</v>
      </c>
      <c r="AQ7" s="31">
        <f t="shared" si="34"/>
        <v>0</v>
      </c>
      <c r="AR7" s="31">
        <f t="shared" si="35"/>
        <v>0</v>
      </c>
      <c r="AS7" s="33"/>
      <c r="AT7" s="37">
        <f t="shared" si="6"/>
        <v>-1</v>
      </c>
      <c r="AU7" s="36">
        <f>[1]RB!$J7</f>
        <v>8693.925250799999</v>
      </c>
      <c r="AV7" s="31">
        <f t="shared" si="36"/>
        <v>7625.4418374766792</v>
      </c>
      <c r="AW7" s="31">
        <f t="shared" si="37"/>
        <v>1068.4834133233198</v>
      </c>
      <c r="AX7" s="31">
        <f t="shared" si="38"/>
        <v>0</v>
      </c>
      <c r="AY7" s="31">
        <f t="shared" si="39"/>
        <v>0</v>
      </c>
      <c r="AZ7" s="27"/>
      <c r="BA7" s="37">
        <f t="shared" si="7"/>
        <v>-1</v>
      </c>
      <c r="BB7" s="36">
        <f>[1]RB!$K7</f>
        <v>8693.925250799999</v>
      </c>
      <c r="BC7" s="31">
        <f t="shared" si="40"/>
        <v>7625.4418374766792</v>
      </c>
      <c r="BD7" s="31">
        <f t="shared" si="41"/>
        <v>1068.4834133233198</v>
      </c>
      <c r="BE7" s="31">
        <f t="shared" si="42"/>
        <v>0</v>
      </c>
      <c r="BF7" s="31">
        <f t="shared" si="43"/>
        <v>0</v>
      </c>
      <c r="BG7" s="27"/>
      <c r="BH7" s="37">
        <f t="shared" si="8"/>
        <v>-1</v>
      </c>
      <c r="BI7" s="36">
        <f>[1]RB!$L7</f>
        <v>9369.4892708640018</v>
      </c>
      <c r="BJ7" s="31">
        <f t="shared" si="44"/>
        <v>8217.9790394748161</v>
      </c>
      <c r="BK7" s="31">
        <f t="shared" si="45"/>
        <v>1151.5102313891857</v>
      </c>
      <c r="BL7" s="31">
        <f t="shared" si="46"/>
        <v>0</v>
      </c>
      <c r="BM7" s="31">
        <f t="shared" si="47"/>
        <v>0</v>
      </c>
      <c r="BN7" s="33"/>
      <c r="BO7" s="37">
        <f t="shared" si="9"/>
        <v>-1</v>
      </c>
      <c r="BP7" s="36">
        <f>[1]RB!$M7</f>
        <v>9369.4892708640018</v>
      </c>
      <c r="BQ7" s="31">
        <f t="shared" si="48"/>
        <v>8217.9790394748161</v>
      </c>
      <c r="BR7" s="31">
        <f t="shared" si="49"/>
        <v>1151.5102313891857</v>
      </c>
      <c r="BS7" s="31">
        <f t="shared" si="50"/>
        <v>0</v>
      </c>
      <c r="BT7" s="31">
        <f t="shared" si="51"/>
        <v>0</v>
      </c>
      <c r="BU7" s="33"/>
      <c r="BV7" s="37">
        <f t="shared" si="10"/>
        <v>-1</v>
      </c>
      <c r="BW7" s="36">
        <f>[1]RB!$N7</f>
        <v>9369.4892708640018</v>
      </c>
      <c r="BX7" s="31">
        <f t="shared" si="52"/>
        <v>8217.9790394748161</v>
      </c>
      <c r="BY7" s="31">
        <f t="shared" si="53"/>
        <v>1151.5102313891857</v>
      </c>
      <c r="BZ7" s="31">
        <f t="shared" si="54"/>
        <v>0</v>
      </c>
      <c r="CA7" s="31">
        <f t="shared" si="55"/>
        <v>0</v>
      </c>
      <c r="CB7" s="33"/>
      <c r="CC7" s="37">
        <f t="shared" si="11"/>
        <v>-1</v>
      </c>
      <c r="CD7" s="36">
        <f>[1]RB!$O7</f>
        <v>9369.4892708640018</v>
      </c>
      <c r="CE7" s="31">
        <f t="shared" si="56"/>
        <v>8217.9790394748161</v>
      </c>
      <c r="CF7" s="31">
        <f t="shared" si="57"/>
        <v>1151.5102313891857</v>
      </c>
      <c r="CG7" s="31">
        <f t="shared" si="58"/>
        <v>0</v>
      </c>
      <c r="CH7" s="31">
        <f t="shared" si="59"/>
        <v>0</v>
      </c>
      <c r="CI7" s="33"/>
      <c r="CJ7" s="37">
        <f t="shared" si="12"/>
        <v>-1</v>
      </c>
      <c r="CK7" s="36">
        <f>[1]RB!$P7</f>
        <v>9369.4892708640018</v>
      </c>
      <c r="CL7" s="31">
        <f t="shared" si="60"/>
        <v>8217.9790394748161</v>
      </c>
      <c r="CM7" s="31">
        <f t="shared" si="61"/>
        <v>1151.5102313891857</v>
      </c>
      <c r="CN7" s="31">
        <f t="shared" si="62"/>
        <v>0</v>
      </c>
      <c r="CO7" s="31">
        <f t="shared" si="63"/>
        <v>0</v>
      </c>
      <c r="CP7" s="33"/>
      <c r="CQ7" s="37">
        <f t="shared" si="13"/>
        <v>-1</v>
      </c>
      <c r="CR7" s="181"/>
      <c r="CS7" s="27">
        <v>9481.5499999999993</v>
      </c>
      <c r="CT7" s="27">
        <v>10519.78</v>
      </c>
      <c r="CU7" s="27">
        <v>8421.5</v>
      </c>
      <c r="CV7" s="27"/>
      <c r="CW7" s="27"/>
      <c r="CX7" s="27"/>
      <c r="CY7" s="27"/>
      <c r="CZ7" s="27"/>
      <c r="DA7" s="27"/>
      <c r="DB7" s="27"/>
      <c r="DC7" s="27"/>
      <c r="DD7" s="27"/>
    </row>
    <row r="8" spans="1:108" s="26" customFormat="1" ht="14.25" customHeight="1" x14ac:dyDescent="0.2">
      <c r="A8" s="183" t="s">
        <v>32</v>
      </c>
      <c r="B8" s="30">
        <f t="shared" si="0"/>
        <v>113681.43160605335</v>
      </c>
      <c r="C8" s="31">
        <f t="shared" si="0"/>
        <v>99709.983661669394</v>
      </c>
      <c r="D8" s="32">
        <f t="shared" si="0"/>
        <v>13971.447944383955</v>
      </c>
      <c r="E8" s="30">
        <f t="shared" si="14"/>
        <v>0</v>
      </c>
      <c r="F8" s="33">
        <f t="shared" si="14"/>
        <v>0</v>
      </c>
      <c r="G8" s="34">
        <f t="shared" si="14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15"/>
        <v/>
      </c>
      <c r="L8" s="36">
        <f>[1]RB!$E8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2"/>
        <v/>
      </c>
      <c r="S8" s="36">
        <f>[1]RB!$F8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3"/>
        <v/>
      </c>
      <c r="Z8" s="36">
        <f>[1]RB!$G8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27"/>
      <c r="AF8" s="37" t="str">
        <f t="shared" si="4"/>
        <v/>
      </c>
      <c r="AG8" s="36">
        <f>[1]RB!$H8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33"/>
      <c r="AM8" s="37" t="str">
        <f t="shared" si="5"/>
        <v/>
      </c>
      <c r="AN8" s="36">
        <f>[1]RB!$I8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33"/>
      <c r="AT8" s="37" t="str">
        <f t="shared" si="6"/>
        <v/>
      </c>
      <c r="AU8" s="36">
        <f>[1]RB!$J8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27"/>
      <c r="BA8" s="37" t="str">
        <f t="shared" si="7"/>
        <v/>
      </c>
      <c r="BB8" s="36">
        <f>[1]RB!$K8</f>
        <v>113681.43160605335</v>
      </c>
      <c r="BC8" s="31">
        <f t="shared" si="40"/>
        <v>99709.983661669394</v>
      </c>
      <c r="BD8" s="31">
        <f t="shared" si="41"/>
        <v>13971.447944383955</v>
      </c>
      <c r="BE8" s="31">
        <f t="shared" si="42"/>
        <v>0</v>
      </c>
      <c r="BF8" s="31">
        <f t="shared" si="43"/>
        <v>0</v>
      </c>
      <c r="BG8" s="27"/>
      <c r="BH8" s="37">
        <f t="shared" si="8"/>
        <v>-1</v>
      </c>
      <c r="BI8" s="36">
        <f>[1]RB!$L8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9"/>
        <v/>
      </c>
      <c r="BP8" s="36">
        <f>[1]RB!$M8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0"/>
        <v/>
      </c>
      <c r="BW8" s="36">
        <f>[1]RB!$N8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1"/>
        <v/>
      </c>
      <c r="CD8" s="36">
        <f>[1]RB!$O8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2"/>
        <v/>
      </c>
      <c r="CK8" s="36">
        <f>[1]RB!$P8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3"/>
        <v/>
      </c>
      <c r="CR8" s="181"/>
      <c r="CS8" s="27">
        <f>158.37+48.77</f>
        <v>207.14000000000001</v>
      </c>
      <c r="CT8" s="27">
        <f>2203.4+875.94+542.29</f>
        <v>3621.63</v>
      </c>
      <c r="CU8" s="27">
        <f>309.26+853.44+1229.23+1086.46</f>
        <v>3478.3900000000003</v>
      </c>
      <c r="CV8" s="27"/>
      <c r="CW8" s="27"/>
      <c r="CX8" s="27"/>
      <c r="CY8" s="27"/>
      <c r="CZ8" s="27"/>
      <c r="DA8" s="27"/>
      <c r="DB8" s="27"/>
      <c r="DC8" s="27"/>
      <c r="DD8" s="27"/>
    </row>
    <row r="9" spans="1:108" s="26" customFormat="1" ht="14.25" customHeight="1" x14ac:dyDescent="0.2">
      <c r="A9" s="183" t="s">
        <v>33</v>
      </c>
      <c r="B9" s="30">
        <f t="shared" si="0"/>
        <v>67520.279282944015</v>
      </c>
      <c r="C9" s="31">
        <f t="shared" si="0"/>
        <v>59222.03695907021</v>
      </c>
      <c r="D9" s="32">
        <f t="shared" si="0"/>
        <v>8298.2423238738211</v>
      </c>
      <c r="E9" s="30">
        <f t="shared" si="14"/>
        <v>21800.907295573339</v>
      </c>
      <c r="F9" s="33">
        <f t="shared" si="14"/>
        <v>19121.575788947375</v>
      </c>
      <c r="G9" s="34">
        <f t="shared" si="14"/>
        <v>2679.3315066259634</v>
      </c>
      <c r="H9" s="31">
        <f t="shared" si="1"/>
        <v>16814.827146000003</v>
      </c>
      <c r="I9" s="33">
        <f t="shared" si="1"/>
        <v>495.06285400000002</v>
      </c>
      <c r="J9" s="33">
        <f t="shared" si="1"/>
        <v>17309.890000000003</v>
      </c>
      <c r="K9" s="37">
        <f t="shared" si="15"/>
        <v>-0.20600139410185159</v>
      </c>
      <c r="L9" s="36">
        <f>[1]RB!$E9</f>
        <v>5450.2268238933348</v>
      </c>
      <c r="M9" s="31">
        <f t="shared" si="16"/>
        <v>4780.3939472368438</v>
      </c>
      <c r="N9" s="31">
        <f t="shared" si="17"/>
        <v>669.83287665649084</v>
      </c>
      <c r="O9" s="31">
        <f t="shared" si="18"/>
        <v>8810.3940060000004</v>
      </c>
      <c r="P9" s="31">
        <f t="shared" si="19"/>
        <v>259.39599400000003</v>
      </c>
      <c r="Q9" s="33">
        <v>9069.7900000000009</v>
      </c>
      <c r="R9" s="37">
        <f t="shared" si="2"/>
        <v>0.66411239257764576</v>
      </c>
      <c r="S9" s="36">
        <f>[1]RB!$F9</f>
        <v>5450.2268238933348</v>
      </c>
      <c r="T9" s="31">
        <f t="shared" si="20"/>
        <v>4780.3939472368438</v>
      </c>
      <c r="U9" s="31">
        <f t="shared" si="21"/>
        <v>669.83287665649084</v>
      </c>
      <c r="V9" s="31">
        <f t="shared" si="22"/>
        <v>2652.0968519999997</v>
      </c>
      <c r="W9" s="31">
        <f t="shared" si="23"/>
        <v>78.083147999999994</v>
      </c>
      <c r="X9" s="33">
        <f>2730.18</f>
        <v>2730.18</v>
      </c>
      <c r="Y9" s="37">
        <f t="shared" si="3"/>
        <v>-0.49907038950542004</v>
      </c>
      <c r="Z9" s="36">
        <f>[1]RB!$G9</f>
        <v>5450.2268238933348</v>
      </c>
      <c r="AA9" s="31">
        <f t="shared" si="24"/>
        <v>4780.3939472368438</v>
      </c>
      <c r="AB9" s="31">
        <f t="shared" si="25"/>
        <v>669.83287665649084</v>
      </c>
      <c r="AC9" s="31">
        <f t="shared" si="26"/>
        <v>4899.2267580000007</v>
      </c>
      <c r="AD9" s="31">
        <f t="shared" si="27"/>
        <v>144.24324200000001</v>
      </c>
      <c r="AE9" s="27">
        <f>5043.47</f>
        <v>5043.47</v>
      </c>
      <c r="AF9" s="37">
        <f t="shared" si="4"/>
        <v>-7.4631173533942996E-2</v>
      </c>
      <c r="AG9" s="36">
        <f>[1]RB!$H9</f>
        <v>5450.2268238933348</v>
      </c>
      <c r="AH9" s="31">
        <f t="shared" si="28"/>
        <v>4780.3939472368438</v>
      </c>
      <c r="AI9" s="31">
        <f t="shared" si="29"/>
        <v>669.83287665649084</v>
      </c>
      <c r="AJ9" s="31">
        <f t="shared" si="30"/>
        <v>453.10953000000001</v>
      </c>
      <c r="AK9" s="31">
        <f t="shared" si="31"/>
        <v>13.34047</v>
      </c>
      <c r="AL9" s="33">
        <v>466.45</v>
      </c>
      <c r="AM9" s="37">
        <f t="shared" si="5"/>
        <v>-0.91441640594568974</v>
      </c>
      <c r="AN9" s="36">
        <f>[1]RB!$I9</f>
        <v>5450.2268238933348</v>
      </c>
      <c r="AO9" s="31">
        <f t="shared" si="32"/>
        <v>4780.3939472368438</v>
      </c>
      <c r="AP9" s="31">
        <f t="shared" si="33"/>
        <v>669.83287665649084</v>
      </c>
      <c r="AQ9" s="31">
        <f t="shared" si="34"/>
        <v>0</v>
      </c>
      <c r="AR9" s="31">
        <f t="shared" si="35"/>
        <v>0</v>
      </c>
      <c r="AS9" s="33"/>
      <c r="AT9" s="37">
        <f t="shared" si="6"/>
        <v>-1</v>
      </c>
      <c r="AU9" s="36">
        <f>[1]RB!$J9</f>
        <v>5450.2268238933348</v>
      </c>
      <c r="AV9" s="31">
        <f t="shared" si="36"/>
        <v>4780.3939472368438</v>
      </c>
      <c r="AW9" s="31">
        <f t="shared" si="37"/>
        <v>669.83287665649084</v>
      </c>
      <c r="AX9" s="31">
        <f t="shared" si="38"/>
        <v>0</v>
      </c>
      <c r="AY9" s="31">
        <f t="shared" si="39"/>
        <v>0</v>
      </c>
      <c r="AZ9" s="27"/>
      <c r="BA9" s="37">
        <f t="shared" si="7"/>
        <v>-1</v>
      </c>
      <c r="BB9" s="36">
        <f>[1]RB!$K9</f>
        <v>5450.2268238933348</v>
      </c>
      <c r="BC9" s="31">
        <f t="shared" si="40"/>
        <v>4780.3939472368438</v>
      </c>
      <c r="BD9" s="31">
        <f t="shared" si="41"/>
        <v>669.83287665649084</v>
      </c>
      <c r="BE9" s="31">
        <f t="shared" si="42"/>
        <v>0</v>
      </c>
      <c r="BF9" s="31">
        <f t="shared" si="43"/>
        <v>0</v>
      </c>
      <c r="BG9" s="27"/>
      <c r="BH9" s="37">
        <f t="shared" si="8"/>
        <v>-1</v>
      </c>
      <c r="BI9" s="36">
        <f>[1]RB!$L9</f>
        <v>5873.7383031381351</v>
      </c>
      <c r="BJ9" s="31">
        <f t="shared" si="44"/>
        <v>5151.855865682458</v>
      </c>
      <c r="BK9" s="31">
        <f t="shared" si="45"/>
        <v>721.88243745567672</v>
      </c>
      <c r="BL9" s="31">
        <f t="shared" si="46"/>
        <v>0</v>
      </c>
      <c r="BM9" s="31">
        <f t="shared" si="47"/>
        <v>0</v>
      </c>
      <c r="BN9" s="33"/>
      <c r="BO9" s="37">
        <f t="shared" si="9"/>
        <v>-1</v>
      </c>
      <c r="BP9" s="36">
        <f>[1]RB!$M9</f>
        <v>5873.7383031381351</v>
      </c>
      <c r="BQ9" s="31">
        <f t="shared" si="48"/>
        <v>5151.855865682458</v>
      </c>
      <c r="BR9" s="31">
        <f t="shared" si="49"/>
        <v>721.88243745567672</v>
      </c>
      <c r="BS9" s="31">
        <f t="shared" si="50"/>
        <v>0</v>
      </c>
      <c r="BT9" s="31">
        <f t="shared" si="51"/>
        <v>0</v>
      </c>
      <c r="BU9" s="33"/>
      <c r="BV9" s="37">
        <f t="shared" si="10"/>
        <v>-1</v>
      </c>
      <c r="BW9" s="36">
        <f>[1]RB!$N9</f>
        <v>5873.7383031381351</v>
      </c>
      <c r="BX9" s="31">
        <f t="shared" si="52"/>
        <v>5151.855865682458</v>
      </c>
      <c r="BY9" s="31">
        <f t="shared" si="53"/>
        <v>721.88243745567672</v>
      </c>
      <c r="BZ9" s="31">
        <f t="shared" si="54"/>
        <v>0</v>
      </c>
      <c r="CA9" s="31">
        <f t="shared" si="55"/>
        <v>0</v>
      </c>
      <c r="CB9" s="33"/>
      <c r="CC9" s="37">
        <f t="shared" si="11"/>
        <v>-1</v>
      </c>
      <c r="CD9" s="36">
        <f>[1]RB!$O9</f>
        <v>5873.7383031381351</v>
      </c>
      <c r="CE9" s="31">
        <f t="shared" si="56"/>
        <v>5151.855865682458</v>
      </c>
      <c r="CF9" s="31">
        <f t="shared" si="57"/>
        <v>721.88243745567672</v>
      </c>
      <c r="CG9" s="31">
        <f t="shared" si="58"/>
        <v>0</v>
      </c>
      <c r="CH9" s="31">
        <f t="shared" si="59"/>
        <v>0</v>
      </c>
      <c r="CI9" s="33"/>
      <c r="CJ9" s="37">
        <f t="shared" si="12"/>
        <v>-1</v>
      </c>
      <c r="CK9" s="36">
        <f>[1]RB!$P9</f>
        <v>5873.7383031381351</v>
      </c>
      <c r="CL9" s="31">
        <f t="shared" si="60"/>
        <v>5151.855865682458</v>
      </c>
      <c r="CM9" s="31">
        <f t="shared" si="61"/>
        <v>721.88243745567672</v>
      </c>
      <c r="CN9" s="31">
        <f t="shared" si="62"/>
        <v>0</v>
      </c>
      <c r="CO9" s="31">
        <f t="shared" si="63"/>
        <v>0</v>
      </c>
      <c r="CP9" s="33"/>
      <c r="CQ9" s="37">
        <f t="shared" si="13"/>
        <v>-1</v>
      </c>
      <c r="CR9" s="181"/>
      <c r="CS9" s="27">
        <f>17898.37+797.29+1454.17</f>
        <v>20149.830000000002</v>
      </c>
      <c r="CT9" s="27">
        <v>17898.37</v>
      </c>
      <c r="CU9" s="27">
        <v>1570.15</v>
      </c>
      <c r="CV9" s="27"/>
      <c r="CW9" s="27"/>
      <c r="CX9" s="27"/>
      <c r="CY9" s="27"/>
      <c r="CZ9" s="27"/>
      <c r="DA9" s="27"/>
      <c r="DB9" s="27"/>
      <c r="DC9" s="27"/>
      <c r="DD9" s="27"/>
    </row>
    <row r="10" spans="1:108" s="26" customFormat="1" ht="14.25" customHeight="1" x14ac:dyDescent="0.2">
      <c r="A10" s="183" t="s">
        <v>34</v>
      </c>
      <c r="B10" s="30">
        <f t="shared" si="0"/>
        <v>60000</v>
      </c>
      <c r="C10" s="31">
        <f t="shared" si="0"/>
        <v>52626</v>
      </c>
      <c r="D10" s="32">
        <f t="shared" si="0"/>
        <v>7374</v>
      </c>
      <c r="E10" s="30">
        <f t="shared" si="14"/>
        <v>20000</v>
      </c>
      <c r="F10" s="33">
        <f t="shared" si="14"/>
        <v>17542</v>
      </c>
      <c r="G10" s="34">
        <f t="shared" si="14"/>
        <v>2458</v>
      </c>
      <c r="H10" s="31">
        <f t="shared" si="1"/>
        <v>8383.8911219999991</v>
      </c>
      <c r="I10" s="33">
        <f t="shared" si="1"/>
        <v>246.83887800000002</v>
      </c>
      <c r="J10" s="33">
        <f t="shared" si="1"/>
        <v>8630.73</v>
      </c>
      <c r="K10" s="37">
        <f t="shared" si="15"/>
        <v>-0.56846350000000001</v>
      </c>
      <c r="L10" s="36">
        <f>[1]RB!$E10</f>
        <v>5000</v>
      </c>
      <c r="M10" s="31">
        <f t="shared" si="16"/>
        <v>4385.5</v>
      </c>
      <c r="N10" s="31">
        <f t="shared" si="17"/>
        <v>614.5</v>
      </c>
      <c r="O10" s="31">
        <f t="shared" si="18"/>
        <v>0</v>
      </c>
      <c r="P10" s="31">
        <f t="shared" si="19"/>
        <v>0</v>
      </c>
      <c r="Q10" s="33"/>
      <c r="R10" s="37">
        <f t="shared" si="2"/>
        <v>-1</v>
      </c>
      <c r="S10" s="36">
        <f>[1]RB!$F10</f>
        <v>5000</v>
      </c>
      <c r="T10" s="31">
        <f t="shared" si="20"/>
        <v>4385.5</v>
      </c>
      <c r="U10" s="31">
        <f t="shared" si="21"/>
        <v>614.5</v>
      </c>
      <c r="V10" s="31">
        <f t="shared" si="22"/>
        <v>0</v>
      </c>
      <c r="W10" s="31">
        <f t="shared" si="23"/>
        <v>0</v>
      </c>
      <c r="X10" s="33"/>
      <c r="Y10" s="37">
        <f t="shared" si="3"/>
        <v>-1</v>
      </c>
      <c r="Z10" s="36">
        <f>[1]RB!$G10</f>
        <v>5000</v>
      </c>
      <c r="AA10" s="31">
        <f t="shared" si="24"/>
        <v>4385.5</v>
      </c>
      <c r="AB10" s="31">
        <f t="shared" si="25"/>
        <v>614.5</v>
      </c>
      <c r="AC10" s="31">
        <f t="shared" si="26"/>
        <v>2264.0711219999998</v>
      </c>
      <c r="AD10" s="31">
        <f t="shared" si="27"/>
        <v>66.658878000000001</v>
      </c>
      <c r="AE10" s="27">
        <v>2330.73</v>
      </c>
      <c r="AF10" s="37">
        <f t="shared" si="4"/>
        <v>-0.53385400000000005</v>
      </c>
      <c r="AG10" s="36">
        <f>[1]RB!$H10</f>
        <v>5000</v>
      </c>
      <c r="AH10" s="31">
        <f t="shared" si="28"/>
        <v>4385.5</v>
      </c>
      <c r="AI10" s="31">
        <f t="shared" si="29"/>
        <v>614.5</v>
      </c>
      <c r="AJ10" s="31">
        <f t="shared" si="30"/>
        <v>6119.82</v>
      </c>
      <c r="AK10" s="31">
        <f t="shared" si="31"/>
        <v>180.18</v>
      </c>
      <c r="AL10" s="33">
        <f>6300</f>
        <v>6300</v>
      </c>
      <c r="AM10" s="37">
        <f t="shared" si="5"/>
        <v>0.26</v>
      </c>
      <c r="AN10" s="36">
        <f>[1]RB!$I10</f>
        <v>5000</v>
      </c>
      <c r="AO10" s="31">
        <f t="shared" si="32"/>
        <v>4385.5</v>
      </c>
      <c r="AP10" s="31">
        <f t="shared" si="33"/>
        <v>614.5</v>
      </c>
      <c r="AQ10" s="31">
        <f t="shared" si="34"/>
        <v>0</v>
      </c>
      <c r="AR10" s="31">
        <f t="shared" si="35"/>
        <v>0</v>
      </c>
      <c r="AS10" s="33"/>
      <c r="AT10" s="37">
        <f t="shared" si="6"/>
        <v>-1</v>
      </c>
      <c r="AU10" s="36">
        <f>[1]RB!$J10</f>
        <v>5000</v>
      </c>
      <c r="AV10" s="31">
        <f t="shared" si="36"/>
        <v>4385.5</v>
      </c>
      <c r="AW10" s="31">
        <f t="shared" si="37"/>
        <v>614.5</v>
      </c>
      <c r="AX10" s="31">
        <f t="shared" si="38"/>
        <v>0</v>
      </c>
      <c r="AY10" s="31">
        <f t="shared" si="39"/>
        <v>0</v>
      </c>
      <c r="AZ10" s="27"/>
      <c r="BA10" s="37">
        <f t="shared" si="7"/>
        <v>-1</v>
      </c>
      <c r="BB10" s="36">
        <f>[1]RB!$K10</f>
        <v>5000</v>
      </c>
      <c r="BC10" s="31">
        <f t="shared" si="40"/>
        <v>4385.5</v>
      </c>
      <c r="BD10" s="31">
        <f t="shared" si="41"/>
        <v>614.5</v>
      </c>
      <c r="BE10" s="31">
        <f t="shared" si="42"/>
        <v>0</v>
      </c>
      <c r="BF10" s="31">
        <f t="shared" si="43"/>
        <v>0</v>
      </c>
      <c r="BG10" s="27"/>
      <c r="BH10" s="37">
        <f t="shared" si="8"/>
        <v>-1</v>
      </c>
      <c r="BI10" s="36">
        <f>[1]RB!$L10</f>
        <v>5000</v>
      </c>
      <c r="BJ10" s="31">
        <f t="shared" si="44"/>
        <v>4385.5</v>
      </c>
      <c r="BK10" s="31">
        <f t="shared" si="45"/>
        <v>614.5</v>
      </c>
      <c r="BL10" s="31">
        <f t="shared" si="46"/>
        <v>0</v>
      </c>
      <c r="BM10" s="31">
        <f t="shared" si="47"/>
        <v>0</v>
      </c>
      <c r="BN10" s="33"/>
      <c r="BO10" s="37">
        <f t="shared" si="9"/>
        <v>-1</v>
      </c>
      <c r="BP10" s="36">
        <f>[1]RB!$M10</f>
        <v>5000</v>
      </c>
      <c r="BQ10" s="31">
        <f t="shared" si="48"/>
        <v>4385.5</v>
      </c>
      <c r="BR10" s="31">
        <f t="shared" si="49"/>
        <v>614.5</v>
      </c>
      <c r="BS10" s="31">
        <f t="shared" si="50"/>
        <v>0</v>
      </c>
      <c r="BT10" s="31">
        <f t="shared" si="51"/>
        <v>0</v>
      </c>
      <c r="BU10" s="33"/>
      <c r="BV10" s="37">
        <f t="shared" si="10"/>
        <v>-1</v>
      </c>
      <c r="BW10" s="36">
        <f>[1]RB!$N10</f>
        <v>5000</v>
      </c>
      <c r="BX10" s="31">
        <f t="shared" si="52"/>
        <v>4385.5</v>
      </c>
      <c r="BY10" s="31">
        <f t="shared" si="53"/>
        <v>614.5</v>
      </c>
      <c r="BZ10" s="31">
        <f t="shared" si="54"/>
        <v>0</v>
      </c>
      <c r="CA10" s="31">
        <f t="shared" si="55"/>
        <v>0</v>
      </c>
      <c r="CB10" s="33"/>
      <c r="CC10" s="37">
        <f t="shared" si="11"/>
        <v>-1</v>
      </c>
      <c r="CD10" s="36">
        <f>[1]RB!$O10</f>
        <v>5000</v>
      </c>
      <c r="CE10" s="31">
        <f t="shared" si="56"/>
        <v>4385.5</v>
      </c>
      <c r="CF10" s="31">
        <f t="shared" si="57"/>
        <v>614.5</v>
      </c>
      <c r="CG10" s="31">
        <f t="shared" si="58"/>
        <v>0</v>
      </c>
      <c r="CH10" s="31">
        <f t="shared" si="59"/>
        <v>0</v>
      </c>
      <c r="CI10" s="33"/>
      <c r="CJ10" s="37">
        <f t="shared" si="12"/>
        <v>-1</v>
      </c>
      <c r="CK10" s="36">
        <f>[1]RB!$P10</f>
        <v>5000</v>
      </c>
      <c r="CL10" s="31">
        <f t="shared" si="60"/>
        <v>4385.5</v>
      </c>
      <c r="CM10" s="31">
        <f t="shared" si="61"/>
        <v>614.5</v>
      </c>
      <c r="CN10" s="31">
        <f t="shared" si="62"/>
        <v>0</v>
      </c>
      <c r="CO10" s="31">
        <f t="shared" si="63"/>
        <v>0</v>
      </c>
      <c r="CP10" s="33"/>
      <c r="CQ10" s="37">
        <f t="shared" si="13"/>
        <v>-1</v>
      </c>
      <c r="CR10" s="181"/>
      <c r="CS10" s="27">
        <f>1400+231.5</f>
        <v>1631.5</v>
      </c>
      <c r="CT10" s="27">
        <f>5600</f>
        <v>5600</v>
      </c>
      <c r="CU10" s="27">
        <f>8750+2798.37</f>
        <v>11548.369999999999</v>
      </c>
      <c r="CV10" s="27"/>
      <c r="CW10" s="27"/>
      <c r="CX10" s="27"/>
      <c r="CY10" s="27"/>
      <c r="CZ10" s="27"/>
      <c r="DA10" s="27"/>
      <c r="DB10" s="27"/>
      <c r="DC10" s="27"/>
      <c r="DD10" s="27"/>
    </row>
    <row r="11" spans="1:108" s="26" customFormat="1" ht="14.25" customHeight="1" x14ac:dyDescent="0.2">
      <c r="A11" s="183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4"/>
        <v>0</v>
      </c>
      <c r="F11" s="33">
        <f t="shared" si="14"/>
        <v>0</v>
      </c>
      <c r="G11" s="34">
        <f t="shared" si="14"/>
        <v>0</v>
      </c>
      <c r="H11" s="31">
        <f t="shared" si="1"/>
        <v>11624.024964</v>
      </c>
      <c r="I11" s="33">
        <f t="shared" si="1"/>
        <v>342.23503600000004</v>
      </c>
      <c r="J11" s="33">
        <f t="shared" si="1"/>
        <v>11966.26</v>
      </c>
      <c r="K11" s="37" t="str">
        <f t="shared" si="15"/>
        <v/>
      </c>
      <c r="L11" s="36">
        <f>[1]RB!$E11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2"/>
        <v/>
      </c>
      <c r="S11" s="36">
        <f>[1]RB!$F11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3"/>
        <v/>
      </c>
      <c r="Z11" s="36">
        <f>[1]RB!$G11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27"/>
      <c r="AF11" s="37" t="str">
        <f t="shared" si="4"/>
        <v/>
      </c>
      <c r="AG11" s="36">
        <f>[1]RB!$H11</f>
        <v>0</v>
      </c>
      <c r="AH11" s="31">
        <f t="shared" si="28"/>
        <v>0</v>
      </c>
      <c r="AI11" s="31">
        <f t="shared" si="29"/>
        <v>0</v>
      </c>
      <c r="AJ11" s="31">
        <f t="shared" si="30"/>
        <v>11624.024964</v>
      </c>
      <c r="AK11" s="31">
        <f t="shared" si="31"/>
        <v>342.23503600000004</v>
      </c>
      <c r="AL11" s="33">
        <f>11966.26</f>
        <v>11966.26</v>
      </c>
      <c r="AM11" s="37" t="str">
        <f t="shared" si="5"/>
        <v/>
      </c>
      <c r="AN11" s="36">
        <f>[1]RB!$I11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33"/>
      <c r="AT11" s="37" t="str">
        <f t="shared" si="6"/>
        <v/>
      </c>
      <c r="AU11" s="36">
        <f>[1]RB!$J11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27"/>
      <c r="BA11" s="37" t="str">
        <f t="shared" si="7"/>
        <v/>
      </c>
      <c r="BB11" s="36">
        <f>[1]RB!$K11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27"/>
      <c r="BH11" s="37" t="str">
        <f t="shared" si="8"/>
        <v/>
      </c>
      <c r="BI11" s="36">
        <f>[1]RB!$L11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9"/>
        <v/>
      </c>
      <c r="BP11" s="36">
        <f>[1]RB!$M11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0"/>
        <v/>
      </c>
      <c r="BW11" s="36">
        <f>[1]RB!$N11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1"/>
        <v/>
      </c>
      <c r="CD11" s="36">
        <f>[1]RB!$O11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2"/>
        <v/>
      </c>
      <c r="CK11" s="36">
        <f>[1]RB!$P11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3"/>
        <v/>
      </c>
      <c r="CR11" s="181"/>
      <c r="CS11" s="27">
        <f>1122.48+1503.46</f>
        <v>2625.94</v>
      </c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</row>
    <row r="12" spans="1:108" s="26" customFormat="1" ht="14.25" customHeight="1" x14ac:dyDescent="0.2">
      <c r="A12" s="182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4"/>
        <v>12420</v>
      </c>
      <c r="F12" s="33">
        <f t="shared" si="14"/>
        <v>10893.582</v>
      </c>
      <c r="G12" s="34">
        <f t="shared" si="14"/>
        <v>1526.4179999999999</v>
      </c>
      <c r="H12" s="31">
        <f t="shared" si="1"/>
        <v>8840.128560000001</v>
      </c>
      <c r="I12" s="33">
        <f t="shared" si="1"/>
        <v>260.27143999999998</v>
      </c>
      <c r="J12" s="33">
        <f t="shared" si="1"/>
        <v>9100.4</v>
      </c>
      <c r="K12" s="37">
        <f t="shared" si="15"/>
        <v>-0.2672785829307569</v>
      </c>
      <c r="L12" s="36">
        <f>[1]RB!$E12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2812.1058600000001</v>
      </c>
      <c r="P12" s="31">
        <f t="shared" si="19"/>
        <v>82.794139999999999</v>
      </c>
      <c r="Q12" s="33">
        <f>2894.9</f>
        <v>2894.9</v>
      </c>
      <c r="R12" s="37">
        <f t="shared" si="2"/>
        <v>-6.766505636070852E-2</v>
      </c>
      <c r="S12" s="36">
        <f>[1]RB!$F12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0</v>
      </c>
      <c r="W12" s="31">
        <f t="shared" si="23"/>
        <v>0</v>
      </c>
      <c r="X12" s="33"/>
      <c r="Y12" s="37">
        <f t="shared" si="3"/>
        <v>-1</v>
      </c>
      <c r="Z12" s="36">
        <f>[1]RB!$G12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3014.0113499999998</v>
      </c>
      <c r="AD12" s="31">
        <f t="shared" si="27"/>
        <v>88.738650000000007</v>
      </c>
      <c r="AE12" s="33">
        <f>3102.75</f>
        <v>3102.75</v>
      </c>
      <c r="AF12" s="37">
        <f t="shared" si="4"/>
        <v>-7.246376811593791E-4</v>
      </c>
      <c r="AG12" s="36">
        <f>[1]RB!$H12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3014.0113499999998</v>
      </c>
      <c r="AK12" s="31">
        <f t="shared" si="31"/>
        <v>88.738650000000007</v>
      </c>
      <c r="AL12" s="33">
        <f>3102.75</f>
        <v>3102.75</v>
      </c>
      <c r="AM12" s="37">
        <f t="shared" si="5"/>
        <v>-7.246376811593791E-4</v>
      </c>
      <c r="AN12" s="36">
        <f>[1]RB!$I12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6"/>
        <v>-1</v>
      </c>
      <c r="AU12" s="36">
        <f>[1]RB!$J12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27"/>
      <c r="BA12" s="37">
        <f t="shared" si="7"/>
        <v>-1</v>
      </c>
      <c r="BB12" s="36">
        <f>[1]RB!$K12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27"/>
      <c r="BH12" s="37">
        <f t="shared" si="8"/>
        <v>-1</v>
      </c>
      <c r="BI12" s="36">
        <f>[1]RB!$L12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9"/>
        <v>-1</v>
      </c>
      <c r="BP12" s="36">
        <f>[1]RB!$M12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0"/>
        <v>-1</v>
      </c>
      <c r="BW12" s="36">
        <f>[1]RB!$N12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1"/>
        <v>-1</v>
      </c>
      <c r="CD12" s="36">
        <f>[1]RB!$O12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2"/>
        <v>-1</v>
      </c>
      <c r="CK12" s="36">
        <f>[1]RB!$P12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3"/>
        <v>-1</v>
      </c>
      <c r="CR12" s="181"/>
      <c r="CS12" s="27">
        <f t="shared" ref="CS12:CU12" si="64">2894.9</f>
        <v>2894.9</v>
      </c>
      <c r="CT12" s="27">
        <f t="shared" si="64"/>
        <v>2894.9</v>
      </c>
      <c r="CU12" s="27">
        <f t="shared" si="64"/>
        <v>2894.9</v>
      </c>
      <c r="CV12" s="27"/>
      <c r="CW12" s="27"/>
      <c r="CX12" s="27"/>
      <c r="CY12" s="27"/>
      <c r="CZ12" s="27"/>
      <c r="DA12" s="27"/>
      <c r="DB12" s="27"/>
      <c r="DC12" s="27"/>
      <c r="DD12" s="27"/>
    </row>
    <row r="13" spans="1:108" s="26" customFormat="1" ht="16" customHeight="1" x14ac:dyDescent="0.2">
      <c r="A13" s="183" t="s">
        <v>37</v>
      </c>
      <c r="B13" s="30">
        <f t="shared" si="0"/>
        <v>6000</v>
      </c>
      <c r="C13" s="31">
        <f t="shared" si="0"/>
        <v>5262.6000000000013</v>
      </c>
      <c r="D13" s="32">
        <f t="shared" si="0"/>
        <v>737.40000000000009</v>
      </c>
      <c r="E13" s="30">
        <f t="shared" si="14"/>
        <v>2000</v>
      </c>
      <c r="F13" s="33">
        <f t="shared" si="14"/>
        <v>1754.2</v>
      </c>
      <c r="G13" s="34">
        <f t="shared" si="14"/>
        <v>245.79999999999998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>
        <f t="shared" si="15"/>
        <v>-1</v>
      </c>
      <c r="L13" s="36">
        <f>[1]RB!$E13</f>
        <v>500</v>
      </c>
      <c r="M13" s="31">
        <f t="shared" si="16"/>
        <v>438.55</v>
      </c>
      <c r="N13" s="31">
        <f t="shared" si="17"/>
        <v>61.449999999999996</v>
      </c>
      <c r="O13" s="31">
        <f t="shared" si="18"/>
        <v>0</v>
      </c>
      <c r="P13" s="31">
        <f t="shared" si="19"/>
        <v>0</v>
      </c>
      <c r="Q13" s="33"/>
      <c r="R13" s="37">
        <f t="shared" si="2"/>
        <v>-1</v>
      </c>
      <c r="S13" s="36">
        <f>[1]RB!$F13</f>
        <v>500</v>
      </c>
      <c r="T13" s="31">
        <f t="shared" si="20"/>
        <v>438.55</v>
      </c>
      <c r="U13" s="31">
        <f t="shared" si="21"/>
        <v>61.449999999999996</v>
      </c>
      <c r="V13" s="31">
        <f t="shared" si="22"/>
        <v>0</v>
      </c>
      <c r="W13" s="31">
        <f t="shared" si="23"/>
        <v>0</v>
      </c>
      <c r="X13" s="33"/>
      <c r="Y13" s="37">
        <f t="shared" si="3"/>
        <v>-1</v>
      </c>
      <c r="Z13" s="36">
        <f>[1]RB!$G13</f>
        <v>500</v>
      </c>
      <c r="AA13" s="31">
        <f t="shared" si="24"/>
        <v>438.55</v>
      </c>
      <c r="AB13" s="31">
        <f t="shared" si="25"/>
        <v>61.449999999999996</v>
      </c>
      <c r="AC13" s="31">
        <f t="shared" si="26"/>
        <v>0</v>
      </c>
      <c r="AD13" s="31">
        <f t="shared" si="27"/>
        <v>0</v>
      </c>
      <c r="AE13" s="27"/>
      <c r="AF13" s="37">
        <f t="shared" si="4"/>
        <v>-1</v>
      </c>
      <c r="AG13" s="36">
        <f>[1]RB!$H13</f>
        <v>500</v>
      </c>
      <c r="AH13" s="31">
        <f t="shared" si="28"/>
        <v>438.55</v>
      </c>
      <c r="AI13" s="31">
        <f t="shared" si="29"/>
        <v>61.449999999999996</v>
      </c>
      <c r="AJ13" s="31">
        <f t="shared" si="30"/>
        <v>0</v>
      </c>
      <c r="AK13" s="31">
        <f t="shared" si="31"/>
        <v>0</v>
      </c>
      <c r="AL13" s="33"/>
      <c r="AM13" s="37">
        <f t="shared" si="5"/>
        <v>-1</v>
      </c>
      <c r="AN13" s="36">
        <f>[1]RB!$I13</f>
        <v>500</v>
      </c>
      <c r="AO13" s="31">
        <f t="shared" si="32"/>
        <v>438.55</v>
      </c>
      <c r="AP13" s="31">
        <f t="shared" si="33"/>
        <v>61.449999999999996</v>
      </c>
      <c r="AQ13" s="31">
        <f t="shared" si="34"/>
        <v>0</v>
      </c>
      <c r="AR13" s="31">
        <f t="shared" si="35"/>
        <v>0</v>
      </c>
      <c r="AS13" s="33"/>
      <c r="AT13" s="37">
        <f t="shared" si="6"/>
        <v>-1</v>
      </c>
      <c r="AU13" s="36">
        <f>[1]RB!$J13</f>
        <v>500</v>
      </c>
      <c r="AV13" s="31">
        <f t="shared" si="36"/>
        <v>438.55</v>
      </c>
      <c r="AW13" s="31">
        <f t="shared" si="37"/>
        <v>61.449999999999996</v>
      </c>
      <c r="AX13" s="31">
        <f t="shared" si="38"/>
        <v>0</v>
      </c>
      <c r="AY13" s="31">
        <f t="shared" si="39"/>
        <v>0</v>
      </c>
      <c r="AZ13" s="27"/>
      <c r="BA13" s="37">
        <f t="shared" si="7"/>
        <v>-1</v>
      </c>
      <c r="BB13" s="36">
        <f>[1]RB!$K13</f>
        <v>500</v>
      </c>
      <c r="BC13" s="31">
        <f t="shared" si="40"/>
        <v>438.55</v>
      </c>
      <c r="BD13" s="31">
        <f t="shared" si="41"/>
        <v>61.449999999999996</v>
      </c>
      <c r="BE13" s="31">
        <f t="shared" si="42"/>
        <v>0</v>
      </c>
      <c r="BF13" s="31">
        <f t="shared" si="43"/>
        <v>0</v>
      </c>
      <c r="BG13" s="27"/>
      <c r="BH13" s="37">
        <f t="shared" si="8"/>
        <v>-1</v>
      </c>
      <c r="BI13" s="36">
        <f>[1]RB!$L13</f>
        <v>500</v>
      </c>
      <c r="BJ13" s="31">
        <f t="shared" si="44"/>
        <v>438.55</v>
      </c>
      <c r="BK13" s="31">
        <f t="shared" si="45"/>
        <v>61.449999999999996</v>
      </c>
      <c r="BL13" s="31">
        <f t="shared" si="46"/>
        <v>0</v>
      </c>
      <c r="BM13" s="31">
        <f t="shared" si="47"/>
        <v>0</v>
      </c>
      <c r="BN13" s="33"/>
      <c r="BO13" s="37">
        <f t="shared" si="9"/>
        <v>-1</v>
      </c>
      <c r="BP13" s="36">
        <f>[1]RB!$M13</f>
        <v>500</v>
      </c>
      <c r="BQ13" s="31">
        <f t="shared" si="48"/>
        <v>438.55</v>
      </c>
      <c r="BR13" s="31">
        <f t="shared" si="49"/>
        <v>61.449999999999996</v>
      </c>
      <c r="BS13" s="31">
        <f t="shared" si="50"/>
        <v>0</v>
      </c>
      <c r="BT13" s="31">
        <f t="shared" si="51"/>
        <v>0</v>
      </c>
      <c r="BU13" s="33"/>
      <c r="BV13" s="37">
        <f t="shared" si="10"/>
        <v>-1</v>
      </c>
      <c r="BW13" s="36">
        <f>[1]RB!$N13</f>
        <v>500</v>
      </c>
      <c r="BX13" s="31">
        <f t="shared" si="52"/>
        <v>438.55</v>
      </c>
      <c r="BY13" s="31">
        <f t="shared" si="53"/>
        <v>61.449999999999996</v>
      </c>
      <c r="BZ13" s="31">
        <f t="shared" si="54"/>
        <v>0</v>
      </c>
      <c r="CA13" s="31">
        <f t="shared" si="55"/>
        <v>0</v>
      </c>
      <c r="CB13" s="33"/>
      <c r="CC13" s="37">
        <f t="shared" si="11"/>
        <v>-1</v>
      </c>
      <c r="CD13" s="36">
        <f>[1]RB!$O13</f>
        <v>500</v>
      </c>
      <c r="CE13" s="31">
        <f t="shared" si="56"/>
        <v>438.55</v>
      </c>
      <c r="CF13" s="31">
        <f t="shared" si="57"/>
        <v>61.449999999999996</v>
      </c>
      <c r="CG13" s="31">
        <f t="shared" si="58"/>
        <v>0</v>
      </c>
      <c r="CH13" s="31">
        <f t="shared" si="59"/>
        <v>0</v>
      </c>
      <c r="CI13" s="33"/>
      <c r="CJ13" s="37">
        <f t="shared" si="12"/>
        <v>-1</v>
      </c>
      <c r="CK13" s="36">
        <f>[1]RB!$P13</f>
        <v>500</v>
      </c>
      <c r="CL13" s="31">
        <f t="shared" si="60"/>
        <v>438.55</v>
      </c>
      <c r="CM13" s="31">
        <f t="shared" si="61"/>
        <v>61.449999999999996</v>
      </c>
      <c r="CN13" s="31">
        <f t="shared" si="62"/>
        <v>0</v>
      </c>
      <c r="CO13" s="31">
        <f t="shared" si="63"/>
        <v>0</v>
      </c>
      <c r="CP13" s="33"/>
      <c r="CQ13" s="37">
        <f t="shared" si="13"/>
        <v>-1</v>
      </c>
      <c r="CR13" s="181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</row>
    <row r="14" spans="1:108" s="26" customFormat="1" ht="16" customHeight="1" x14ac:dyDescent="0.2">
      <c r="A14" s="184" t="s">
        <v>38</v>
      </c>
      <c r="B14" s="30">
        <f t="shared" si="0"/>
        <v>79941.84</v>
      </c>
      <c r="C14" s="31">
        <f t="shared" si="0"/>
        <v>70116.98786400001</v>
      </c>
      <c r="D14" s="32">
        <f t="shared" si="0"/>
        <v>9824.8521359999977</v>
      </c>
      <c r="E14" s="30">
        <f t="shared" si="14"/>
        <v>26647.279999999999</v>
      </c>
      <c r="F14" s="33">
        <f t="shared" si="14"/>
        <v>23372.329288000001</v>
      </c>
      <c r="G14" s="34">
        <f t="shared" si="14"/>
        <v>3274.9507119999998</v>
      </c>
      <c r="H14" s="31">
        <f t="shared" si="1"/>
        <v>23347.521288</v>
      </c>
      <c r="I14" s="33">
        <f t="shared" si="1"/>
        <v>687.39871199999993</v>
      </c>
      <c r="J14" s="33">
        <f t="shared" si="1"/>
        <v>24034.920000000002</v>
      </c>
      <c r="K14" s="37">
        <f t="shared" si="15"/>
        <v>-9.8034771278719512E-2</v>
      </c>
      <c r="L14" s="36">
        <f>[1]RB!$E14</f>
        <v>6661.82</v>
      </c>
      <c r="M14" s="31">
        <f t="shared" si="16"/>
        <v>5843.0823220000002</v>
      </c>
      <c r="N14" s="31">
        <f t="shared" si="17"/>
        <v>818.73767799999996</v>
      </c>
      <c r="O14" s="31">
        <f t="shared" si="18"/>
        <v>3534.9148859999996</v>
      </c>
      <c r="P14" s="31">
        <f t="shared" si="19"/>
        <v>104.075114</v>
      </c>
      <c r="Q14" s="33">
        <f>3638.99</f>
        <v>3638.99</v>
      </c>
      <c r="R14" s="37">
        <f t="shared" si="2"/>
        <v>-0.45375437943384844</v>
      </c>
      <c r="S14" s="36">
        <f>[1]RB!$F14</f>
        <v>6661.82</v>
      </c>
      <c r="T14" s="31">
        <f t="shared" si="20"/>
        <v>5843.0823220000002</v>
      </c>
      <c r="U14" s="31">
        <f t="shared" si="21"/>
        <v>818.73767799999996</v>
      </c>
      <c r="V14" s="31">
        <f t="shared" si="22"/>
        <v>11527.205526</v>
      </c>
      <c r="W14" s="31">
        <f t="shared" si="23"/>
        <v>339.38447400000001</v>
      </c>
      <c r="X14" s="33">
        <f>11866.59</f>
        <v>11866.59</v>
      </c>
      <c r="Y14" s="37">
        <f t="shared" si="3"/>
        <v>0.78128349309948342</v>
      </c>
      <c r="Z14" s="36">
        <f>[1]RB!$G14</f>
        <v>6661.82</v>
      </c>
      <c r="AA14" s="31">
        <f t="shared" si="24"/>
        <v>5843.0823220000002</v>
      </c>
      <c r="AB14" s="31">
        <f t="shared" si="25"/>
        <v>818.73767799999996</v>
      </c>
      <c r="AC14" s="31">
        <f t="shared" si="26"/>
        <v>4336.7084460000005</v>
      </c>
      <c r="AD14" s="31">
        <f t="shared" si="27"/>
        <v>127.68155400000001</v>
      </c>
      <c r="AE14" s="33">
        <f>4464.39</f>
        <v>4464.3900000000003</v>
      </c>
      <c r="AF14" s="37">
        <f t="shared" si="4"/>
        <v>-0.32985430407906535</v>
      </c>
      <c r="AG14" s="36">
        <f>[1]RB!$H14</f>
        <v>6661.82</v>
      </c>
      <c r="AH14" s="31">
        <f t="shared" si="28"/>
        <v>5843.0823220000002</v>
      </c>
      <c r="AI14" s="31">
        <f t="shared" si="29"/>
        <v>818.73767799999996</v>
      </c>
      <c r="AJ14" s="31">
        <f t="shared" si="30"/>
        <v>3948.6924299999996</v>
      </c>
      <c r="AK14" s="31">
        <f t="shared" si="31"/>
        <v>116.25757</v>
      </c>
      <c r="AL14" s="33">
        <f>4064.95</f>
        <v>4064.95</v>
      </c>
      <c r="AM14" s="37">
        <f t="shared" si="5"/>
        <v>-0.389813894701448</v>
      </c>
      <c r="AN14" s="36">
        <f>[1]RB!$I14</f>
        <v>6661.82</v>
      </c>
      <c r="AO14" s="31">
        <f t="shared" si="32"/>
        <v>5843.0823220000002</v>
      </c>
      <c r="AP14" s="31">
        <f t="shared" si="33"/>
        <v>818.73767799999996</v>
      </c>
      <c r="AQ14" s="31">
        <f t="shared" si="34"/>
        <v>0</v>
      </c>
      <c r="AR14" s="31">
        <f t="shared" si="35"/>
        <v>0</v>
      </c>
      <c r="AS14" s="33"/>
      <c r="AT14" s="37">
        <f t="shared" si="6"/>
        <v>-1</v>
      </c>
      <c r="AU14" s="36">
        <f>[1]RB!$J14</f>
        <v>6661.82</v>
      </c>
      <c r="AV14" s="31">
        <f t="shared" si="36"/>
        <v>5843.0823220000002</v>
      </c>
      <c r="AW14" s="31">
        <f t="shared" si="37"/>
        <v>818.73767799999996</v>
      </c>
      <c r="AX14" s="31">
        <f t="shared" si="38"/>
        <v>0</v>
      </c>
      <c r="AY14" s="31">
        <f t="shared" si="39"/>
        <v>0</v>
      </c>
      <c r="AZ14" s="27"/>
      <c r="BA14" s="37">
        <f t="shared" si="7"/>
        <v>-1</v>
      </c>
      <c r="BB14" s="36">
        <f>[1]RB!$K14</f>
        <v>6661.82</v>
      </c>
      <c r="BC14" s="31">
        <f t="shared" si="40"/>
        <v>5843.0823220000002</v>
      </c>
      <c r="BD14" s="31">
        <f t="shared" si="41"/>
        <v>818.73767799999996</v>
      </c>
      <c r="BE14" s="31">
        <f t="shared" si="42"/>
        <v>0</v>
      </c>
      <c r="BF14" s="31">
        <f t="shared" si="43"/>
        <v>0</v>
      </c>
      <c r="BG14" s="27"/>
      <c r="BH14" s="37">
        <f t="shared" si="8"/>
        <v>-1</v>
      </c>
      <c r="BI14" s="36">
        <f>[1]RB!$L14</f>
        <v>6661.82</v>
      </c>
      <c r="BJ14" s="31">
        <f t="shared" si="44"/>
        <v>5843.0823220000002</v>
      </c>
      <c r="BK14" s="31">
        <f t="shared" si="45"/>
        <v>818.73767799999996</v>
      </c>
      <c r="BL14" s="31">
        <f t="shared" si="46"/>
        <v>0</v>
      </c>
      <c r="BM14" s="31">
        <f t="shared" si="47"/>
        <v>0</v>
      </c>
      <c r="BN14" s="33"/>
      <c r="BO14" s="37">
        <f t="shared" si="9"/>
        <v>-1</v>
      </c>
      <c r="BP14" s="36">
        <f>[1]RB!$M14</f>
        <v>6661.82</v>
      </c>
      <c r="BQ14" s="31">
        <f t="shared" si="48"/>
        <v>5843.0823220000002</v>
      </c>
      <c r="BR14" s="31">
        <f t="shared" si="49"/>
        <v>818.73767799999996</v>
      </c>
      <c r="BS14" s="31">
        <f t="shared" si="50"/>
        <v>0</v>
      </c>
      <c r="BT14" s="31">
        <f t="shared" si="51"/>
        <v>0</v>
      </c>
      <c r="BU14" s="33"/>
      <c r="BV14" s="37">
        <f t="shared" si="10"/>
        <v>-1</v>
      </c>
      <c r="BW14" s="36">
        <f>[1]RB!$N14</f>
        <v>6661.82</v>
      </c>
      <c r="BX14" s="31">
        <f t="shared" si="52"/>
        <v>5843.0823220000002</v>
      </c>
      <c r="BY14" s="31">
        <f t="shared" si="53"/>
        <v>818.73767799999996</v>
      </c>
      <c r="BZ14" s="31">
        <f t="shared" si="54"/>
        <v>0</v>
      </c>
      <c r="CA14" s="31">
        <f t="shared" si="55"/>
        <v>0</v>
      </c>
      <c r="CB14" s="33"/>
      <c r="CC14" s="37">
        <f t="shared" si="11"/>
        <v>-1</v>
      </c>
      <c r="CD14" s="36">
        <f>[1]RB!$O14</f>
        <v>6661.82</v>
      </c>
      <c r="CE14" s="31">
        <f t="shared" si="56"/>
        <v>5843.0823220000002</v>
      </c>
      <c r="CF14" s="31">
        <f t="shared" si="57"/>
        <v>818.73767799999996</v>
      </c>
      <c r="CG14" s="31">
        <f t="shared" si="58"/>
        <v>0</v>
      </c>
      <c r="CH14" s="31">
        <f t="shared" si="59"/>
        <v>0</v>
      </c>
      <c r="CI14" s="33"/>
      <c r="CJ14" s="37">
        <f t="shared" si="12"/>
        <v>-1</v>
      </c>
      <c r="CK14" s="36">
        <f>[1]RB!$P14</f>
        <v>6661.82</v>
      </c>
      <c r="CL14" s="31">
        <f t="shared" si="60"/>
        <v>5843.0823220000002</v>
      </c>
      <c r="CM14" s="31">
        <f t="shared" si="61"/>
        <v>818.73767799999996</v>
      </c>
      <c r="CN14" s="31">
        <f t="shared" si="62"/>
        <v>0</v>
      </c>
      <c r="CO14" s="31">
        <f t="shared" si="63"/>
        <v>0</v>
      </c>
      <c r="CP14" s="33"/>
      <c r="CQ14" s="37">
        <f t="shared" si="13"/>
        <v>-1</v>
      </c>
      <c r="CR14" s="181"/>
      <c r="CS14" s="27">
        <f>5437.62</f>
        <v>5437.62</v>
      </c>
      <c r="CT14" s="27">
        <f>4963.62</f>
        <v>4963.62</v>
      </c>
      <c r="CU14" s="27">
        <f>4889.08</f>
        <v>4889.08</v>
      </c>
      <c r="CV14" s="27"/>
      <c r="CW14" s="27"/>
      <c r="CX14" s="27"/>
      <c r="CY14" s="27"/>
      <c r="CZ14" s="27"/>
      <c r="DA14" s="27"/>
      <c r="DB14" s="27"/>
      <c r="DC14" s="27"/>
      <c r="DD14" s="27"/>
    </row>
    <row r="15" spans="1:108" s="26" customFormat="1" ht="16" customHeight="1" x14ac:dyDescent="0.2">
      <c r="A15" s="183" t="s">
        <v>39</v>
      </c>
      <c r="B15" s="30">
        <f t="shared" si="0"/>
        <v>127725</v>
      </c>
      <c r="C15" s="31">
        <f t="shared" si="0"/>
        <v>112027.59750000003</v>
      </c>
      <c r="D15" s="32">
        <f t="shared" si="0"/>
        <v>15697.402499999997</v>
      </c>
      <c r="E15" s="30">
        <f t="shared" si="14"/>
        <v>42300</v>
      </c>
      <c r="F15" s="33">
        <f t="shared" si="14"/>
        <v>37101.33</v>
      </c>
      <c r="G15" s="34">
        <f t="shared" si="14"/>
        <v>5198.67</v>
      </c>
      <c r="H15" s="31">
        <f t="shared" si="1"/>
        <v>47309.132514000012</v>
      </c>
      <c r="I15" s="33">
        <f t="shared" si="1"/>
        <v>1392.8774860000005</v>
      </c>
      <c r="J15" s="33">
        <f t="shared" si="1"/>
        <v>48702.010000000017</v>
      </c>
      <c r="K15" s="37">
        <f t="shared" si="15"/>
        <v>0.15134775413711621</v>
      </c>
      <c r="L15" s="36">
        <f>[1]RB!$E15</f>
        <v>10575</v>
      </c>
      <c r="M15" s="40">
        <f t="shared" si="16"/>
        <v>9275.3325000000004</v>
      </c>
      <c r="N15" s="40">
        <f t="shared" si="17"/>
        <v>1299.6675</v>
      </c>
      <c r="O15" s="40">
        <f t="shared" si="18"/>
        <v>9203.8207200000015</v>
      </c>
      <c r="P15" s="40">
        <f t="shared" si="19"/>
        <v>270.97928000000002</v>
      </c>
      <c r="Q15" s="115">
        <f>725.95+15636.74-(11.15+6876.74)</f>
        <v>9474.8000000000011</v>
      </c>
      <c r="R15" s="37">
        <f t="shared" si="2"/>
        <v>-0.10403782505910153</v>
      </c>
      <c r="S15" s="36">
        <f>[1]RB!$F15</f>
        <v>10575</v>
      </c>
      <c r="T15" s="40">
        <f t="shared" si="20"/>
        <v>9275.3325000000004</v>
      </c>
      <c r="U15" s="40">
        <f t="shared" si="21"/>
        <v>1299.6675</v>
      </c>
      <c r="V15" s="40">
        <f t="shared" si="22"/>
        <v>9169.4234460000134</v>
      </c>
      <c r="W15" s="40">
        <f t="shared" si="23"/>
        <v>269.96655400000043</v>
      </c>
      <c r="X15" s="115">
        <f>734.38+92229.46-(25008.8+58515.65)</f>
        <v>9439.390000000014</v>
      </c>
      <c r="Y15" s="37">
        <f t="shared" si="3"/>
        <v>-0.10738628841607434</v>
      </c>
      <c r="Z15" s="36">
        <f>[1]RB!$G15</f>
        <v>10575</v>
      </c>
      <c r="AA15" s="40">
        <f t="shared" si="24"/>
        <v>9275.3325000000004</v>
      </c>
      <c r="AB15" s="40">
        <f t="shared" si="25"/>
        <v>1299.6675</v>
      </c>
      <c r="AC15" s="40">
        <f t="shared" si="26"/>
        <v>12721.386402</v>
      </c>
      <c r="AD15" s="40">
        <f t="shared" si="27"/>
        <v>374.54359800000003</v>
      </c>
      <c r="AE15" s="115">
        <f>725.95+12369.98</f>
        <v>13095.93</v>
      </c>
      <c r="AF15" s="37">
        <f t="shared" si="4"/>
        <v>0.23838581560283689</v>
      </c>
      <c r="AG15" s="36">
        <f>[1]RB!$H15</f>
        <v>10575</v>
      </c>
      <c r="AH15" s="40">
        <f t="shared" si="28"/>
        <v>9275.3325000000004</v>
      </c>
      <c r="AI15" s="40">
        <f t="shared" si="29"/>
        <v>1299.6675</v>
      </c>
      <c r="AJ15" s="40">
        <f t="shared" si="30"/>
        <v>16214.501946</v>
      </c>
      <c r="AK15" s="40">
        <f t="shared" si="31"/>
        <v>477.38805400000001</v>
      </c>
      <c r="AL15" s="115">
        <f>731.33+15960.56</f>
        <v>16691.89</v>
      </c>
      <c r="AM15" s="37">
        <f t="shared" si="5"/>
        <v>0.5784293144208037</v>
      </c>
      <c r="AN15" s="36">
        <f>[1]RB!$I15</f>
        <v>10575</v>
      </c>
      <c r="AO15" s="40">
        <f t="shared" si="32"/>
        <v>9275.3325000000004</v>
      </c>
      <c r="AP15" s="40">
        <f t="shared" si="33"/>
        <v>1299.6675</v>
      </c>
      <c r="AQ15" s="40">
        <f t="shared" si="34"/>
        <v>0</v>
      </c>
      <c r="AR15" s="40">
        <f t="shared" si="35"/>
        <v>0</v>
      </c>
      <c r="AS15" s="115"/>
      <c r="AT15" s="37">
        <f t="shared" si="6"/>
        <v>-1</v>
      </c>
      <c r="AU15" s="36">
        <f>[1]RB!$J15</f>
        <v>10575</v>
      </c>
      <c r="AV15" s="40">
        <f t="shared" si="36"/>
        <v>9275.3325000000004</v>
      </c>
      <c r="AW15" s="40">
        <f t="shared" si="37"/>
        <v>1299.6675</v>
      </c>
      <c r="AX15" s="40">
        <f t="shared" si="38"/>
        <v>0</v>
      </c>
      <c r="AY15" s="40">
        <f t="shared" si="39"/>
        <v>0</v>
      </c>
      <c r="AZ15" s="116"/>
      <c r="BA15" s="37">
        <f t="shared" si="7"/>
        <v>-1</v>
      </c>
      <c r="BB15" s="36">
        <f>[1]RB!$K15</f>
        <v>11400</v>
      </c>
      <c r="BC15" s="40">
        <f t="shared" si="40"/>
        <v>9998.94</v>
      </c>
      <c r="BD15" s="40">
        <f t="shared" si="41"/>
        <v>1401.06</v>
      </c>
      <c r="BE15" s="40">
        <f t="shared" si="42"/>
        <v>0</v>
      </c>
      <c r="BF15" s="40">
        <f t="shared" si="43"/>
        <v>0</v>
      </c>
      <c r="BG15" s="116"/>
      <c r="BH15" s="37">
        <f t="shared" si="8"/>
        <v>-1</v>
      </c>
      <c r="BI15" s="36">
        <f>[1]RB!$L15</f>
        <v>10575</v>
      </c>
      <c r="BJ15" s="40">
        <f t="shared" si="44"/>
        <v>9275.3325000000004</v>
      </c>
      <c r="BK15" s="40">
        <f t="shared" si="45"/>
        <v>1299.6675</v>
      </c>
      <c r="BL15" s="40">
        <f t="shared" si="46"/>
        <v>0</v>
      </c>
      <c r="BM15" s="40">
        <f t="shared" si="47"/>
        <v>0</v>
      </c>
      <c r="BN15" s="115"/>
      <c r="BO15" s="37">
        <f t="shared" si="9"/>
        <v>-1</v>
      </c>
      <c r="BP15" s="36">
        <f>[1]RB!$M15</f>
        <v>10575</v>
      </c>
      <c r="BQ15" s="40">
        <f t="shared" si="48"/>
        <v>9275.3325000000004</v>
      </c>
      <c r="BR15" s="40">
        <f t="shared" si="49"/>
        <v>1299.6675</v>
      </c>
      <c r="BS15" s="40">
        <f t="shared" si="50"/>
        <v>0</v>
      </c>
      <c r="BT15" s="40">
        <f t="shared" si="51"/>
        <v>0</v>
      </c>
      <c r="BU15" s="115"/>
      <c r="BV15" s="37">
        <f t="shared" si="10"/>
        <v>-1</v>
      </c>
      <c r="BW15" s="36">
        <f>[1]RB!$N15</f>
        <v>10575</v>
      </c>
      <c r="BX15" s="40">
        <f t="shared" si="52"/>
        <v>9275.3325000000004</v>
      </c>
      <c r="BY15" s="40">
        <f t="shared" si="53"/>
        <v>1299.6675</v>
      </c>
      <c r="BZ15" s="40">
        <f t="shared" si="54"/>
        <v>0</v>
      </c>
      <c r="CA15" s="40">
        <f t="shared" si="55"/>
        <v>0</v>
      </c>
      <c r="CB15" s="115"/>
      <c r="CC15" s="37">
        <f t="shared" si="11"/>
        <v>-1</v>
      </c>
      <c r="CD15" s="36">
        <f>[1]RB!$O15</f>
        <v>10575</v>
      </c>
      <c r="CE15" s="40">
        <f t="shared" si="56"/>
        <v>9275.3325000000004</v>
      </c>
      <c r="CF15" s="40">
        <f t="shared" si="57"/>
        <v>1299.6675</v>
      </c>
      <c r="CG15" s="40">
        <f t="shared" si="58"/>
        <v>0</v>
      </c>
      <c r="CH15" s="40">
        <f t="shared" si="59"/>
        <v>0</v>
      </c>
      <c r="CI15" s="115"/>
      <c r="CJ15" s="37">
        <f t="shared" si="12"/>
        <v>-1</v>
      </c>
      <c r="CK15" s="36">
        <f>[1]RB!$P15</f>
        <v>10575</v>
      </c>
      <c r="CL15" s="40">
        <f t="shared" si="60"/>
        <v>9275.3325000000004</v>
      </c>
      <c r="CM15" s="40">
        <f t="shared" si="61"/>
        <v>1299.6675</v>
      </c>
      <c r="CN15" s="40">
        <f t="shared" si="62"/>
        <v>0</v>
      </c>
      <c r="CO15" s="40">
        <f t="shared" si="63"/>
        <v>0</v>
      </c>
      <c r="CP15" s="115"/>
      <c r="CQ15" s="37">
        <f t="shared" si="13"/>
        <v>-1</v>
      </c>
      <c r="CR15" s="181"/>
      <c r="CS15" s="27">
        <f>1748.25+20645.69+19.78</f>
        <v>22413.719999999998</v>
      </c>
      <c r="CT15" s="27">
        <f>4971.13+(1268.78)+12139.99</f>
        <v>18379.900000000001</v>
      </c>
      <c r="CU15" s="27">
        <f>994.86+18324.72</f>
        <v>19319.580000000002</v>
      </c>
      <c r="CV15" s="27"/>
      <c r="CW15" s="27"/>
      <c r="CX15" s="27"/>
      <c r="CY15" s="27"/>
      <c r="CZ15" s="27"/>
      <c r="DA15" s="27"/>
      <c r="DB15" s="27"/>
      <c r="DC15" s="27"/>
      <c r="DD15" s="27"/>
    </row>
    <row r="16" spans="1:108" s="26" customFormat="1" ht="16" customHeight="1" x14ac:dyDescent="0.2">
      <c r="A16" s="182" t="s">
        <v>40</v>
      </c>
      <c r="B16" s="30">
        <f t="shared" si="0"/>
        <v>32499.999999999996</v>
      </c>
      <c r="C16" s="31">
        <f t="shared" si="0"/>
        <v>28505.750000000011</v>
      </c>
      <c r="D16" s="32">
        <f t="shared" si="0"/>
        <v>3994.2499999999995</v>
      </c>
      <c r="E16" s="30">
        <f t="shared" si="14"/>
        <v>10833.333333333334</v>
      </c>
      <c r="F16" s="33">
        <f t="shared" si="14"/>
        <v>9501.9166666666679</v>
      </c>
      <c r="G16" s="34">
        <f t="shared" si="14"/>
        <v>1331.4166666666667</v>
      </c>
      <c r="H16" s="31">
        <f t="shared" si="1"/>
        <v>15505.613082</v>
      </c>
      <c r="I16" s="33">
        <f t="shared" si="1"/>
        <v>456.51691799999998</v>
      </c>
      <c r="J16" s="33">
        <f t="shared" si="1"/>
        <v>15962.130000000001</v>
      </c>
      <c r="K16" s="37">
        <f t="shared" si="15"/>
        <v>0.47342738461538469</v>
      </c>
      <c r="L16" s="36">
        <f>[1]RB!$E16</f>
        <v>2708.3333333333335</v>
      </c>
      <c r="M16" s="31">
        <f t="shared" si="16"/>
        <v>2375.479166666667</v>
      </c>
      <c r="N16" s="31">
        <f t="shared" si="17"/>
        <v>332.85416666666669</v>
      </c>
      <c r="O16" s="31">
        <f t="shared" si="18"/>
        <v>3457.9314359999998</v>
      </c>
      <c r="P16" s="31">
        <f t="shared" si="19"/>
        <v>101.80856399999999</v>
      </c>
      <c r="Q16" s="33">
        <f>3559.74</f>
        <v>3559.74</v>
      </c>
      <c r="R16" s="37">
        <f t="shared" si="2"/>
        <v>0.31436553846153825</v>
      </c>
      <c r="S16" s="36">
        <f>[1]RB!$F16</f>
        <v>2708.3333333333335</v>
      </c>
      <c r="T16" s="31">
        <f t="shared" si="20"/>
        <v>2375.479166666667</v>
      </c>
      <c r="U16" s="31">
        <f t="shared" si="21"/>
        <v>332.85416666666669</v>
      </c>
      <c r="V16" s="31">
        <f t="shared" si="22"/>
        <v>2381.1928200000002</v>
      </c>
      <c r="W16" s="31">
        <f t="shared" si="23"/>
        <v>70.10718</v>
      </c>
      <c r="X16" s="33">
        <f>2451.3</f>
        <v>2451.3000000000002</v>
      </c>
      <c r="Y16" s="37">
        <f t="shared" si="3"/>
        <v>-9.4904615384615365E-2</v>
      </c>
      <c r="Z16" s="36">
        <f>[1]RB!$G16</f>
        <v>2708.3333333333335</v>
      </c>
      <c r="AA16" s="31">
        <f t="shared" si="24"/>
        <v>2375.479166666667</v>
      </c>
      <c r="AB16" s="31">
        <f t="shared" si="25"/>
        <v>332.85416666666669</v>
      </c>
      <c r="AC16" s="31">
        <f t="shared" si="26"/>
        <v>6453.0101999999997</v>
      </c>
      <c r="AD16" s="31">
        <f t="shared" si="27"/>
        <v>189.9898</v>
      </c>
      <c r="AE16" s="33">
        <f>6643</f>
        <v>6643</v>
      </c>
      <c r="AF16" s="37">
        <f t="shared" si="4"/>
        <v>1.4527999999999999</v>
      </c>
      <c r="AG16" s="36">
        <f>[1]RB!$H16</f>
        <v>2708.3333333333335</v>
      </c>
      <c r="AH16" s="31">
        <f t="shared" si="28"/>
        <v>2375.479166666667</v>
      </c>
      <c r="AI16" s="31">
        <f t="shared" si="29"/>
        <v>332.85416666666669</v>
      </c>
      <c r="AJ16" s="31">
        <f t="shared" si="30"/>
        <v>3213.4786260000001</v>
      </c>
      <c r="AK16" s="31">
        <f t="shared" si="31"/>
        <v>94.611374000000012</v>
      </c>
      <c r="AL16" s="33">
        <f>3308.09</f>
        <v>3308.09</v>
      </c>
      <c r="AM16" s="37">
        <f t="shared" si="5"/>
        <v>0.22144861538461535</v>
      </c>
      <c r="AN16" s="36">
        <f>[1]RB!$I16</f>
        <v>2708.3333333333335</v>
      </c>
      <c r="AO16" s="31">
        <f t="shared" si="32"/>
        <v>2375.479166666667</v>
      </c>
      <c r="AP16" s="31">
        <f t="shared" si="33"/>
        <v>332.85416666666669</v>
      </c>
      <c r="AQ16" s="31">
        <f t="shared" si="34"/>
        <v>0</v>
      </c>
      <c r="AR16" s="31">
        <f t="shared" si="35"/>
        <v>0</v>
      </c>
      <c r="AS16" s="33"/>
      <c r="AT16" s="37">
        <f t="shared" si="6"/>
        <v>-1</v>
      </c>
      <c r="AU16" s="36">
        <f>[1]RB!$J16</f>
        <v>2708.3333333333335</v>
      </c>
      <c r="AV16" s="31">
        <f t="shared" si="36"/>
        <v>2375.479166666667</v>
      </c>
      <c r="AW16" s="31">
        <f t="shared" si="37"/>
        <v>332.85416666666669</v>
      </c>
      <c r="AX16" s="31">
        <f t="shared" si="38"/>
        <v>0</v>
      </c>
      <c r="AY16" s="31">
        <f t="shared" si="39"/>
        <v>0</v>
      </c>
      <c r="AZ16" s="27"/>
      <c r="BA16" s="37">
        <f t="shared" si="7"/>
        <v>-1</v>
      </c>
      <c r="BB16" s="36">
        <f>[1]RB!$K16</f>
        <v>2708.3333333333335</v>
      </c>
      <c r="BC16" s="31">
        <f t="shared" si="40"/>
        <v>2375.479166666667</v>
      </c>
      <c r="BD16" s="31">
        <f t="shared" si="41"/>
        <v>332.85416666666669</v>
      </c>
      <c r="BE16" s="31">
        <f t="shared" si="42"/>
        <v>0</v>
      </c>
      <c r="BF16" s="31">
        <f t="shared" si="43"/>
        <v>0</v>
      </c>
      <c r="BG16" s="27"/>
      <c r="BH16" s="37">
        <f t="shared" si="8"/>
        <v>-1</v>
      </c>
      <c r="BI16" s="36">
        <f>[1]RB!$L16</f>
        <v>2708.3333333333335</v>
      </c>
      <c r="BJ16" s="31">
        <f t="shared" si="44"/>
        <v>2375.479166666667</v>
      </c>
      <c r="BK16" s="31">
        <f t="shared" si="45"/>
        <v>332.85416666666669</v>
      </c>
      <c r="BL16" s="31">
        <f t="shared" si="46"/>
        <v>0</v>
      </c>
      <c r="BM16" s="31">
        <f t="shared" si="47"/>
        <v>0</v>
      </c>
      <c r="BN16" s="33"/>
      <c r="BO16" s="37">
        <f t="shared" si="9"/>
        <v>-1</v>
      </c>
      <c r="BP16" s="36">
        <f>[1]RB!$M16</f>
        <v>2708.3333333333335</v>
      </c>
      <c r="BQ16" s="31">
        <f t="shared" si="48"/>
        <v>2375.479166666667</v>
      </c>
      <c r="BR16" s="31">
        <f t="shared" si="49"/>
        <v>332.85416666666669</v>
      </c>
      <c r="BS16" s="31">
        <f t="shared" si="50"/>
        <v>0</v>
      </c>
      <c r="BT16" s="31">
        <f t="shared" si="51"/>
        <v>0</v>
      </c>
      <c r="BU16" s="33"/>
      <c r="BV16" s="37">
        <f t="shared" si="10"/>
        <v>-1</v>
      </c>
      <c r="BW16" s="36">
        <f>[1]RB!$N16</f>
        <v>2708.3333333333335</v>
      </c>
      <c r="BX16" s="31">
        <f t="shared" si="52"/>
        <v>2375.479166666667</v>
      </c>
      <c r="BY16" s="31">
        <f t="shared" si="53"/>
        <v>332.85416666666669</v>
      </c>
      <c r="BZ16" s="31">
        <f t="shared" si="54"/>
        <v>0</v>
      </c>
      <c r="CA16" s="31">
        <f t="shared" si="55"/>
        <v>0</v>
      </c>
      <c r="CB16" s="33"/>
      <c r="CC16" s="37">
        <f t="shared" si="11"/>
        <v>-1</v>
      </c>
      <c r="CD16" s="36">
        <f>[1]RB!$O16</f>
        <v>2708.3333333333335</v>
      </c>
      <c r="CE16" s="31">
        <f t="shared" si="56"/>
        <v>2375.479166666667</v>
      </c>
      <c r="CF16" s="31">
        <f t="shared" si="57"/>
        <v>332.85416666666669</v>
      </c>
      <c r="CG16" s="31">
        <f t="shared" si="58"/>
        <v>0</v>
      </c>
      <c r="CH16" s="31">
        <f t="shared" si="59"/>
        <v>0</v>
      </c>
      <c r="CI16" s="33"/>
      <c r="CJ16" s="37">
        <f t="shared" si="12"/>
        <v>-1</v>
      </c>
      <c r="CK16" s="36">
        <f>[1]RB!$P16</f>
        <v>2708.3333333333335</v>
      </c>
      <c r="CL16" s="31">
        <f t="shared" si="60"/>
        <v>2375.479166666667</v>
      </c>
      <c r="CM16" s="31">
        <f t="shared" si="61"/>
        <v>332.85416666666669</v>
      </c>
      <c r="CN16" s="31">
        <f t="shared" si="62"/>
        <v>0</v>
      </c>
      <c r="CO16" s="31">
        <f t="shared" si="63"/>
        <v>0</v>
      </c>
      <c r="CP16" s="33"/>
      <c r="CQ16" s="37">
        <f t="shared" si="13"/>
        <v>-1</v>
      </c>
      <c r="CR16" s="181"/>
      <c r="CS16" s="27">
        <f>3294.43</f>
        <v>3294.43</v>
      </c>
      <c r="CT16" s="27">
        <f>3541.82</f>
        <v>3541.82</v>
      </c>
      <c r="CU16" s="27">
        <f>3207.4</f>
        <v>3207.4</v>
      </c>
      <c r="CV16" s="27"/>
      <c r="CW16" s="27"/>
      <c r="CX16" s="27"/>
      <c r="CY16" s="27"/>
      <c r="CZ16" s="27"/>
      <c r="DA16" s="27"/>
      <c r="DB16" s="27"/>
      <c r="DC16" s="27"/>
      <c r="DD16" s="27"/>
    </row>
    <row r="17" spans="1:108" s="26" customFormat="1" ht="16" customHeight="1" x14ac:dyDescent="0.2">
      <c r="A17" s="183" t="s">
        <v>41</v>
      </c>
      <c r="B17" s="30">
        <f t="shared" si="0"/>
        <v>686880</v>
      </c>
      <c r="C17" s="31">
        <f t="shared" si="0"/>
        <v>602462.44800000009</v>
      </c>
      <c r="D17" s="32">
        <f t="shared" si="0"/>
        <v>84417.552000000011</v>
      </c>
      <c r="E17" s="30">
        <f t="shared" si="14"/>
        <v>228960</v>
      </c>
      <c r="F17" s="33">
        <f t="shared" si="14"/>
        <v>200820.81599999999</v>
      </c>
      <c r="G17" s="34">
        <f t="shared" si="14"/>
        <v>28139.183999999997</v>
      </c>
      <c r="H17" s="31">
        <f t="shared" si="1"/>
        <v>201495.30663599999</v>
      </c>
      <c r="I17" s="33">
        <f t="shared" si="1"/>
        <v>5932.4333639999995</v>
      </c>
      <c r="J17" s="33">
        <f t="shared" si="1"/>
        <v>207427.74000000002</v>
      </c>
      <c r="K17" s="37">
        <f t="shared" si="15"/>
        <v>-9.4043763102725331E-2</v>
      </c>
      <c r="L17" s="36">
        <f>[1]RB!$E17</f>
        <v>57240</v>
      </c>
      <c r="M17" s="31">
        <f t="shared" si="16"/>
        <v>50205.203999999998</v>
      </c>
      <c r="N17" s="31">
        <f t="shared" si="17"/>
        <v>7034.7959999999994</v>
      </c>
      <c r="O17" s="31">
        <f t="shared" si="18"/>
        <v>42183.919260000002</v>
      </c>
      <c r="P17" s="31">
        <f t="shared" si="19"/>
        <v>1241.98074</v>
      </c>
      <c r="Q17" s="33">
        <f>43425.9</f>
        <v>43425.9</v>
      </c>
      <c r="R17" s="37">
        <f t="shared" si="2"/>
        <v>-0.24133647798742131</v>
      </c>
      <c r="S17" s="36">
        <f>[1]RB!$F17</f>
        <v>57240</v>
      </c>
      <c r="T17" s="31">
        <f t="shared" si="20"/>
        <v>50205.203999999998</v>
      </c>
      <c r="U17" s="31">
        <f t="shared" si="21"/>
        <v>7034.7959999999994</v>
      </c>
      <c r="V17" s="31">
        <f t="shared" si="22"/>
        <v>43802.475654000002</v>
      </c>
      <c r="W17" s="31">
        <f t="shared" si="23"/>
        <v>1289.6343460000001</v>
      </c>
      <c r="X17" s="33">
        <v>45092.11</v>
      </c>
      <c r="Y17" s="37">
        <f t="shared" si="3"/>
        <v>-0.21222728860936402</v>
      </c>
      <c r="Z17" s="36">
        <f>[1]RB!$G17</f>
        <v>57240</v>
      </c>
      <c r="AA17" s="31">
        <f t="shared" si="24"/>
        <v>50205.203999999998</v>
      </c>
      <c r="AB17" s="31">
        <f t="shared" si="25"/>
        <v>7034.7959999999994</v>
      </c>
      <c r="AC17" s="31">
        <f t="shared" si="26"/>
        <v>61132.611072</v>
      </c>
      <c r="AD17" s="31">
        <f t="shared" si="27"/>
        <v>1799.8689280000001</v>
      </c>
      <c r="AE17" s="27">
        <v>62932.480000000003</v>
      </c>
      <c r="AF17" s="37">
        <f t="shared" si="4"/>
        <v>9.9449336128581534E-2</v>
      </c>
      <c r="AG17" s="36">
        <f>[1]RB!$H17</f>
        <v>57240</v>
      </c>
      <c r="AH17" s="31">
        <f t="shared" si="28"/>
        <v>50205.203999999998</v>
      </c>
      <c r="AI17" s="31">
        <f t="shared" si="29"/>
        <v>7034.7959999999994</v>
      </c>
      <c r="AJ17" s="31">
        <f t="shared" si="30"/>
        <v>54376.300649999997</v>
      </c>
      <c r="AK17" s="31">
        <f t="shared" si="31"/>
        <v>1600.9493500000001</v>
      </c>
      <c r="AL17" s="33">
        <v>55977.25</v>
      </c>
      <c r="AM17" s="37">
        <f t="shared" si="5"/>
        <v>-2.2060621942697423E-2</v>
      </c>
      <c r="AN17" s="36">
        <f>[1]RB!$I17</f>
        <v>57240</v>
      </c>
      <c r="AO17" s="31">
        <f t="shared" si="32"/>
        <v>50205.203999999998</v>
      </c>
      <c r="AP17" s="31">
        <f t="shared" si="33"/>
        <v>7034.7959999999994</v>
      </c>
      <c r="AQ17" s="31">
        <f t="shared" si="34"/>
        <v>0</v>
      </c>
      <c r="AR17" s="31">
        <f t="shared" si="35"/>
        <v>0</v>
      </c>
      <c r="AS17" s="33"/>
      <c r="AT17" s="37">
        <f t="shared" si="6"/>
        <v>-1</v>
      </c>
      <c r="AU17" s="36">
        <f>[1]RB!$J17</f>
        <v>57240</v>
      </c>
      <c r="AV17" s="31">
        <f t="shared" si="36"/>
        <v>50205.203999999998</v>
      </c>
      <c r="AW17" s="31">
        <f t="shared" si="37"/>
        <v>7034.7959999999994</v>
      </c>
      <c r="AX17" s="31">
        <f t="shared" si="38"/>
        <v>0</v>
      </c>
      <c r="AY17" s="31">
        <f t="shared" si="39"/>
        <v>0</v>
      </c>
      <c r="AZ17" s="27"/>
      <c r="BA17" s="37">
        <f t="shared" si="7"/>
        <v>-1</v>
      </c>
      <c r="BB17" s="36">
        <f>[1]RB!$K17</f>
        <v>57240</v>
      </c>
      <c r="BC17" s="31">
        <f t="shared" si="40"/>
        <v>50205.203999999998</v>
      </c>
      <c r="BD17" s="31">
        <f t="shared" si="41"/>
        <v>7034.7959999999994</v>
      </c>
      <c r="BE17" s="31">
        <f t="shared" si="42"/>
        <v>0</v>
      </c>
      <c r="BF17" s="31">
        <f t="shared" si="43"/>
        <v>0</v>
      </c>
      <c r="BG17" s="27"/>
      <c r="BH17" s="37">
        <f t="shared" si="8"/>
        <v>-1</v>
      </c>
      <c r="BI17" s="36">
        <f>[1]RB!$L17</f>
        <v>57240</v>
      </c>
      <c r="BJ17" s="31">
        <f t="shared" si="44"/>
        <v>50205.203999999998</v>
      </c>
      <c r="BK17" s="31">
        <f t="shared" si="45"/>
        <v>7034.7959999999994</v>
      </c>
      <c r="BL17" s="31">
        <f t="shared" si="46"/>
        <v>0</v>
      </c>
      <c r="BM17" s="31">
        <f t="shared" si="47"/>
        <v>0</v>
      </c>
      <c r="BN17" s="33"/>
      <c r="BO17" s="37">
        <f t="shared" si="9"/>
        <v>-1</v>
      </c>
      <c r="BP17" s="36">
        <f>[1]RB!$M17</f>
        <v>57240</v>
      </c>
      <c r="BQ17" s="31">
        <f t="shared" si="48"/>
        <v>50205.203999999998</v>
      </c>
      <c r="BR17" s="31">
        <f t="shared" si="49"/>
        <v>7034.7959999999994</v>
      </c>
      <c r="BS17" s="31">
        <f t="shared" si="50"/>
        <v>0</v>
      </c>
      <c r="BT17" s="31">
        <f t="shared" si="51"/>
        <v>0</v>
      </c>
      <c r="BU17" s="33"/>
      <c r="BV17" s="37">
        <f t="shared" si="10"/>
        <v>-1</v>
      </c>
      <c r="BW17" s="36">
        <f>[1]RB!$N17</f>
        <v>57240</v>
      </c>
      <c r="BX17" s="31">
        <f t="shared" si="52"/>
        <v>50205.203999999998</v>
      </c>
      <c r="BY17" s="31">
        <f t="shared" si="53"/>
        <v>7034.7959999999994</v>
      </c>
      <c r="BZ17" s="31">
        <f t="shared" si="54"/>
        <v>0</v>
      </c>
      <c r="CA17" s="31">
        <f t="shared" si="55"/>
        <v>0</v>
      </c>
      <c r="CB17" s="33"/>
      <c r="CC17" s="37">
        <f t="shared" si="11"/>
        <v>-1</v>
      </c>
      <c r="CD17" s="36">
        <f>[1]RB!$O17</f>
        <v>57240</v>
      </c>
      <c r="CE17" s="31">
        <f t="shared" si="56"/>
        <v>50205.203999999998</v>
      </c>
      <c r="CF17" s="31">
        <f t="shared" si="57"/>
        <v>7034.7959999999994</v>
      </c>
      <c r="CG17" s="31">
        <f t="shared" si="58"/>
        <v>0</v>
      </c>
      <c r="CH17" s="31">
        <f t="shared" si="59"/>
        <v>0</v>
      </c>
      <c r="CI17" s="33"/>
      <c r="CJ17" s="37">
        <f t="shared" si="12"/>
        <v>-1</v>
      </c>
      <c r="CK17" s="36">
        <f>[1]RB!$P17</f>
        <v>57240</v>
      </c>
      <c r="CL17" s="31">
        <f t="shared" si="60"/>
        <v>50205.203999999998</v>
      </c>
      <c r="CM17" s="31">
        <f t="shared" si="61"/>
        <v>7034.7959999999994</v>
      </c>
      <c r="CN17" s="31">
        <f t="shared" si="62"/>
        <v>0</v>
      </c>
      <c r="CO17" s="31">
        <f t="shared" si="63"/>
        <v>0</v>
      </c>
      <c r="CP17" s="33"/>
      <c r="CQ17" s="37">
        <f t="shared" si="13"/>
        <v>-1</v>
      </c>
      <c r="CR17" s="181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</row>
    <row r="18" spans="1:108" s="26" customFormat="1" ht="16" customHeight="1" x14ac:dyDescent="0.2">
      <c r="A18" s="183" t="s">
        <v>42</v>
      </c>
      <c r="B18" s="30">
        <f t="shared" si="0"/>
        <v>119691</v>
      </c>
      <c r="C18" s="31">
        <f t="shared" si="0"/>
        <v>104980.97610000003</v>
      </c>
      <c r="D18" s="32">
        <f t="shared" si="0"/>
        <v>14710.0239</v>
      </c>
      <c r="E18" s="30">
        <f t="shared" si="14"/>
        <v>39897</v>
      </c>
      <c r="F18" s="33">
        <f t="shared" si="14"/>
        <v>34993.6587</v>
      </c>
      <c r="G18" s="34">
        <f t="shared" si="14"/>
        <v>4903.3413</v>
      </c>
      <c r="H18" s="31">
        <f t="shared" si="1"/>
        <v>34726.471746000003</v>
      </c>
      <c r="I18" s="33">
        <f t="shared" si="1"/>
        <v>1022.4182539999999</v>
      </c>
      <c r="J18" s="33">
        <f t="shared" si="1"/>
        <v>35748.89</v>
      </c>
      <c r="K18" s="37">
        <f t="shared" si="15"/>
        <v>-0.10397047397047399</v>
      </c>
      <c r="L18" s="36">
        <f>[1]RB!$E18</f>
        <v>9974.25</v>
      </c>
      <c r="M18" s="31">
        <f t="shared" si="16"/>
        <v>8748.414675</v>
      </c>
      <c r="N18" s="31">
        <f t="shared" si="17"/>
        <v>1225.835325</v>
      </c>
      <c r="O18" s="31">
        <f t="shared" si="18"/>
        <v>13005.210054000001</v>
      </c>
      <c r="P18" s="31">
        <f t="shared" si="19"/>
        <v>382.899946</v>
      </c>
      <c r="Q18" s="33">
        <v>13388.11</v>
      </c>
      <c r="R18" s="37">
        <f t="shared" si="2"/>
        <v>0.3422673383963708</v>
      </c>
      <c r="S18" s="36">
        <f>[1]RB!$F18</f>
        <v>9974.25</v>
      </c>
      <c r="T18" s="31">
        <f t="shared" si="20"/>
        <v>8748.414675</v>
      </c>
      <c r="U18" s="31">
        <f t="shared" si="21"/>
        <v>1225.835325</v>
      </c>
      <c r="V18" s="31">
        <f t="shared" si="22"/>
        <v>0</v>
      </c>
      <c r="W18" s="31">
        <f t="shared" si="23"/>
        <v>0</v>
      </c>
      <c r="X18" s="33"/>
      <c r="Y18" s="37">
        <f t="shared" si="3"/>
        <v>-1</v>
      </c>
      <c r="Z18" s="36">
        <f>[1]RB!$G18</f>
        <v>9974.25</v>
      </c>
      <c r="AA18" s="31">
        <f t="shared" si="24"/>
        <v>8748.414675</v>
      </c>
      <c r="AB18" s="31">
        <f t="shared" si="25"/>
        <v>1225.835325</v>
      </c>
      <c r="AC18" s="31">
        <f t="shared" si="26"/>
        <v>21721.261692</v>
      </c>
      <c r="AD18" s="31">
        <f t="shared" si="27"/>
        <v>639.51830799999993</v>
      </c>
      <c r="AE18" s="27">
        <v>22360.78</v>
      </c>
      <c r="AF18" s="37">
        <f t="shared" si="4"/>
        <v>1.2418507657217335</v>
      </c>
      <c r="AG18" s="36">
        <f>[1]RB!$H18</f>
        <v>9974.25</v>
      </c>
      <c r="AH18" s="31">
        <f t="shared" si="28"/>
        <v>8748.414675</v>
      </c>
      <c r="AI18" s="31">
        <f t="shared" si="29"/>
        <v>1225.835325</v>
      </c>
      <c r="AJ18" s="31">
        <f t="shared" si="30"/>
        <v>0</v>
      </c>
      <c r="AK18" s="31">
        <f t="shared" si="31"/>
        <v>0</v>
      </c>
      <c r="AL18" s="33"/>
      <c r="AM18" s="37">
        <f t="shared" si="5"/>
        <v>-1</v>
      </c>
      <c r="AN18" s="36">
        <f>[1]RB!$I18</f>
        <v>9974.25</v>
      </c>
      <c r="AO18" s="31">
        <f t="shared" si="32"/>
        <v>8748.414675</v>
      </c>
      <c r="AP18" s="31">
        <f t="shared" si="33"/>
        <v>1225.835325</v>
      </c>
      <c r="AQ18" s="31">
        <f t="shared" si="34"/>
        <v>0</v>
      </c>
      <c r="AR18" s="31">
        <f t="shared" si="35"/>
        <v>0</v>
      </c>
      <c r="AS18" s="33"/>
      <c r="AT18" s="37">
        <f t="shared" si="6"/>
        <v>-1</v>
      </c>
      <c r="AU18" s="36">
        <f>[1]RB!$J18</f>
        <v>9974.25</v>
      </c>
      <c r="AV18" s="31">
        <f t="shared" si="36"/>
        <v>8748.414675</v>
      </c>
      <c r="AW18" s="31">
        <f t="shared" si="37"/>
        <v>1225.835325</v>
      </c>
      <c r="AX18" s="31">
        <f t="shared" si="38"/>
        <v>0</v>
      </c>
      <c r="AY18" s="31">
        <f t="shared" si="39"/>
        <v>0</v>
      </c>
      <c r="AZ18" s="27"/>
      <c r="BA18" s="37">
        <f t="shared" si="7"/>
        <v>-1</v>
      </c>
      <c r="BB18" s="36">
        <f>[1]RB!$K18</f>
        <v>9974.25</v>
      </c>
      <c r="BC18" s="31">
        <f t="shared" si="40"/>
        <v>8748.414675</v>
      </c>
      <c r="BD18" s="31">
        <f t="shared" si="41"/>
        <v>1225.835325</v>
      </c>
      <c r="BE18" s="31">
        <f t="shared" si="42"/>
        <v>0</v>
      </c>
      <c r="BF18" s="31">
        <f t="shared" si="43"/>
        <v>0</v>
      </c>
      <c r="BG18" s="27"/>
      <c r="BH18" s="37">
        <f t="shared" si="8"/>
        <v>-1</v>
      </c>
      <c r="BI18" s="36">
        <f>[1]RB!$L18</f>
        <v>9974.25</v>
      </c>
      <c r="BJ18" s="31">
        <f t="shared" si="44"/>
        <v>8748.414675</v>
      </c>
      <c r="BK18" s="31">
        <f t="shared" si="45"/>
        <v>1225.835325</v>
      </c>
      <c r="BL18" s="31">
        <f t="shared" si="46"/>
        <v>0</v>
      </c>
      <c r="BM18" s="31">
        <f t="shared" si="47"/>
        <v>0</v>
      </c>
      <c r="BN18" s="33"/>
      <c r="BO18" s="37">
        <f t="shared" si="9"/>
        <v>-1</v>
      </c>
      <c r="BP18" s="36">
        <f>[1]RB!$M18</f>
        <v>9974.25</v>
      </c>
      <c r="BQ18" s="31">
        <f t="shared" si="48"/>
        <v>8748.414675</v>
      </c>
      <c r="BR18" s="31">
        <f t="shared" si="49"/>
        <v>1225.835325</v>
      </c>
      <c r="BS18" s="31">
        <f t="shared" si="50"/>
        <v>0</v>
      </c>
      <c r="BT18" s="31">
        <f t="shared" si="51"/>
        <v>0</v>
      </c>
      <c r="BU18" s="33"/>
      <c r="BV18" s="37">
        <f t="shared" si="10"/>
        <v>-1</v>
      </c>
      <c r="BW18" s="36">
        <f>[1]RB!$N18</f>
        <v>9974.25</v>
      </c>
      <c r="BX18" s="31">
        <f t="shared" si="52"/>
        <v>8748.414675</v>
      </c>
      <c r="BY18" s="31">
        <f t="shared" si="53"/>
        <v>1225.835325</v>
      </c>
      <c r="BZ18" s="31">
        <f t="shared" si="54"/>
        <v>0</v>
      </c>
      <c r="CA18" s="31">
        <f t="shared" si="55"/>
        <v>0</v>
      </c>
      <c r="CB18" s="33"/>
      <c r="CC18" s="37">
        <f t="shared" si="11"/>
        <v>-1</v>
      </c>
      <c r="CD18" s="36">
        <f>[1]RB!$O18</f>
        <v>9974.25</v>
      </c>
      <c r="CE18" s="31">
        <f t="shared" si="56"/>
        <v>8748.414675</v>
      </c>
      <c r="CF18" s="31">
        <f t="shared" si="57"/>
        <v>1225.835325</v>
      </c>
      <c r="CG18" s="31">
        <f t="shared" si="58"/>
        <v>0</v>
      </c>
      <c r="CH18" s="31">
        <f t="shared" si="59"/>
        <v>0</v>
      </c>
      <c r="CI18" s="33"/>
      <c r="CJ18" s="37">
        <f t="shared" si="12"/>
        <v>-1</v>
      </c>
      <c r="CK18" s="36">
        <f>[1]RB!$P18</f>
        <v>9974.25</v>
      </c>
      <c r="CL18" s="31">
        <f t="shared" si="60"/>
        <v>8748.414675</v>
      </c>
      <c r="CM18" s="31">
        <f t="shared" si="61"/>
        <v>1225.835325</v>
      </c>
      <c r="CN18" s="31">
        <f t="shared" si="62"/>
        <v>0</v>
      </c>
      <c r="CO18" s="31">
        <f t="shared" si="63"/>
        <v>0</v>
      </c>
      <c r="CP18" s="33"/>
      <c r="CQ18" s="37">
        <f t="shared" si="13"/>
        <v>-1</v>
      </c>
      <c r="CR18" s="181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</row>
    <row r="19" spans="1:108" s="26" customFormat="1" ht="16" customHeight="1" x14ac:dyDescent="0.2">
      <c r="A19" s="183" t="s">
        <v>43</v>
      </c>
      <c r="B19" s="30">
        <f t="shared" si="0"/>
        <v>30000</v>
      </c>
      <c r="C19" s="31">
        <f t="shared" si="0"/>
        <v>26313</v>
      </c>
      <c r="D19" s="32">
        <f t="shared" si="0"/>
        <v>3687</v>
      </c>
      <c r="E19" s="30">
        <f t="shared" si="14"/>
        <v>10000</v>
      </c>
      <c r="F19" s="33">
        <f t="shared" si="14"/>
        <v>8771</v>
      </c>
      <c r="G19" s="34">
        <f t="shared" si="14"/>
        <v>1229</v>
      </c>
      <c r="H19" s="31">
        <f t="shared" si="1"/>
        <v>11702.212950000001</v>
      </c>
      <c r="I19" s="33">
        <f t="shared" si="1"/>
        <v>344.53705000000002</v>
      </c>
      <c r="J19" s="33">
        <f t="shared" si="1"/>
        <v>12046.75</v>
      </c>
      <c r="K19" s="37">
        <f t="shared" si="15"/>
        <v>0.20467499999999994</v>
      </c>
      <c r="L19" s="36">
        <f>[1]RB!$E19</f>
        <v>2500</v>
      </c>
      <c r="M19" s="31">
        <f t="shared" si="16"/>
        <v>2192.75</v>
      </c>
      <c r="N19" s="31">
        <f t="shared" si="17"/>
        <v>307.25</v>
      </c>
      <c r="O19" s="31">
        <f t="shared" si="18"/>
        <v>2476.3317359999996</v>
      </c>
      <c r="P19" s="31">
        <f t="shared" si="19"/>
        <v>72.908263999999988</v>
      </c>
      <c r="Q19" s="33">
        <v>2549.2399999999998</v>
      </c>
      <c r="R19" s="37">
        <f t="shared" si="2"/>
        <v>1.9695999999999936E-2</v>
      </c>
      <c r="S19" s="36">
        <f>[1]RB!$F19</f>
        <v>2500</v>
      </c>
      <c r="T19" s="31">
        <f t="shared" si="20"/>
        <v>2192.75</v>
      </c>
      <c r="U19" s="31">
        <f t="shared" si="21"/>
        <v>307.25</v>
      </c>
      <c r="V19" s="31">
        <f t="shared" si="22"/>
        <v>2490.4850339999998</v>
      </c>
      <c r="W19" s="31">
        <f t="shared" si="23"/>
        <v>73.324966000000003</v>
      </c>
      <c r="X19" s="33">
        <v>2563.81</v>
      </c>
      <c r="Y19" s="37">
        <f t="shared" si="3"/>
        <v>2.552399999999988E-2</v>
      </c>
      <c r="Z19" s="36">
        <f>[1]RB!$G19</f>
        <v>2500</v>
      </c>
      <c r="AA19" s="31">
        <f t="shared" si="24"/>
        <v>2192.75</v>
      </c>
      <c r="AB19" s="31">
        <f t="shared" si="25"/>
        <v>307.25</v>
      </c>
      <c r="AC19" s="31">
        <f t="shared" si="26"/>
        <v>3518.1970920000003</v>
      </c>
      <c r="AD19" s="31">
        <f t="shared" si="27"/>
        <v>103.582908</v>
      </c>
      <c r="AE19" s="27">
        <v>3621.78</v>
      </c>
      <c r="AF19" s="37">
        <f t="shared" si="4"/>
        <v>0.448712</v>
      </c>
      <c r="AG19" s="36">
        <f>[1]RB!$H19</f>
        <v>2500</v>
      </c>
      <c r="AH19" s="31">
        <f t="shared" si="28"/>
        <v>2192.75</v>
      </c>
      <c r="AI19" s="31">
        <f t="shared" si="29"/>
        <v>307.25</v>
      </c>
      <c r="AJ19" s="31">
        <f t="shared" si="30"/>
        <v>3217.1990880000003</v>
      </c>
      <c r="AK19" s="31">
        <f t="shared" si="31"/>
        <v>94.720911999999998</v>
      </c>
      <c r="AL19" s="33">
        <v>3311.92</v>
      </c>
      <c r="AM19" s="37">
        <f t="shared" si="5"/>
        <v>0.32476799999999995</v>
      </c>
      <c r="AN19" s="36">
        <f>[1]RB!$I19</f>
        <v>2500</v>
      </c>
      <c r="AO19" s="31">
        <f t="shared" si="32"/>
        <v>2192.75</v>
      </c>
      <c r="AP19" s="31">
        <f t="shared" si="33"/>
        <v>307.25</v>
      </c>
      <c r="AQ19" s="31">
        <f t="shared" si="34"/>
        <v>0</v>
      </c>
      <c r="AR19" s="31">
        <f t="shared" si="35"/>
        <v>0</v>
      </c>
      <c r="AS19" s="33"/>
      <c r="AT19" s="37">
        <f t="shared" si="6"/>
        <v>-1</v>
      </c>
      <c r="AU19" s="36">
        <f>[1]RB!$J19</f>
        <v>2500</v>
      </c>
      <c r="AV19" s="31">
        <f t="shared" si="36"/>
        <v>2192.75</v>
      </c>
      <c r="AW19" s="31">
        <f t="shared" si="37"/>
        <v>307.25</v>
      </c>
      <c r="AX19" s="31">
        <f t="shared" si="38"/>
        <v>0</v>
      </c>
      <c r="AY19" s="31">
        <f t="shared" si="39"/>
        <v>0</v>
      </c>
      <c r="AZ19" s="27"/>
      <c r="BA19" s="37">
        <f t="shared" si="7"/>
        <v>-1</v>
      </c>
      <c r="BB19" s="36">
        <f>[1]RB!$K19</f>
        <v>2500</v>
      </c>
      <c r="BC19" s="31">
        <f t="shared" si="40"/>
        <v>2192.75</v>
      </c>
      <c r="BD19" s="31">
        <f t="shared" si="41"/>
        <v>307.25</v>
      </c>
      <c r="BE19" s="31">
        <f t="shared" si="42"/>
        <v>0</v>
      </c>
      <c r="BF19" s="31">
        <f t="shared" si="43"/>
        <v>0</v>
      </c>
      <c r="BG19" s="27"/>
      <c r="BH19" s="37">
        <f t="shared" si="8"/>
        <v>-1</v>
      </c>
      <c r="BI19" s="36">
        <f>[1]RB!$L19</f>
        <v>2500</v>
      </c>
      <c r="BJ19" s="31">
        <f t="shared" si="44"/>
        <v>2192.75</v>
      </c>
      <c r="BK19" s="31">
        <f t="shared" si="45"/>
        <v>307.25</v>
      </c>
      <c r="BL19" s="31">
        <f t="shared" si="46"/>
        <v>0</v>
      </c>
      <c r="BM19" s="31">
        <f t="shared" si="47"/>
        <v>0</v>
      </c>
      <c r="BN19" s="33"/>
      <c r="BO19" s="37">
        <f t="shared" si="9"/>
        <v>-1</v>
      </c>
      <c r="BP19" s="36">
        <f>[1]RB!$M19</f>
        <v>2500</v>
      </c>
      <c r="BQ19" s="31">
        <f t="shared" si="48"/>
        <v>2192.75</v>
      </c>
      <c r="BR19" s="31">
        <f t="shared" si="49"/>
        <v>307.25</v>
      </c>
      <c r="BS19" s="31">
        <f t="shared" si="50"/>
        <v>0</v>
      </c>
      <c r="BT19" s="31">
        <f t="shared" si="51"/>
        <v>0</v>
      </c>
      <c r="BU19" s="33"/>
      <c r="BV19" s="37">
        <f t="shared" si="10"/>
        <v>-1</v>
      </c>
      <c r="BW19" s="36">
        <f>[1]RB!$N19</f>
        <v>2500</v>
      </c>
      <c r="BX19" s="31">
        <f t="shared" si="52"/>
        <v>2192.75</v>
      </c>
      <c r="BY19" s="31">
        <f t="shared" si="53"/>
        <v>307.25</v>
      </c>
      <c r="BZ19" s="31">
        <f t="shared" si="54"/>
        <v>0</v>
      </c>
      <c r="CA19" s="31">
        <f t="shared" si="55"/>
        <v>0</v>
      </c>
      <c r="CB19" s="33"/>
      <c r="CC19" s="37">
        <f t="shared" si="11"/>
        <v>-1</v>
      </c>
      <c r="CD19" s="36">
        <f>[1]RB!$O19</f>
        <v>2500</v>
      </c>
      <c r="CE19" s="31">
        <f t="shared" si="56"/>
        <v>2192.75</v>
      </c>
      <c r="CF19" s="31">
        <f t="shared" si="57"/>
        <v>307.25</v>
      </c>
      <c r="CG19" s="31">
        <f t="shared" si="58"/>
        <v>0</v>
      </c>
      <c r="CH19" s="31">
        <f t="shared" si="59"/>
        <v>0</v>
      </c>
      <c r="CI19" s="33"/>
      <c r="CJ19" s="37">
        <f t="shared" si="12"/>
        <v>-1</v>
      </c>
      <c r="CK19" s="36">
        <f>[1]RB!$P19</f>
        <v>2500</v>
      </c>
      <c r="CL19" s="31">
        <f t="shared" si="60"/>
        <v>2192.75</v>
      </c>
      <c r="CM19" s="31">
        <f t="shared" si="61"/>
        <v>307.25</v>
      </c>
      <c r="CN19" s="31">
        <f t="shared" si="62"/>
        <v>0</v>
      </c>
      <c r="CO19" s="31">
        <f t="shared" si="63"/>
        <v>0</v>
      </c>
      <c r="CP19" s="33"/>
      <c r="CQ19" s="37">
        <f t="shared" si="13"/>
        <v>-1</v>
      </c>
      <c r="CR19" s="181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</row>
    <row r="20" spans="1:108" s="26" customFormat="1" ht="16" customHeight="1" x14ac:dyDescent="0.2">
      <c r="A20" s="182" t="s">
        <v>44</v>
      </c>
      <c r="B20" s="30">
        <f t="shared" si="0"/>
        <v>882932.41279999993</v>
      </c>
      <c r="C20" s="31">
        <f t="shared" si="0"/>
        <v>774420.01926687977</v>
      </c>
      <c r="D20" s="32">
        <f t="shared" si="0"/>
        <v>108512.39353312</v>
      </c>
      <c r="E20" s="30">
        <f t="shared" si="14"/>
        <v>415717.67551999999</v>
      </c>
      <c r="F20" s="33">
        <f t="shared" si="14"/>
        <v>364625.97319859196</v>
      </c>
      <c r="G20" s="34">
        <f t="shared" si="14"/>
        <v>51091.702321407996</v>
      </c>
      <c r="H20" s="31">
        <f t="shared" si="1"/>
        <v>333153.01480800001</v>
      </c>
      <c r="I20" s="33">
        <f t="shared" si="1"/>
        <v>9808.7051919999994</v>
      </c>
      <c r="J20" s="33">
        <f t="shared" si="1"/>
        <v>342961.72000000003</v>
      </c>
      <c r="K20" s="37">
        <f t="shared" si="15"/>
        <v>-0.17501289890787841</v>
      </c>
      <c r="L20" s="36">
        <f>[1]RB!$E20</f>
        <v>0</v>
      </c>
      <c r="M20" s="31">
        <f t="shared" si="16"/>
        <v>0</v>
      </c>
      <c r="N20" s="31">
        <f t="shared" si="17"/>
        <v>0</v>
      </c>
      <c r="O20" s="31">
        <f t="shared" si="18"/>
        <v>0</v>
      </c>
      <c r="P20" s="31">
        <f t="shared" si="19"/>
        <v>0</v>
      </c>
      <c r="Q20" s="33"/>
      <c r="R20" s="37" t="str">
        <f t="shared" si="2"/>
        <v/>
      </c>
      <c r="S20" s="36">
        <f>[1]RB!$F20</f>
        <v>0</v>
      </c>
      <c r="T20" s="31">
        <f t="shared" si="20"/>
        <v>0</v>
      </c>
      <c r="U20" s="31">
        <f t="shared" si="21"/>
        <v>0</v>
      </c>
      <c r="V20" s="31">
        <f t="shared" si="22"/>
        <v>4507.0822920000001</v>
      </c>
      <c r="W20" s="31">
        <f t="shared" si="23"/>
        <v>132.69770800000001</v>
      </c>
      <c r="X20" s="33">
        <v>4639.78</v>
      </c>
      <c r="Y20" s="37" t="str">
        <f t="shared" si="3"/>
        <v/>
      </c>
      <c r="Z20" s="36">
        <f>[1]RB!$G20</f>
        <v>415717.67551999999</v>
      </c>
      <c r="AA20" s="31">
        <f t="shared" si="24"/>
        <v>364625.97319859196</v>
      </c>
      <c r="AB20" s="31">
        <f t="shared" si="25"/>
        <v>51091.702321407996</v>
      </c>
      <c r="AC20" s="31">
        <f t="shared" si="26"/>
        <v>267019.35483000003</v>
      </c>
      <c r="AD20" s="31">
        <f t="shared" si="27"/>
        <v>7861.5951700000005</v>
      </c>
      <c r="AE20" s="27">
        <v>274880.95</v>
      </c>
      <c r="AF20" s="37">
        <f t="shared" si="4"/>
        <v>-0.33877973878265943</v>
      </c>
      <c r="AG20" s="36">
        <f>[1]RB!$H20</f>
        <v>0</v>
      </c>
      <c r="AH20" s="31">
        <f t="shared" si="28"/>
        <v>0</v>
      </c>
      <c r="AI20" s="31">
        <f t="shared" si="29"/>
        <v>0</v>
      </c>
      <c r="AJ20" s="31">
        <f t="shared" si="30"/>
        <v>61626.577685999997</v>
      </c>
      <c r="AK20" s="31">
        <f t="shared" si="31"/>
        <v>1814.4123139999999</v>
      </c>
      <c r="AL20" s="33">
        <v>63440.99</v>
      </c>
      <c r="AM20" s="37" t="str">
        <f t="shared" si="5"/>
        <v/>
      </c>
      <c r="AN20" s="36">
        <f>[1]RB!$I20</f>
        <v>10408.13272</v>
      </c>
      <c r="AO20" s="31">
        <f t="shared" si="32"/>
        <v>9128.9732087119992</v>
      </c>
      <c r="AP20" s="31">
        <f t="shared" si="33"/>
        <v>1279.159511288</v>
      </c>
      <c r="AQ20" s="31">
        <f t="shared" si="34"/>
        <v>0</v>
      </c>
      <c r="AR20" s="31">
        <f t="shared" si="35"/>
        <v>0</v>
      </c>
      <c r="AS20" s="33"/>
      <c r="AT20" s="37">
        <f t="shared" si="6"/>
        <v>-1</v>
      </c>
      <c r="AU20" s="36">
        <f>[1]RB!$J20</f>
        <v>10408.13272</v>
      </c>
      <c r="AV20" s="31">
        <f t="shared" si="36"/>
        <v>9128.9732087119992</v>
      </c>
      <c r="AW20" s="31">
        <f t="shared" si="37"/>
        <v>1279.159511288</v>
      </c>
      <c r="AX20" s="31">
        <f t="shared" si="38"/>
        <v>0</v>
      </c>
      <c r="AY20" s="31">
        <f t="shared" si="39"/>
        <v>0</v>
      </c>
      <c r="AZ20" s="27"/>
      <c r="BA20" s="37">
        <f t="shared" si="7"/>
        <v>-1</v>
      </c>
      <c r="BB20" s="36">
        <f>[1]RB!$K20</f>
        <v>193074.13271999999</v>
      </c>
      <c r="BC20" s="31">
        <f t="shared" si="40"/>
        <v>169345.321808712</v>
      </c>
      <c r="BD20" s="31">
        <f t="shared" si="41"/>
        <v>23728.810911287997</v>
      </c>
      <c r="BE20" s="31">
        <f t="shared" si="42"/>
        <v>0</v>
      </c>
      <c r="BF20" s="31">
        <f t="shared" si="43"/>
        <v>0</v>
      </c>
      <c r="BG20" s="27"/>
      <c r="BH20" s="37">
        <f t="shared" si="8"/>
        <v>-1</v>
      </c>
      <c r="BI20" s="36">
        <f>[1]RB!$L20</f>
        <v>29025.808239999998</v>
      </c>
      <c r="BJ20" s="31">
        <f t="shared" si="44"/>
        <v>25458.536407304</v>
      </c>
      <c r="BK20" s="31">
        <f t="shared" si="45"/>
        <v>3567.2718326959998</v>
      </c>
      <c r="BL20" s="31">
        <f t="shared" si="46"/>
        <v>0</v>
      </c>
      <c r="BM20" s="31">
        <f t="shared" si="47"/>
        <v>0</v>
      </c>
      <c r="BN20" s="33"/>
      <c r="BO20" s="37">
        <f t="shared" si="9"/>
        <v>-1</v>
      </c>
      <c r="BP20" s="36">
        <f>[1]RB!$M20</f>
        <v>193074.13271999999</v>
      </c>
      <c r="BQ20" s="31">
        <f t="shared" si="48"/>
        <v>169345.321808712</v>
      </c>
      <c r="BR20" s="31">
        <f t="shared" si="49"/>
        <v>23728.810911287997</v>
      </c>
      <c r="BS20" s="31">
        <f t="shared" si="50"/>
        <v>0</v>
      </c>
      <c r="BT20" s="31">
        <f t="shared" si="51"/>
        <v>0</v>
      </c>
      <c r="BU20" s="33"/>
      <c r="BV20" s="37">
        <f t="shared" si="10"/>
        <v>-1</v>
      </c>
      <c r="BW20" s="36">
        <f>[1]RB!$N20</f>
        <v>10408.13272</v>
      </c>
      <c r="BX20" s="31">
        <f t="shared" si="52"/>
        <v>9128.9732087119992</v>
      </c>
      <c r="BY20" s="31">
        <f t="shared" si="53"/>
        <v>1279.159511288</v>
      </c>
      <c r="BZ20" s="31">
        <f t="shared" si="54"/>
        <v>0</v>
      </c>
      <c r="CA20" s="31">
        <f t="shared" si="55"/>
        <v>0</v>
      </c>
      <c r="CB20" s="33"/>
      <c r="CC20" s="37">
        <f t="shared" si="11"/>
        <v>-1</v>
      </c>
      <c r="CD20" s="36">
        <f>[1]RB!$O20</f>
        <v>10408.13272</v>
      </c>
      <c r="CE20" s="31">
        <f t="shared" si="56"/>
        <v>9128.9732087119992</v>
      </c>
      <c r="CF20" s="31">
        <f t="shared" si="57"/>
        <v>1279.159511288</v>
      </c>
      <c r="CG20" s="31">
        <f t="shared" si="58"/>
        <v>0</v>
      </c>
      <c r="CH20" s="31">
        <f t="shared" si="59"/>
        <v>0</v>
      </c>
      <c r="CI20" s="33"/>
      <c r="CJ20" s="37">
        <f t="shared" si="12"/>
        <v>-1</v>
      </c>
      <c r="CK20" s="36">
        <f>[1]RB!$P20</f>
        <v>10408.13272</v>
      </c>
      <c r="CL20" s="31">
        <f t="shared" si="60"/>
        <v>9128.9732087119992</v>
      </c>
      <c r="CM20" s="31">
        <f t="shared" si="61"/>
        <v>1279.159511288</v>
      </c>
      <c r="CN20" s="31">
        <f t="shared" si="62"/>
        <v>0</v>
      </c>
      <c r="CO20" s="31">
        <f t="shared" si="63"/>
        <v>0</v>
      </c>
      <c r="CP20" s="33"/>
      <c r="CQ20" s="37">
        <f t="shared" si="13"/>
        <v>-1</v>
      </c>
      <c r="CR20" s="181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</row>
    <row r="21" spans="1:108" s="26" customFormat="1" ht="16" customHeight="1" x14ac:dyDescent="0.2">
      <c r="A21" s="183" t="s">
        <v>45</v>
      </c>
      <c r="B21" s="30">
        <f t="shared" si="0"/>
        <v>107523.719999999</v>
      </c>
      <c r="C21" s="31">
        <f t="shared" si="0"/>
        <v>94309.054811999114</v>
      </c>
      <c r="D21" s="32">
        <f t="shared" si="0"/>
        <v>13214.665187999875</v>
      </c>
      <c r="E21" s="30">
        <f t="shared" si="14"/>
        <v>107523.719999999</v>
      </c>
      <c r="F21" s="33">
        <f t="shared" si="14"/>
        <v>94309.054811999114</v>
      </c>
      <c r="G21" s="34">
        <f t="shared" si="14"/>
        <v>13214.665187999875</v>
      </c>
      <c r="H21" s="31">
        <f t="shared" si="1"/>
        <v>60858.21</v>
      </c>
      <c r="I21" s="33">
        <f t="shared" si="1"/>
        <v>1791.79</v>
      </c>
      <c r="J21" s="33">
        <f t="shared" si="1"/>
        <v>62650</v>
      </c>
      <c r="K21" s="37">
        <f t="shared" si="15"/>
        <v>-0.41733786740264767</v>
      </c>
      <c r="L21" s="36">
        <f>[1]RB!$E21</f>
        <v>107523.719999999</v>
      </c>
      <c r="M21" s="31">
        <f t="shared" si="16"/>
        <v>94309.054811999114</v>
      </c>
      <c r="N21" s="31">
        <f t="shared" si="17"/>
        <v>13214.665187999875</v>
      </c>
      <c r="O21" s="31">
        <f t="shared" si="18"/>
        <v>55003.582199999997</v>
      </c>
      <c r="P21" s="31">
        <f t="shared" si="19"/>
        <v>1619.4177999999999</v>
      </c>
      <c r="Q21" s="33">
        <f>56623</f>
        <v>56623</v>
      </c>
      <c r="R21" s="37">
        <f t="shared" si="2"/>
        <v>-0.47339061557765549</v>
      </c>
      <c r="S21" s="36">
        <f>[1]RB!$F21</f>
        <v>0</v>
      </c>
      <c r="T21" s="31">
        <f t="shared" si="20"/>
        <v>0</v>
      </c>
      <c r="U21" s="31">
        <f t="shared" si="21"/>
        <v>0</v>
      </c>
      <c r="V21" s="31">
        <f t="shared" si="22"/>
        <v>5854.6278000000002</v>
      </c>
      <c r="W21" s="31">
        <f t="shared" si="23"/>
        <v>172.37219999999999</v>
      </c>
      <c r="X21" s="33">
        <v>6027</v>
      </c>
      <c r="Y21" s="37" t="str">
        <f t="shared" si="3"/>
        <v/>
      </c>
      <c r="Z21" s="36">
        <f>[1]RB!$G21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27"/>
      <c r="AF21" s="37" t="str">
        <f t="shared" si="4"/>
        <v/>
      </c>
      <c r="AG21" s="36">
        <f>[1]RB!$H21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33"/>
      <c r="AM21" s="37" t="str">
        <f t="shared" si="5"/>
        <v/>
      </c>
      <c r="AN21" s="36">
        <f>[1]RB!$I21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33"/>
      <c r="AT21" s="37" t="str">
        <f t="shared" si="6"/>
        <v/>
      </c>
      <c r="AU21" s="36">
        <f>[1]RB!$J21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27"/>
      <c r="BA21" s="37" t="str">
        <f t="shared" si="7"/>
        <v/>
      </c>
      <c r="BB21" s="36">
        <f>[1]RB!$K21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8"/>
        <v/>
      </c>
      <c r="BI21" s="36">
        <f>[1]RB!$L21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9"/>
        <v/>
      </c>
      <c r="BP21" s="36">
        <f>[1]RB!$M21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0"/>
        <v/>
      </c>
      <c r="BW21" s="36">
        <f>[1]RB!$N21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1"/>
        <v/>
      </c>
      <c r="CD21" s="36">
        <f>[1]RB!$O21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2"/>
        <v/>
      </c>
      <c r="CK21" s="36">
        <f>[1]RB!$P21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3"/>
        <v/>
      </c>
      <c r="CR21" s="181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</row>
    <row r="22" spans="1:108" s="26" customFormat="1" ht="16" customHeight="1" x14ac:dyDescent="0.2">
      <c r="A22" s="183" t="s">
        <v>46</v>
      </c>
      <c r="B22" s="30">
        <f t="shared" si="0"/>
        <v>263585.55199999997</v>
      </c>
      <c r="C22" s="31">
        <f t="shared" si="0"/>
        <v>231190.88765919997</v>
      </c>
      <c r="D22" s="32">
        <f t="shared" si="0"/>
        <v>32394.664340799991</v>
      </c>
      <c r="E22" s="30">
        <f t="shared" si="14"/>
        <v>87861.850666666665</v>
      </c>
      <c r="F22" s="33">
        <f t="shared" si="14"/>
        <v>77063.629219733339</v>
      </c>
      <c r="G22" s="34">
        <f t="shared" si="14"/>
        <v>10798.221446933332</v>
      </c>
      <c r="H22" s="31">
        <f t="shared" si="1"/>
        <v>60077.272398000001</v>
      </c>
      <c r="I22" s="33">
        <f t="shared" si="1"/>
        <v>1768.7976020000003</v>
      </c>
      <c r="J22" s="33">
        <f t="shared" si="1"/>
        <v>61846.070000000007</v>
      </c>
      <c r="K22" s="37">
        <f t="shared" si="15"/>
        <v>-0.2960987102965339</v>
      </c>
      <c r="L22" s="36">
        <f>[1]RB!$E22</f>
        <v>21965.462666666666</v>
      </c>
      <c r="M22" s="31">
        <f t="shared" si="16"/>
        <v>19265.907304933335</v>
      </c>
      <c r="N22" s="31">
        <f t="shared" si="17"/>
        <v>2699.555361733333</v>
      </c>
      <c r="O22" s="31">
        <f t="shared" si="18"/>
        <v>19716.9915</v>
      </c>
      <c r="P22" s="31">
        <f t="shared" si="19"/>
        <v>580.50850000000003</v>
      </c>
      <c r="Q22" s="33">
        <f>20297.5</f>
        <v>20297.5</v>
      </c>
      <c r="R22" s="37">
        <f t="shared" si="2"/>
        <v>-7.5935694684813315E-2</v>
      </c>
      <c r="S22" s="36">
        <f>[1]RB!$F22</f>
        <v>21965.462666666666</v>
      </c>
      <c r="T22" s="31">
        <f t="shared" si="20"/>
        <v>19265.907304933335</v>
      </c>
      <c r="U22" s="31">
        <f t="shared" si="21"/>
        <v>2699.555361733333</v>
      </c>
      <c r="V22" s="31">
        <f t="shared" si="22"/>
        <v>24362.32344</v>
      </c>
      <c r="W22" s="31">
        <f t="shared" si="23"/>
        <v>717.27656000000002</v>
      </c>
      <c r="X22" s="33">
        <v>25079.599999999999</v>
      </c>
      <c r="Y22" s="37">
        <f t="shared" si="3"/>
        <v>0.14177426538158655</v>
      </c>
      <c r="Z22" s="36">
        <f>[1]RB!$G22</f>
        <v>21965.462666666666</v>
      </c>
      <c r="AA22" s="31">
        <f t="shared" si="24"/>
        <v>19265.907304933335</v>
      </c>
      <c r="AB22" s="31">
        <f t="shared" si="25"/>
        <v>2699.555361733333</v>
      </c>
      <c r="AC22" s="31">
        <f t="shared" si="26"/>
        <v>9492.2293800000007</v>
      </c>
      <c r="AD22" s="31">
        <f t="shared" si="27"/>
        <v>279.47062</v>
      </c>
      <c r="AE22" s="27">
        <f>9771.7</f>
        <v>9771.7000000000007</v>
      </c>
      <c r="AF22" s="37">
        <f t="shared" si="4"/>
        <v>-0.55513343159263906</v>
      </c>
      <c r="AG22" s="36">
        <f>[1]RB!$H22</f>
        <v>21965.462666666666</v>
      </c>
      <c r="AH22" s="31">
        <f t="shared" si="28"/>
        <v>19265.907304933335</v>
      </c>
      <c r="AI22" s="31">
        <f t="shared" si="29"/>
        <v>2699.555361733333</v>
      </c>
      <c r="AJ22" s="31">
        <f t="shared" si="30"/>
        <v>6505.7280780000001</v>
      </c>
      <c r="AK22" s="31">
        <f t="shared" si="31"/>
        <v>191.54192200000003</v>
      </c>
      <c r="AL22" s="33">
        <v>6697.27</v>
      </c>
      <c r="AM22" s="37">
        <f t="shared" si="5"/>
        <v>-0.6950999802902702</v>
      </c>
      <c r="AN22" s="36">
        <f>[1]RB!$I22</f>
        <v>21965.462666666666</v>
      </c>
      <c r="AO22" s="31">
        <f t="shared" si="32"/>
        <v>19265.907304933335</v>
      </c>
      <c r="AP22" s="31">
        <f t="shared" si="33"/>
        <v>2699.555361733333</v>
      </c>
      <c r="AQ22" s="31">
        <f t="shared" si="34"/>
        <v>0</v>
      </c>
      <c r="AR22" s="31">
        <f t="shared" si="35"/>
        <v>0</v>
      </c>
      <c r="AS22" s="33"/>
      <c r="AT22" s="37">
        <f t="shared" si="6"/>
        <v>-1</v>
      </c>
      <c r="AU22" s="36">
        <f>[1]RB!$J22</f>
        <v>21965.462666666666</v>
      </c>
      <c r="AV22" s="31">
        <f t="shared" si="36"/>
        <v>19265.907304933335</v>
      </c>
      <c r="AW22" s="31">
        <f t="shared" si="37"/>
        <v>2699.555361733333</v>
      </c>
      <c r="AX22" s="31">
        <f t="shared" si="38"/>
        <v>0</v>
      </c>
      <c r="AY22" s="31">
        <f t="shared" si="39"/>
        <v>0</v>
      </c>
      <c r="AZ22" s="27"/>
      <c r="BA22" s="37">
        <f t="shared" si="7"/>
        <v>-1</v>
      </c>
      <c r="BB22" s="36">
        <f>[1]RB!$K22</f>
        <v>21965.462666666666</v>
      </c>
      <c r="BC22" s="31">
        <f t="shared" si="40"/>
        <v>19265.907304933335</v>
      </c>
      <c r="BD22" s="31">
        <f t="shared" si="41"/>
        <v>2699.555361733333</v>
      </c>
      <c r="BE22" s="31">
        <f t="shared" si="42"/>
        <v>0</v>
      </c>
      <c r="BF22" s="31">
        <f t="shared" si="43"/>
        <v>0</v>
      </c>
      <c r="BG22" s="27"/>
      <c r="BH22" s="37">
        <f t="shared" si="8"/>
        <v>-1</v>
      </c>
      <c r="BI22" s="36">
        <f>[1]RB!$L22</f>
        <v>21965.462666666666</v>
      </c>
      <c r="BJ22" s="31">
        <f t="shared" si="44"/>
        <v>19265.907304933335</v>
      </c>
      <c r="BK22" s="31">
        <f t="shared" si="45"/>
        <v>2699.555361733333</v>
      </c>
      <c r="BL22" s="31">
        <f t="shared" si="46"/>
        <v>0</v>
      </c>
      <c r="BM22" s="31">
        <f t="shared" si="47"/>
        <v>0</v>
      </c>
      <c r="BN22" s="33"/>
      <c r="BO22" s="37">
        <f t="shared" si="9"/>
        <v>-1</v>
      </c>
      <c r="BP22" s="36">
        <f>[1]RB!$M22</f>
        <v>21965.462666666666</v>
      </c>
      <c r="BQ22" s="31">
        <f t="shared" si="48"/>
        <v>19265.907304933335</v>
      </c>
      <c r="BR22" s="31">
        <f t="shared" si="49"/>
        <v>2699.555361733333</v>
      </c>
      <c r="BS22" s="31">
        <f t="shared" si="50"/>
        <v>0</v>
      </c>
      <c r="BT22" s="31">
        <f t="shared" si="51"/>
        <v>0</v>
      </c>
      <c r="BU22" s="33"/>
      <c r="BV22" s="37">
        <f t="shared" si="10"/>
        <v>-1</v>
      </c>
      <c r="BW22" s="36">
        <f>[1]RB!$N22</f>
        <v>21965.462666666666</v>
      </c>
      <c r="BX22" s="31">
        <f t="shared" si="52"/>
        <v>19265.907304933335</v>
      </c>
      <c r="BY22" s="31">
        <f t="shared" si="53"/>
        <v>2699.555361733333</v>
      </c>
      <c r="BZ22" s="31">
        <f t="shared" si="54"/>
        <v>0</v>
      </c>
      <c r="CA22" s="31">
        <f t="shared" si="55"/>
        <v>0</v>
      </c>
      <c r="CB22" s="33"/>
      <c r="CC22" s="37">
        <f t="shared" si="11"/>
        <v>-1</v>
      </c>
      <c r="CD22" s="36">
        <f>[1]RB!$O22</f>
        <v>21965.462666666666</v>
      </c>
      <c r="CE22" s="31">
        <f t="shared" si="56"/>
        <v>19265.907304933335</v>
      </c>
      <c r="CF22" s="31">
        <f t="shared" si="57"/>
        <v>2699.555361733333</v>
      </c>
      <c r="CG22" s="31">
        <f t="shared" si="58"/>
        <v>0</v>
      </c>
      <c r="CH22" s="31">
        <f t="shared" si="59"/>
        <v>0</v>
      </c>
      <c r="CI22" s="33"/>
      <c r="CJ22" s="37">
        <f t="shared" si="12"/>
        <v>-1</v>
      </c>
      <c r="CK22" s="36">
        <f>[1]RB!$P22</f>
        <v>21965.462666666666</v>
      </c>
      <c r="CL22" s="31">
        <f t="shared" si="60"/>
        <v>19265.907304933335</v>
      </c>
      <c r="CM22" s="31">
        <f t="shared" si="61"/>
        <v>2699.555361733333</v>
      </c>
      <c r="CN22" s="31">
        <f t="shared" si="62"/>
        <v>0</v>
      </c>
      <c r="CO22" s="31">
        <f t="shared" si="63"/>
        <v>0</v>
      </c>
      <c r="CP22" s="33"/>
      <c r="CQ22" s="37">
        <f t="shared" si="13"/>
        <v>-1</v>
      </c>
      <c r="CR22" s="181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</row>
    <row r="23" spans="1:108" s="26" customFormat="1" ht="16" customHeight="1" x14ac:dyDescent="0.2">
      <c r="A23" s="182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4"/>
        <v>0</v>
      </c>
      <c r="F23" s="33">
        <f t="shared" si="14"/>
        <v>0</v>
      </c>
      <c r="G23" s="34">
        <f t="shared" si="14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15"/>
        <v/>
      </c>
      <c r="L23" s="36">
        <f>[1]RB!$E23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2"/>
        <v/>
      </c>
      <c r="S23" s="36">
        <f>[1]RB!$F23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3"/>
        <v/>
      </c>
      <c r="Z23" s="36">
        <f>[1]RB!$G23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27"/>
      <c r="AF23" s="37" t="str">
        <f t="shared" si="4"/>
        <v/>
      </c>
      <c r="AG23" s="36">
        <f>[1]RB!$H23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33"/>
      <c r="AM23" s="37" t="str">
        <f t="shared" si="5"/>
        <v/>
      </c>
      <c r="AN23" s="36">
        <f>[1]RB!$I23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33"/>
      <c r="AT23" s="37" t="str">
        <f t="shared" si="6"/>
        <v/>
      </c>
      <c r="AU23" s="36">
        <f>[1]RB!$J23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27"/>
      <c r="BA23" s="37" t="str">
        <f t="shared" si="7"/>
        <v/>
      </c>
      <c r="BB23" s="36">
        <f>[1]RB!$K23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8"/>
        <v/>
      </c>
      <c r="BI23" s="36">
        <f>[1]RB!$L23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9"/>
        <v/>
      </c>
      <c r="BP23" s="36">
        <f>[1]RB!$M23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0"/>
        <v/>
      </c>
      <c r="BW23" s="36">
        <f>[1]RB!$N23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1"/>
        <v/>
      </c>
      <c r="CD23" s="36">
        <f>[1]RB!$O23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2"/>
        <v/>
      </c>
      <c r="CK23" s="36">
        <f>[1]RB!$P23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3"/>
        <v/>
      </c>
      <c r="CR23" s="181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</row>
    <row r="24" spans="1:108" s="26" customFormat="1" ht="16" customHeight="1" x14ac:dyDescent="0.2">
      <c r="A24" s="182" t="s">
        <v>48</v>
      </c>
      <c r="B24" s="30">
        <f t="shared" si="0"/>
        <v>249299.39813543158</v>
      </c>
      <c r="C24" s="31">
        <f t="shared" si="0"/>
        <v>218660.50210458701</v>
      </c>
      <c r="D24" s="32">
        <f t="shared" si="0"/>
        <v>30638.896030844542</v>
      </c>
      <c r="E24" s="30">
        <f t="shared" si="14"/>
        <v>84320.655862317202</v>
      </c>
      <c r="F24" s="33">
        <f t="shared" si="14"/>
        <v>73957.64725683842</v>
      </c>
      <c r="G24" s="34">
        <f t="shared" si="14"/>
        <v>10363.008605478784</v>
      </c>
      <c r="H24" s="31">
        <f t="shared" si="1"/>
        <v>112432.30335599999</v>
      </c>
      <c r="I24" s="33">
        <f t="shared" si="1"/>
        <v>3310.2366439999996</v>
      </c>
      <c r="J24" s="33">
        <f t="shared" si="1"/>
        <v>115742.53999999998</v>
      </c>
      <c r="K24" s="37">
        <f t="shared" si="15"/>
        <v>0.37264753003095619</v>
      </c>
      <c r="L24" s="36">
        <f>[1]RB!$E24</f>
        <v>21080.163965579301</v>
      </c>
      <c r="M24" s="31">
        <f t="shared" si="16"/>
        <v>18489.411814209605</v>
      </c>
      <c r="N24" s="31">
        <f t="shared" si="17"/>
        <v>2590.7521513696961</v>
      </c>
      <c r="O24" s="31">
        <f t="shared" si="18"/>
        <v>38520.235589999997</v>
      </c>
      <c r="P24" s="31">
        <f t="shared" si="19"/>
        <v>1134.1144099999999</v>
      </c>
      <c r="Q24" s="33">
        <v>39654.35</v>
      </c>
      <c r="R24" s="37">
        <f t="shared" si="2"/>
        <v>0.88112151616797263</v>
      </c>
      <c r="S24" s="36">
        <f>[1]RB!$F24</f>
        <v>21080.163965579301</v>
      </c>
      <c r="T24" s="31">
        <f t="shared" si="20"/>
        <v>18489.411814209605</v>
      </c>
      <c r="U24" s="31">
        <f t="shared" si="21"/>
        <v>2590.7521513696961</v>
      </c>
      <c r="V24" s="31">
        <f t="shared" si="22"/>
        <v>30941.945915999997</v>
      </c>
      <c r="W24" s="31">
        <f t="shared" si="23"/>
        <v>910.99408399999993</v>
      </c>
      <c r="X24" s="33">
        <v>31852.94</v>
      </c>
      <c r="Y24" s="37">
        <f t="shared" si="3"/>
        <v>0.51103853138955668</v>
      </c>
      <c r="Z24" s="36">
        <f>[1]RB!$G24</f>
        <v>21080.163965579301</v>
      </c>
      <c r="AA24" s="31">
        <f t="shared" si="24"/>
        <v>18489.411814209605</v>
      </c>
      <c r="AB24" s="31">
        <f t="shared" si="25"/>
        <v>2590.7521513696961</v>
      </c>
      <c r="AC24" s="31">
        <f t="shared" si="26"/>
        <v>30793.661706000003</v>
      </c>
      <c r="AD24" s="31">
        <f t="shared" si="27"/>
        <v>906.62829399999998</v>
      </c>
      <c r="AE24" s="27">
        <v>31700.29</v>
      </c>
      <c r="AF24" s="37">
        <f t="shared" si="4"/>
        <v>0.50379712661446807</v>
      </c>
      <c r="AG24" s="36">
        <f>[1]RB!$H24</f>
        <v>21080.163965579301</v>
      </c>
      <c r="AH24" s="31">
        <f t="shared" si="28"/>
        <v>18489.411814209605</v>
      </c>
      <c r="AI24" s="31">
        <f t="shared" si="29"/>
        <v>2590.7521513696961</v>
      </c>
      <c r="AJ24" s="31">
        <f t="shared" si="30"/>
        <v>12176.460143999999</v>
      </c>
      <c r="AK24" s="31">
        <f t="shared" si="31"/>
        <v>358.49985599999997</v>
      </c>
      <c r="AL24" s="33">
        <v>12534.96</v>
      </c>
      <c r="AM24" s="37">
        <f t="shared" si="5"/>
        <v>-0.40536705404817153</v>
      </c>
      <c r="AN24" s="36">
        <f>[1]RB!$I24</f>
        <v>21080.163965579301</v>
      </c>
      <c r="AO24" s="31">
        <f t="shared" si="32"/>
        <v>18489.411814209605</v>
      </c>
      <c r="AP24" s="31">
        <f t="shared" si="33"/>
        <v>2590.7521513696961</v>
      </c>
      <c r="AQ24" s="31">
        <f t="shared" si="34"/>
        <v>0</v>
      </c>
      <c r="AR24" s="31">
        <f t="shared" si="35"/>
        <v>0</v>
      </c>
      <c r="AS24" s="33"/>
      <c r="AT24" s="37">
        <f t="shared" si="6"/>
        <v>-1</v>
      </c>
      <c r="AU24" s="36">
        <f>[1]RB!$J24</f>
        <v>21080.163965579301</v>
      </c>
      <c r="AV24" s="31">
        <f t="shared" si="36"/>
        <v>18489.411814209605</v>
      </c>
      <c r="AW24" s="31">
        <f t="shared" si="37"/>
        <v>2590.7521513696961</v>
      </c>
      <c r="AX24" s="31">
        <f t="shared" si="38"/>
        <v>0</v>
      </c>
      <c r="AY24" s="31">
        <f t="shared" si="39"/>
        <v>0</v>
      </c>
      <c r="AZ24" s="27"/>
      <c r="BA24" s="37">
        <f t="shared" si="7"/>
        <v>-1</v>
      </c>
      <c r="BB24" s="36">
        <f>[1]RB!$K24</f>
        <v>17417.594514059299</v>
      </c>
      <c r="BC24" s="31">
        <f t="shared" si="40"/>
        <v>15276.972148281411</v>
      </c>
      <c r="BD24" s="31">
        <f t="shared" si="41"/>
        <v>2140.6223657778878</v>
      </c>
      <c r="BE24" s="31">
        <f t="shared" si="42"/>
        <v>0</v>
      </c>
      <c r="BF24" s="31">
        <f t="shared" si="43"/>
        <v>0</v>
      </c>
      <c r="BG24" s="27"/>
      <c r="BH24" s="37">
        <f t="shared" si="8"/>
        <v>-1</v>
      </c>
      <c r="BI24" s="36">
        <f>[1]RB!$L24</f>
        <v>21080.163965579301</v>
      </c>
      <c r="BJ24" s="31">
        <f t="shared" si="44"/>
        <v>18489.411814209605</v>
      </c>
      <c r="BK24" s="31">
        <f t="shared" si="45"/>
        <v>2590.7521513696961</v>
      </c>
      <c r="BL24" s="31">
        <f t="shared" si="46"/>
        <v>0</v>
      </c>
      <c r="BM24" s="31">
        <f t="shared" si="47"/>
        <v>0</v>
      </c>
      <c r="BN24" s="33"/>
      <c r="BO24" s="37">
        <f t="shared" si="9"/>
        <v>-1</v>
      </c>
      <c r="BP24" s="36">
        <f>[1]RB!$M24</f>
        <v>21080.163965579301</v>
      </c>
      <c r="BQ24" s="31">
        <f t="shared" si="48"/>
        <v>18489.411814209605</v>
      </c>
      <c r="BR24" s="31">
        <f t="shared" si="49"/>
        <v>2590.7521513696961</v>
      </c>
      <c r="BS24" s="31">
        <f t="shared" si="50"/>
        <v>0</v>
      </c>
      <c r="BT24" s="31">
        <f t="shared" si="51"/>
        <v>0</v>
      </c>
      <c r="BU24" s="33"/>
      <c r="BV24" s="37">
        <f t="shared" si="10"/>
        <v>-1</v>
      </c>
      <c r="BW24" s="36">
        <f>[1]RB!$N24</f>
        <v>21080.163965579301</v>
      </c>
      <c r="BX24" s="31">
        <f t="shared" si="52"/>
        <v>18489.411814209605</v>
      </c>
      <c r="BY24" s="31">
        <f t="shared" si="53"/>
        <v>2590.7521513696961</v>
      </c>
      <c r="BZ24" s="31">
        <f t="shared" si="54"/>
        <v>0</v>
      </c>
      <c r="CA24" s="31">
        <f t="shared" si="55"/>
        <v>0</v>
      </c>
      <c r="CB24" s="33"/>
      <c r="CC24" s="37">
        <f t="shared" si="11"/>
        <v>-1</v>
      </c>
      <c r="CD24" s="36">
        <f>[1]RB!$O24</f>
        <v>21080.163965579301</v>
      </c>
      <c r="CE24" s="31">
        <f t="shared" si="56"/>
        <v>18489.411814209605</v>
      </c>
      <c r="CF24" s="31">
        <f t="shared" si="57"/>
        <v>2590.7521513696961</v>
      </c>
      <c r="CG24" s="31">
        <f t="shared" si="58"/>
        <v>0</v>
      </c>
      <c r="CH24" s="31">
        <f t="shared" si="59"/>
        <v>0</v>
      </c>
      <c r="CI24" s="33"/>
      <c r="CJ24" s="37">
        <f t="shared" si="12"/>
        <v>-1</v>
      </c>
      <c r="CK24" s="36">
        <f>[1]RB!$P24</f>
        <v>21080.163965579301</v>
      </c>
      <c r="CL24" s="31">
        <f t="shared" si="60"/>
        <v>18489.411814209605</v>
      </c>
      <c r="CM24" s="31">
        <f t="shared" si="61"/>
        <v>2590.7521513696961</v>
      </c>
      <c r="CN24" s="31">
        <f t="shared" si="62"/>
        <v>0</v>
      </c>
      <c r="CO24" s="31">
        <f t="shared" si="63"/>
        <v>0</v>
      </c>
      <c r="CP24" s="33"/>
      <c r="CQ24" s="37">
        <f t="shared" si="13"/>
        <v>-1</v>
      </c>
      <c r="CR24" s="181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</row>
    <row r="25" spans="1:108" s="26" customFormat="1" ht="16" customHeight="1" x14ac:dyDescent="0.2">
      <c r="A25" s="182" t="s">
        <v>49</v>
      </c>
      <c r="B25" s="30">
        <f t="shared" si="0"/>
        <v>427606.11783599923</v>
      </c>
      <c r="C25" s="31">
        <f t="shared" si="0"/>
        <v>375053.32595395501</v>
      </c>
      <c r="D25" s="32">
        <f t="shared" si="0"/>
        <v>52552.791882044308</v>
      </c>
      <c r="E25" s="30">
        <f t="shared" si="14"/>
        <v>147552.3524519999</v>
      </c>
      <c r="F25" s="33">
        <f t="shared" si="14"/>
        <v>129418.16833564911</v>
      </c>
      <c r="G25" s="34">
        <f t="shared" si="14"/>
        <v>18134.184116350785</v>
      </c>
      <c r="H25" s="31">
        <f t="shared" si="1"/>
        <v>166729.31833799998</v>
      </c>
      <c r="I25" s="33">
        <f t="shared" si="1"/>
        <v>4908.851662</v>
      </c>
      <c r="J25" s="33">
        <f t="shared" si="1"/>
        <v>171638.17</v>
      </c>
      <c r="K25" s="37">
        <f t="shared" si="15"/>
        <v>0.1632357407235201</v>
      </c>
      <c r="L25" s="36">
        <f>[1]RB!$E25</f>
        <v>0</v>
      </c>
      <c r="M25" s="31">
        <f t="shared" si="16"/>
        <v>0</v>
      </c>
      <c r="N25" s="31">
        <f t="shared" si="17"/>
        <v>0</v>
      </c>
      <c r="O25" s="31">
        <f t="shared" si="18"/>
        <v>891.60920399999998</v>
      </c>
      <c r="P25" s="31">
        <f t="shared" si="19"/>
        <v>26.250796000000001</v>
      </c>
      <c r="Q25" s="33">
        <f>917.86</f>
        <v>917.86</v>
      </c>
      <c r="R25" s="37" t="str">
        <f t="shared" si="2"/>
        <v/>
      </c>
      <c r="S25" s="36">
        <f>[1]RB!$F25</f>
        <v>0</v>
      </c>
      <c r="T25" s="31">
        <f t="shared" si="20"/>
        <v>0</v>
      </c>
      <c r="U25" s="31">
        <f t="shared" si="21"/>
        <v>0</v>
      </c>
      <c r="V25" s="31">
        <f t="shared" si="22"/>
        <v>27724.853682000001</v>
      </c>
      <c r="W25" s="31">
        <f t="shared" si="23"/>
        <v>816.27631800000006</v>
      </c>
      <c r="X25" s="33">
        <v>28541.13</v>
      </c>
      <c r="Y25" s="37" t="str">
        <f t="shared" si="3"/>
        <v/>
      </c>
      <c r="Z25" s="36">
        <f>[1]RB!$G25</f>
        <v>64725.626069999897</v>
      </c>
      <c r="AA25" s="31">
        <f t="shared" si="24"/>
        <v>56770.846625996914</v>
      </c>
      <c r="AB25" s="31">
        <f t="shared" si="25"/>
        <v>7954.7794440029866</v>
      </c>
      <c r="AC25" s="31">
        <f t="shared" si="26"/>
        <v>71893.896840000001</v>
      </c>
      <c r="AD25" s="31">
        <f t="shared" si="27"/>
        <v>2116.70316</v>
      </c>
      <c r="AE25" s="27">
        <v>74010.600000000006</v>
      </c>
      <c r="AF25" s="37">
        <f t="shared" si="4"/>
        <v>0.14345128033151089</v>
      </c>
      <c r="AG25" s="36">
        <f>[1]RB!$H25</f>
        <v>82826.726381999993</v>
      </c>
      <c r="AH25" s="31">
        <f t="shared" si="28"/>
        <v>72647.321709652198</v>
      </c>
      <c r="AI25" s="31">
        <f t="shared" si="29"/>
        <v>10179.404672347799</v>
      </c>
      <c r="AJ25" s="31">
        <f t="shared" si="30"/>
        <v>66218.958612000002</v>
      </c>
      <c r="AK25" s="31">
        <f t="shared" si="31"/>
        <v>1949.621388</v>
      </c>
      <c r="AL25" s="33">
        <v>68168.58</v>
      </c>
      <c r="AM25" s="37">
        <f t="shared" si="5"/>
        <v>-0.17697362943449035</v>
      </c>
      <c r="AN25" s="36">
        <f>[1]RB!$I25</f>
        <v>82826.726381999993</v>
      </c>
      <c r="AO25" s="31">
        <f t="shared" si="32"/>
        <v>72647.321709652198</v>
      </c>
      <c r="AP25" s="31">
        <f t="shared" si="33"/>
        <v>10179.404672347799</v>
      </c>
      <c r="AQ25" s="31">
        <f t="shared" si="34"/>
        <v>0</v>
      </c>
      <c r="AR25" s="31">
        <f t="shared" si="35"/>
        <v>0</v>
      </c>
      <c r="AS25" s="33"/>
      <c r="AT25" s="37">
        <f t="shared" si="6"/>
        <v>-1</v>
      </c>
      <c r="AU25" s="36">
        <f>[1]RB!$J25</f>
        <v>86657.276945999998</v>
      </c>
      <c r="AV25" s="31">
        <f t="shared" si="36"/>
        <v>76007.097609336604</v>
      </c>
      <c r="AW25" s="31">
        <f t="shared" si="37"/>
        <v>10650.179336663399</v>
      </c>
      <c r="AX25" s="31">
        <f t="shared" si="38"/>
        <v>0</v>
      </c>
      <c r="AY25" s="31">
        <f t="shared" si="39"/>
        <v>0</v>
      </c>
      <c r="AZ25" s="27"/>
      <c r="BA25" s="37">
        <f t="shared" si="7"/>
        <v>-1</v>
      </c>
      <c r="BB25" s="36">
        <f>[1]RB!$K25</f>
        <v>23457.865145999898</v>
      </c>
      <c r="BC25" s="31">
        <f t="shared" si="40"/>
        <v>20574.89351955651</v>
      </c>
      <c r="BD25" s="31">
        <f t="shared" si="41"/>
        <v>2882.9716264433873</v>
      </c>
      <c r="BE25" s="31">
        <f t="shared" si="42"/>
        <v>0</v>
      </c>
      <c r="BF25" s="31">
        <f t="shared" si="43"/>
        <v>0</v>
      </c>
      <c r="BG25" s="27"/>
      <c r="BH25" s="37">
        <f t="shared" si="8"/>
        <v>-1</v>
      </c>
      <c r="BI25" s="36">
        <f>[1]RB!$L25</f>
        <v>23457.865145999898</v>
      </c>
      <c r="BJ25" s="31">
        <f t="shared" si="44"/>
        <v>20574.89351955651</v>
      </c>
      <c r="BK25" s="31">
        <f t="shared" si="45"/>
        <v>2882.9716264433873</v>
      </c>
      <c r="BL25" s="31">
        <f t="shared" si="46"/>
        <v>0</v>
      </c>
      <c r="BM25" s="31">
        <f t="shared" si="47"/>
        <v>0</v>
      </c>
      <c r="BN25" s="33"/>
      <c r="BO25" s="37">
        <f t="shared" si="9"/>
        <v>-1</v>
      </c>
      <c r="BP25" s="36">
        <f>[1]RB!$M25</f>
        <v>23457.865145999898</v>
      </c>
      <c r="BQ25" s="31">
        <f t="shared" si="48"/>
        <v>20574.89351955651</v>
      </c>
      <c r="BR25" s="31">
        <f t="shared" si="49"/>
        <v>2882.9716264433873</v>
      </c>
      <c r="BS25" s="31">
        <f t="shared" si="50"/>
        <v>0</v>
      </c>
      <c r="BT25" s="31">
        <f t="shared" si="51"/>
        <v>0</v>
      </c>
      <c r="BU25" s="33"/>
      <c r="BV25" s="37">
        <f t="shared" si="10"/>
        <v>-1</v>
      </c>
      <c r="BW25" s="36">
        <f>[1]RB!$N25</f>
        <v>16275.5204219999</v>
      </c>
      <c r="BX25" s="31">
        <f t="shared" si="52"/>
        <v>14275.258962136111</v>
      </c>
      <c r="BY25" s="31">
        <f t="shared" si="53"/>
        <v>2000.2614598637876</v>
      </c>
      <c r="BZ25" s="31">
        <f t="shared" si="54"/>
        <v>0</v>
      </c>
      <c r="CA25" s="31">
        <f t="shared" si="55"/>
        <v>0</v>
      </c>
      <c r="CB25" s="33"/>
      <c r="CC25" s="37">
        <f t="shared" si="11"/>
        <v>-1</v>
      </c>
      <c r="CD25" s="36">
        <f>[1]RB!$O25</f>
        <v>11960.323097999901</v>
      </c>
      <c r="CE25" s="31">
        <f t="shared" si="56"/>
        <v>10490.399389255714</v>
      </c>
      <c r="CF25" s="31">
        <f t="shared" si="57"/>
        <v>1469.9237087441877</v>
      </c>
      <c r="CG25" s="31">
        <f t="shared" si="58"/>
        <v>0</v>
      </c>
      <c r="CH25" s="31">
        <f t="shared" si="59"/>
        <v>0</v>
      </c>
      <c r="CI25" s="33"/>
      <c r="CJ25" s="37">
        <f t="shared" si="12"/>
        <v>-1</v>
      </c>
      <c r="CK25" s="36">
        <f>[1]RB!$P25</f>
        <v>11960.323097999901</v>
      </c>
      <c r="CL25" s="31">
        <f t="shared" si="60"/>
        <v>10490.399389255714</v>
      </c>
      <c r="CM25" s="31">
        <f t="shared" si="61"/>
        <v>1469.9237087441877</v>
      </c>
      <c r="CN25" s="31">
        <f t="shared" si="62"/>
        <v>0</v>
      </c>
      <c r="CO25" s="31">
        <f t="shared" si="63"/>
        <v>0</v>
      </c>
      <c r="CP25" s="33"/>
      <c r="CQ25" s="37">
        <f t="shared" si="13"/>
        <v>-1</v>
      </c>
      <c r="CR25" s="181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</row>
    <row r="26" spans="1:108" s="26" customFormat="1" ht="16" customHeight="1" x14ac:dyDescent="0.2">
      <c r="A26" s="182" t="s">
        <v>50</v>
      </c>
      <c r="B26" s="30">
        <f t="shared" si="0"/>
        <v>2778822.8347042045</v>
      </c>
      <c r="C26" s="31">
        <f t="shared" si="0"/>
        <v>2437305.508319058</v>
      </c>
      <c r="D26" s="32">
        <f t="shared" si="0"/>
        <v>341517.32638514682</v>
      </c>
      <c r="E26" s="30">
        <f t="shared" si="14"/>
        <v>756407.89632411976</v>
      </c>
      <c r="F26" s="33">
        <f t="shared" si="14"/>
        <v>663445.36586588551</v>
      </c>
      <c r="G26" s="34">
        <f t="shared" si="14"/>
        <v>92962.530458234323</v>
      </c>
      <c r="H26" s="31">
        <f t="shared" si="1"/>
        <v>509922.58754999994</v>
      </c>
      <c r="I26" s="33">
        <f t="shared" si="1"/>
        <v>15013.16245</v>
      </c>
      <c r="J26" s="33">
        <f t="shared" si="1"/>
        <v>524935.75</v>
      </c>
      <c r="K26" s="37">
        <f t="shared" si="15"/>
        <v>-0.30601497875550243</v>
      </c>
      <c r="L26" s="36">
        <f>[1]RB!$E26</f>
        <v>81034.486392694394</v>
      </c>
      <c r="M26" s="31">
        <f t="shared" si="16"/>
        <v>71075.348015032258</v>
      </c>
      <c r="N26" s="31">
        <f t="shared" si="17"/>
        <v>9959.1383776621406</v>
      </c>
      <c r="O26" s="31">
        <f t="shared" si="18"/>
        <v>89698.590299999996</v>
      </c>
      <c r="P26" s="31">
        <f t="shared" si="19"/>
        <v>2640.9097000000002</v>
      </c>
      <c r="Q26" s="33">
        <f>1049.18+91290.32</f>
        <v>92339.5</v>
      </c>
      <c r="R26" s="37">
        <f t="shared" si="2"/>
        <v>0.13950867230183128</v>
      </c>
      <c r="S26" s="36">
        <f>[1]RB!$F26</f>
        <v>165326.09269669437</v>
      </c>
      <c r="T26" s="31">
        <f t="shared" si="20"/>
        <v>145007.51590427064</v>
      </c>
      <c r="U26" s="31">
        <f t="shared" si="21"/>
        <v>20318.576792423737</v>
      </c>
      <c r="V26" s="31">
        <f t="shared" si="22"/>
        <v>130027.88353799998</v>
      </c>
      <c r="W26" s="31">
        <f t="shared" si="23"/>
        <v>3828.2864619999996</v>
      </c>
      <c r="X26" s="33">
        <f>10.09+132376.08+1470</f>
        <v>133856.16999999998</v>
      </c>
      <c r="Y26" s="37">
        <f t="shared" si="3"/>
        <v>-0.19035061062278169</v>
      </c>
      <c r="Z26" s="36">
        <f>[1]RB!$G26</f>
        <v>255023.65861736552</v>
      </c>
      <c r="AA26" s="31">
        <f t="shared" si="24"/>
        <v>223681.25097329129</v>
      </c>
      <c r="AB26" s="31">
        <f t="shared" si="25"/>
        <v>31342.407644074221</v>
      </c>
      <c r="AC26" s="31">
        <f t="shared" si="26"/>
        <v>157698.69823799998</v>
      </c>
      <c r="AD26" s="31">
        <f t="shared" si="27"/>
        <v>4642.9717619999992</v>
      </c>
      <c r="AE26" s="27">
        <f>1470+30.27+160841.4</f>
        <v>162341.66999999998</v>
      </c>
      <c r="AF26" s="37">
        <f t="shared" si="4"/>
        <v>-0.36342506071730585</v>
      </c>
      <c r="AG26" s="36">
        <f>[1]RB!$H26</f>
        <v>255023.65861736552</v>
      </c>
      <c r="AH26" s="31">
        <f t="shared" si="28"/>
        <v>223681.25097329129</v>
      </c>
      <c r="AI26" s="31">
        <f t="shared" si="29"/>
        <v>31342.407644074221</v>
      </c>
      <c r="AJ26" s="31">
        <f t="shared" si="30"/>
        <v>132497.41547400001</v>
      </c>
      <c r="AK26" s="31">
        <f t="shared" si="31"/>
        <v>3900.994526</v>
      </c>
      <c r="AL26" s="33">
        <v>136398.41</v>
      </c>
      <c r="AM26" s="37">
        <f t="shared" si="5"/>
        <v>-0.46515389693843834</v>
      </c>
      <c r="AN26" s="36">
        <f>[1]RB!$I26</f>
        <v>285897.84913669439</v>
      </c>
      <c r="AO26" s="31">
        <f t="shared" si="32"/>
        <v>250761.00347779464</v>
      </c>
      <c r="AP26" s="31">
        <f t="shared" si="33"/>
        <v>35136.845658899736</v>
      </c>
      <c r="AQ26" s="31">
        <f t="shared" si="34"/>
        <v>0</v>
      </c>
      <c r="AR26" s="31">
        <f t="shared" si="35"/>
        <v>0</v>
      </c>
      <c r="AS26" s="33"/>
      <c r="AT26" s="37">
        <f t="shared" si="6"/>
        <v>-1</v>
      </c>
      <c r="AU26" s="36">
        <f>[1]RB!$J26</f>
        <v>221024.59576536631</v>
      </c>
      <c r="AV26" s="31">
        <f t="shared" si="36"/>
        <v>193860.6729458028</v>
      </c>
      <c r="AW26" s="31">
        <f t="shared" si="37"/>
        <v>27163.922819563519</v>
      </c>
      <c r="AX26" s="31">
        <f t="shared" si="38"/>
        <v>0</v>
      </c>
      <c r="AY26" s="31">
        <f t="shared" si="39"/>
        <v>0</v>
      </c>
      <c r="AZ26" s="27"/>
      <c r="BA26" s="37">
        <f t="shared" si="7"/>
        <v>-1</v>
      </c>
      <c r="BB26" s="36">
        <f>[1]RB!$K26</f>
        <v>190150.40524603747</v>
      </c>
      <c r="BC26" s="31">
        <f t="shared" si="40"/>
        <v>166780.92044129947</v>
      </c>
      <c r="BD26" s="31">
        <f t="shared" si="41"/>
        <v>23369.484804738004</v>
      </c>
      <c r="BE26" s="31">
        <f t="shared" si="42"/>
        <v>0</v>
      </c>
      <c r="BF26" s="31">
        <f t="shared" si="43"/>
        <v>0</v>
      </c>
      <c r="BG26" s="27"/>
      <c r="BH26" s="37">
        <f t="shared" si="8"/>
        <v>-1</v>
      </c>
      <c r="BI26" s="36">
        <f>[1]RB!$L26</f>
        <v>255023.65861736552</v>
      </c>
      <c r="BJ26" s="31">
        <f t="shared" si="44"/>
        <v>223681.25097329129</v>
      </c>
      <c r="BK26" s="31">
        <f t="shared" si="45"/>
        <v>31342.407644074221</v>
      </c>
      <c r="BL26" s="31">
        <f t="shared" si="46"/>
        <v>0</v>
      </c>
      <c r="BM26" s="31">
        <f t="shared" si="47"/>
        <v>0</v>
      </c>
      <c r="BN26" s="33"/>
      <c r="BO26" s="37">
        <f t="shared" si="9"/>
        <v>-1</v>
      </c>
      <c r="BP26" s="36">
        <f>[1]RB!$M26</f>
        <v>319984.288493992</v>
      </c>
      <c r="BQ26" s="31">
        <f t="shared" si="48"/>
        <v>280658.21943808038</v>
      </c>
      <c r="BR26" s="31">
        <f t="shared" si="49"/>
        <v>39326.069055911619</v>
      </c>
      <c r="BS26" s="31">
        <f t="shared" si="50"/>
        <v>0</v>
      </c>
      <c r="BT26" s="31">
        <f t="shared" si="51"/>
        <v>0</v>
      </c>
      <c r="BU26" s="33"/>
      <c r="BV26" s="37">
        <f t="shared" si="10"/>
        <v>-1</v>
      </c>
      <c r="BW26" s="36">
        <f>[1]RB!$N26</f>
        <v>308098.3824773191</v>
      </c>
      <c r="BX26" s="31">
        <f t="shared" si="52"/>
        <v>270233.09127085656</v>
      </c>
      <c r="BY26" s="31">
        <f t="shared" si="53"/>
        <v>37865.291206462512</v>
      </c>
      <c r="BZ26" s="31">
        <f t="shared" si="54"/>
        <v>0</v>
      </c>
      <c r="CA26" s="31">
        <f t="shared" si="55"/>
        <v>0</v>
      </c>
      <c r="CB26" s="33"/>
      <c r="CC26" s="37">
        <f t="shared" si="11"/>
        <v>-1</v>
      </c>
      <c r="CD26" s="36">
        <f>[1]RB!$O26</f>
        <v>223820.85912999112</v>
      </c>
      <c r="CE26" s="31">
        <f t="shared" si="56"/>
        <v>196313.27554291522</v>
      </c>
      <c r="CF26" s="31">
        <f t="shared" si="57"/>
        <v>27507.583587075907</v>
      </c>
      <c r="CG26" s="31">
        <f t="shared" si="58"/>
        <v>0</v>
      </c>
      <c r="CH26" s="31">
        <f t="shared" si="59"/>
        <v>0</v>
      </c>
      <c r="CI26" s="33"/>
      <c r="CJ26" s="37">
        <f t="shared" si="12"/>
        <v>-1</v>
      </c>
      <c r="CK26" s="36">
        <f>[1]RB!$P26</f>
        <v>218414.89951331913</v>
      </c>
      <c r="CL26" s="31">
        <f t="shared" si="60"/>
        <v>191571.7083631322</v>
      </c>
      <c r="CM26" s="31">
        <f t="shared" si="61"/>
        <v>26843.191150186922</v>
      </c>
      <c r="CN26" s="31">
        <f t="shared" si="62"/>
        <v>0</v>
      </c>
      <c r="CO26" s="31">
        <f t="shared" si="63"/>
        <v>0</v>
      </c>
      <c r="CP26" s="33"/>
      <c r="CQ26" s="37">
        <f t="shared" si="13"/>
        <v>-1</v>
      </c>
      <c r="CR26" s="181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</row>
    <row r="27" spans="1:108" s="26" customFormat="1" ht="16" customHeight="1" x14ac:dyDescent="0.2">
      <c r="A27" s="182" t="s">
        <v>51</v>
      </c>
      <c r="B27" s="30">
        <f t="shared" si="0"/>
        <v>156702.2663127195</v>
      </c>
      <c r="C27" s="31">
        <f t="shared" si="0"/>
        <v>137443.55778288626</v>
      </c>
      <c r="D27" s="32">
        <f t="shared" si="0"/>
        <v>19258.708529833228</v>
      </c>
      <c r="E27" s="30">
        <f t="shared" si="14"/>
        <v>48760.904023919706</v>
      </c>
      <c r="F27" s="33">
        <f t="shared" si="14"/>
        <v>42768.188919379965</v>
      </c>
      <c r="G27" s="34">
        <f t="shared" si="14"/>
        <v>5992.7151045397313</v>
      </c>
      <c r="H27" s="31">
        <f t="shared" si="1"/>
        <v>62452.257971999999</v>
      </c>
      <c r="I27" s="33">
        <f t="shared" si="1"/>
        <v>1838.7220279999999</v>
      </c>
      <c r="J27" s="33">
        <f t="shared" si="1"/>
        <v>64290.979999999996</v>
      </c>
      <c r="K27" s="37">
        <f t="shared" si="15"/>
        <v>0.31849442267235228</v>
      </c>
      <c r="L27" s="36">
        <f>[1]RB!$E27</f>
        <v>4221.6986017600002</v>
      </c>
      <c r="M27" s="31">
        <f t="shared" si="16"/>
        <v>3702.8518436036961</v>
      </c>
      <c r="N27" s="31">
        <f t="shared" si="17"/>
        <v>518.84675815630396</v>
      </c>
      <c r="O27" s="31">
        <f t="shared" si="18"/>
        <v>6182.3198760000005</v>
      </c>
      <c r="P27" s="31">
        <f t="shared" si="19"/>
        <v>182.02012400000001</v>
      </c>
      <c r="Q27" s="33">
        <f>6364.34</f>
        <v>6364.34</v>
      </c>
      <c r="R27" s="37">
        <f t="shared" si="2"/>
        <v>0.50753064118474622</v>
      </c>
      <c r="S27" s="36">
        <f>[1]RB!$F27</f>
        <v>15240.6213060799</v>
      </c>
      <c r="T27" s="31">
        <f t="shared" si="20"/>
        <v>13367.54894756268</v>
      </c>
      <c r="U27" s="31">
        <f t="shared" si="21"/>
        <v>1873.0723585172198</v>
      </c>
      <c r="V27" s="31">
        <f t="shared" si="22"/>
        <v>8905.319214000001</v>
      </c>
      <c r="W27" s="31">
        <f t="shared" si="23"/>
        <v>262.190786</v>
      </c>
      <c r="X27" s="33">
        <v>9167.51</v>
      </c>
      <c r="Y27" s="37">
        <f t="shared" si="3"/>
        <v>-0.39848187184187633</v>
      </c>
      <c r="Z27" s="36">
        <f>[1]RB!$G27</f>
        <v>15240.6213060799</v>
      </c>
      <c r="AA27" s="31">
        <f t="shared" si="24"/>
        <v>13367.54894756268</v>
      </c>
      <c r="AB27" s="31">
        <f t="shared" si="25"/>
        <v>1873.0723585172198</v>
      </c>
      <c r="AC27" s="31">
        <f t="shared" si="26"/>
        <v>29380.352417999999</v>
      </c>
      <c r="AD27" s="31">
        <f t="shared" si="27"/>
        <v>865.01758199999995</v>
      </c>
      <c r="AE27" s="27">
        <v>30245.37</v>
      </c>
      <c r="AF27" s="37">
        <f t="shared" si="4"/>
        <v>0.9845234254284827</v>
      </c>
      <c r="AG27" s="36">
        <f>[1]RB!$H27</f>
        <v>14057.962809999901</v>
      </c>
      <c r="AH27" s="31">
        <f t="shared" si="28"/>
        <v>12330.239180650913</v>
      </c>
      <c r="AI27" s="31">
        <f t="shared" si="29"/>
        <v>1727.7236293489877</v>
      </c>
      <c r="AJ27" s="31">
        <f t="shared" si="30"/>
        <v>17984.266464</v>
      </c>
      <c r="AK27" s="31">
        <f t="shared" si="31"/>
        <v>529.49353599999995</v>
      </c>
      <c r="AL27" s="33">
        <v>18513.759999999998</v>
      </c>
      <c r="AM27" s="37">
        <f t="shared" si="5"/>
        <v>0.31695895416870346</v>
      </c>
      <c r="AN27" s="36">
        <f>[1]RB!$I27</f>
        <v>5506.77441</v>
      </c>
      <c r="AO27" s="31">
        <f t="shared" si="32"/>
        <v>4829.9918350110001</v>
      </c>
      <c r="AP27" s="31">
        <f t="shared" si="33"/>
        <v>676.78257498899995</v>
      </c>
      <c r="AQ27" s="31">
        <f t="shared" si="34"/>
        <v>0</v>
      </c>
      <c r="AR27" s="31">
        <f t="shared" si="35"/>
        <v>0</v>
      </c>
      <c r="AS27" s="33"/>
      <c r="AT27" s="37">
        <f t="shared" si="6"/>
        <v>-1</v>
      </c>
      <c r="AU27" s="36">
        <f>[1]RB!$J27</f>
        <v>18279.66141176</v>
      </c>
      <c r="AV27" s="31">
        <f t="shared" si="36"/>
        <v>16033.091024254696</v>
      </c>
      <c r="AW27" s="31">
        <f t="shared" si="37"/>
        <v>2246.5703875053041</v>
      </c>
      <c r="AX27" s="31">
        <f t="shared" si="38"/>
        <v>0</v>
      </c>
      <c r="AY27" s="31">
        <f t="shared" si="39"/>
        <v>0</v>
      </c>
      <c r="AZ27" s="27"/>
      <c r="BA27" s="37">
        <f t="shared" si="7"/>
        <v>-1</v>
      </c>
      <c r="BB27" s="36">
        <f>[1]RB!$K27</f>
        <v>9728.4730117599993</v>
      </c>
      <c r="BC27" s="31">
        <f t="shared" si="40"/>
        <v>8532.8436786146958</v>
      </c>
      <c r="BD27" s="31">
        <f t="shared" si="41"/>
        <v>1195.6293331453039</v>
      </c>
      <c r="BE27" s="31">
        <f t="shared" si="42"/>
        <v>0</v>
      </c>
      <c r="BF27" s="31">
        <f t="shared" si="43"/>
        <v>0</v>
      </c>
      <c r="BG27" s="27"/>
      <c r="BH27" s="37">
        <f t="shared" si="8"/>
        <v>-1</v>
      </c>
      <c r="BI27" s="36">
        <f>[1]RB!$L27</f>
        <v>18279.66141176</v>
      </c>
      <c r="BJ27" s="31">
        <f t="shared" si="44"/>
        <v>16033.091024254696</v>
      </c>
      <c r="BK27" s="31">
        <f t="shared" si="45"/>
        <v>2246.5703875053041</v>
      </c>
      <c r="BL27" s="31">
        <f t="shared" si="46"/>
        <v>0</v>
      </c>
      <c r="BM27" s="31">
        <f t="shared" si="47"/>
        <v>0</v>
      </c>
      <c r="BN27" s="33"/>
      <c r="BO27" s="37">
        <f t="shared" si="9"/>
        <v>-1</v>
      </c>
      <c r="BP27" s="36">
        <f>[1]RB!$M27</f>
        <v>18279.66141176</v>
      </c>
      <c r="BQ27" s="31">
        <f t="shared" si="48"/>
        <v>16033.091024254696</v>
      </c>
      <c r="BR27" s="31">
        <f t="shared" si="49"/>
        <v>2246.5703875053041</v>
      </c>
      <c r="BS27" s="31">
        <f t="shared" si="50"/>
        <v>0</v>
      </c>
      <c r="BT27" s="31">
        <f t="shared" si="51"/>
        <v>0</v>
      </c>
      <c r="BU27" s="33"/>
      <c r="BV27" s="37">
        <f t="shared" si="10"/>
        <v>-1</v>
      </c>
      <c r="BW27" s="36">
        <f>[1]RB!$N27</f>
        <v>15436.842611759999</v>
      </c>
      <c r="BX27" s="31">
        <f t="shared" si="52"/>
        <v>13539.654654774695</v>
      </c>
      <c r="BY27" s="31">
        <f t="shared" si="53"/>
        <v>1897.1879569853038</v>
      </c>
      <c r="BZ27" s="31">
        <f t="shared" si="54"/>
        <v>0</v>
      </c>
      <c r="CA27" s="31">
        <f t="shared" si="55"/>
        <v>0</v>
      </c>
      <c r="CB27" s="33"/>
      <c r="CC27" s="37">
        <f t="shared" si="11"/>
        <v>-1</v>
      </c>
      <c r="CD27" s="36">
        <f>[1]RB!$O27</f>
        <v>11215.1440099999</v>
      </c>
      <c r="CE27" s="31">
        <f t="shared" si="56"/>
        <v>9836.8028111709118</v>
      </c>
      <c r="CF27" s="31">
        <f t="shared" si="57"/>
        <v>1378.3411988289877</v>
      </c>
      <c r="CG27" s="31">
        <f t="shared" si="58"/>
        <v>0</v>
      </c>
      <c r="CH27" s="31">
        <f t="shared" si="59"/>
        <v>0</v>
      </c>
      <c r="CI27" s="33"/>
      <c r="CJ27" s="37">
        <f t="shared" si="12"/>
        <v>-1</v>
      </c>
      <c r="CK27" s="36">
        <f>[1]RB!$P27</f>
        <v>11215.1440099999</v>
      </c>
      <c r="CL27" s="31">
        <f t="shared" si="60"/>
        <v>9836.8028111709118</v>
      </c>
      <c r="CM27" s="31">
        <f t="shared" si="61"/>
        <v>1378.3411988289877</v>
      </c>
      <c r="CN27" s="31">
        <f t="shared" si="62"/>
        <v>0</v>
      </c>
      <c r="CO27" s="31">
        <f t="shared" si="63"/>
        <v>0</v>
      </c>
      <c r="CP27" s="33"/>
      <c r="CQ27" s="37">
        <f t="shared" si="13"/>
        <v>-1</v>
      </c>
      <c r="CR27" s="181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</row>
    <row r="28" spans="1:108" s="26" customFormat="1" ht="16" customHeight="1" x14ac:dyDescent="0.2">
      <c r="A28" s="182" t="s">
        <v>52</v>
      </c>
      <c r="B28" s="30">
        <f t="shared" si="0"/>
        <v>158459.4669499991</v>
      </c>
      <c r="C28" s="31">
        <f t="shared" si="0"/>
        <v>138984.79846184421</v>
      </c>
      <c r="D28" s="32">
        <f t="shared" si="0"/>
        <v>19474.66848815489</v>
      </c>
      <c r="E28" s="30">
        <f t="shared" si="14"/>
        <v>54492.221989999794</v>
      </c>
      <c r="F28" s="33">
        <f t="shared" si="14"/>
        <v>47795.127907428818</v>
      </c>
      <c r="G28" s="34">
        <f t="shared" si="14"/>
        <v>6697.0940825709749</v>
      </c>
      <c r="H28" s="31">
        <f t="shared" si="1"/>
        <v>33055.673460000005</v>
      </c>
      <c r="I28" s="33">
        <f t="shared" si="1"/>
        <v>973.22654000000011</v>
      </c>
      <c r="J28" s="33">
        <f t="shared" si="1"/>
        <v>34028.9</v>
      </c>
      <c r="K28" s="37">
        <f t="shared" si="15"/>
        <v>-0.37552739166619309</v>
      </c>
      <c r="L28" s="36">
        <f>[1]RB!$E28</f>
        <v>11601.380219999999</v>
      </c>
      <c r="M28" s="31">
        <f t="shared" si="16"/>
        <v>10175.570590961999</v>
      </c>
      <c r="N28" s="31">
        <f t="shared" si="17"/>
        <v>1425.8096290379999</v>
      </c>
      <c r="O28" s="31">
        <f t="shared" si="18"/>
        <v>13140.652356000001</v>
      </c>
      <c r="P28" s="31">
        <f t="shared" si="19"/>
        <v>386.88764400000002</v>
      </c>
      <c r="Q28" s="33">
        <v>13527.54</v>
      </c>
      <c r="R28" s="37">
        <f t="shared" si="2"/>
        <v>0.16602850208110853</v>
      </c>
      <c r="S28" s="36">
        <f>[1]RB!$F28</f>
        <v>11601.380219999999</v>
      </c>
      <c r="T28" s="31">
        <f t="shared" si="20"/>
        <v>10175.570590961999</v>
      </c>
      <c r="U28" s="31">
        <f t="shared" si="21"/>
        <v>1425.8096290379999</v>
      </c>
      <c r="V28" s="31">
        <f t="shared" si="22"/>
        <v>11428.705566000001</v>
      </c>
      <c r="W28" s="31">
        <f t="shared" si="23"/>
        <v>336.48443400000002</v>
      </c>
      <c r="X28" s="33">
        <v>11765.19</v>
      </c>
      <c r="Y28" s="37">
        <f t="shared" si="3"/>
        <v>1.4119852715248848E-2</v>
      </c>
      <c r="Z28" s="36">
        <f>[1]RB!$G28</f>
        <v>15468.506959999901</v>
      </c>
      <c r="AA28" s="31">
        <f t="shared" si="24"/>
        <v>13567.427454615912</v>
      </c>
      <c r="AB28" s="31">
        <f t="shared" si="25"/>
        <v>1901.0795053839877</v>
      </c>
      <c r="AC28" s="31">
        <f t="shared" si="26"/>
        <v>5473.2853020000002</v>
      </c>
      <c r="AD28" s="31">
        <f t="shared" si="27"/>
        <v>161.14469800000001</v>
      </c>
      <c r="AE28" s="27">
        <v>5634.43</v>
      </c>
      <c r="AF28" s="37">
        <f t="shared" si="4"/>
        <v>-0.63574829719700132</v>
      </c>
      <c r="AG28" s="36">
        <f>[1]RB!$H28</f>
        <v>15820.954589999899</v>
      </c>
      <c r="AH28" s="31">
        <f t="shared" si="28"/>
        <v>13876.559270888913</v>
      </c>
      <c r="AI28" s="31">
        <f t="shared" si="29"/>
        <v>1944.3953191109877</v>
      </c>
      <c r="AJ28" s="31">
        <f t="shared" si="30"/>
        <v>3013.0302359999996</v>
      </c>
      <c r="AK28" s="31">
        <f t="shared" si="31"/>
        <v>88.709763999999993</v>
      </c>
      <c r="AL28" s="33">
        <v>3101.74</v>
      </c>
      <c r="AM28" s="37">
        <f t="shared" si="5"/>
        <v>-0.8039473546077589</v>
      </c>
      <c r="AN28" s="36">
        <f>[1]RB!$I28</f>
        <v>13534.943589999901</v>
      </c>
      <c r="AO28" s="31">
        <f t="shared" si="32"/>
        <v>11871.499022788914</v>
      </c>
      <c r="AP28" s="31">
        <f t="shared" si="33"/>
        <v>1663.4445672109878</v>
      </c>
      <c r="AQ28" s="31">
        <f t="shared" si="34"/>
        <v>0</v>
      </c>
      <c r="AR28" s="31">
        <f t="shared" si="35"/>
        <v>0</v>
      </c>
      <c r="AS28" s="33"/>
      <c r="AT28" s="37">
        <f t="shared" si="6"/>
        <v>-1</v>
      </c>
      <c r="AU28" s="36">
        <f>[1]RB!$J28</f>
        <v>11953.8278499999</v>
      </c>
      <c r="AV28" s="31">
        <f t="shared" si="36"/>
        <v>10484.702407234912</v>
      </c>
      <c r="AW28" s="31">
        <f t="shared" si="37"/>
        <v>1469.1254427649876</v>
      </c>
      <c r="AX28" s="31">
        <f t="shared" si="38"/>
        <v>0</v>
      </c>
      <c r="AY28" s="31">
        <f t="shared" si="39"/>
        <v>0</v>
      </c>
      <c r="AZ28" s="27"/>
      <c r="BA28" s="37">
        <f t="shared" si="7"/>
        <v>-1</v>
      </c>
      <c r="BB28" s="36">
        <f>[1]RB!$K28</f>
        <v>9667.8168499999992</v>
      </c>
      <c r="BC28" s="31">
        <f t="shared" si="40"/>
        <v>8479.642159134999</v>
      </c>
      <c r="BD28" s="31">
        <f t="shared" si="41"/>
        <v>1188.1746908649998</v>
      </c>
      <c r="BE28" s="31">
        <f t="shared" si="42"/>
        <v>0</v>
      </c>
      <c r="BF28" s="31">
        <f t="shared" si="43"/>
        <v>0</v>
      </c>
      <c r="BG28" s="27"/>
      <c r="BH28" s="37">
        <f t="shared" si="8"/>
        <v>-1</v>
      </c>
      <c r="BI28" s="36">
        <f>[1]RB!$L28</f>
        <v>15820.954589999899</v>
      </c>
      <c r="BJ28" s="31">
        <f t="shared" si="44"/>
        <v>13876.559270888913</v>
      </c>
      <c r="BK28" s="31">
        <f t="shared" si="45"/>
        <v>1944.3953191109877</v>
      </c>
      <c r="BL28" s="31">
        <f t="shared" si="46"/>
        <v>0</v>
      </c>
      <c r="BM28" s="31">
        <f t="shared" si="47"/>
        <v>0</v>
      </c>
      <c r="BN28" s="33"/>
      <c r="BO28" s="37">
        <f t="shared" si="9"/>
        <v>-1</v>
      </c>
      <c r="BP28" s="36">
        <f>[1]RB!$M28</f>
        <v>15820.954589999899</v>
      </c>
      <c r="BQ28" s="31">
        <f t="shared" si="48"/>
        <v>13876.559270888913</v>
      </c>
      <c r="BR28" s="31">
        <f t="shared" si="49"/>
        <v>1944.3953191109877</v>
      </c>
      <c r="BS28" s="31">
        <f t="shared" si="50"/>
        <v>0</v>
      </c>
      <c r="BT28" s="31">
        <f t="shared" si="51"/>
        <v>0</v>
      </c>
      <c r="BU28" s="33"/>
      <c r="BV28" s="37">
        <f t="shared" si="10"/>
        <v>-1</v>
      </c>
      <c r="BW28" s="36">
        <f>[1]RB!$N28</f>
        <v>14967.6669899999</v>
      </c>
      <c r="BX28" s="31">
        <f t="shared" si="52"/>
        <v>13128.140716928912</v>
      </c>
      <c r="BY28" s="31">
        <f t="shared" si="53"/>
        <v>1839.5262730709876</v>
      </c>
      <c r="BZ28" s="31">
        <f t="shared" si="54"/>
        <v>0</v>
      </c>
      <c r="CA28" s="31">
        <f t="shared" si="55"/>
        <v>0</v>
      </c>
      <c r="CB28" s="33"/>
      <c r="CC28" s="37">
        <f t="shared" si="11"/>
        <v>-1</v>
      </c>
      <c r="CD28" s="36">
        <f>[1]RB!$O28</f>
        <v>11100.5402499999</v>
      </c>
      <c r="CE28" s="31">
        <f t="shared" si="56"/>
        <v>9736.283853274912</v>
      </c>
      <c r="CF28" s="31">
        <f t="shared" si="57"/>
        <v>1364.2563967249876</v>
      </c>
      <c r="CG28" s="31">
        <f t="shared" si="58"/>
        <v>0</v>
      </c>
      <c r="CH28" s="31">
        <f t="shared" si="59"/>
        <v>0</v>
      </c>
      <c r="CI28" s="33"/>
      <c r="CJ28" s="37">
        <f t="shared" si="12"/>
        <v>-1</v>
      </c>
      <c r="CK28" s="36">
        <f>[1]RB!$P28</f>
        <v>11100.5402499999</v>
      </c>
      <c r="CL28" s="31">
        <f t="shared" si="60"/>
        <v>9736.283853274912</v>
      </c>
      <c r="CM28" s="31">
        <f t="shared" si="61"/>
        <v>1364.2563967249876</v>
      </c>
      <c r="CN28" s="31">
        <f t="shared" si="62"/>
        <v>0</v>
      </c>
      <c r="CO28" s="31">
        <f t="shared" si="63"/>
        <v>0</v>
      </c>
      <c r="CP28" s="33"/>
      <c r="CQ28" s="37">
        <f t="shared" si="13"/>
        <v>-1</v>
      </c>
      <c r="CR28" s="181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</row>
    <row r="29" spans="1:108" s="26" customFormat="1" ht="16" customHeight="1" x14ac:dyDescent="0.2">
      <c r="A29" s="182" t="s">
        <v>53</v>
      </c>
      <c r="B29" s="30">
        <f t="shared" si="0"/>
        <v>313400.68799999997</v>
      </c>
      <c r="C29" s="31">
        <f t="shared" si="0"/>
        <v>274883.74344479997</v>
      </c>
      <c r="D29" s="32">
        <f t="shared" si="0"/>
        <v>38516.944555200003</v>
      </c>
      <c r="E29" s="30">
        <f t="shared" si="14"/>
        <v>104466.89600000001</v>
      </c>
      <c r="F29" s="33">
        <f t="shared" si="14"/>
        <v>91627.91448159999</v>
      </c>
      <c r="G29" s="34">
        <f t="shared" si="14"/>
        <v>12838.9815184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>
        <f t="shared" si="15"/>
        <v>-1</v>
      </c>
      <c r="L29" s="36">
        <f>[1]RB!$E29</f>
        <v>20636.314999999999</v>
      </c>
      <c r="M29" s="31">
        <f t="shared" si="16"/>
        <v>18100.111886499999</v>
      </c>
      <c r="N29" s="31">
        <f t="shared" si="17"/>
        <v>2536.2031134999997</v>
      </c>
      <c r="O29" s="31">
        <f t="shared" si="18"/>
        <v>0</v>
      </c>
      <c r="P29" s="31">
        <f t="shared" si="19"/>
        <v>0</v>
      </c>
      <c r="Q29" s="33"/>
      <c r="R29" s="37">
        <f t="shared" si="2"/>
        <v>-1</v>
      </c>
      <c r="S29" s="36">
        <f>[1]RB!$F29</f>
        <v>31597.133000000002</v>
      </c>
      <c r="T29" s="31">
        <f t="shared" si="20"/>
        <v>27713.8453543</v>
      </c>
      <c r="U29" s="31">
        <f t="shared" si="21"/>
        <v>3883.2876457000002</v>
      </c>
      <c r="V29" s="31">
        <f t="shared" si="22"/>
        <v>0</v>
      </c>
      <c r="W29" s="31">
        <f t="shared" si="23"/>
        <v>0</v>
      </c>
      <c r="X29" s="33"/>
      <c r="Y29" s="37">
        <f t="shared" si="3"/>
        <v>-1</v>
      </c>
      <c r="Z29" s="36">
        <f>[1]RB!$G29</f>
        <v>20636.314999999999</v>
      </c>
      <c r="AA29" s="31">
        <f t="shared" si="24"/>
        <v>18100.111886499999</v>
      </c>
      <c r="AB29" s="31">
        <f t="shared" si="25"/>
        <v>2536.2031134999997</v>
      </c>
      <c r="AC29" s="31">
        <f t="shared" si="26"/>
        <v>0</v>
      </c>
      <c r="AD29" s="31">
        <f t="shared" si="27"/>
        <v>0</v>
      </c>
      <c r="AE29" s="27"/>
      <c r="AF29" s="37">
        <f t="shared" si="4"/>
        <v>-1</v>
      </c>
      <c r="AG29" s="36">
        <f>[1]RB!$H29</f>
        <v>31597.133000000002</v>
      </c>
      <c r="AH29" s="31">
        <f t="shared" si="28"/>
        <v>27713.8453543</v>
      </c>
      <c r="AI29" s="31">
        <f t="shared" si="29"/>
        <v>3883.2876457000002</v>
      </c>
      <c r="AJ29" s="31">
        <f t="shared" si="30"/>
        <v>0</v>
      </c>
      <c r="AK29" s="31">
        <f t="shared" si="31"/>
        <v>0</v>
      </c>
      <c r="AL29" s="33"/>
      <c r="AM29" s="37">
        <f t="shared" si="5"/>
        <v>-1</v>
      </c>
      <c r="AN29" s="36">
        <f>[1]RB!$I29</f>
        <v>20636.314999999999</v>
      </c>
      <c r="AO29" s="31">
        <f t="shared" si="32"/>
        <v>18100.111886499999</v>
      </c>
      <c r="AP29" s="31">
        <f t="shared" si="33"/>
        <v>2536.2031134999997</v>
      </c>
      <c r="AQ29" s="31">
        <f t="shared" si="34"/>
        <v>0</v>
      </c>
      <c r="AR29" s="31">
        <f t="shared" si="35"/>
        <v>0</v>
      </c>
      <c r="AS29" s="33"/>
      <c r="AT29" s="37">
        <f t="shared" si="6"/>
        <v>-1</v>
      </c>
      <c r="AU29" s="36">
        <f>[1]RB!$J29</f>
        <v>31597.133000000002</v>
      </c>
      <c r="AV29" s="31">
        <f t="shared" si="36"/>
        <v>27713.8453543</v>
      </c>
      <c r="AW29" s="31">
        <f t="shared" si="37"/>
        <v>3883.2876457000002</v>
      </c>
      <c r="AX29" s="31">
        <f t="shared" si="38"/>
        <v>0</v>
      </c>
      <c r="AY29" s="31">
        <f t="shared" si="39"/>
        <v>0</v>
      </c>
      <c r="AZ29" s="27"/>
      <c r="BA29" s="37">
        <f t="shared" si="7"/>
        <v>-1</v>
      </c>
      <c r="BB29" s="36">
        <f>[1]RB!$K29</f>
        <v>20636.314999999999</v>
      </c>
      <c r="BC29" s="31">
        <f t="shared" si="40"/>
        <v>18100.111886499999</v>
      </c>
      <c r="BD29" s="31">
        <f t="shared" si="41"/>
        <v>2536.2031134999997</v>
      </c>
      <c r="BE29" s="31">
        <f t="shared" si="42"/>
        <v>0</v>
      </c>
      <c r="BF29" s="31">
        <f t="shared" si="43"/>
        <v>0</v>
      </c>
      <c r="BG29" s="27"/>
      <c r="BH29" s="37">
        <f t="shared" si="8"/>
        <v>-1</v>
      </c>
      <c r="BI29" s="36">
        <f>[1]RB!$L29</f>
        <v>31597.133000000002</v>
      </c>
      <c r="BJ29" s="31">
        <f t="shared" si="44"/>
        <v>27713.8453543</v>
      </c>
      <c r="BK29" s="31">
        <f t="shared" si="45"/>
        <v>3883.2876457000002</v>
      </c>
      <c r="BL29" s="31">
        <f t="shared" si="46"/>
        <v>0</v>
      </c>
      <c r="BM29" s="31">
        <f t="shared" si="47"/>
        <v>0</v>
      </c>
      <c r="BN29" s="33"/>
      <c r="BO29" s="37">
        <f t="shared" si="9"/>
        <v>-1</v>
      </c>
      <c r="BP29" s="36">
        <f>[1]RB!$M29</f>
        <v>20636.314999999999</v>
      </c>
      <c r="BQ29" s="31">
        <f t="shared" si="48"/>
        <v>18100.111886499999</v>
      </c>
      <c r="BR29" s="31">
        <f t="shared" si="49"/>
        <v>2536.2031134999997</v>
      </c>
      <c r="BS29" s="31">
        <f t="shared" si="50"/>
        <v>0</v>
      </c>
      <c r="BT29" s="31">
        <f t="shared" si="51"/>
        <v>0</v>
      </c>
      <c r="BU29" s="33"/>
      <c r="BV29" s="37">
        <f t="shared" si="10"/>
        <v>-1</v>
      </c>
      <c r="BW29" s="36">
        <f>[1]RB!$N29</f>
        <v>31597.133000000002</v>
      </c>
      <c r="BX29" s="31">
        <f t="shared" si="52"/>
        <v>27713.8453543</v>
      </c>
      <c r="BY29" s="31">
        <f t="shared" si="53"/>
        <v>3883.2876457000002</v>
      </c>
      <c r="BZ29" s="31">
        <f t="shared" si="54"/>
        <v>0</v>
      </c>
      <c r="CA29" s="31">
        <f t="shared" si="55"/>
        <v>0</v>
      </c>
      <c r="CB29" s="33"/>
      <c r="CC29" s="37">
        <f t="shared" si="11"/>
        <v>-1</v>
      </c>
      <c r="CD29" s="36">
        <f>[1]RB!$O29</f>
        <v>20636.314999999999</v>
      </c>
      <c r="CE29" s="31">
        <f t="shared" si="56"/>
        <v>18100.111886499999</v>
      </c>
      <c r="CF29" s="31">
        <f t="shared" si="57"/>
        <v>2536.2031134999997</v>
      </c>
      <c r="CG29" s="31">
        <f t="shared" si="58"/>
        <v>0</v>
      </c>
      <c r="CH29" s="31">
        <f t="shared" si="59"/>
        <v>0</v>
      </c>
      <c r="CI29" s="33"/>
      <c r="CJ29" s="37">
        <f t="shared" si="12"/>
        <v>-1</v>
      </c>
      <c r="CK29" s="36">
        <f>[1]RB!$P29</f>
        <v>31597.133000000002</v>
      </c>
      <c r="CL29" s="31">
        <f t="shared" si="60"/>
        <v>27713.8453543</v>
      </c>
      <c r="CM29" s="31">
        <f t="shared" si="61"/>
        <v>3883.2876457000002</v>
      </c>
      <c r="CN29" s="31">
        <f t="shared" si="62"/>
        <v>0</v>
      </c>
      <c r="CO29" s="31">
        <f t="shared" si="63"/>
        <v>0</v>
      </c>
      <c r="CP29" s="33"/>
      <c r="CQ29" s="37">
        <f t="shared" si="13"/>
        <v>-1</v>
      </c>
      <c r="CR29" s="181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</row>
    <row r="30" spans="1:108" s="26" customFormat="1" ht="16" customHeight="1" x14ac:dyDescent="0.2">
      <c r="A30" s="182" t="s">
        <v>54</v>
      </c>
      <c r="B30" s="30">
        <f t="shared" si="0"/>
        <v>80000</v>
      </c>
      <c r="C30" s="31">
        <f t="shared" si="0"/>
        <v>70168.000000000015</v>
      </c>
      <c r="D30" s="32">
        <f t="shared" si="0"/>
        <v>9832</v>
      </c>
      <c r="E30" s="30">
        <f t="shared" si="14"/>
        <v>26666.666666666668</v>
      </c>
      <c r="F30" s="33">
        <f t="shared" si="14"/>
        <v>23389.333333333336</v>
      </c>
      <c r="G30" s="34">
        <f t="shared" si="14"/>
        <v>3277.3333333333335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7">
        <f t="shared" si="15"/>
        <v>-1</v>
      </c>
      <c r="L30" s="36">
        <f>[1]RB!$E30</f>
        <v>6666.666666666667</v>
      </c>
      <c r="M30" s="31">
        <f t="shared" si="16"/>
        <v>5847.3333333333339</v>
      </c>
      <c r="N30" s="31">
        <f t="shared" si="17"/>
        <v>819.33333333333337</v>
      </c>
      <c r="O30" s="31">
        <f t="shared" si="18"/>
        <v>0</v>
      </c>
      <c r="P30" s="31">
        <f t="shared" si="19"/>
        <v>0</v>
      </c>
      <c r="Q30" s="33"/>
      <c r="R30" s="37">
        <f t="shared" si="2"/>
        <v>-1</v>
      </c>
      <c r="S30" s="36">
        <f>[1]RB!$F30</f>
        <v>6666.666666666667</v>
      </c>
      <c r="T30" s="31">
        <f t="shared" si="20"/>
        <v>5847.3333333333339</v>
      </c>
      <c r="U30" s="31">
        <f t="shared" si="21"/>
        <v>819.33333333333337</v>
      </c>
      <c r="V30" s="31">
        <f t="shared" si="22"/>
        <v>0</v>
      </c>
      <c r="W30" s="31">
        <f t="shared" si="23"/>
        <v>0</v>
      </c>
      <c r="X30" s="33"/>
      <c r="Y30" s="37">
        <f t="shared" si="3"/>
        <v>-1</v>
      </c>
      <c r="Z30" s="36">
        <f>[1]RB!$G30</f>
        <v>6666.666666666667</v>
      </c>
      <c r="AA30" s="31">
        <f t="shared" si="24"/>
        <v>5847.3333333333339</v>
      </c>
      <c r="AB30" s="31">
        <f t="shared" si="25"/>
        <v>819.33333333333337</v>
      </c>
      <c r="AC30" s="31">
        <f t="shared" si="26"/>
        <v>0</v>
      </c>
      <c r="AD30" s="31">
        <f t="shared" si="27"/>
        <v>0</v>
      </c>
      <c r="AE30" s="27"/>
      <c r="AF30" s="37">
        <f t="shared" si="4"/>
        <v>-1</v>
      </c>
      <c r="AG30" s="36">
        <f>[1]RB!$H30</f>
        <v>6666.666666666667</v>
      </c>
      <c r="AH30" s="31">
        <f t="shared" si="28"/>
        <v>5847.3333333333339</v>
      </c>
      <c r="AI30" s="31">
        <f t="shared" si="29"/>
        <v>819.33333333333337</v>
      </c>
      <c r="AJ30" s="31">
        <f t="shared" si="30"/>
        <v>0</v>
      </c>
      <c r="AK30" s="31">
        <f t="shared" si="31"/>
        <v>0</v>
      </c>
      <c r="AL30" s="33"/>
      <c r="AM30" s="37">
        <f t="shared" si="5"/>
        <v>-1</v>
      </c>
      <c r="AN30" s="36">
        <f>[1]RB!$I30</f>
        <v>6666.666666666667</v>
      </c>
      <c r="AO30" s="31">
        <f t="shared" si="32"/>
        <v>5847.3333333333339</v>
      </c>
      <c r="AP30" s="31">
        <f t="shared" si="33"/>
        <v>819.33333333333337</v>
      </c>
      <c r="AQ30" s="31">
        <f t="shared" si="34"/>
        <v>0</v>
      </c>
      <c r="AR30" s="31">
        <f t="shared" si="35"/>
        <v>0</v>
      </c>
      <c r="AS30" s="33"/>
      <c r="AT30" s="37">
        <f t="shared" si="6"/>
        <v>-1</v>
      </c>
      <c r="AU30" s="36">
        <f>[1]RB!$J30</f>
        <v>6666.666666666667</v>
      </c>
      <c r="AV30" s="31">
        <f t="shared" si="36"/>
        <v>5847.3333333333339</v>
      </c>
      <c r="AW30" s="31">
        <f t="shared" si="37"/>
        <v>819.33333333333337</v>
      </c>
      <c r="AX30" s="31">
        <f t="shared" si="38"/>
        <v>0</v>
      </c>
      <c r="AY30" s="31">
        <f t="shared" si="39"/>
        <v>0</v>
      </c>
      <c r="AZ30" s="27"/>
      <c r="BA30" s="37">
        <f t="shared" si="7"/>
        <v>-1</v>
      </c>
      <c r="BB30" s="36">
        <f>[1]RB!$K30</f>
        <v>6666.666666666667</v>
      </c>
      <c r="BC30" s="31">
        <f t="shared" si="40"/>
        <v>5847.3333333333339</v>
      </c>
      <c r="BD30" s="31">
        <f t="shared" si="41"/>
        <v>819.33333333333337</v>
      </c>
      <c r="BE30" s="31">
        <f t="shared" si="42"/>
        <v>0</v>
      </c>
      <c r="BF30" s="31">
        <f t="shared" si="43"/>
        <v>0</v>
      </c>
      <c r="BG30" s="27"/>
      <c r="BH30" s="37">
        <f t="shared" si="8"/>
        <v>-1</v>
      </c>
      <c r="BI30" s="36">
        <f>[1]RB!$L30</f>
        <v>6666.666666666667</v>
      </c>
      <c r="BJ30" s="31">
        <f t="shared" si="44"/>
        <v>5847.3333333333339</v>
      </c>
      <c r="BK30" s="31">
        <f t="shared" si="45"/>
        <v>819.33333333333337</v>
      </c>
      <c r="BL30" s="31">
        <f t="shared" si="46"/>
        <v>0</v>
      </c>
      <c r="BM30" s="31">
        <f t="shared" si="47"/>
        <v>0</v>
      </c>
      <c r="BN30" s="33"/>
      <c r="BO30" s="37">
        <f t="shared" si="9"/>
        <v>-1</v>
      </c>
      <c r="BP30" s="36">
        <f>[1]RB!$M30</f>
        <v>6666.666666666667</v>
      </c>
      <c r="BQ30" s="31">
        <f t="shared" si="48"/>
        <v>5847.3333333333339</v>
      </c>
      <c r="BR30" s="31">
        <f t="shared" si="49"/>
        <v>819.33333333333337</v>
      </c>
      <c r="BS30" s="31">
        <f t="shared" si="50"/>
        <v>0</v>
      </c>
      <c r="BT30" s="31">
        <f t="shared" si="51"/>
        <v>0</v>
      </c>
      <c r="BU30" s="33"/>
      <c r="BV30" s="37">
        <f t="shared" si="10"/>
        <v>-1</v>
      </c>
      <c r="BW30" s="36">
        <f>[1]RB!$N30</f>
        <v>6666.666666666667</v>
      </c>
      <c r="BX30" s="31">
        <f t="shared" si="52"/>
        <v>5847.3333333333339</v>
      </c>
      <c r="BY30" s="31">
        <f t="shared" si="53"/>
        <v>819.33333333333337</v>
      </c>
      <c r="BZ30" s="31">
        <f t="shared" si="54"/>
        <v>0</v>
      </c>
      <c r="CA30" s="31">
        <f t="shared" si="55"/>
        <v>0</v>
      </c>
      <c r="CB30" s="33"/>
      <c r="CC30" s="37">
        <f t="shared" si="11"/>
        <v>-1</v>
      </c>
      <c r="CD30" s="36">
        <f>[1]RB!$O30</f>
        <v>6666.666666666667</v>
      </c>
      <c r="CE30" s="31">
        <f t="shared" si="56"/>
        <v>5847.3333333333339</v>
      </c>
      <c r="CF30" s="31">
        <f t="shared" si="57"/>
        <v>819.33333333333337</v>
      </c>
      <c r="CG30" s="31">
        <f t="shared" si="58"/>
        <v>0</v>
      </c>
      <c r="CH30" s="31">
        <f t="shared" si="59"/>
        <v>0</v>
      </c>
      <c r="CI30" s="33"/>
      <c r="CJ30" s="37">
        <f t="shared" si="12"/>
        <v>-1</v>
      </c>
      <c r="CK30" s="36">
        <f>[1]RB!$P30</f>
        <v>6666.666666666667</v>
      </c>
      <c r="CL30" s="31">
        <f t="shared" si="60"/>
        <v>5847.3333333333339</v>
      </c>
      <c r="CM30" s="31">
        <f t="shared" si="61"/>
        <v>819.33333333333337</v>
      </c>
      <c r="CN30" s="31">
        <f t="shared" si="62"/>
        <v>0</v>
      </c>
      <c r="CO30" s="31">
        <f t="shared" si="63"/>
        <v>0</v>
      </c>
      <c r="CP30" s="33"/>
      <c r="CQ30" s="37">
        <f t="shared" si="13"/>
        <v>-1</v>
      </c>
      <c r="CR30" s="181"/>
      <c r="CS30" s="27">
        <f>8840+290.24</f>
        <v>9130.24</v>
      </c>
      <c r="CT30" s="27">
        <f>5317.5+166.04</f>
        <v>5483.54</v>
      </c>
      <c r="CU30" s="27">
        <f>166.04+(6447.6)</f>
        <v>6613.64</v>
      </c>
      <c r="CV30" s="27"/>
      <c r="CW30" s="27"/>
      <c r="CX30" s="27"/>
      <c r="CY30" s="27"/>
      <c r="CZ30" s="27"/>
      <c r="DA30" s="27"/>
      <c r="DB30" s="27"/>
      <c r="DC30" s="27"/>
      <c r="DD30" s="27"/>
    </row>
    <row r="31" spans="1:108" s="26" customFormat="1" ht="16" customHeight="1" x14ac:dyDescent="0.2">
      <c r="A31" s="183" t="s">
        <v>55</v>
      </c>
      <c r="B31" s="30">
        <f t="shared" si="0"/>
        <v>5000</v>
      </c>
      <c r="C31" s="31">
        <f t="shared" si="0"/>
        <v>4385.5000000000009</v>
      </c>
      <c r="D31" s="32">
        <f t="shared" si="0"/>
        <v>614.5</v>
      </c>
      <c r="E31" s="30">
        <f t="shared" si="14"/>
        <v>1666.6666666666667</v>
      </c>
      <c r="F31" s="33">
        <f t="shared" si="14"/>
        <v>1461.8333333333335</v>
      </c>
      <c r="G31" s="34">
        <f t="shared" si="14"/>
        <v>204.83333333333334</v>
      </c>
      <c r="H31" s="31">
        <f t="shared" si="1"/>
        <v>0</v>
      </c>
      <c r="I31" s="33">
        <f t="shared" si="1"/>
        <v>0</v>
      </c>
      <c r="J31" s="33">
        <f t="shared" si="1"/>
        <v>0</v>
      </c>
      <c r="K31" s="37">
        <f t="shared" si="15"/>
        <v>-1</v>
      </c>
      <c r="L31" s="36">
        <f>[1]RB!$E31</f>
        <v>416.66666666666669</v>
      </c>
      <c r="M31" s="31">
        <f t="shared" si="16"/>
        <v>365.45833333333337</v>
      </c>
      <c r="N31" s="31">
        <f t="shared" si="17"/>
        <v>51.208333333333336</v>
      </c>
      <c r="O31" s="31">
        <f t="shared" si="18"/>
        <v>0</v>
      </c>
      <c r="P31" s="31">
        <f t="shared" si="19"/>
        <v>0</v>
      </c>
      <c r="Q31" s="33"/>
      <c r="R31" s="37">
        <f t="shared" si="2"/>
        <v>-1</v>
      </c>
      <c r="S31" s="36">
        <f>[1]RB!$F31</f>
        <v>416.66666666666669</v>
      </c>
      <c r="T31" s="31">
        <f t="shared" si="20"/>
        <v>365.45833333333337</v>
      </c>
      <c r="U31" s="31">
        <f t="shared" si="21"/>
        <v>51.208333333333336</v>
      </c>
      <c r="V31" s="31">
        <f t="shared" si="22"/>
        <v>0</v>
      </c>
      <c r="W31" s="31">
        <f t="shared" si="23"/>
        <v>0</v>
      </c>
      <c r="X31" s="33"/>
      <c r="Y31" s="37">
        <f t="shared" si="3"/>
        <v>-1</v>
      </c>
      <c r="Z31" s="36">
        <f>[1]RB!$G31</f>
        <v>416.66666666666669</v>
      </c>
      <c r="AA31" s="31">
        <f t="shared" si="24"/>
        <v>365.45833333333337</v>
      </c>
      <c r="AB31" s="31">
        <f t="shared" si="25"/>
        <v>51.208333333333336</v>
      </c>
      <c r="AC31" s="31">
        <f t="shared" si="26"/>
        <v>0</v>
      </c>
      <c r="AD31" s="31">
        <f t="shared" si="27"/>
        <v>0</v>
      </c>
      <c r="AE31" s="27"/>
      <c r="AF31" s="37">
        <f t="shared" si="4"/>
        <v>-1</v>
      </c>
      <c r="AG31" s="36">
        <f>[1]RB!$H31</f>
        <v>416.66666666666669</v>
      </c>
      <c r="AH31" s="31">
        <f t="shared" si="28"/>
        <v>365.45833333333337</v>
      </c>
      <c r="AI31" s="31">
        <f t="shared" si="29"/>
        <v>51.208333333333336</v>
      </c>
      <c r="AJ31" s="31">
        <f t="shared" si="30"/>
        <v>0</v>
      </c>
      <c r="AK31" s="31">
        <f t="shared" si="31"/>
        <v>0</v>
      </c>
      <c r="AL31" s="33"/>
      <c r="AM31" s="37">
        <f t="shared" si="5"/>
        <v>-1</v>
      </c>
      <c r="AN31" s="36">
        <f>[1]RB!$I31</f>
        <v>416.66666666666669</v>
      </c>
      <c r="AO31" s="31">
        <f t="shared" si="32"/>
        <v>365.45833333333337</v>
      </c>
      <c r="AP31" s="31">
        <f t="shared" si="33"/>
        <v>51.208333333333336</v>
      </c>
      <c r="AQ31" s="31">
        <f t="shared" si="34"/>
        <v>0</v>
      </c>
      <c r="AR31" s="31">
        <f t="shared" si="35"/>
        <v>0</v>
      </c>
      <c r="AS31" s="33"/>
      <c r="AT31" s="37">
        <f t="shared" si="6"/>
        <v>-1</v>
      </c>
      <c r="AU31" s="36">
        <f>[1]RB!$J31</f>
        <v>416.66666666666669</v>
      </c>
      <c r="AV31" s="31">
        <f t="shared" si="36"/>
        <v>365.45833333333337</v>
      </c>
      <c r="AW31" s="31">
        <f t="shared" si="37"/>
        <v>51.208333333333336</v>
      </c>
      <c r="AX31" s="31">
        <f t="shared" si="38"/>
        <v>0</v>
      </c>
      <c r="AY31" s="31">
        <f t="shared" si="39"/>
        <v>0</v>
      </c>
      <c r="AZ31" s="27"/>
      <c r="BA31" s="37">
        <f t="shared" si="7"/>
        <v>-1</v>
      </c>
      <c r="BB31" s="36">
        <f>[1]RB!$K31</f>
        <v>416.66666666666669</v>
      </c>
      <c r="BC31" s="31">
        <f t="shared" si="40"/>
        <v>365.45833333333337</v>
      </c>
      <c r="BD31" s="31">
        <f t="shared" si="41"/>
        <v>51.208333333333336</v>
      </c>
      <c r="BE31" s="31">
        <f t="shared" si="42"/>
        <v>0</v>
      </c>
      <c r="BF31" s="31">
        <f t="shared" si="43"/>
        <v>0</v>
      </c>
      <c r="BG31" s="27"/>
      <c r="BH31" s="37">
        <f t="shared" si="8"/>
        <v>-1</v>
      </c>
      <c r="BI31" s="36">
        <f>[1]RB!$L31</f>
        <v>416.66666666666669</v>
      </c>
      <c r="BJ31" s="31">
        <f t="shared" si="44"/>
        <v>365.45833333333337</v>
      </c>
      <c r="BK31" s="31">
        <f t="shared" si="45"/>
        <v>51.208333333333336</v>
      </c>
      <c r="BL31" s="31">
        <f t="shared" si="46"/>
        <v>0</v>
      </c>
      <c r="BM31" s="31">
        <f t="shared" si="47"/>
        <v>0</v>
      </c>
      <c r="BN31" s="33"/>
      <c r="BO31" s="37">
        <f t="shared" si="9"/>
        <v>-1</v>
      </c>
      <c r="BP31" s="36">
        <f>[1]RB!$M31</f>
        <v>416.66666666666669</v>
      </c>
      <c r="BQ31" s="31">
        <f t="shared" si="48"/>
        <v>365.45833333333337</v>
      </c>
      <c r="BR31" s="31">
        <f t="shared" si="49"/>
        <v>51.208333333333336</v>
      </c>
      <c r="BS31" s="31">
        <f t="shared" si="50"/>
        <v>0</v>
      </c>
      <c r="BT31" s="31">
        <f t="shared" si="51"/>
        <v>0</v>
      </c>
      <c r="BU31" s="33"/>
      <c r="BV31" s="37">
        <f t="shared" si="10"/>
        <v>-1</v>
      </c>
      <c r="BW31" s="36">
        <f>[1]RB!$N31</f>
        <v>416.66666666666669</v>
      </c>
      <c r="BX31" s="31">
        <f t="shared" si="52"/>
        <v>365.45833333333337</v>
      </c>
      <c r="BY31" s="31">
        <f t="shared" si="53"/>
        <v>51.208333333333336</v>
      </c>
      <c r="BZ31" s="31">
        <f t="shared" si="54"/>
        <v>0</v>
      </c>
      <c r="CA31" s="31">
        <f t="shared" si="55"/>
        <v>0</v>
      </c>
      <c r="CB31" s="33"/>
      <c r="CC31" s="37">
        <f t="shared" si="11"/>
        <v>-1</v>
      </c>
      <c r="CD31" s="36">
        <f>[1]RB!$O31</f>
        <v>416.66666666666669</v>
      </c>
      <c r="CE31" s="31">
        <f t="shared" si="56"/>
        <v>365.45833333333337</v>
      </c>
      <c r="CF31" s="31">
        <f t="shared" si="57"/>
        <v>51.208333333333336</v>
      </c>
      <c r="CG31" s="31">
        <f t="shared" si="58"/>
        <v>0</v>
      </c>
      <c r="CH31" s="31">
        <f t="shared" si="59"/>
        <v>0</v>
      </c>
      <c r="CI31" s="33"/>
      <c r="CJ31" s="37">
        <f t="shared" si="12"/>
        <v>-1</v>
      </c>
      <c r="CK31" s="36">
        <f>[1]RB!$P31</f>
        <v>416.66666666666669</v>
      </c>
      <c r="CL31" s="31">
        <f t="shared" si="60"/>
        <v>365.45833333333337</v>
      </c>
      <c r="CM31" s="31">
        <f t="shared" si="61"/>
        <v>51.208333333333336</v>
      </c>
      <c r="CN31" s="31">
        <f t="shared" si="62"/>
        <v>0</v>
      </c>
      <c r="CO31" s="31">
        <f t="shared" si="63"/>
        <v>0</v>
      </c>
      <c r="CP31" s="33"/>
      <c r="CQ31" s="37">
        <f t="shared" si="13"/>
        <v>-1</v>
      </c>
      <c r="CR31" s="181"/>
      <c r="CS31" s="27"/>
      <c r="CT31" s="27"/>
      <c r="CU31" s="27">
        <f>1422+3492</f>
        <v>4914</v>
      </c>
      <c r="CV31" s="27"/>
      <c r="CW31" s="27"/>
      <c r="CX31" s="27"/>
      <c r="CY31" s="27"/>
      <c r="CZ31" s="27"/>
      <c r="DA31" s="27"/>
      <c r="DB31" s="27"/>
      <c r="DC31" s="27"/>
      <c r="DD31" s="27"/>
    </row>
    <row r="32" spans="1:108" s="26" customFormat="1" ht="16" customHeight="1" x14ac:dyDescent="0.2">
      <c r="A32" s="182" t="s">
        <v>145</v>
      </c>
      <c r="B32" s="30">
        <f t="shared" si="0"/>
        <v>3725158.0960000008</v>
      </c>
      <c r="C32" s="31">
        <f t="shared" si="0"/>
        <v>3267336.1660016002</v>
      </c>
      <c r="D32" s="32">
        <f t="shared" si="0"/>
        <v>457821.92999839998</v>
      </c>
      <c r="E32" s="30">
        <f t="shared" si="14"/>
        <v>1726531.0480000002</v>
      </c>
      <c r="F32" s="33">
        <f t="shared" si="14"/>
        <v>1514340.3822008001</v>
      </c>
      <c r="G32" s="34">
        <f t="shared" si="14"/>
        <v>212190.66579920001</v>
      </c>
      <c r="H32" s="31">
        <f t="shared" si="1"/>
        <v>1312114.2078420001</v>
      </c>
      <c r="I32" s="33">
        <f t="shared" si="1"/>
        <v>38631.322158000003</v>
      </c>
      <c r="J32" s="33">
        <f t="shared" si="1"/>
        <v>1350745.53</v>
      </c>
      <c r="K32" s="37">
        <f t="shared" si="15"/>
        <v>-0.21765349568159065</v>
      </c>
      <c r="L32" s="36">
        <f>[1]RB!$E32</f>
        <v>421069.88000000006</v>
      </c>
      <c r="M32" s="31">
        <f t="shared" si="16"/>
        <v>369320.39174800005</v>
      </c>
      <c r="N32" s="31">
        <f t="shared" si="17"/>
        <v>51749.488252000003</v>
      </c>
      <c r="O32" s="31">
        <f t="shared" si="18"/>
        <v>458921.83390200004</v>
      </c>
      <c r="P32" s="31">
        <f t="shared" si="19"/>
        <v>13511.596098000002</v>
      </c>
      <c r="Q32" s="33">
        <f>(280174.85-50000)+234817.78+2247.96+5192.84</f>
        <v>472433.43000000005</v>
      </c>
      <c r="R32" s="37">
        <f t="shared" si="2"/>
        <v>0.1219834341986179</v>
      </c>
      <c r="S32" s="36">
        <f>[1]RB!$F32</f>
        <v>421069.88000000006</v>
      </c>
      <c r="T32" s="31">
        <f t="shared" si="20"/>
        <v>369320.39174800005</v>
      </c>
      <c r="U32" s="31">
        <f t="shared" si="21"/>
        <v>51749.488252000003</v>
      </c>
      <c r="V32" s="31">
        <f t="shared" si="22"/>
        <v>268781.07615599997</v>
      </c>
      <c r="W32" s="31">
        <f t="shared" si="23"/>
        <v>7913.4638439999999</v>
      </c>
      <c r="X32" s="33">
        <f>271542.08+2004.91+3147.55</f>
        <v>276694.53999999998</v>
      </c>
      <c r="Y32" s="37">
        <f t="shared" si="3"/>
        <v>-0.34287738652786104</v>
      </c>
      <c r="Z32" s="36">
        <f>[1]RB!$G32</f>
        <v>415207.05600000004</v>
      </c>
      <c r="AA32" s="31">
        <f t="shared" si="24"/>
        <v>364178.10881760006</v>
      </c>
      <c r="AB32" s="31">
        <f t="shared" si="25"/>
        <v>51028.947182400007</v>
      </c>
      <c r="AC32" s="31">
        <f t="shared" si="26"/>
        <v>320756.11486199999</v>
      </c>
      <c r="AD32" s="31">
        <f t="shared" si="27"/>
        <v>9443.7151380000014</v>
      </c>
      <c r="AE32" s="27">
        <f>304361.9+16874+4822.2+4141.73</f>
        <v>330199.83</v>
      </c>
      <c r="AF32" s="37">
        <f t="shared" si="4"/>
        <v>-0.2047345409274548</v>
      </c>
      <c r="AG32" s="36">
        <f>[1]RB!$H32</f>
        <v>469184.23200000013</v>
      </c>
      <c r="AH32" s="31">
        <f t="shared" si="28"/>
        <v>411521.48988720012</v>
      </c>
      <c r="AI32" s="31">
        <f t="shared" si="29"/>
        <v>57662.742112800013</v>
      </c>
      <c r="AJ32" s="31">
        <f t="shared" si="30"/>
        <v>263655.18292200007</v>
      </c>
      <c r="AK32" s="31">
        <f t="shared" si="31"/>
        <v>7762.5470780000014</v>
      </c>
      <c r="AL32" s="33">
        <f>268426.28+1751.75+1239.7</f>
        <v>271417.73000000004</v>
      </c>
      <c r="AM32" s="37">
        <f t="shared" si="5"/>
        <v>-0.42151139895937517</v>
      </c>
      <c r="AN32" s="36">
        <f>[1]RB!$I32</f>
        <v>545161.40800000005</v>
      </c>
      <c r="AO32" s="31">
        <f t="shared" si="32"/>
        <v>478161.07095680002</v>
      </c>
      <c r="AP32" s="31">
        <f t="shared" si="33"/>
        <v>67000.337043200008</v>
      </c>
      <c r="AQ32" s="31">
        <f t="shared" si="34"/>
        <v>0</v>
      </c>
      <c r="AR32" s="31">
        <f t="shared" si="35"/>
        <v>0</v>
      </c>
      <c r="AS32" s="33"/>
      <c r="AT32" s="37">
        <f t="shared" si="6"/>
        <v>-1</v>
      </c>
      <c r="AU32" s="36">
        <f>[1]RB!$J32</f>
        <v>523161.40800000011</v>
      </c>
      <c r="AV32" s="31">
        <f t="shared" si="36"/>
        <v>458864.87095680012</v>
      </c>
      <c r="AW32" s="31">
        <f t="shared" si="37"/>
        <v>64296.537043200013</v>
      </c>
      <c r="AX32" s="31">
        <f t="shared" si="38"/>
        <v>0</v>
      </c>
      <c r="AY32" s="31">
        <f t="shared" si="39"/>
        <v>0</v>
      </c>
      <c r="AZ32" s="27"/>
      <c r="BA32" s="37">
        <f t="shared" si="7"/>
        <v>-1</v>
      </c>
      <c r="BB32" s="36">
        <f>[1]RB!$K32</f>
        <v>565984.23200000008</v>
      </c>
      <c r="BC32" s="31">
        <f t="shared" si="40"/>
        <v>496424.76988720009</v>
      </c>
      <c r="BD32" s="31">
        <f t="shared" si="41"/>
        <v>69559.4621128</v>
      </c>
      <c r="BE32" s="31">
        <f t="shared" si="42"/>
        <v>0</v>
      </c>
      <c r="BF32" s="31">
        <f t="shared" si="43"/>
        <v>0</v>
      </c>
      <c r="BG32" s="27"/>
      <c r="BH32" s="37">
        <f t="shared" si="8"/>
        <v>-1</v>
      </c>
      <c r="BI32" s="36">
        <f>[1]RB!$L32</f>
        <v>331760</v>
      </c>
      <c r="BJ32" s="31">
        <f t="shared" si="44"/>
        <v>290986.696</v>
      </c>
      <c r="BK32" s="31">
        <f t="shared" si="45"/>
        <v>40773.303999999996</v>
      </c>
      <c r="BL32" s="31">
        <f t="shared" si="46"/>
        <v>0</v>
      </c>
      <c r="BM32" s="31">
        <f t="shared" si="47"/>
        <v>0</v>
      </c>
      <c r="BN32" s="33"/>
      <c r="BO32" s="37">
        <f t="shared" si="9"/>
        <v>-1</v>
      </c>
      <c r="BP32" s="36">
        <f>[1]RB!$M32</f>
        <v>27280</v>
      </c>
      <c r="BQ32" s="31">
        <f t="shared" si="48"/>
        <v>23927.288</v>
      </c>
      <c r="BR32" s="31">
        <f t="shared" si="49"/>
        <v>3352.712</v>
      </c>
      <c r="BS32" s="31">
        <f t="shared" si="50"/>
        <v>0</v>
      </c>
      <c r="BT32" s="31">
        <f t="shared" si="51"/>
        <v>0</v>
      </c>
      <c r="BU32" s="33"/>
      <c r="BV32" s="37">
        <f t="shared" si="10"/>
        <v>-1</v>
      </c>
      <c r="BW32" s="36">
        <f>[1]RB!$N32</f>
        <v>5280</v>
      </c>
      <c r="BX32" s="31">
        <f t="shared" si="52"/>
        <v>4631.0879999999997</v>
      </c>
      <c r="BY32" s="31">
        <f t="shared" si="53"/>
        <v>648.91199999999992</v>
      </c>
      <c r="BZ32" s="31">
        <f t="shared" si="54"/>
        <v>0</v>
      </c>
      <c r="CA32" s="31">
        <f t="shared" si="55"/>
        <v>0</v>
      </c>
      <c r="CB32" s="33"/>
      <c r="CC32" s="37">
        <f t="shared" si="11"/>
        <v>-1</v>
      </c>
      <c r="CD32" s="36">
        <f>[1]RB!$O32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2"/>
        <v/>
      </c>
      <c r="CK32" s="36">
        <f>[1]RB!$P32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3"/>
        <v/>
      </c>
      <c r="CR32" s="181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</row>
    <row r="33" spans="1:108" s="26" customFormat="1" ht="16" customHeight="1" x14ac:dyDescent="0.2">
      <c r="A33" s="182" t="s">
        <v>57</v>
      </c>
      <c r="B33" s="30">
        <f t="shared" si="0"/>
        <v>1595918.3673469387</v>
      </c>
      <c r="C33" s="31">
        <f t="shared" si="0"/>
        <v>1399780</v>
      </c>
      <c r="D33" s="32">
        <f t="shared" si="0"/>
        <v>196138.36734693876</v>
      </c>
      <c r="E33" s="30">
        <f t="shared" si="14"/>
        <v>797959.18367346935</v>
      </c>
      <c r="F33" s="33">
        <f t="shared" si="14"/>
        <v>699890</v>
      </c>
      <c r="G33" s="34">
        <f t="shared" si="14"/>
        <v>98069.183673469379</v>
      </c>
      <c r="H33" s="31">
        <f t="shared" si="1"/>
        <v>416195.30031600001</v>
      </c>
      <c r="I33" s="33">
        <f t="shared" si="1"/>
        <v>12253.639684</v>
      </c>
      <c r="J33" s="33">
        <f t="shared" si="1"/>
        <v>428448.93999999994</v>
      </c>
      <c r="K33" s="37">
        <f t="shared" si="15"/>
        <v>-0.46306910332480822</v>
      </c>
      <c r="L33" s="36">
        <f>[1]RB!$E33</f>
        <v>173469.38775510204</v>
      </c>
      <c r="M33" s="31">
        <f t="shared" si="16"/>
        <v>152150</v>
      </c>
      <c r="N33" s="31">
        <f t="shared" si="17"/>
        <v>21319.387755102041</v>
      </c>
      <c r="O33" s="31">
        <f t="shared" si="18"/>
        <v>162191.607804</v>
      </c>
      <c r="P33" s="31">
        <f t="shared" si="19"/>
        <v>4775.2521959999995</v>
      </c>
      <c r="Q33" s="33">
        <f>81551.87+85414.99</f>
        <v>166966.85999999999</v>
      </c>
      <c r="R33" s="37">
        <f t="shared" si="2"/>
        <v>-3.7485160000000128E-2</v>
      </c>
      <c r="S33" s="36">
        <f>[1]RB!$F33</f>
        <v>173469.38775510204</v>
      </c>
      <c r="T33" s="31">
        <f t="shared" si="20"/>
        <v>152150</v>
      </c>
      <c r="U33" s="31">
        <f t="shared" si="21"/>
        <v>21319.387755102041</v>
      </c>
      <c r="V33" s="31">
        <f t="shared" si="22"/>
        <v>108801.93870599999</v>
      </c>
      <c r="W33" s="31">
        <f t="shared" si="23"/>
        <v>3203.3512940000001</v>
      </c>
      <c r="X33" s="33">
        <v>112005.29</v>
      </c>
      <c r="Y33" s="37">
        <f t="shared" si="3"/>
        <v>-0.35432244588235295</v>
      </c>
      <c r="Z33" s="36">
        <f>[1]RB!$G33</f>
        <v>208163.26530612243</v>
      </c>
      <c r="AA33" s="31">
        <f t="shared" si="24"/>
        <v>182579.99999999997</v>
      </c>
      <c r="AB33" s="31">
        <f t="shared" si="25"/>
        <v>25583.265306122445</v>
      </c>
      <c r="AC33" s="31">
        <f t="shared" si="26"/>
        <v>79779.080916000006</v>
      </c>
      <c r="AD33" s="31">
        <f t="shared" si="27"/>
        <v>2348.8590840000002</v>
      </c>
      <c r="AE33" s="27">
        <v>82127.94</v>
      </c>
      <c r="AF33" s="37">
        <f t="shared" si="4"/>
        <v>-0.60546381764705881</v>
      </c>
      <c r="AG33" s="36">
        <f>[1]RB!$H33</f>
        <v>242857.14285714284</v>
      </c>
      <c r="AH33" s="31">
        <f t="shared" si="28"/>
        <v>213010</v>
      </c>
      <c r="AI33" s="31">
        <f t="shared" si="29"/>
        <v>29847.142857142855</v>
      </c>
      <c r="AJ33" s="31">
        <f t="shared" si="30"/>
        <v>65422.672890000009</v>
      </c>
      <c r="AK33" s="31">
        <f t="shared" si="31"/>
        <v>1926.1771100000001</v>
      </c>
      <c r="AL33" s="33">
        <v>67348.850000000006</v>
      </c>
      <c r="AM33" s="37">
        <f t="shared" si="5"/>
        <v>-0.72268120588235285</v>
      </c>
      <c r="AN33" s="36">
        <f>[1]RB!$I33</f>
        <v>277551.02040816325</v>
      </c>
      <c r="AO33" s="31">
        <f t="shared" si="32"/>
        <v>243440</v>
      </c>
      <c r="AP33" s="31">
        <f t="shared" si="33"/>
        <v>34111.020408163262</v>
      </c>
      <c r="AQ33" s="31">
        <f t="shared" si="34"/>
        <v>0</v>
      </c>
      <c r="AR33" s="31">
        <f t="shared" si="35"/>
        <v>0</v>
      </c>
      <c r="AS33" s="33"/>
      <c r="AT33" s="37">
        <f t="shared" si="6"/>
        <v>-1</v>
      </c>
      <c r="AU33" s="36">
        <f>[1]RB!$J33</f>
        <v>277551.02040816325</v>
      </c>
      <c r="AV33" s="31">
        <f t="shared" si="36"/>
        <v>243440</v>
      </c>
      <c r="AW33" s="31">
        <f t="shared" si="37"/>
        <v>34111.020408163262</v>
      </c>
      <c r="AX33" s="31">
        <f t="shared" si="38"/>
        <v>0</v>
      </c>
      <c r="AY33" s="31">
        <f t="shared" si="39"/>
        <v>0</v>
      </c>
      <c r="AZ33" s="27"/>
      <c r="BA33" s="37">
        <f t="shared" si="7"/>
        <v>-1</v>
      </c>
      <c r="BB33" s="36">
        <f>[1]RB!$K33</f>
        <v>242857.14285714284</v>
      </c>
      <c r="BC33" s="31">
        <f t="shared" si="40"/>
        <v>213010</v>
      </c>
      <c r="BD33" s="31">
        <f t="shared" si="41"/>
        <v>29847.142857142855</v>
      </c>
      <c r="BE33" s="31">
        <f t="shared" si="42"/>
        <v>0</v>
      </c>
      <c r="BF33" s="31">
        <f t="shared" si="43"/>
        <v>0</v>
      </c>
      <c r="BG33" s="27"/>
      <c r="BH33" s="37">
        <f t="shared" si="8"/>
        <v>-1</v>
      </c>
      <c r="BI33" s="36">
        <f>[1]RB!$L33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9"/>
        <v/>
      </c>
      <c r="BP33" s="36">
        <f>[1]RB!$M33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0"/>
        <v/>
      </c>
      <c r="BW33" s="36">
        <f>[1]RB!$N33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1"/>
        <v/>
      </c>
      <c r="CD33" s="36">
        <f>[1]RB!$O33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2"/>
        <v/>
      </c>
      <c r="CK33" s="36">
        <f>[1]RB!$P33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3"/>
        <v/>
      </c>
      <c r="CR33" s="181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</row>
    <row r="34" spans="1:108" s="26" customFormat="1" ht="16" customHeight="1" x14ac:dyDescent="0.2">
      <c r="A34" s="182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4"/>
        <v>0</v>
      </c>
      <c r="F34" s="33">
        <f t="shared" si="14"/>
        <v>0</v>
      </c>
      <c r="G34" s="34">
        <f t="shared" si="14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15"/>
        <v/>
      </c>
      <c r="L34" s="36">
        <f>[1]RB!$E34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2"/>
        <v/>
      </c>
      <c r="S34" s="36">
        <f>[1]RB!$F34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3"/>
        <v/>
      </c>
      <c r="Z34" s="36">
        <f>[1]RB!$G34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27"/>
      <c r="AF34" s="37" t="str">
        <f t="shared" si="4"/>
        <v/>
      </c>
      <c r="AG34" s="36">
        <f>[1]RB!$H34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33"/>
      <c r="AM34" s="37" t="str">
        <f t="shared" si="5"/>
        <v/>
      </c>
      <c r="AN34" s="36">
        <f>[1]RB!$I34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33"/>
      <c r="AT34" s="37" t="str">
        <f t="shared" si="6"/>
        <v/>
      </c>
      <c r="AU34" s="36">
        <f>[1]RB!$J34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27"/>
      <c r="BA34" s="37" t="str">
        <f t="shared" si="7"/>
        <v/>
      </c>
      <c r="BB34" s="36">
        <f>[1]RB!$K34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27"/>
      <c r="BH34" s="37" t="str">
        <f t="shared" si="8"/>
        <v/>
      </c>
      <c r="BI34" s="36">
        <f>[1]RB!$L34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9"/>
        <v/>
      </c>
      <c r="BP34" s="36">
        <f>[1]RB!$M34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0"/>
        <v/>
      </c>
      <c r="BW34" s="36">
        <f>[1]RB!$N34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1"/>
        <v/>
      </c>
      <c r="CD34" s="36">
        <f>[1]RB!$O34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2"/>
        <v/>
      </c>
      <c r="CK34" s="36">
        <f>[1]RB!$P34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3"/>
        <v/>
      </c>
      <c r="CR34" s="181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</row>
    <row r="35" spans="1:108" s="26" customFormat="1" ht="16" customHeight="1" x14ac:dyDescent="0.2">
      <c r="A35" s="182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4"/>
        <v>0</v>
      </c>
      <c r="F35" s="33">
        <f t="shared" si="14"/>
        <v>0</v>
      </c>
      <c r="G35" s="34">
        <f t="shared" si="14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15"/>
        <v/>
      </c>
      <c r="L35" s="36">
        <f>[1]RB!$E35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2"/>
        <v/>
      </c>
      <c r="S35" s="36">
        <f>[1]RB!$F35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3"/>
        <v/>
      </c>
      <c r="Z35" s="36">
        <f>[1]RB!$G35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27"/>
      <c r="AF35" s="37" t="str">
        <f t="shared" si="4"/>
        <v/>
      </c>
      <c r="AG35" s="36">
        <f>[1]RB!$H35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33"/>
      <c r="AM35" s="37" t="str">
        <f t="shared" si="5"/>
        <v/>
      </c>
      <c r="AN35" s="36">
        <f>[1]RB!$I35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33"/>
      <c r="AT35" s="37" t="str">
        <f t="shared" si="6"/>
        <v/>
      </c>
      <c r="AU35" s="36">
        <f>[1]RB!$J35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27"/>
      <c r="BA35" s="37" t="str">
        <f t="shared" si="7"/>
        <v/>
      </c>
      <c r="BB35" s="36">
        <f>[1]RB!$K35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8"/>
        <v/>
      </c>
      <c r="BI35" s="36">
        <f>[1]RB!$L35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9"/>
        <v/>
      </c>
      <c r="BP35" s="36">
        <f>[1]RB!$M35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0"/>
        <v/>
      </c>
      <c r="BW35" s="36">
        <f>[1]RB!$N35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1"/>
        <v/>
      </c>
      <c r="CD35" s="36">
        <f>[1]RB!$O35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2"/>
        <v/>
      </c>
      <c r="CK35" s="36">
        <f>[1]RB!$P35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3"/>
        <v/>
      </c>
      <c r="CR35" s="181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</row>
    <row r="36" spans="1:108" s="26" customFormat="1" ht="16" customHeight="1" x14ac:dyDescent="0.2">
      <c r="A36" s="183" t="s">
        <v>60</v>
      </c>
      <c r="B36" s="30">
        <f t="shared" ref="B36:D54" si="65">+L36+S36+Z36+AG36+AN36+AU36+BB36+BI36+BP36+BW36+CD36+CK36</f>
        <v>199999.99999999997</v>
      </c>
      <c r="C36" s="31">
        <f t="shared" si="65"/>
        <v>175420.00000000003</v>
      </c>
      <c r="D36" s="32">
        <f t="shared" si="65"/>
        <v>24579.999999999996</v>
      </c>
      <c r="E36" s="30">
        <f t="shared" si="14"/>
        <v>66666.666666666672</v>
      </c>
      <c r="F36" s="33">
        <f t="shared" si="14"/>
        <v>58473.333333333336</v>
      </c>
      <c r="G36" s="34">
        <f t="shared" si="14"/>
        <v>8193.3333333333339</v>
      </c>
      <c r="H36" s="31">
        <f t="shared" ref="H36:J54" si="66">+O36+V36+AC36+AJ36+AQ36+AX36+BE36+BL36+BS36+BZ36+CG36+CN36</f>
        <v>104192.52913800001</v>
      </c>
      <c r="I36" s="33">
        <f t="shared" si="66"/>
        <v>3067.6408620000007</v>
      </c>
      <c r="J36" s="33">
        <f t="shared" si="66"/>
        <v>107260.17000000001</v>
      </c>
      <c r="K36" s="37">
        <f t="shared" si="15"/>
        <v>0.60890255000000004</v>
      </c>
      <c r="L36" s="36">
        <f>[1]RB!$E36</f>
        <v>16666.666666666668</v>
      </c>
      <c r="M36" s="31">
        <f t="shared" si="16"/>
        <v>14618.333333333334</v>
      </c>
      <c r="N36" s="31">
        <f t="shared" si="17"/>
        <v>2048.3333333333335</v>
      </c>
      <c r="O36" s="31">
        <f t="shared" si="18"/>
        <v>33402.327264</v>
      </c>
      <c r="P36" s="31">
        <f t="shared" si="19"/>
        <v>983.43273600000009</v>
      </c>
      <c r="Q36" s="33">
        <f>266.67+420+296.66+146.67+310+400+77.24+712.5+179.41+537.4+434.86+624.16+109.55+1550.82+12.3+104.99+730.13+68.43+44.99+65.81+27.65+779.42+3544.88+812.06+794.41+240+160+3696+3696+270+180+104.54+74.99+405.24+409.67+64.89+665+2700+1150+288.75+1283.17+177.85+74.06+107.97+708.09+358.23+540+750+270+2960.3</f>
        <v>34385.760000000002</v>
      </c>
      <c r="R36" s="37">
        <f t="shared" si="2"/>
        <v>1.0631455999999999</v>
      </c>
      <c r="S36" s="36">
        <f>[1]RB!$F36</f>
        <v>16666.666666666668</v>
      </c>
      <c r="T36" s="31">
        <f t="shared" si="20"/>
        <v>14618.333333333334</v>
      </c>
      <c r="U36" s="31">
        <f t="shared" si="21"/>
        <v>2048.3333333333335</v>
      </c>
      <c r="V36" s="31">
        <f t="shared" si="22"/>
        <v>19888.123037999998</v>
      </c>
      <c r="W36" s="31">
        <f t="shared" si="23"/>
        <v>585.54696200000001</v>
      </c>
      <c r="X36" s="33">
        <f>1630+776.66+46.2+83.42+57.41+396.55+177.98+1350+351.2+620.62+37.5+169.2+56+1836+490+345.7+46.87+730.13+648.65+95.93+308+146.3+75.57+608.3+222.11+97.3+207.97+3080+739.67+225+377.78+225+179.37+600+400.88+462.5+462.5+804.4+585+180+540</f>
        <v>20473.669999999998</v>
      </c>
      <c r="Y36" s="37">
        <f t="shared" si="3"/>
        <v>0.22842019999999974</v>
      </c>
      <c r="Z36" s="36">
        <f>[1]RB!$G36</f>
        <v>16666.666666666668</v>
      </c>
      <c r="AA36" s="31">
        <f t="shared" si="24"/>
        <v>14618.333333333334</v>
      </c>
      <c r="AB36" s="31">
        <f t="shared" si="25"/>
        <v>2048.3333333333335</v>
      </c>
      <c r="AC36" s="31">
        <f t="shared" si="26"/>
        <v>24450.079716000007</v>
      </c>
      <c r="AD36" s="31">
        <f t="shared" si="27"/>
        <v>719.86028400000032</v>
      </c>
      <c r="AE36" s="33">
        <f>1006.66+206.67+320+656.66+560+288.91+68.92+123.94+708.4+59.74+955.9+22.33+26.13+6.17+112+897.82+107.19+83.57+8.89+6.75+45.93+69.37+977.97+36.09+33.75+9.06+937.61+311.73+4742.43+298.88+100+23.04+360+37.5+797+678.68+750+446.24+777.38+1108.34+206.21+908+830+1550+84.77+380+250+40.11+57.18+1200+78.47+72.21+574.93+62.83+56+51.58</f>
        <v>25169.94000000001</v>
      </c>
      <c r="AF36" s="37">
        <f t="shared" si="4"/>
        <v>0.51019640000000055</v>
      </c>
      <c r="AG36" s="36">
        <f>[1]RB!$H36</f>
        <v>16666.666666666668</v>
      </c>
      <c r="AH36" s="31">
        <f t="shared" si="28"/>
        <v>14618.333333333334</v>
      </c>
      <c r="AI36" s="31">
        <f t="shared" si="29"/>
        <v>2048.3333333333335</v>
      </c>
      <c r="AJ36" s="31">
        <f t="shared" si="30"/>
        <v>26451.999120000008</v>
      </c>
      <c r="AK36" s="31">
        <f t="shared" si="31"/>
        <v>778.80088000000023</v>
      </c>
      <c r="AL36" s="33">
        <f>768+621+1450+38.5+837.27+97.84+1350+4.43+363+39.26+1946+194.69+590+66.45+53.2+2332.5+30.75+213.29+4008.9+325.88+174.7+270.6+844.96+11.25+14.91+73.8+261.38+576+66.42+118.07+803.32+73.8+57.97+1450+1350+452.4+612.5+3962.16+26.84+88.56+610.2</f>
        <v>27230.800000000007</v>
      </c>
      <c r="AM36" s="37">
        <f t="shared" si="5"/>
        <v>0.63384800000000019</v>
      </c>
      <c r="AN36" s="36">
        <f>[1]RB!$I36</f>
        <v>16666.666666666668</v>
      </c>
      <c r="AO36" s="31">
        <f t="shared" si="32"/>
        <v>14618.333333333334</v>
      </c>
      <c r="AP36" s="31">
        <f t="shared" si="33"/>
        <v>2048.3333333333335</v>
      </c>
      <c r="AQ36" s="31">
        <f t="shared" si="34"/>
        <v>0</v>
      </c>
      <c r="AR36" s="31">
        <f t="shared" si="35"/>
        <v>0</v>
      </c>
      <c r="AS36" s="33"/>
      <c r="AT36" s="37">
        <f t="shared" si="6"/>
        <v>-1</v>
      </c>
      <c r="AU36" s="36">
        <f>[1]RB!$J36</f>
        <v>16666.666666666668</v>
      </c>
      <c r="AV36" s="31">
        <f t="shared" si="36"/>
        <v>14618.333333333334</v>
      </c>
      <c r="AW36" s="31">
        <f t="shared" si="37"/>
        <v>2048.3333333333335</v>
      </c>
      <c r="AX36" s="31">
        <f t="shared" si="38"/>
        <v>0</v>
      </c>
      <c r="AY36" s="31">
        <f t="shared" si="39"/>
        <v>0</v>
      </c>
      <c r="AZ36" s="27"/>
      <c r="BA36" s="37">
        <f t="shared" si="7"/>
        <v>-1</v>
      </c>
      <c r="BB36" s="36">
        <f>[1]RB!$K36</f>
        <v>16666.666666666668</v>
      </c>
      <c r="BC36" s="31">
        <f t="shared" si="40"/>
        <v>14618.333333333334</v>
      </c>
      <c r="BD36" s="31">
        <f t="shared" si="41"/>
        <v>2048.3333333333335</v>
      </c>
      <c r="BE36" s="31">
        <f t="shared" si="42"/>
        <v>0</v>
      </c>
      <c r="BF36" s="31">
        <f t="shared" si="43"/>
        <v>0</v>
      </c>
      <c r="BG36" s="27"/>
      <c r="BH36" s="37">
        <f t="shared" si="8"/>
        <v>-1</v>
      </c>
      <c r="BI36" s="36">
        <f>[1]RB!$L36</f>
        <v>16666.666666666668</v>
      </c>
      <c r="BJ36" s="31">
        <f t="shared" si="44"/>
        <v>14618.333333333334</v>
      </c>
      <c r="BK36" s="31">
        <f t="shared" si="45"/>
        <v>2048.3333333333335</v>
      </c>
      <c r="BL36" s="31">
        <f t="shared" si="46"/>
        <v>0</v>
      </c>
      <c r="BM36" s="31">
        <f t="shared" si="47"/>
        <v>0</v>
      </c>
      <c r="BN36" s="33"/>
      <c r="BO36" s="37">
        <f t="shared" si="9"/>
        <v>-1</v>
      </c>
      <c r="BP36" s="36">
        <f>[1]RB!$M36</f>
        <v>16666.666666666668</v>
      </c>
      <c r="BQ36" s="31">
        <f t="shared" si="48"/>
        <v>14618.333333333334</v>
      </c>
      <c r="BR36" s="31">
        <f t="shared" si="49"/>
        <v>2048.3333333333335</v>
      </c>
      <c r="BS36" s="31">
        <f t="shared" si="50"/>
        <v>0</v>
      </c>
      <c r="BT36" s="31">
        <f t="shared" si="51"/>
        <v>0</v>
      </c>
      <c r="BU36" s="33"/>
      <c r="BV36" s="37">
        <f t="shared" si="10"/>
        <v>-1</v>
      </c>
      <c r="BW36" s="36">
        <f>[1]RB!$N36</f>
        <v>16666.666666666668</v>
      </c>
      <c r="BX36" s="31">
        <f t="shared" si="52"/>
        <v>14618.333333333334</v>
      </c>
      <c r="BY36" s="31">
        <f t="shared" si="53"/>
        <v>2048.3333333333335</v>
      </c>
      <c r="BZ36" s="31">
        <f t="shared" si="54"/>
        <v>0</v>
      </c>
      <c r="CA36" s="31">
        <f t="shared" si="55"/>
        <v>0</v>
      </c>
      <c r="CB36" s="33"/>
      <c r="CC36" s="37">
        <f t="shared" si="11"/>
        <v>-1</v>
      </c>
      <c r="CD36" s="36">
        <f>[1]RB!$O36</f>
        <v>16666.666666666668</v>
      </c>
      <c r="CE36" s="31">
        <f t="shared" si="56"/>
        <v>14618.333333333334</v>
      </c>
      <c r="CF36" s="31">
        <f t="shared" si="57"/>
        <v>2048.3333333333335</v>
      </c>
      <c r="CG36" s="31">
        <f t="shared" si="58"/>
        <v>0</v>
      </c>
      <c r="CH36" s="31">
        <f t="shared" si="59"/>
        <v>0</v>
      </c>
      <c r="CI36" s="33"/>
      <c r="CJ36" s="37">
        <f t="shared" si="12"/>
        <v>-1</v>
      </c>
      <c r="CK36" s="36">
        <f>[1]RB!$P36</f>
        <v>16666.666666666668</v>
      </c>
      <c r="CL36" s="31">
        <f t="shared" si="60"/>
        <v>14618.333333333334</v>
      </c>
      <c r="CM36" s="31">
        <f t="shared" si="61"/>
        <v>2048.3333333333335</v>
      </c>
      <c r="CN36" s="31">
        <f t="shared" si="62"/>
        <v>0</v>
      </c>
      <c r="CO36" s="31">
        <f t="shared" si="63"/>
        <v>0</v>
      </c>
      <c r="CP36" s="33"/>
      <c r="CQ36" s="37">
        <f t="shared" si="13"/>
        <v>-1</v>
      </c>
      <c r="CR36" s="181"/>
      <c r="CS36" s="27">
        <f>7710+610+760+1018+580+350+1160+1150+1260+681.72+40+4380+718.6+493.3+537.47+47.3+47.3+25.37+320+550+445.04+691.26+1010+490+666.4+1800+8100+750+161.24+110.58+3682.84+1400+179.92+25.8+66.35+716+161.24+4883</f>
        <v>47778.729999999996</v>
      </c>
      <c r="CT36" s="27">
        <f>1705+70+70+70+390+1380+1355+1835+265+1395+21.26+1350+4677.75+60.2+200+718.59+164.47+150.05+2088.3+288+110.1+73.19+337.12+178.44+803.23+716+133.21+3156+42.43</f>
        <v>23803.339999999993</v>
      </c>
      <c r="CU36" s="27">
        <f>350+380+220+220+52+190+1821+279+280+2300+156.2+72.57+6.52+45.7+74+80.5+634.5+55.35+63.27+54.12+39.36+41.82+170+840+292.72+436.9+24.47+83.02+80+700+470+432.32+50+803.23+112.2+110.69+280+250+2783</f>
        <v>15334.46</v>
      </c>
      <c r="CV36" s="27"/>
      <c r="CW36" s="27"/>
      <c r="CX36" s="27"/>
      <c r="CY36" s="27"/>
      <c r="CZ36" s="27"/>
      <c r="DA36" s="27"/>
      <c r="DB36" s="27"/>
      <c r="DC36" s="27"/>
      <c r="DD36" s="27"/>
    </row>
    <row r="37" spans="1:108" s="26" customFormat="1" ht="16" customHeight="1" x14ac:dyDescent="0.2">
      <c r="A37" s="183" t="s">
        <v>61</v>
      </c>
      <c r="B37" s="30">
        <f t="shared" si="65"/>
        <v>199999.99999999997</v>
      </c>
      <c r="C37" s="31">
        <f t="shared" si="65"/>
        <v>175420.00000000003</v>
      </c>
      <c r="D37" s="32">
        <f t="shared" si="65"/>
        <v>24579.999999999996</v>
      </c>
      <c r="E37" s="30">
        <f t="shared" ref="E37:G54" si="67">+L37+S37+Z37+AG37</f>
        <v>66666.666666666672</v>
      </c>
      <c r="F37" s="33">
        <f t="shared" si="67"/>
        <v>58473.333333333336</v>
      </c>
      <c r="G37" s="34">
        <f t="shared" si="67"/>
        <v>8193.3333333333339</v>
      </c>
      <c r="H37" s="31">
        <f t="shared" si="66"/>
        <v>40726.984397999993</v>
      </c>
      <c r="I37" s="33">
        <f t="shared" si="66"/>
        <v>1199.0856019999997</v>
      </c>
      <c r="J37" s="33">
        <f t="shared" si="66"/>
        <v>41926.069999999992</v>
      </c>
      <c r="K37" s="37">
        <f t="shared" si="15"/>
        <v>-0.3711089500000001</v>
      </c>
      <c r="L37" s="36">
        <f>[1]RB!$E37</f>
        <v>16666.666666666668</v>
      </c>
      <c r="M37" s="31">
        <f t="shared" si="16"/>
        <v>14618.333333333334</v>
      </c>
      <c r="N37" s="31">
        <f t="shared" si="17"/>
        <v>2048.3333333333335</v>
      </c>
      <c r="O37" s="31">
        <f t="shared" si="18"/>
        <v>11097.361026000004</v>
      </c>
      <c r="P37" s="31">
        <f t="shared" si="19"/>
        <v>326.72897400000011</v>
      </c>
      <c r="Q37" s="33">
        <f>(42849.55+2960.3)-Q36</f>
        <v>11424.090000000004</v>
      </c>
      <c r="R37" s="37">
        <f t="shared" si="2"/>
        <v>-0.3145545999999998</v>
      </c>
      <c r="S37" s="36">
        <f>[1]RB!$F37</f>
        <v>16666.666666666668</v>
      </c>
      <c r="T37" s="31">
        <f t="shared" si="20"/>
        <v>14618.333333333334</v>
      </c>
      <c r="U37" s="31">
        <f t="shared" si="21"/>
        <v>2048.3333333333335</v>
      </c>
      <c r="V37" s="31">
        <f t="shared" si="22"/>
        <v>7606.5477000000001</v>
      </c>
      <c r="W37" s="31">
        <f t="shared" si="23"/>
        <v>223.95230000000001</v>
      </c>
      <c r="X37" s="33">
        <f>28304.17-X36</f>
        <v>7830.5</v>
      </c>
      <c r="Y37" s="37">
        <f t="shared" si="3"/>
        <v>-0.53017000000000003</v>
      </c>
      <c r="Z37" s="36">
        <f>[1]RB!$G37</f>
        <v>16666.666666666668</v>
      </c>
      <c r="AA37" s="31">
        <f t="shared" si="24"/>
        <v>14618.333333333334</v>
      </c>
      <c r="AB37" s="31">
        <f t="shared" si="25"/>
        <v>2048.3333333333335</v>
      </c>
      <c r="AC37" s="31">
        <f t="shared" si="26"/>
        <v>11010.576149999994</v>
      </c>
      <c r="AD37" s="31">
        <f t="shared" si="27"/>
        <v>324.17384999999979</v>
      </c>
      <c r="AE37" s="33">
        <f>36504.69-AE36</f>
        <v>11334.749999999993</v>
      </c>
      <c r="AF37" s="37">
        <f t="shared" si="4"/>
        <v>-0.3199150000000005</v>
      </c>
      <c r="AG37" s="36">
        <f>[1]RB!$H37</f>
        <v>16666.666666666668</v>
      </c>
      <c r="AH37" s="31">
        <f t="shared" si="28"/>
        <v>14618.333333333334</v>
      </c>
      <c r="AI37" s="31">
        <f t="shared" si="29"/>
        <v>2048.3333333333335</v>
      </c>
      <c r="AJ37" s="31">
        <f t="shared" si="30"/>
        <v>11012.499521999993</v>
      </c>
      <c r="AK37" s="31">
        <f t="shared" si="31"/>
        <v>324.23047799999978</v>
      </c>
      <c r="AL37" s="33">
        <f>38567.53-AL36</f>
        <v>11336.729999999992</v>
      </c>
      <c r="AM37" s="37">
        <f t="shared" si="5"/>
        <v>-0.31979620000000053</v>
      </c>
      <c r="AN37" s="36">
        <f>[1]RB!$I37</f>
        <v>16666.666666666668</v>
      </c>
      <c r="AO37" s="31">
        <f t="shared" si="32"/>
        <v>14618.333333333334</v>
      </c>
      <c r="AP37" s="31">
        <f t="shared" si="33"/>
        <v>2048.3333333333335</v>
      </c>
      <c r="AQ37" s="31">
        <f t="shared" si="34"/>
        <v>0</v>
      </c>
      <c r="AR37" s="31">
        <f t="shared" si="35"/>
        <v>0</v>
      </c>
      <c r="AS37" s="33"/>
      <c r="AT37" s="37">
        <f t="shared" si="6"/>
        <v>-1</v>
      </c>
      <c r="AU37" s="36">
        <f>[1]RB!$J37</f>
        <v>16666.666666666668</v>
      </c>
      <c r="AV37" s="31">
        <f t="shared" si="36"/>
        <v>14618.333333333334</v>
      </c>
      <c r="AW37" s="31">
        <f t="shared" si="37"/>
        <v>2048.3333333333335</v>
      </c>
      <c r="AX37" s="31">
        <f t="shared" si="38"/>
        <v>0</v>
      </c>
      <c r="AY37" s="31">
        <f t="shared" si="39"/>
        <v>0</v>
      </c>
      <c r="AZ37" s="27"/>
      <c r="BA37" s="37">
        <f t="shared" si="7"/>
        <v>-1</v>
      </c>
      <c r="BB37" s="36">
        <f>[1]RB!$K37</f>
        <v>16666.666666666668</v>
      </c>
      <c r="BC37" s="31">
        <f t="shared" si="40"/>
        <v>14618.333333333334</v>
      </c>
      <c r="BD37" s="31">
        <f t="shared" si="41"/>
        <v>2048.3333333333335</v>
      </c>
      <c r="BE37" s="31">
        <f t="shared" si="42"/>
        <v>0</v>
      </c>
      <c r="BF37" s="31">
        <f t="shared" si="43"/>
        <v>0</v>
      </c>
      <c r="BG37" s="27"/>
      <c r="BH37" s="37">
        <f t="shared" si="8"/>
        <v>-1</v>
      </c>
      <c r="BI37" s="36">
        <f>[1]RB!$L37</f>
        <v>16666.666666666668</v>
      </c>
      <c r="BJ37" s="31">
        <f t="shared" si="44"/>
        <v>14618.333333333334</v>
      </c>
      <c r="BK37" s="31">
        <f t="shared" si="45"/>
        <v>2048.3333333333335</v>
      </c>
      <c r="BL37" s="31">
        <f t="shared" si="46"/>
        <v>0</v>
      </c>
      <c r="BM37" s="31">
        <f t="shared" si="47"/>
        <v>0</v>
      </c>
      <c r="BN37" s="33"/>
      <c r="BO37" s="37">
        <f t="shared" si="9"/>
        <v>-1</v>
      </c>
      <c r="BP37" s="36">
        <f>[1]RB!$M37</f>
        <v>16666.666666666668</v>
      </c>
      <c r="BQ37" s="31">
        <f t="shared" si="48"/>
        <v>14618.333333333334</v>
      </c>
      <c r="BR37" s="31">
        <f t="shared" si="49"/>
        <v>2048.3333333333335</v>
      </c>
      <c r="BS37" s="31">
        <f t="shared" si="50"/>
        <v>0</v>
      </c>
      <c r="BT37" s="31">
        <f t="shared" si="51"/>
        <v>0</v>
      </c>
      <c r="BU37" s="33"/>
      <c r="BV37" s="37">
        <f t="shared" si="10"/>
        <v>-1</v>
      </c>
      <c r="BW37" s="36">
        <f>[1]RB!$N37</f>
        <v>16666.666666666668</v>
      </c>
      <c r="BX37" s="31">
        <f t="shared" si="52"/>
        <v>14618.333333333334</v>
      </c>
      <c r="BY37" s="31">
        <f t="shared" si="53"/>
        <v>2048.3333333333335</v>
      </c>
      <c r="BZ37" s="31">
        <f t="shared" si="54"/>
        <v>0</v>
      </c>
      <c r="CA37" s="31">
        <f t="shared" si="55"/>
        <v>0</v>
      </c>
      <c r="CB37" s="33"/>
      <c r="CC37" s="37">
        <f t="shared" si="11"/>
        <v>-1</v>
      </c>
      <c r="CD37" s="36">
        <f>[1]RB!$O37</f>
        <v>16666.666666666668</v>
      </c>
      <c r="CE37" s="31">
        <f t="shared" si="56"/>
        <v>14618.333333333334</v>
      </c>
      <c r="CF37" s="31">
        <f t="shared" si="57"/>
        <v>2048.3333333333335</v>
      </c>
      <c r="CG37" s="31">
        <f t="shared" si="58"/>
        <v>0</v>
      </c>
      <c r="CH37" s="31">
        <f t="shared" si="59"/>
        <v>0</v>
      </c>
      <c r="CI37" s="33"/>
      <c r="CJ37" s="37">
        <f t="shared" si="12"/>
        <v>-1</v>
      </c>
      <c r="CK37" s="36">
        <f>[1]RB!$P37</f>
        <v>16666.666666666668</v>
      </c>
      <c r="CL37" s="31">
        <f t="shared" si="60"/>
        <v>14618.333333333334</v>
      </c>
      <c r="CM37" s="31">
        <f t="shared" si="61"/>
        <v>2048.3333333333335</v>
      </c>
      <c r="CN37" s="31">
        <f t="shared" si="62"/>
        <v>0</v>
      </c>
      <c r="CO37" s="31">
        <f t="shared" si="63"/>
        <v>0</v>
      </c>
      <c r="CP37" s="33"/>
      <c r="CQ37" s="37">
        <f t="shared" si="13"/>
        <v>-1</v>
      </c>
      <c r="CR37" s="181"/>
      <c r="CS37" s="27">
        <f>74421.02-CS36</f>
        <v>26642.290000000008</v>
      </c>
      <c r="CT37" s="27">
        <f>49875.5-CT36</f>
        <v>26072.160000000007</v>
      </c>
      <c r="CU37" s="27">
        <f>83101.26-CU36</f>
        <v>67766.799999999988</v>
      </c>
      <c r="CV37" s="27"/>
      <c r="CW37" s="27"/>
      <c r="CX37" s="27"/>
      <c r="CY37" s="27"/>
      <c r="CZ37" s="27"/>
      <c r="DA37" s="27"/>
      <c r="DB37" s="27"/>
      <c r="DC37" s="27"/>
      <c r="DD37" s="27"/>
    </row>
    <row r="38" spans="1:108" s="26" customFormat="1" ht="16" customHeight="1" x14ac:dyDescent="0.2">
      <c r="A38" s="183" t="s">
        <v>62</v>
      </c>
      <c r="B38" s="30">
        <f t="shared" si="65"/>
        <v>70000.000000000015</v>
      </c>
      <c r="C38" s="31">
        <f t="shared" si="65"/>
        <v>61396.999999999978</v>
      </c>
      <c r="D38" s="32">
        <f t="shared" si="65"/>
        <v>8603.0000000000018</v>
      </c>
      <c r="E38" s="30">
        <f t="shared" si="67"/>
        <v>23333.333333333332</v>
      </c>
      <c r="F38" s="33">
        <f t="shared" si="67"/>
        <v>20465.666666666664</v>
      </c>
      <c r="G38" s="34">
        <f t="shared" si="67"/>
        <v>2867.6666666666665</v>
      </c>
      <c r="H38" s="31">
        <f t="shared" si="66"/>
        <v>33202.384001999999</v>
      </c>
      <c r="I38" s="33">
        <f t="shared" si="66"/>
        <v>977.54599799999994</v>
      </c>
      <c r="J38" s="33">
        <f t="shared" si="66"/>
        <v>34179.929999999993</v>
      </c>
      <c r="K38" s="37">
        <f t="shared" si="15"/>
        <v>0.46485414285714266</v>
      </c>
      <c r="L38" s="36">
        <f>[1]RB!$E38</f>
        <v>5833.333333333333</v>
      </c>
      <c r="M38" s="31">
        <f t="shared" si="16"/>
        <v>5116.4166666666661</v>
      </c>
      <c r="N38" s="31">
        <f t="shared" si="17"/>
        <v>716.91666666666663</v>
      </c>
      <c r="O38" s="31">
        <f t="shared" si="18"/>
        <v>2494.9146179999998</v>
      </c>
      <c r="P38" s="31">
        <f t="shared" si="19"/>
        <v>73.455382</v>
      </c>
      <c r="Q38" s="33">
        <f>2568.37</f>
        <v>2568.37</v>
      </c>
      <c r="R38" s="37">
        <f t="shared" si="2"/>
        <v>-0.55970799999999998</v>
      </c>
      <c r="S38" s="36">
        <f>[1]RB!$F38</f>
        <v>5833.333333333333</v>
      </c>
      <c r="T38" s="31">
        <f t="shared" si="20"/>
        <v>5116.4166666666661</v>
      </c>
      <c r="U38" s="31">
        <f t="shared" si="21"/>
        <v>716.91666666666663</v>
      </c>
      <c r="V38" s="31">
        <f t="shared" si="22"/>
        <v>4025.0250419999998</v>
      </c>
      <c r="W38" s="31">
        <f t="shared" si="23"/>
        <v>118.50495799999999</v>
      </c>
      <c r="X38" s="33">
        <f>4143.53</f>
        <v>4143.53</v>
      </c>
      <c r="Y38" s="37">
        <f t="shared" si="3"/>
        <v>-0.2896805714285714</v>
      </c>
      <c r="Z38" s="36">
        <f>[1]RB!$G38</f>
        <v>5833.333333333333</v>
      </c>
      <c r="AA38" s="31">
        <f t="shared" si="24"/>
        <v>5116.4166666666661</v>
      </c>
      <c r="AB38" s="31">
        <f t="shared" si="25"/>
        <v>716.91666666666663</v>
      </c>
      <c r="AC38" s="31">
        <f t="shared" si="26"/>
        <v>10697.34822</v>
      </c>
      <c r="AD38" s="31">
        <f t="shared" si="27"/>
        <v>314.95177999999999</v>
      </c>
      <c r="AE38" s="33">
        <f>9129.72+1882.58</f>
        <v>11012.3</v>
      </c>
      <c r="AF38" s="37">
        <f t="shared" si="4"/>
        <v>0.88782285714285702</v>
      </c>
      <c r="AG38" s="36">
        <f>[1]RB!$H38</f>
        <v>5833.333333333333</v>
      </c>
      <c r="AH38" s="31">
        <f t="shared" si="28"/>
        <v>5116.4166666666661</v>
      </c>
      <c r="AI38" s="31">
        <f t="shared" si="29"/>
        <v>716.91666666666663</v>
      </c>
      <c r="AJ38" s="31">
        <f t="shared" si="30"/>
        <v>15985.096121999999</v>
      </c>
      <c r="AK38" s="31">
        <f t="shared" si="31"/>
        <v>470.63387799999998</v>
      </c>
      <c r="AL38" s="33">
        <f>16455.73</f>
        <v>16455.73</v>
      </c>
      <c r="AM38" s="37">
        <f t="shared" si="5"/>
        <v>1.8209822857142859</v>
      </c>
      <c r="AN38" s="36">
        <f>[1]RB!$I38</f>
        <v>5833.333333333333</v>
      </c>
      <c r="AO38" s="31">
        <f t="shared" si="32"/>
        <v>5116.4166666666661</v>
      </c>
      <c r="AP38" s="31">
        <f t="shared" si="33"/>
        <v>716.91666666666663</v>
      </c>
      <c r="AQ38" s="31">
        <f t="shared" si="34"/>
        <v>0</v>
      </c>
      <c r="AR38" s="31">
        <f t="shared" si="35"/>
        <v>0</v>
      </c>
      <c r="AS38" s="33"/>
      <c r="AT38" s="37">
        <f t="shared" si="6"/>
        <v>-1</v>
      </c>
      <c r="AU38" s="36">
        <f>[1]RB!$J38</f>
        <v>5833.333333333333</v>
      </c>
      <c r="AV38" s="31">
        <f t="shared" si="36"/>
        <v>5116.4166666666661</v>
      </c>
      <c r="AW38" s="31">
        <f t="shared" si="37"/>
        <v>716.91666666666663</v>
      </c>
      <c r="AX38" s="31">
        <f t="shared" si="38"/>
        <v>0</v>
      </c>
      <c r="AY38" s="31">
        <f t="shared" si="39"/>
        <v>0</v>
      </c>
      <c r="AZ38" s="27"/>
      <c r="BA38" s="37">
        <f t="shared" si="7"/>
        <v>-1</v>
      </c>
      <c r="BB38" s="36">
        <f>[1]RB!$K38</f>
        <v>5833.333333333333</v>
      </c>
      <c r="BC38" s="31">
        <f t="shared" si="40"/>
        <v>5116.4166666666661</v>
      </c>
      <c r="BD38" s="31">
        <f t="shared" si="41"/>
        <v>716.91666666666663</v>
      </c>
      <c r="BE38" s="31">
        <f t="shared" si="42"/>
        <v>0</v>
      </c>
      <c r="BF38" s="31">
        <f t="shared" si="43"/>
        <v>0</v>
      </c>
      <c r="BG38" s="27"/>
      <c r="BH38" s="37">
        <f t="shared" si="8"/>
        <v>-1</v>
      </c>
      <c r="BI38" s="36">
        <f>[1]RB!$L38</f>
        <v>5833.333333333333</v>
      </c>
      <c r="BJ38" s="31">
        <f t="shared" si="44"/>
        <v>5116.4166666666661</v>
      </c>
      <c r="BK38" s="31">
        <f t="shared" si="45"/>
        <v>716.91666666666663</v>
      </c>
      <c r="BL38" s="31">
        <f t="shared" si="46"/>
        <v>0</v>
      </c>
      <c r="BM38" s="31">
        <f t="shared" si="47"/>
        <v>0</v>
      </c>
      <c r="BN38" s="33"/>
      <c r="BO38" s="37">
        <f t="shared" si="9"/>
        <v>-1</v>
      </c>
      <c r="BP38" s="36">
        <f>[1]RB!$M38</f>
        <v>5833.333333333333</v>
      </c>
      <c r="BQ38" s="31">
        <f t="shared" si="48"/>
        <v>5116.4166666666661</v>
      </c>
      <c r="BR38" s="31">
        <f t="shared" si="49"/>
        <v>716.91666666666663</v>
      </c>
      <c r="BS38" s="31">
        <f t="shared" si="50"/>
        <v>0</v>
      </c>
      <c r="BT38" s="31">
        <f t="shared" si="51"/>
        <v>0</v>
      </c>
      <c r="BU38" s="33"/>
      <c r="BV38" s="37">
        <f t="shared" si="10"/>
        <v>-1</v>
      </c>
      <c r="BW38" s="36">
        <f>[1]RB!$N38</f>
        <v>5833.333333333333</v>
      </c>
      <c r="BX38" s="31">
        <f t="shared" si="52"/>
        <v>5116.4166666666661</v>
      </c>
      <c r="BY38" s="31">
        <f t="shared" si="53"/>
        <v>716.91666666666663</v>
      </c>
      <c r="BZ38" s="31">
        <f t="shared" si="54"/>
        <v>0</v>
      </c>
      <c r="CA38" s="31">
        <f t="shared" si="55"/>
        <v>0</v>
      </c>
      <c r="CB38" s="33"/>
      <c r="CC38" s="37">
        <f t="shared" si="11"/>
        <v>-1</v>
      </c>
      <c r="CD38" s="36">
        <f>[1]RB!$O38</f>
        <v>5833.333333333333</v>
      </c>
      <c r="CE38" s="31">
        <f t="shared" si="56"/>
        <v>5116.4166666666661</v>
      </c>
      <c r="CF38" s="31">
        <f t="shared" si="57"/>
        <v>716.91666666666663</v>
      </c>
      <c r="CG38" s="31">
        <f t="shared" si="58"/>
        <v>0</v>
      </c>
      <c r="CH38" s="31">
        <f t="shared" si="59"/>
        <v>0</v>
      </c>
      <c r="CI38" s="33"/>
      <c r="CJ38" s="37">
        <f t="shared" si="12"/>
        <v>-1</v>
      </c>
      <c r="CK38" s="36">
        <f>[1]RB!$P38</f>
        <v>5833.333333333333</v>
      </c>
      <c r="CL38" s="31">
        <f t="shared" si="60"/>
        <v>5116.4166666666661</v>
      </c>
      <c r="CM38" s="31">
        <f t="shared" si="61"/>
        <v>716.91666666666663</v>
      </c>
      <c r="CN38" s="31">
        <f t="shared" si="62"/>
        <v>0</v>
      </c>
      <c r="CO38" s="31">
        <f t="shared" si="63"/>
        <v>0</v>
      </c>
      <c r="CP38" s="33"/>
      <c r="CQ38" s="37">
        <f t="shared" si="13"/>
        <v>-1</v>
      </c>
      <c r="CR38" s="181"/>
      <c r="CS38" s="27">
        <f>5576.72</f>
        <v>5576.72</v>
      </c>
      <c r="CT38" s="27">
        <f>7712.4</f>
        <v>7712.4</v>
      </c>
      <c r="CU38" s="27">
        <v>12204.61</v>
      </c>
      <c r="CV38" s="27"/>
      <c r="CW38" s="27"/>
      <c r="CX38" s="27"/>
      <c r="CY38" s="27"/>
      <c r="CZ38" s="27"/>
      <c r="DA38" s="27"/>
      <c r="DB38" s="27"/>
      <c r="DC38" s="27"/>
      <c r="DD38" s="27"/>
    </row>
    <row r="39" spans="1:108" s="26" customFormat="1" ht="16" customHeight="1" x14ac:dyDescent="0.2">
      <c r="A39" s="183" t="s">
        <v>63</v>
      </c>
      <c r="B39" s="30">
        <f t="shared" si="65"/>
        <v>10000</v>
      </c>
      <c r="C39" s="31">
        <f t="shared" si="65"/>
        <v>8771.0000000000018</v>
      </c>
      <c r="D39" s="32">
        <f t="shared" si="65"/>
        <v>1229</v>
      </c>
      <c r="E39" s="30">
        <f t="shared" si="67"/>
        <v>3333.3333333333335</v>
      </c>
      <c r="F39" s="33">
        <f t="shared" si="67"/>
        <v>2923.666666666667</v>
      </c>
      <c r="G39" s="34">
        <f t="shared" si="67"/>
        <v>409.66666666666669</v>
      </c>
      <c r="H39" s="31">
        <f t="shared" si="66"/>
        <v>3770.8776600000001</v>
      </c>
      <c r="I39" s="33">
        <f t="shared" si="66"/>
        <v>111.02234</v>
      </c>
      <c r="J39" s="33">
        <f t="shared" si="66"/>
        <v>3881.9</v>
      </c>
      <c r="K39" s="37">
        <f t="shared" si="15"/>
        <v>0.16456999999999988</v>
      </c>
      <c r="L39" s="36">
        <f>[1]RB!$E39</f>
        <v>833.33333333333337</v>
      </c>
      <c r="M39" s="31">
        <f t="shared" si="16"/>
        <v>730.91666666666674</v>
      </c>
      <c r="N39" s="31">
        <f t="shared" si="17"/>
        <v>102.41666666666667</v>
      </c>
      <c r="O39" s="31">
        <f t="shared" si="18"/>
        <v>3435.7640879999999</v>
      </c>
      <c r="P39" s="31">
        <f t="shared" si="19"/>
        <v>101.155912</v>
      </c>
      <c r="Q39" s="33">
        <v>3536.92</v>
      </c>
      <c r="R39" s="37">
        <f t="shared" si="2"/>
        <v>3.2443039999999996</v>
      </c>
      <c r="S39" s="36">
        <f>[1]RB!$F39</f>
        <v>833.33333333333337</v>
      </c>
      <c r="T39" s="31">
        <f t="shared" si="20"/>
        <v>730.91666666666674</v>
      </c>
      <c r="U39" s="31">
        <f t="shared" si="21"/>
        <v>102.41666666666667</v>
      </c>
      <c r="V39" s="31">
        <f t="shared" si="22"/>
        <v>0</v>
      </c>
      <c r="W39" s="31">
        <f t="shared" si="23"/>
        <v>0</v>
      </c>
      <c r="X39" s="33"/>
      <c r="Y39" s="37">
        <f t="shared" si="3"/>
        <v>-1</v>
      </c>
      <c r="Z39" s="36">
        <f>[1]RB!$G39</f>
        <v>833.33333333333337</v>
      </c>
      <c r="AA39" s="31">
        <f t="shared" si="24"/>
        <v>730.91666666666674</v>
      </c>
      <c r="AB39" s="31">
        <f t="shared" si="25"/>
        <v>102.41666666666667</v>
      </c>
      <c r="AC39" s="31">
        <f t="shared" si="26"/>
        <v>0</v>
      </c>
      <c r="AD39" s="31">
        <f t="shared" si="27"/>
        <v>0</v>
      </c>
      <c r="AE39" s="27"/>
      <c r="AF39" s="37">
        <f t="shared" si="4"/>
        <v>-1</v>
      </c>
      <c r="AG39" s="36">
        <f>[1]RB!$H39</f>
        <v>833.33333333333337</v>
      </c>
      <c r="AH39" s="31">
        <f t="shared" si="28"/>
        <v>730.91666666666674</v>
      </c>
      <c r="AI39" s="31">
        <f t="shared" si="29"/>
        <v>102.41666666666667</v>
      </c>
      <c r="AJ39" s="31">
        <f t="shared" si="30"/>
        <v>335.11357200000003</v>
      </c>
      <c r="AK39" s="31">
        <f t="shared" si="31"/>
        <v>9.8664280000000009</v>
      </c>
      <c r="AL39" s="33">
        <f>344.98</f>
        <v>344.98</v>
      </c>
      <c r="AM39" s="37">
        <f t="shared" si="5"/>
        <v>-0.58602399999999999</v>
      </c>
      <c r="AN39" s="36">
        <f>[1]RB!$I39</f>
        <v>833.33333333333337</v>
      </c>
      <c r="AO39" s="31">
        <f t="shared" si="32"/>
        <v>730.91666666666674</v>
      </c>
      <c r="AP39" s="31">
        <f t="shared" si="33"/>
        <v>102.41666666666667</v>
      </c>
      <c r="AQ39" s="31">
        <f t="shared" si="34"/>
        <v>0</v>
      </c>
      <c r="AR39" s="31">
        <f t="shared" si="35"/>
        <v>0</v>
      </c>
      <c r="AS39" s="33"/>
      <c r="AT39" s="37">
        <f t="shared" si="6"/>
        <v>-1</v>
      </c>
      <c r="AU39" s="36">
        <f>[1]RB!$J39</f>
        <v>833.33333333333337</v>
      </c>
      <c r="AV39" s="31">
        <f t="shared" si="36"/>
        <v>730.91666666666674</v>
      </c>
      <c r="AW39" s="31">
        <f t="shared" si="37"/>
        <v>102.41666666666667</v>
      </c>
      <c r="AX39" s="31">
        <f t="shared" si="38"/>
        <v>0</v>
      </c>
      <c r="AY39" s="31">
        <f t="shared" si="39"/>
        <v>0</v>
      </c>
      <c r="AZ39" s="27"/>
      <c r="BA39" s="37">
        <f t="shared" si="7"/>
        <v>-1</v>
      </c>
      <c r="BB39" s="36">
        <f>[1]RB!$K39</f>
        <v>833.33333333333337</v>
      </c>
      <c r="BC39" s="31">
        <f t="shared" si="40"/>
        <v>730.91666666666674</v>
      </c>
      <c r="BD39" s="31">
        <f t="shared" si="41"/>
        <v>102.41666666666667</v>
      </c>
      <c r="BE39" s="31">
        <f t="shared" si="42"/>
        <v>0</v>
      </c>
      <c r="BF39" s="31">
        <f t="shared" si="43"/>
        <v>0</v>
      </c>
      <c r="BG39" s="27"/>
      <c r="BH39" s="37">
        <f t="shared" si="8"/>
        <v>-1</v>
      </c>
      <c r="BI39" s="36">
        <f>[1]RB!$L39</f>
        <v>833.33333333333337</v>
      </c>
      <c r="BJ39" s="31">
        <f t="shared" si="44"/>
        <v>730.91666666666674</v>
      </c>
      <c r="BK39" s="31">
        <f t="shared" si="45"/>
        <v>102.41666666666667</v>
      </c>
      <c r="BL39" s="31">
        <f t="shared" si="46"/>
        <v>0</v>
      </c>
      <c r="BM39" s="31">
        <f t="shared" si="47"/>
        <v>0</v>
      </c>
      <c r="BN39" s="33"/>
      <c r="BO39" s="37">
        <f t="shared" si="9"/>
        <v>-1</v>
      </c>
      <c r="BP39" s="36">
        <f>[1]RB!$M39</f>
        <v>833.33333333333337</v>
      </c>
      <c r="BQ39" s="31">
        <f t="shared" si="48"/>
        <v>730.91666666666674</v>
      </c>
      <c r="BR39" s="31">
        <f t="shared" si="49"/>
        <v>102.41666666666667</v>
      </c>
      <c r="BS39" s="31">
        <f t="shared" si="50"/>
        <v>0</v>
      </c>
      <c r="BT39" s="31">
        <f t="shared" si="51"/>
        <v>0</v>
      </c>
      <c r="BU39" s="33"/>
      <c r="BV39" s="37">
        <f t="shared" si="10"/>
        <v>-1</v>
      </c>
      <c r="BW39" s="36">
        <f>[1]RB!$N39</f>
        <v>833.33333333333337</v>
      </c>
      <c r="BX39" s="31">
        <f t="shared" si="52"/>
        <v>730.91666666666674</v>
      </c>
      <c r="BY39" s="31">
        <f t="shared" si="53"/>
        <v>102.41666666666667</v>
      </c>
      <c r="BZ39" s="31">
        <f t="shared" si="54"/>
        <v>0</v>
      </c>
      <c r="CA39" s="31">
        <f t="shared" si="55"/>
        <v>0</v>
      </c>
      <c r="CB39" s="33"/>
      <c r="CC39" s="37">
        <f t="shared" si="11"/>
        <v>-1</v>
      </c>
      <c r="CD39" s="36">
        <f>[1]RB!$O39</f>
        <v>833.33333333333337</v>
      </c>
      <c r="CE39" s="31">
        <f t="shared" si="56"/>
        <v>730.91666666666674</v>
      </c>
      <c r="CF39" s="31">
        <f t="shared" si="57"/>
        <v>102.41666666666667</v>
      </c>
      <c r="CG39" s="31">
        <f t="shared" si="58"/>
        <v>0</v>
      </c>
      <c r="CH39" s="31">
        <f t="shared" si="59"/>
        <v>0</v>
      </c>
      <c r="CI39" s="33"/>
      <c r="CJ39" s="37">
        <f t="shared" si="12"/>
        <v>-1</v>
      </c>
      <c r="CK39" s="36">
        <f>[1]RB!$P39</f>
        <v>833.33333333333337</v>
      </c>
      <c r="CL39" s="31">
        <f t="shared" si="60"/>
        <v>730.91666666666674</v>
      </c>
      <c r="CM39" s="31">
        <f t="shared" si="61"/>
        <v>102.41666666666667</v>
      </c>
      <c r="CN39" s="31">
        <f t="shared" si="62"/>
        <v>0</v>
      </c>
      <c r="CO39" s="31">
        <f t="shared" si="63"/>
        <v>0</v>
      </c>
      <c r="CP39" s="33"/>
      <c r="CQ39" s="37">
        <f t="shared" si="13"/>
        <v>-1</v>
      </c>
      <c r="CR39" s="181"/>
      <c r="CS39" s="27">
        <f>3437.17</f>
        <v>3437.17</v>
      </c>
      <c r="CT39" s="27">
        <f>1711.5</f>
        <v>1711.5</v>
      </c>
      <c r="CU39" s="27"/>
      <c r="CV39" s="27"/>
      <c r="CW39" s="27"/>
      <c r="CX39" s="27"/>
      <c r="CY39" s="27"/>
      <c r="CZ39" s="27"/>
      <c r="DA39" s="27"/>
      <c r="DB39" s="27"/>
      <c r="DC39" s="27"/>
      <c r="DD39" s="27"/>
    </row>
    <row r="40" spans="1:108" s="26" customFormat="1" ht="16" customHeight="1" x14ac:dyDescent="0.2">
      <c r="A40" s="183" t="s">
        <v>64</v>
      </c>
      <c r="B40" s="30">
        <f t="shared" si="65"/>
        <v>49999.999999999993</v>
      </c>
      <c r="C40" s="31">
        <f t="shared" si="65"/>
        <v>43855.000000000007</v>
      </c>
      <c r="D40" s="32">
        <f t="shared" si="65"/>
        <v>6144.9999999999991</v>
      </c>
      <c r="E40" s="30">
        <f t="shared" si="67"/>
        <v>16666.666666666668</v>
      </c>
      <c r="F40" s="33">
        <f t="shared" si="67"/>
        <v>14618.333333333334</v>
      </c>
      <c r="G40" s="34">
        <f t="shared" si="67"/>
        <v>2048.3333333333335</v>
      </c>
      <c r="H40" s="31">
        <f t="shared" si="66"/>
        <v>27128.122662000002</v>
      </c>
      <c r="I40" s="33">
        <f t="shared" si="66"/>
        <v>798.70733799999994</v>
      </c>
      <c r="J40" s="33">
        <f t="shared" si="66"/>
        <v>27926.83</v>
      </c>
      <c r="K40" s="37">
        <f t="shared" si="15"/>
        <v>0.67560979999999993</v>
      </c>
      <c r="L40" s="36">
        <f>[1]RB!$E40</f>
        <v>4166.666666666667</v>
      </c>
      <c r="M40" s="31">
        <f t="shared" si="16"/>
        <v>3654.5833333333335</v>
      </c>
      <c r="N40" s="31">
        <f t="shared" si="17"/>
        <v>512.08333333333337</v>
      </c>
      <c r="O40" s="31">
        <f t="shared" si="18"/>
        <v>4946.9516400000002</v>
      </c>
      <c r="P40" s="31">
        <f t="shared" si="19"/>
        <v>145.64836000000003</v>
      </c>
      <c r="Q40" s="33">
        <f>5092.6</f>
        <v>5092.6000000000004</v>
      </c>
      <c r="R40" s="37">
        <f t="shared" si="2"/>
        <v>0.22222399999999998</v>
      </c>
      <c r="S40" s="36">
        <f>[1]RB!$F40</f>
        <v>4166.666666666667</v>
      </c>
      <c r="T40" s="31">
        <f t="shared" si="20"/>
        <v>3654.5833333333335</v>
      </c>
      <c r="U40" s="31">
        <f t="shared" si="21"/>
        <v>512.08333333333337</v>
      </c>
      <c r="V40" s="31">
        <f t="shared" si="22"/>
        <v>6102.9176400000006</v>
      </c>
      <c r="W40" s="31">
        <f t="shared" si="23"/>
        <v>179.68236000000002</v>
      </c>
      <c r="X40" s="33">
        <f>6282.6</f>
        <v>6282.6</v>
      </c>
      <c r="Y40" s="37">
        <f t="shared" si="3"/>
        <v>0.50782400000000005</v>
      </c>
      <c r="Z40" s="36">
        <f>[1]RB!$G40</f>
        <v>4166.666666666667</v>
      </c>
      <c r="AA40" s="31">
        <f t="shared" si="24"/>
        <v>3654.5833333333335</v>
      </c>
      <c r="AB40" s="31">
        <f t="shared" si="25"/>
        <v>512.08333333333337</v>
      </c>
      <c r="AC40" s="31">
        <f t="shared" si="26"/>
        <v>8881.1216400000012</v>
      </c>
      <c r="AD40" s="31">
        <f t="shared" si="27"/>
        <v>261.47836000000001</v>
      </c>
      <c r="AE40" s="33">
        <f>9142.6</f>
        <v>9142.6</v>
      </c>
      <c r="AF40" s="37">
        <f t="shared" si="4"/>
        <v>1.1942239999999997</v>
      </c>
      <c r="AG40" s="36">
        <f>[1]RB!$H40</f>
        <v>4166.666666666667</v>
      </c>
      <c r="AH40" s="31">
        <f t="shared" si="28"/>
        <v>3654.5833333333335</v>
      </c>
      <c r="AI40" s="31">
        <f t="shared" si="29"/>
        <v>512.08333333333337</v>
      </c>
      <c r="AJ40" s="31">
        <f t="shared" si="30"/>
        <v>7197.1317419999996</v>
      </c>
      <c r="AK40" s="31">
        <f t="shared" si="31"/>
        <v>211.898258</v>
      </c>
      <c r="AL40" s="33">
        <f>7409.03</f>
        <v>7409.03</v>
      </c>
      <c r="AM40" s="37">
        <f t="shared" si="5"/>
        <v>0.77816719999999973</v>
      </c>
      <c r="AN40" s="36">
        <f>[1]RB!$I40</f>
        <v>4166.666666666667</v>
      </c>
      <c r="AO40" s="31">
        <f t="shared" si="32"/>
        <v>3654.5833333333335</v>
      </c>
      <c r="AP40" s="31">
        <f t="shared" si="33"/>
        <v>512.08333333333337</v>
      </c>
      <c r="AQ40" s="31">
        <f t="shared" si="34"/>
        <v>0</v>
      </c>
      <c r="AR40" s="31">
        <f t="shared" si="35"/>
        <v>0</v>
      </c>
      <c r="AS40" s="33"/>
      <c r="AT40" s="37">
        <f t="shared" si="6"/>
        <v>-1</v>
      </c>
      <c r="AU40" s="36">
        <f>[1]RB!$J40</f>
        <v>4166.666666666667</v>
      </c>
      <c r="AV40" s="31">
        <f t="shared" si="36"/>
        <v>3654.5833333333335</v>
      </c>
      <c r="AW40" s="31">
        <f t="shared" si="37"/>
        <v>512.08333333333337</v>
      </c>
      <c r="AX40" s="31">
        <f t="shared" si="38"/>
        <v>0</v>
      </c>
      <c r="AY40" s="31">
        <f t="shared" si="39"/>
        <v>0</v>
      </c>
      <c r="AZ40" s="27"/>
      <c r="BA40" s="37">
        <f t="shared" si="7"/>
        <v>-1</v>
      </c>
      <c r="BB40" s="36">
        <f>[1]RB!$K40</f>
        <v>4166.666666666667</v>
      </c>
      <c r="BC40" s="31">
        <f t="shared" si="40"/>
        <v>3654.5833333333335</v>
      </c>
      <c r="BD40" s="31">
        <f t="shared" si="41"/>
        <v>512.08333333333337</v>
      </c>
      <c r="BE40" s="31">
        <f t="shared" si="42"/>
        <v>0</v>
      </c>
      <c r="BF40" s="31">
        <f t="shared" si="43"/>
        <v>0</v>
      </c>
      <c r="BG40" s="27"/>
      <c r="BH40" s="37">
        <f t="shared" si="8"/>
        <v>-1</v>
      </c>
      <c r="BI40" s="36">
        <f>[1]RB!$L40</f>
        <v>4166.666666666667</v>
      </c>
      <c r="BJ40" s="31">
        <f t="shared" si="44"/>
        <v>3654.5833333333335</v>
      </c>
      <c r="BK40" s="31">
        <f t="shared" si="45"/>
        <v>512.08333333333337</v>
      </c>
      <c r="BL40" s="31">
        <f t="shared" si="46"/>
        <v>0</v>
      </c>
      <c r="BM40" s="31">
        <f t="shared" si="47"/>
        <v>0</v>
      </c>
      <c r="BN40" s="33"/>
      <c r="BO40" s="37">
        <f t="shared" si="9"/>
        <v>-1</v>
      </c>
      <c r="BP40" s="36">
        <f>[1]RB!$M40</f>
        <v>4166.666666666667</v>
      </c>
      <c r="BQ40" s="31">
        <f t="shared" si="48"/>
        <v>3654.5833333333335</v>
      </c>
      <c r="BR40" s="31">
        <f t="shared" si="49"/>
        <v>512.08333333333337</v>
      </c>
      <c r="BS40" s="31">
        <f t="shared" si="50"/>
        <v>0</v>
      </c>
      <c r="BT40" s="31">
        <f t="shared" si="51"/>
        <v>0</v>
      </c>
      <c r="BU40" s="33"/>
      <c r="BV40" s="37">
        <f t="shared" si="10"/>
        <v>-1</v>
      </c>
      <c r="BW40" s="36">
        <f>[1]RB!$N40</f>
        <v>4166.666666666667</v>
      </c>
      <c r="BX40" s="31">
        <f t="shared" si="52"/>
        <v>3654.5833333333335</v>
      </c>
      <c r="BY40" s="31">
        <f t="shared" si="53"/>
        <v>512.08333333333337</v>
      </c>
      <c r="BZ40" s="31">
        <f t="shared" si="54"/>
        <v>0</v>
      </c>
      <c r="CA40" s="31">
        <f t="shared" si="55"/>
        <v>0</v>
      </c>
      <c r="CB40" s="33"/>
      <c r="CC40" s="37">
        <f t="shared" si="11"/>
        <v>-1</v>
      </c>
      <c r="CD40" s="36">
        <f>[1]RB!$O40</f>
        <v>4166.666666666667</v>
      </c>
      <c r="CE40" s="31">
        <f t="shared" si="56"/>
        <v>3654.5833333333335</v>
      </c>
      <c r="CF40" s="31">
        <f t="shared" si="57"/>
        <v>512.08333333333337</v>
      </c>
      <c r="CG40" s="31">
        <f t="shared" si="58"/>
        <v>0</v>
      </c>
      <c r="CH40" s="31">
        <f t="shared" si="59"/>
        <v>0</v>
      </c>
      <c r="CI40" s="33"/>
      <c r="CJ40" s="37">
        <f t="shared" si="12"/>
        <v>-1</v>
      </c>
      <c r="CK40" s="36">
        <f>[1]RB!$P40</f>
        <v>4166.666666666667</v>
      </c>
      <c r="CL40" s="31">
        <f t="shared" si="60"/>
        <v>3654.5833333333335</v>
      </c>
      <c r="CM40" s="31">
        <f t="shared" si="61"/>
        <v>512.08333333333337</v>
      </c>
      <c r="CN40" s="31">
        <f t="shared" si="62"/>
        <v>0</v>
      </c>
      <c r="CO40" s="31">
        <f t="shared" si="63"/>
        <v>0</v>
      </c>
      <c r="CP40" s="33"/>
      <c r="CQ40" s="37">
        <f t="shared" si="13"/>
        <v>-1</v>
      </c>
      <c r="CR40" s="181"/>
      <c r="CS40" s="27">
        <v>3289.6</v>
      </c>
      <c r="CT40" s="27">
        <f>6368.12</f>
        <v>6368.12</v>
      </c>
      <c r="CU40" s="27">
        <f>4898.52</f>
        <v>4898.5200000000004</v>
      </c>
      <c r="CV40" s="27"/>
      <c r="CW40" s="27"/>
      <c r="CX40" s="27"/>
      <c r="CY40" s="27"/>
      <c r="CZ40" s="27"/>
      <c r="DA40" s="27"/>
      <c r="DB40" s="27"/>
      <c r="DC40" s="27"/>
      <c r="DD40" s="27"/>
    </row>
    <row r="41" spans="1:108" s="26" customFormat="1" ht="16" customHeight="1" x14ac:dyDescent="0.2">
      <c r="A41" s="182" t="s">
        <v>65</v>
      </c>
      <c r="B41" s="30">
        <f t="shared" si="65"/>
        <v>252000</v>
      </c>
      <c r="C41" s="31">
        <f t="shared" si="65"/>
        <v>221029.20000000004</v>
      </c>
      <c r="D41" s="32">
        <f t="shared" si="65"/>
        <v>30970.800000000007</v>
      </c>
      <c r="E41" s="30">
        <f t="shared" si="67"/>
        <v>84000</v>
      </c>
      <c r="F41" s="33">
        <f t="shared" si="67"/>
        <v>73676.399999999994</v>
      </c>
      <c r="G41" s="34">
        <f t="shared" si="67"/>
        <v>10323.6</v>
      </c>
      <c r="H41" s="31">
        <f t="shared" si="66"/>
        <v>81597.600000000006</v>
      </c>
      <c r="I41" s="33">
        <f t="shared" si="66"/>
        <v>2402.4</v>
      </c>
      <c r="J41" s="33">
        <f t="shared" si="66"/>
        <v>84000</v>
      </c>
      <c r="K41" s="37">
        <f t="shared" si="15"/>
        <v>0</v>
      </c>
      <c r="L41" s="46">
        <f>[1]RB!$E41</f>
        <v>21000</v>
      </c>
      <c r="M41" s="47">
        <f t="shared" si="16"/>
        <v>18419.099999999999</v>
      </c>
      <c r="N41" s="47">
        <f t="shared" si="17"/>
        <v>2580.9</v>
      </c>
      <c r="O41" s="47">
        <f t="shared" si="18"/>
        <v>20399.400000000001</v>
      </c>
      <c r="P41" s="47">
        <f t="shared" si="19"/>
        <v>600.6</v>
      </c>
      <c r="Q41" s="45">
        <v>21000</v>
      </c>
      <c r="R41" s="37">
        <f t="shared" si="2"/>
        <v>0</v>
      </c>
      <c r="S41" s="46">
        <f>[1]RB!$F41</f>
        <v>21000</v>
      </c>
      <c r="T41" s="47">
        <f t="shared" si="20"/>
        <v>18419.099999999999</v>
      </c>
      <c r="U41" s="47">
        <f t="shared" si="21"/>
        <v>2580.9</v>
      </c>
      <c r="V41" s="47">
        <f t="shared" si="22"/>
        <v>20399.400000000001</v>
      </c>
      <c r="W41" s="47">
        <f t="shared" si="23"/>
        <v>600.6</v>
      </c>
      <c r="X41" s="46">
        <f>[1]RB!$F41</f>
        <v>21000</v>
      </c>
      <c r="Y41" s="37">
        <f t="shared" si="3"/>
        <v>0</v>
      </c>
      <c r="Z41" s="46">
        <f>[1]RB!$G41</f>
        <v>21000</v>
      </c>
      <c r="AA41" s="47">
        <f t="shared" si="24"/>
        <v>18419.099999999999</v>
      </c>
      <c r="AB41" s="47">
        <f t="shared" si="25"/>
        <v>2580.9</v>
      </c>
      <c r="AC41" s="47">
        <f t="shared" si="26"/>
        <v>20399.400000000001</v>
      </c>
      <c r="AD41" s="47">
        <f t="shared" si="27"/>
        <v>600.6</v>
      </c>
      <c r="AE41" s="45">
        <v>21000</v>
      </c>
      <c r="AF41" s="37">
        <f t="shared" si="4"/>
        <v>0</v>
      </c>
      <c r="AG41" s="46">
        <f>[1]RB!$H41</f>
        <v>21000</v>
      </c>
      <c r="AH41" s="47">
        <f t="shared" si="28"/>
        <v>18419.099999999999</v>
      </c>
      <c r="AI41" s="47">
        <f t="shared" si="29"/>
        <v>2580.9</v>
      </c>
      <c r="AJ41" s="47">
        <f t="shared" si="30"/>
        <v>20399.400000000001</v>
      </c>
      <c r="AK41" s="47">
        <f t="shared" si="31"/>
        <v>600.6</v>
      </c>
      <c r="AL41" s="46">
        <f>[1]RB!$H41</f>
        <v>21000</v>
      </c>
      <c r="AM41" s="37">
        <f t="shared" si="5"/>
        <v>0</v>
      </c>
      <c r="AN41" s="46">
        <f>[1]RB!$I41</f>
        <v>21000</v>
      </c>
      <c r="AO41" s="47">
        <f t="shared" si="32"/>
        <v>18419.099999999999</v>
      </c>
      <c r="AP41" s="47">
        <f t="shared" si="33"/>
        <v>2580.9</v>
      </c>
      <c r="AQ41" s="47">
        <f t="shared" si="34"/>
        <v>0</v>
      </c>
      <c r="AR41" s="47">
        <f t="shared" si="35"/>
        <v>0</v>
      </c>
      <c r="AS41" s="45"/>
      <c r="AT41" s="37">
        <f t="shared" si="6"/>
        <v>-1</v>
      </c>
      <c r="AU41" s="46">
        <f>[1]RB!$J41</f>
        <v>21000</v>
      </c>
      <c r="AV41" s="47">
        <f t="shared" si="36"/>
        <v>18419.099999999999</v>
      </c>
      <c r="AW41" s="47">
        <f t="shared" si="37"/>
        <v>2580.9</v>
      </c>
      <c r="AX41" s="47">
        <f t="shared" si="38"/>
        <v>0</v>
      </c>
      <c r="AY41" s="47">
        <f t="shared" si="39"/>
        <v>0</v>
      </c>
      <c r="AZ41" s="48"/>
      <c r="BA41" s="37">
        <f t="shared" si="7"/>
        <v>-1</v>
      </c>
      <c r="BB41" s="46">
        <f>[1]RB!$K41</f>
        <v>21000</v>
      </c>
      <c r="BC41" s="47">
        <f t="shared" si="40"/>
        <v>18419.099999999999</v>
      </c>
      <c r="BD41" s="47">
        <f t="shared" si="41"/>
        <v>2580.9</v>
      </c>
      <c r="BE41" s="47">
        <f t="shared" si="42"/>
        <v>0</v>
      </c>
      <c r="BF41" s="47">
        <f t="shared" si="43"/>
        <v>0</v>
      </c>
      <c r="BG41" s="48"/>
      <c r="BH41" s="37">
        <f t="shared" si="8"/>
        <v>-1</v>
      </c>
      <c r="BI41" s="46">
        <f>[1]RB!$L41</f>
        <v>21000</v>
      </c>
      <c r="BJ41" s="47">
        <f t="shared" si="44"/>
        <v>18419.099999999999</v>
      </c>
      <c r="BK41" s="47">
        <f t="shared" si="45"/>
        <v>2580.9</v>
      </c>
      <c r="BL41" s="47">
        <f t="shared" si="46"/>
        <v>0</v>
      </c>
      <c r="BM41" s="47">
        <f t="shared" si="47"/>
        <v>0</v>
      </c>
      <c r="BN41" s="45"/>
      <c r="BO41" s="37">
        <f t="shared" si="9"/>
        <v>-1</v>
      </c>
      <c r="BP41" s="46">
        <f>[1]RB!$M41</f>
        <v>21000</v>
      </c>
      <c r="BQ41" s="47">
        <f t="shared" si="48"/>
        <v>18419.099999999999</v>
      </c>
      <c r="BR41" s="47">
        <f t="shared" si="49"/>
        <v>2580.9</v>
      </c>
      <c r="BS41" s="47">
        <f t="shared" si="50"/>
        <v>0</v>
      </c>
      <c r="BT41" s="47">
        <f t="shared" si="51"/>
        <v>0</v>
      </c>
      <c r="BU41" s="46"/>
      <c r="BV41" s="37">
        <f t="shared" si="10"/>
        <v>-1</v>
      </c>
      <c r="BW41" s="43">
        <f>[1]RB!$N41</f>
        <v>21000</v>
      </c>
      <c r="BX41" s="44">
        <f t="shared" si="52"/>
        <v>18419.099999999999</v>
      </c>
      <c r="BY41" s="44">
        <f t="shared" si="53"/>
        <v>2580.9</v>
      </c>
      <c r="BZ41" s="47">
        <f t="shared" si="54"/>
        <v>0</v>
      </c>
      <c r="CA41" s="47">
        <f t="shared" si="55"/>
        <v>0</v>
      </c>
      <c r="CB41" s="45"/>
      <c r="CC41" s="37">
        <f t="shared" si="11"/>
        <v>-1</v>
      </c>
      <c r="CD41" s="46">
        <f>[1]RB!$O41</f>
        <v>21000</v>
      </c>
      <c r="CE41" s="47">
        <f t="shared" si="56"/>
        <v>18419.099999999999</v>
      </c>
      <c r="CF41" s="47">
        <f t="shared" si="57"/>
        <v>2580.9</v>
      </c>
      <c r="CG41" s="47">
        <f t="shared" si="58"/>
        <v>0</v>
      </c>
      <c r="CH41" s="47">
        <f t="shared" si="59"/>
        <v>0</v>
      </c>
      <c r="CI41" s="45"/>
      <c r="CJ41" s="37">
        <f t="shared" si="12"/>
        <v>-1</v>
      </c>
      <c r="CK41" s="46">
        <f>[1]RB!$P41</f>
        <v>21000</v>
      </c>
      <c r="CL41" s="47">
        <f t="shared" si="60"/>
        <v>18419.099999999999</v>
      </c>
      <c r="CM41" s="47">
        <f t="shared" si="61"/>
        <v>2580.9</v>
      </c>
      <c r="CN41" s="47">
        <f t="shared" si="62"/>
        <v>0</v>
      </c>
      <c r="CO41" s="47">
        <f t="shared" si="63"/>
        <v>0</v>
      </c>
      <c r="CP41" s="45"/>
      <c r="CQ41" s="37">
        <f t="shared" si="13"/>
        <v>-1</v>
      </c>
      <c r="CR41" s="185"/>
      <c r="CS41" s="48"/>
      <c r="CT41" s="48"/>
      <c r="CU41" s="48"/>
      <c r="CV41" s="48"/>
      <c r="CW41" s="48"/>
      <c r="CX41" s="48"/>
      <c r="CY41" s="27"/>
      <c r="CZ41" s="27"/>
      <c r="DA41" s="27"/>
      <c r="DB41" s="27"/>
      <c r="DC41" s="27"/>
      <c r="DD41" s="27"/>
    </row>
    <row r="42" spans="1:108" s="26" customFormat="1" ht="16" customHeight="1" x14ac:dyDescent="0.2">
      <c r="A42" s="182" t="s">
        <v>66</v>
      </c>
      <c r="B42" s="30">
        <f t="shared" si="65"/>
        <v>1835554.3737839998</v>
      </c>
      <c r="C42" s="31">
        <f t="shared" si="65"/>
        <v>1609964.7412459466</v>
      </c>
      <c r="D42" s="32">
        <f t="shared" si="65"/>
        <v>225589.63253805356</v>
      </c>
      <c r="E42" s="30">
        <f t="shared" si="67"/>
        <v>611851.4579279999</v>
      </c>
      <c r="F42" s="33">
        <f t="shared" si="67"/>
        <v>536654.91374864872</v>
      </c>
      <c r="G42" s="34">
        <f t="shared" si="67"/>
        <v>75196.544179351185</v>
      </c>
      <c r="H42" s="31">
        <f t="shared" si="66"/>
        <v>544090.97056799999</v>
      </c>
      <c r="I42" s="33">
        <f t="shared" si="66"/>
        <v>16019.149432</v>
      </c>
      <c r="J42" s="33">
        <f t="shared" si="66"/>
        <v>560110.12</v>
      </c>
      <c r="K42" s="37">
        <f t="shared" si="15"/>
        <v>-8.456519512631222E-2</v>
      </c>
      <c r="L42" s="36">
        <f>[1]RB!$E42</f>
        <v>152962.86448199998</v>
      </c>
      <c r="M42" s="31">
        <f t="shared" si="16"/>
        <v>134163.72843716218</v>
      </c>
      <c r="N42" s="31">
        <f t="shared" si="17"/>
        <v>18799.136044837796</v>
      </c>
      <c r="O42" s="31">
        <f t="shared" si="18"/>
        <v>139673.95353599999</v>
      </c>
      <c r="P42" s="31">
        <f t="shared" si="19"/>
        <v>4112.2864639999998</v>
      </c>
      <c r="Q42" s="33">
        <v>143786.23999999999</v>
      </c>
      <c r="R42" s="37">
        <f t="shared" si="2"/>
        <v>-5.9992498918453818E-2</v>
      </c>
      <c r="S42" s="36">
        <f>[1]RB!$F42</f>
        <v>152962.86448199998</v>
      </c>
      <c r="T42" s="31">
        <f t="shared" si="20"/>
        <v>134163.72843716218</v>
      </c>
      <c r="U42" s="31">
        <f t="shared" si="21"/>
        <v>18799.136044837796</v>
      </c>
      <c r="V42" s="31">
        <f t="shared" si="22"/>
        <v>131405.40645000001</v>
      </c>
      <c r="W42" s="31">
        <f t="shared" si="23"/>
        <v>3868.8435500000001</v>
      </c>
      <c r="X42" s="33">
        <f>135274.25</f>
        <v>135274.25</v>
      </c>
      <c r="Y42" s="37">
        <f t="shared" si="3"/>
        <v>-0.11563992699732362</v>
      </c>
      <c r="Z42" s="36">
        <f>[1]RB!$G42</f>
        <v>152962.86448199998</v>
      </c>
      <c r="AA42" s="31">
        <f t="shared" si="24"/>
        <v>134163.72843716218</v>
      </c>
      <c r="AB42" s="31">
        <f t="shared" si="25"/>
        <v>18799.136044837796</v>
      </c>
      <c r="AC42" s="31">
        <f t="shared" si="26"/>
        <v>136562.986752</v>
      </c>
      <c r="AD42" s="31">
        <f t="shared" si="27"/>
        <v>4020.693248</v>
      </c>
      <c r="AE42" s="33">
        <f>140583.68</f>
        <v>140583.67999999999</v>
      </c>
      <c r="AF42" s="37">
        <f t="shared" si="4"/>
        <v>-8.0929345327844016E-2</v>
      </c>
      <c r="AG42" s="36">
        <f>[1]RB!$H42</f>
        <v>152962.86448199998</v>
      </c>
      <c r="AH42" s="31">
        <f t="shared" si="28"/>
        <v>134163.72843716218</v>
      </c>
      <c r="AI42" s="31">
        <f t="shared" si="29"/>
        <v>18799.136044837796</v>
      </c>
      <c r="AJ42" s="31">
        <f t="shared" si="30"/>
        <v>136448.62383</v>
      </c>
      <c r="AK42" s="31">
        <f t="shared" si="31"/>
        <v>4017.3261700000003</v>
      </c>
      <c r="AL42" s="27">
        <f>140465.95</f>
        <v>140465.95000000001</v>
      </c>
      <c r="AM42" s="37">
        <f t="shared" si="5"/>
        <v>-8.169900926162732E-2</v>
      </c>
      <c r="AN42" s="36">
        <f>[1]RB!$I42</f>
        <v>152962.86448199998</v>
      </c>
      <c r="AO42" s="31">
        <f t="shared" si="32"/>
        <v>134163.72843716218</v>
      </c>
      <c r="AP42" s="31">
        <f t="shared" si="33"/>
        <v>18799.136044837796</v>
      </c>
      <c r="AQ42" s="31">
        <f t="shared" si="34"/>
        <v>0</v>
      </c>
      <c r="AR42" s="31">
        <f t="shared" si="35"/>
        <v>0</v>
      </c>
      <c r="AS42" s="33"/>
      <c r="AT42" s="37">
        <f t="shared" si="6"/>
        <v>-1</v>
      </c>
      <c r="AU42" s="36">
        <f>[1]RB!$J42</f>
        <v>152962.86448199998</v>
      </c>
      <c r="AV42" s="31">
        <f t="shared" si="36"/>
        <v>134163.72843716218</v>
      </c>
      <c r="AW42" s="31">
        <f t="shared" si="37"/>
        <v>18799.136044837796</v>
      </c>
      <c r="AX42" s="31">
        <f t="shared" si="38"/>
        <v>0</v>
      </c>
      <c r="AY42" s="31">
        <f t="shared" si="39"/>
        <v>0</v>
      </c>
      <c r="AZ42" s="27"/>
      <c r="BA42" s="37">
        <f t="shared" si="7"/>
        <v>-1</v>
      </c>
      <c r="BB42" s="36">
        <f>[1]RB!$K42</f>
        <v>152962.86448199998</v>
      </c>
      <c r="BC42" s="31">
        <f t="shared" si="40"/>
        <v>134163.72843716218</v>
      </c>
      <c r="BD42" s="31">
        <f t="shared" si="41"/>
        <v>18799.136044837796</v>
      </c>
      <c r="BE42" s="31">
        <f t="shared" si="42"/>
        <v>0</v>
      </c>
      <c r="BF42" s="31">
        <f t="shared" si="43"/>
        <v>0</v>
      </c>
      <c r="BG42" s="27"/>
      <c r="BH42" s="37">
        <f t="shared" si="8"/>
        <v>-1</v>
      </c>
      <c r="BI42" s="36">
        <f>[1]RB!$L42</f>
        <v>152962.86448199998</v>
      </c>
      <c r="BJ42" s="31">
        <f t="shared" si="44"/>
        <v>134163.72843716218</v>
      </c>
      <c r="BK42" s="31">
        <f t="shared" si="45"/>
        <v>18799.136044837796</v>
      </c>
      <c r="BL42" s="31">
        <f t="shared" si="46"/>
        <v>0</v>
      </c>
      <c r="BM42" s="31">
        <f t="shared" si="47"/>
        <v>0</v>
      </c>
      <c r="BN42" s="33"/>
      <c r="BO42" s="37">
        <f t="shared" si="9"/>
        <v>-1</v>
      </c>
      <c r="BP42" s="36">
        <f>[1]RB!$M42</f>
        <v>152962.86448199998</v>
      </c>
      <c r="BQ42" s="31">
        <f t="shared" si="48"/>
        <v>134163.72843716218</v>
      </c>
      <c r="BR42" s="31">
        <f t="shared" si="49"/>
        <v>18799.136044837796</v>
      </c>
      <c r="BS42" s="31">
        <f t="shared" si="50"/>
        <v>0</v>
      </c>
      <c r="BT42" s="31">
        <f t="shared" si="51"/>
        <v>0</v>
      </c>
      <c r="BU42" s="33"/>
      <c r="BV42" s="37">
        <f t="shared" si="10"/>
        <v>-1</v>
      </c>
      <c r="BW42" s="36">
        <f>[1]RB!$N42</f>
        <v>152962.86448199998</v>
      </c>
      <c r="BX42" s="31">
        <f t="shared" si="52"/>
        <v>134163.72843716218</v>
      </c>
      <c r="BY42" s="31">
        <f t="shared" si="53"/>
        <v>18799.136044837796</v>
      </c>
      <c r="BZ42" s="31">
        <f t="shared" si="54"/>
        <v>0</v>
      </c>
      <c r="CA42" s="31">
        <f t="shared" si="55"/>
        <v>0</v>
      </c>
      <c r="CB42" s="33"/>
      <c r="CC42" s="37">
        <f t="shared" si="11"/>
        <v>-1</v>
      </c>
      <c r="CD42" s="36">
        <f>[1]RB!$O42</f>
        <v>152962.86448199998</v>
      </c>
      <c r="CE42" s="31">
        <f t="shared" si="56"/>
        <v>134163.72843716218</v>
      </c>
      <c r="CF42" s="31">
        <f t="shared" si="57"/>
        <v>18799.136044837796</v>
      </c>
      <c r="CG42" s="31">
        <f t="shared" si="58"/>
        <v>0</v>
      </c>
      <c r="CH42" s="31">
        <f t="shared" si="59"/>
        <v>0</v>
      </c>
      <c r="CI42" s="33"/>
      <c r="CJ42" s="37">
        <f t="shared" si="12"/>
        <v>-1</v>
      </c>
      <c r="CK42" s="36">
        <f>[1]RB!$P42</f>
        <v>152962.86448199998</v>
      </c>
      <c r="CL42" s="31">
        <f t="shared" si="60"/>
        <v>134163.72843716218</v>
      </c>
      <c r="CM42" s="31">
        <f t="shared" si="61"/>
        <v>18799.136044837796</v>
      </c>
      <c r="CN42" s="31">
        <f t="shared" si="62"/>
        <v>0</v>
      </c>
      <c r="CO42" s="31">
        <f t="shared" si="63"/>
        <v>0</v>
      </c>
      <c r="CP42" s="33"/>
      <c r="CQ42" s="37">
        <f t="shared" si="13"/>
        <v>-1</v>
      </c>
      <c r="CR42" s="181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</row>
    <row r="43" spans="1:108" s="26" customFormat="1" ht="16" customHeight="1" x14ac:dyDescent="0.2">
      <c r="A43" s="183" t="s">
        <v>67</v>
      </c>
      <c r="B43" s="30">
        <f t="shared" si="65"/>
        <v>79421.999999999985</v>
      </c>
      <c r="C43" s="31">
        <f t="shared" si="65"/>
        <v>69661.036199999988</v>
      </c>
      <c r="D43" s="32">
        <f t="shared" si="65"/>
        <v>9760.9637999999977</v>
      </c>
      <c r="E43" s="30">
        <f t="shared" si="67"/>
        <v>26473.999999999996</v>
      </c>
      <c r="F43" s="33">
        <f t="shared" si="67"/>
        <v>23220.345399999998</v>
      </c>
      <c r="G43" s="34">
        <f t="shared" si="67"/>
        <v>3253.6545999999994</v>
      </c>
      <c r="H43" s="31">
        <f t="shared" si="66"/>
        <v>32120.982666</v>
      </c>
      <c r="I43" s="33">
        <f t="shared" si="66"/>
        <v>945.70733400000006</v>
      </c>
      <c r="J43" s="33">
        <f t="shared" si="66"/>
        <v>33066.689999999995</v>
      </c>
      <c r="K43" s="37">
        <f t="shared" si="15"/>
        <v>0.24902508121175493</v>
      </c>
      <c r="L43" s="36">
        <f>[1]RB!$E43</f>
        <v>6618.4999999999991</v>
      </c>
      <c r="M43" s="31">
        <f t="shared" si="16"/>
        <v>5805.0863499999996</v>
      </c>
      <c r="N43" s="31">
        <f t="shared" si="17"/>
        <v>813.41364999999985</v>
      </c>
      <c r="O43" s="31">
        <f t="shared" si="18"/>
        <v>7742.4659879999999</v>
      </c>
      <c r="P43" s="31">
        <f t="shared" si="19"/>
        <v>227.95401200000001</v>
      </c>
      <c r="Q43" s="33">
        <f>7970.42</f>
        <v>7970.42</v>
      </c>
      <c r="R43" s="37">
        <f t="shared" si="2"/>
        <v>0.20426380599833815</v>
      </c>
      <c r="S43" s="36">
        <f>[1]RB!$F43</f>
        <v>6618.4999999999991</v>
      </c>
      <c r="T43" s="31">
        <f t="shared" si="20"/>
        <v>5805.0863499999996</v>
      </c>
      <c r="U43" s="31">
        <f t="shared" si="21"/>
        <v>813.41364999999985</v>
      </c>
      <c r="V43" s="31">
        <f t="shared" si="22"/>
        <v>9942.8326980000002</v>
      </c>
      <c r="W43" s="31">
        <f t="shared" si="23"/>
        <v>292.737302</v>
      </c>
      <c r="X43" s="33">
        <f>10235.57</f>
        <v>10235.57</v>
      </c>
      <c r="Y43" s="37">
        <f t="shared" si="3"/>
        <v>0.54650902772531551</v>
      </c>
      <c r="Z43" s="36">
        <f>[1]RB!$G43</f>
        <v>6618.4999999999991</v>
      </c>
      <c r="AA43" s="31">
        <f t="shared" si="24"/>
        <v>5805.0863499999996</v>
      </c>
      <c r="AB43" s="31">
        <f t="shared" si="25"/>
        <v>813.41364999999985</v>
      </c>
      <c r="AC43" s="31">
        <f t="shared" si="26"/>
        <v>6923.1969419999996</v>
      </c>
      <c r="AD43" s="31">
        <f t="shared" si="27"/>
        <v>203.83305799999999</v>
      </c>
      <c r="AE43" s="33">
        <f>7127.03</f>
        <v>7127.03</v>
      </c>
      <c r="AF43" s="37">
        <f t="shared" si="4"/>
        <v>7.6834630203218346E-2</v>
      </c>
      <c r="AG43" s="36">
        <f>[1]RB!$H43</f>
        <v>6618.4999999999991</v>
      </c>
      <c r="AH43" s="31">
        <f t="shared" si="28"/>
        <v>5805.0863499999996</v>
      </c>
      <c r="AI43" s="31">
        <f t="shared" si="29"/>
        <v>813.41364999999985</v>
      </c>
      <c r="AJ43" s="31">
        <f t="shared" si="30"/>
        <v>7512.4870380000002</v>
      </c>
      <c r="AK43" s="31">
        <f t="shared" si="31"/>
        <v>221.182962</v>
      </c>
      <c r="AL43" s="33">
        <f>7733.67</f>
        <v>7733.67</v>
      </c>
      <c r="AM43" s="37">
        <f t="shared" si="5"/>
        <v>0.16849286092014815</v>
      </c>
      <c r="AN43" s="36">
        <f>[1]RB!$I43</f>
        <v>6618.4999999999991</v>
      </c>
      <c r="AO43" s="31">
        <f t="shared" si="32"/>
        <v>5805.0863499999996</v>
      </c>
      <c r="AP43" s="31">
        <f t="shared" si="33"/>
        <v>813.41364999999985</v>
      </c>
      <c r="AQ43" s="31">
        <f t="shared" si="34"/>
        <v>0</v>
      </c>
      <c r="AR43" s="31">
        <f t="shared" si="35"/>
        <v>0</v>
      </c>
      <c r="AS43" s="33"/>
      <c r="AT43" s="37">
        <f t="shared" si="6"/>
        <v>-1</v>
      </c>
      <c r="AU43" s="36">
        <f>[1]RB!$J43</f>
        <v>6618.4999999999991</v>
      </c>
      <c r="AV43" s="31">
        <f t="shared" si="36"/>
        <v>5805.0863499999996</v>
      </c>
      <c r="AW43" s="31">
        <f t="shared" si="37"/>
        <v>813.41364999999985</v>
      </c>
      <c r="AX43" s="31">
        <f t="shared" si="38"/>
        <v>0</v>
      </c>
      <c r="AY43" s="31">
        <f t="shared" si="39"/>
        <v>0</v>
      </c>
      <c r="AZ43" s="27"/>
      <c r="BA43" s="37">
        <f t="shared" si="7"/>
        <v>-1</v>
      </c>
      <c r="BB43" s="36">
        <f>[1]RB!$K43</f>
        <v>6618.4999999999991</v>
      </c>
      <c r="BC43" s="31">
        <f t="shared" si="40"/>
        <v>5805.0863499999996</v>
      </c>
      <c r="BD43" s="31">
        <f t="shared" si="41"/>
        <v>813.41364999999985</v>
      </c>
      <c r="BE43" s="31">
        <f t="shared" si="42"/>
        <v>0</v>
      </c>
      <c r="BF43" s="31">
        <f t="shared" si="43"/>
        <v>0</v>
      </c>
      <c r="BG43" s="27"/>
      <c r="BH43" s="37">
        <f t="shared" si="8"/>
        <v>-1</v>
      </c>
      <c r="BI43" s="36">
        <f>[1]RB!$L43</f>
        <v>6618.4999999999991</v>
      </c>
      <c r="BJ43" s="31">
        <f t="shared" si="44"/>
        <v>5805.0863499999996</v>
      </c>
      <c r="BK43" s="31">
        <f t="shared" si="45"/>
        <v>813.41364999999985</v>
      </c>
      <c r="BL43" s="31">
        <f t="shared" si="46"/>
        <v>0</v>
      </c>
      <c r="BM43" s="31">
        <f t="shared" si="47"/>
        <v>0</v>
      </c>
      <c r="BN43" s="33"/>
      <c r="BO43" s="37">
        <f t="shared" si="9"/>
        <v>-1</v>
      </c>
      <c r="BP43" s="36">
        <f>[1]RB!$M43</f>
        <v>6618.4999999999991</v>
      </c>
      <c r="BQ43" s="31">
        <f t="shared" si="48"/>
        <v>5805.0863499999996</v>
      </c>
      <c r="BR43" s="31">
        <f t="shared" si="49"/>
        <v>813.41364999999985</v>
      </c>
      <c r="BS43" s="31">
        <f t="shared" si="50"/>
        <v>0</v>
      </c>
      <c r="BT43" s="31">
        <f t="shared" si="51"/>
        <v>0</v>
      </c>
      <c r="BU43" s="33"/>
      <c r="BV43" s="37">
        <f t="shared" si="10"/>
        <v>-1</v>
      </c>
      <c r="BW43" s="36">
        <f>[1]RB!$N43</f>
        <v>6618.4999999999991</v>
      </c>
      <c r="BX43" s="31">
        <f t="shared" si="52"/>
        <v>5805.0863499999996</v>
      </c>
      <c r="BY43" s="31">
        <f t="shared" si="53"/>
        <v>813.41364999999985</v>
      </c>
      <c r="BZ43" s="31">
        <f t="shared" si="54"/>
        <v>0</v>
      </c>
      <c r="CA43" s="31">
        <f t="shared" si="55"/>
        <v>0</v>
      </c>
      <c r="CB43" s="33"/>
      <c r="CC43" s="37">
        <f t="shared" si="11"/>
        <v>-1</v>
      </c>
      <c r="CD43" s="36">
        <f>[1]RB!$O43</f>
        <v>6618.4999999999991</v>
      </c>
      <c r="CE43" s="31">
        <f t="shared" si="56"/>
        <v>5805.0863499999996</v>
      </c>
      <c r="CF43" s="31">
        <f t="shared" si="57"/>
        <v>813.41364999999985</v>
      </c>
      <c r="CG43" s="31">
        <f t="shared" si="58"/>
        <v>0</v>
      </c>
      <c r="CH43" s="31">
        <f t="shared" si="59"/>
        <v>0</v>
      </c>
      <c r="CI43" s="33"/>
      <c r="CJ43" s="37">
        <f t="shared" si="12"/>
        <v>-1</v>
      </c>
      <c r="CK43" s="36">
        <f>[1]RB!$P43</f>
        <v>6618.4999999999991</v>
      </c>
      <c r="CL43" s="31">
        <f t="shared" si="60"/>
        <v>5805.0863499999996</v>
      </c>
      <c r="CM43" s="31">
        <f t="shared" si="61"/>
        <v>813.41364999999985</v>
      </c>
      <c r="CN43" s="31">
        <f t="shared" si="62"/>
        <v>0</v>
      </c>
      <c r="CO43" s="31">
        <f t="shared" si="63"/>
        <v>0</v>
      </c>
      <c r="CP43" s="33"/>
      <c r="CQ43" s="37">
        <f t="shared" si="13"/>
        <v>-1</v>
      </c>
      <c r="CR43" s="181"/>
      <c r="CS43" s="27">
        <f>7024.67</f>
        <v>7024.67</v>
      </c>
      <c r="CT43" s="27">
        <f>7715.59</f>
        <v>7715.59</v>
      </c>
      <c r="CU43" s="27">
        <f>5412.71</f>
        <v>5412.71</v>
      </c>
      <c r="CV43" s="27"/>
      <c r="CW43" s="27"/>
      <c r="CX43" s="27"/>
      <c r="CY43" s="27"/>
      <c r="CZ43" s="27"/>
      <c r="DA43" s="27"/>
      <c r="DB43" s="27"/>
      <c r="DC43" s="27"/>
      <c r="DD43" s="27"/>
    </row>
    <row r="44" spans="1:108" s="26" customFormat="1" ht="16" customHeight="1" x14ac:dyDescent="0.2">
      <c r="A44" s="182" t="s">
        <v>68</v>
      </c>
      <c r="B44" s="30">
        <f t="shared" si="65"/>
        <v>0</v>
      </c>
      <c r="C44" s="31">
        <f t="shared" si="65"/>
        <v>0</v>
      </c>
      <c r="D44" s="32">
        <f t="shared" si="65"/>
        <v>0</v>
      </c>
      <c r="E44" s="30">
        <f t="shared" si="67"/>
        <v>0</v>
      </c>
      <c r="F44" s="33">
        <f t="shared" si="67"/>
        <v>0</v>
      </c>
      <c r="G44" s="34">
        <f t="shared" si="67"/>
        <v>0</v>
      </c>
      <c r="H44" s="31">
        <f t="shared" si="66"/>
        <v>0</v>
      </c>
      <c r="I44" s="33">
        <f t="shared" si="66"/>
        <v>0</v>
      </c>
      <c r="J44" s="33">
        <f t="shared" si="66"/>
        <v>0</v>
      </c>
      <c r="K44" s="37" t="str">
        <f t="shared" si="15"/>
        <v/>
      </c>
      <c r="L44" s="36">
        <f>[1]RB!$E44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2"/>
        <v/>
      </c>
      <c r="S44" s="36">
        <f>[1]RB!$F44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3"/>
        <v/>
      </c>
      <c r="Z44" s="36">
        <f>[1]RB!$G44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27"/>
      <c r="AF44" s="37" t="str">
        <f t="shared" si="4"/>
        <v/>
      </c>
      <c r="AG44" s="36">
        <f>[1]RB!$H44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33"/>
      <c r="AM44" s="37" t="str">
        <f t="shared" si="5"/>
        <v/>
      </c>
      <c r="AN44" s="36">
        <f>[1]RB!$I44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33"/>
      <c r="AT44" s="37" t="str">
        <f t="shared" si="6"/>
        <v/>
      </c>
      <c r="AU44" s="36">
        <f>[1]RB!$J44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27"/>
      <c r="BA44" s="37" t="str">
        <f t="shared" si="7"/>
        <v/>
      </c>
      <c r="BB44" s="36">
        <f>[1]RB!$K44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8"/>
        <v/>
      </c>
      <c r="BI44" s="36">
        <f>[1]RB!$L44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9"/>
        <v/>
      </c>
      <c r="BP44" s="36">
        <f>[1]RB!$M44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0"/>
        <v/>
      </c>
      <c r="BW44" s="36">
        <f>[1]RB!$N44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1"/>
        <v/>
      </c>
      <c r="CD44" s="36">
        <f>[1]RB!$O44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2"/>
        <v/>
      </c>
      <c r="CK44" s="36">
        <f>[1]RB!$P44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3"/>
        <v/>
      </c>
      <c r="CR44" s="181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</row>
    <row r="45" spans="1:108" s="26" customFormat="1" ht="16" customHeight="1" x14ac:dyDescent="0.2">
      <c r="A45" s="184" t="s">
        <v>69</v>
      </c>
      <c r="B45" s="30">
        <f t="shared" si="65"/>
        <v>0</v>
      </c>
      <c r="C45" s="31">
        <f t="shared" si="65"/>
        <v>0</v>
      </c>
      <c r="D45" s="32">
        <f t="shared" si="65"/>
        <v>0</v>
      </c>
      <c r="E45" s="30">
        <f t="shared" si="67"/>
        <v>0</v>
      </c>
      <c r="F45" s="33">
        <f t="shared" si="67"/>
        <v>0</v>
      </c>
      <c r="G45" s="34">
        <f t="shared" si="67"/>
        <v>0</v>
      </c>
      <c r="H45" s="31">
        <f t="shared" si="66"/>
        <v>0</v>
      </c>
      <c r="I45" s="33">
        <f t="shared" si="66"/>
        <v>0</v>
      </c>
      <c r="J45" s="33">
        <f t="shared" si="66"/>
        <v>0</v>
      </c>
      <c r="K45" s="37" t="str">
        <f t="shared" si="15"/>
        <v/>
      </c>
      <c r="L45" s="36">
        <f>[1]RB!$E45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2"/>
        <v/>
      </c>
      <c r="S45" s="36">
        <f>[1]RB!$F45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3"/>
        <v/>
      </c>
      <c r="Z45" s="36">
        <f>[1]RB!$G45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27"/>
      <c r="AF45" s="37" t="str">
        <f t="shared" si="4"/>
        <v/>
      </c>
      <c r="AG45" s="36">
        <f>[1]RB!$H45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33"/>
      <c r="AM45" s="37" t="str">
        <f t="shared" si="5"/>
        <v/>
      </c>
      <c r="AN45" s="36">
        <f>[1]RB!$I45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33"/>
      <c r="AT45" s="37" t="str">
        <f t="shared" si="6"/>
        <v/>
      </c>
      <c r="AU45" s="36">
        <f>[1]RB!$J45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27"/>
      <c r="BA45" s="37" t="str">
        <f t="shared" si="7"/>
        <v/>
      </c>
      <c r="BB45" s="36">
        <f>[1]RB!$K45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8"/>
        <v/>
      </c>
      <c r="BI45" s="36">
        <f>[1]RB!$L45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9"/>
        <v/>
      </c>
      <c r="BP45" s="36">
        <f>[1]RB!$M45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0"/>
        <v/>
      </c>
      <c r="BW45" s="36">
        <f>[1]RB!$N45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1"/>
        <v/>
      </c>
      <c r="CD45" s="36">
        <f>[1]RB!$O45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2"/>
        <v/>
      </c>
      <c r="CK45" s="36">
        <f>[1]RB!$P45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3"/>
        <v/>
      </c>
      <c r="CR45" s="181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</row>
    <row r="46" spans="1:108" s="26" customFormat="1" ht="16" customHeight="1" x14ac:dyDescent="0.2">
      <c r="A46" s="183" t="s">
        <v>70</v>
      </c>
      <c r="B46" s="30">
        <f t="shared" si="65"/>
        <v>0</v>
      </c>
      <c r="C46" s="31">
        <f t="shared" si="65"/>
        <v>0</v>
      </c>
      <c r="D46" s="32">
        <f t="shared" si="65"/>
        <v>0</v>
      </c>
      <c r="E46" s="30">
        <f t="shared" si="67"/>
        <v>0</v>
      </c>
      <c r="F46" s="33">
        <f t="shared" si="67"/>
        <v>0</v>
      </c>
      <c r="G46" s="34">
        <f t="shared" si="67"/>
        <v>0</v>
      </c>
      <c r="H46" s="31">
        <f t="shared" si="66"/>
        <v>0</v>
      </c>
      <c r="I46" s="33">
        <f t="shared" si="66"/>
        <v>0</v>
      </c>
      <c r="J46" s="33">
        <f t="shared" si="66"/>
        <v>0</v>
      </c>
      <c r="K46" s="37" t="str">
        <f t="shared" si="15"/>
        <v/>
      </c>
      <c r="L46" s="36">
        <f>[1]RB!$E46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2"/>
        <v/>
      </c>
      <c r="S46" s="36">
        <f>[1]RB!$F46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3"/>
        <v/>
      </c>
      <c r="Z46" s="36">
        <f>[1]RB!$G46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27"/>
      <c r="AF46" s="37" t="str">
        <f t="shared" si="4"/>
        <v/>
      </c>
      <c r="AG46" s="36">
        <f>[1]RB!$H46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33"/>
      <c r="AM46" s="37" t="str">
        <f t="shared" si="5"/>
        <v/>
      </c>
      <c r="AN46" s="36">
        <f>[1]RB!$I46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33"/>
      <c r="AT46" s="37" t="str">
        <f t="shared" si="6"/>
        <v/>
      </c>
      <c r="AU46" s="36">
        <f>[1]RB!$J46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27"/>
      <c r="BA46" s="37" t="str">
        <f t="shared" si="7"/>
        <v/>
      </c>
      <c r="BB46" s="36">
        <f>[1]RB!$K46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8"/>
        <v/>
      </c>
      <c r="BI46" s="36">
        <f>[1]RB!$L46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9"/>
        <v/>
      </c>
      <c r="BP46" s="36">
        <f>[1]RB!$M46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0"/>
        <v/>
      </c>
      <c r="BW46" s="36">
        <f>[1]RB!$N46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1"/>
        <v/>
      </c>
      <c r="CD46" s="36">
        <f>[1]RB!$O46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2"/>
        <v/>
      </c>
      <c r="CK46" s="36">
        <f>[1]RB!$P46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3"/>
        <v/>
      </c>
      <c r="CR46" s="181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</row>
    <row r="47" spans="1:108" s="26" customFormat="1" ht="16" customHeight="1" x14ac:dyDescent="0.2">
      <c r="A47" s="182" t="s">
        <v>71</v>
      </c>
      <c r="B47" s="30">
        <f t="shared" si="65"/>
        <v>0</v>
      </c>
      <c r="C47" s="31">
        <f t="shared" si="65"/>
        <v>0</v>
      </c>
      <c r="D47" s="32">
        <f t="shared" si="65"/>
        <v>0</v>
      </c>
      <c r="E47" s="30">
        <f t="shared" si="67"/>
        <v>0</v>
      </c>
      <c r="F47" s="33">
        <f t="shared" si="67"/>
        <v>0</v>
      </c>
      <c r="G47" s="34">
        <f t="shared" si="67"/>
        <v>0</v>
      </c>
      <c r="H47" s="31">
        <f t="shared" si="66"/>
        <v>0</v>
      </c>
      <c r="I47" s="33">
        <f t="shared" si="66"/>
        <v>0</v>
      </c>
      <c r="J47" s="33">
        <f t="shared" si="66"/>
        <v>0</v>
      </c>
      <c r="K47" s="37" t="str">
        <f t="shared" si="15"/>
        <v/>
      </c>
      <c r="L47" s="36">
        <f>[1]RB!$E47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2"/>
        <v/>
      </c>
      <c r="S47" s="36">
        <f>[1]RB!$F47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3"/>
        <v/>
      </c>
      <c r="Z47" s="36">
        <f>[1]RB!$G47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27"/>
      <c r="AF47" s="37" t="str">
        <f t="shared" si="4"/>
        <v/>
      </c>
      <c r="AG47" s="36">
        <f>[1]RB!$H47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33"/>
      <c r="AM47" s="37" t="str">
        <f t="shared" si="5"/>
        <v/>
      </c>
      <c r="AN47" s="36">
        <f>[1]RB!$I47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33"/>
      <c r="AT47" s="37" t="str">
        <f t="shared" si="6"/>
        <v/>
      </c>
      <c r="AU47" s="36">
        <f>[1]RB!$J47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27"/>
      <c r="BA47" s="37" t="str">
        <f t="shared" si="7"/>
        <v/>
      </c>
      <c r="BB47" s="36">
        <f>[1]RB!$K47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8"/>
        <v/>
      </c>
      <c r="BI47" s="36">
        <f>[1]RB!$L47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9"/>
        <v/>
      </c>
      <c r="BP47" s="36">
        <f>[1]RB!$M47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0"/>
        <v/>
      </c>
      <c r="BW47" s="36">
        <f>[1]RB!$N47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1"/>
        <v/>
      </c>
      <c r="CD47" s="36">
        <f>[1]RB!$O47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2"/>
        <v/>
      </c>
      <c r="CK47" s="36">
        <f>[1]RB!$P47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3"/>
        <v/>
      </c>
      <c r="CR47" s="181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</row>
    <row r="48" spans="1:108" s="26" customFormat="1" ht="16" customHeight="1" x14ac:dyDescent="0.2">
      <c r="A48" s="183" t="s">
        <v>72</v>
      </c>
      <c r="B48" s="30">
        <f t="shared" si="65"/>
        <v>49999.999999999993</v>
      </c>
      <c r="C48" s="31">
        <f t="shared" si="65"/>
        <v>43855.000000000007</v>
      </c>
      <c r="D48" s="32">
        <f t="shared" si="65"/>
        <v>6144.9999999999991</v>
      </c>
      <c r="E48" s="30">
        <f t="shared" si="67"/>
        <v>16666.666666666668</v>
      </c>
      <c r="F48" s="33">
        <f t="shared" si="67"/>
        <v>14618.333333333334</v>
      </c>
      <c r="G48" s="34">
        <f t="shared" si="67"/>
        <v>2048.3333333333335</v>
      </c>
      <c r="H48" s="31">
        <f t="shared" si="66"/>
        <v>4599.8218499999994</v>
      </c>
      <c r="I48" s="33">
        <f t="shared" si="66"/>
        <v>135.42815000000002</v>
      </c>
      <c r="J48" s="33">
        <f t="shared" si="66"/>
        <v>4735.25</v>
      </c>
      <c r="K48" s="37">
        <f t="shared" si="15"/>
        <v>-0.71588499999999999</v>
      </c>
      <c r="L48" s="36">
        <f>[1]RB!$E48</f>
        <v>4166.666666666667</v>
      </c>
      <c r="M48" s="31">
        <f t="shared" si="16"/>
        <v>3654.5833333333335</v>
      </c>
      <c r="N48" s="31">
        <f t="shared" si="17"/>
        <v>512.08333333333337</v>
      </c>
      <c r="O48" s="31">
        <f t="shared" si="18"/>
        <v>620.82173999999998</v>
      </c>
      <c r="P48" s="31">
        <f t="shared" si="19"/>
        <v>18.27826</v>
      </c>
      <c r="Q48" s="33">
        <f>639.1</f>
        <v>639.1</v>
      </c>
      <c r="R48" s="37">
        <f t="shared" si="2"/>
        <v>-0.84661600000000004</v>
      </c>
      <c r="S48" s="36">
        <f>[1]RB!$F48</f>
        <v>4166.666666666667</v>
      </c>
      <c r="T48" s="31">
        <f t="shared" si="20"/>
        <v>3654.5833333333335</v>
      </c>
      <c r="U48" s="31">
        <f t="shared" si="21"/>
        <v>512.08333333333337</v>
      </c>
      <c r="V48" s="31">
        <f t="shared" si="22"/>
        <v>590.36834999999996</v>
      </c>
      <c r="W48" s="31">
        <f t="shared" si="23"/>
        <v>17.38165</v>
      </c>
      <c r="X48" s="33">
        <f>607.75</f>
        <v>607.75</v>
      </c>
      <c r="Y48" s="37">
        <f t="shared" si="3"/>
        <v>-0.85414000000000001</v>
      </c>
      <c r="Z48" s="36">
        <f>[1]RB!$G48</f>
        <v>4166.666666666667</v>
      </c>
      <c r="AA48" s="31">
        <f t="shared" si="24"/>
        <v>3654.5833333333335</v>
      </c>
      <c r="AB48" s="31">
        <f t="shared" si="25"/>
        <v>512.08333333333337</v>
      </c>
      <c r="AC48" s="31">
        <f t="shared" si="26"/>
        <v>2905.2631200000001</v>
      </c>
      <c r="AD48" s="31">
        <f t="shared" si="27"/>
        <v>85.536880000000011</v>
      </c>
      <c r="AE48" s="33">
        <f>2990.8</f>
        <v>2990.8</v>
      </c>
      <c r="AF48" s="37">
        <f t="shared" si="4"/>
        <v>-0.28220800000000001</v>
      </c>
      <c r="AG48" s="36">
        <f>[1]RB!$H48</f>
        <v>4166.666666666667</v>
      </c>
      <c r="AH48" s="31">
        <f t="shared" si="28"/>
        <v>3654.5833333333335</v>
      </c>
      <c r="AI48" s="31">
        <f t="shared" si="29"/>
        <v>512.08333333333337</v>
      </c>
      <c r="AJ48" s="31">
        <f t="shared" si="30"/>
        <v>483.36864000000003</v>
      </c>
      <c r="AK48" s="31">
        <f t="shared" si="31"/>
        <v>14.23136</v>
      </c>
      <c r="AL48" s="33">
        <f>497.6</f>
        <v>497.6</v>
      </c>
      <c r="AM48" s="37">
        <f t="shared" si="5"/>
        <v>-0.88057600000000003</v>
      </c>
      <c r="AN48" s="36">
        <f>[1]RB!$I48</f>
        <v>4166.666666666667</v>
      </c>
      <c r="AO48" s="31">
        <f t="shared" si="32"/>
        <v>3654.5833333333335</v>
      </c>
      <c r="AP48" s="31">
        <f t="shared" si="33"/>
        <v>512.08333333333337</v>
      </c>
      <c r="AQ48" s="31">
        <f t="shared" si="34"/>
        <v>0</v>
      </c>
      <c r="AR48" s="31">
        <f t="shared" si="35"/>
        <v>0</v>
      </c>
      <c r="AS48" s="33"/>
      <c r="AT48" s="37">
        <f t="shared" si="6"/>
        <v>-1</v>
      </c>
      <c r="AU48" s="36">
        <f>[1]RB!$J48</f>
        <v>4166.666666666667</v>
      </c>
      <c r="AV48" s="31">
        <f t="shared" si="36"/>
        <v>3654.5833333333335</v>
      </c>
      <c r="AW48" s="31">
        <f t="shared" si="37"/>
        <v>512.08333333333337</v>
      </c>
      <c r="AX48" s="31">
        <f t="shared" si="38"/>
        <v>0</v>
      </c>
      <c r="AY48" s="31">
        <f t="shared" si="39"/>
        <v>0</v>
      </c>
      <c r="AZ48" s="27"/>
      <c r="BA48" s="37">
        <f t="shared" si="7"/>
        <v>-1</v>
      </c>
      <c r="BB48" s="36">
        <f>[1]RB!$K48</f>
        <v>4166.666666666667</v>
      </c>
      <c r="BC48" s="31">
        <f t="shared" si="40"/>
        <v>3654.5833333333335</v>
      </c>
      <c r="BD48" s="31">
        <f t="shared" si="41"/>
        <v>512.08333333333337</v>
      </c>
      <c r="BE48" s="31">
        <f t="shared" si="42"/>
        <v>0</v>
      </c>
      <c r="BF48" s="31">
        <f t="shared" si="43"/>
        <v>0</v>
      </c>
      <c r="BG48" s="27"/>
      <c r="BH48" s="37">
        <f t="shared" si="8"/>
        <v>-1</v>
      </c>
      <c r="BI48" s="36">
        <f>[1]RB!$L48</f>
        <v>4166.666666666667</v>
      </c>
      <c r="BJ48" s="31">
        <f t="shared" si="44"/>
        <v>3654.5833333333335</v>
      </c>
      <c r="BK48" s="31">
        <f t="shared" si="45"/>
        <v>512.08333333333337</v>
      </c>
      <c r="BL48" s="31">
        <f t="shared" si="46"/>
        <v>0</v>
      </c>
      <c r="BM48" s="31">
        <f t="shared" si="47"/>
        <v>0</v>
      </c>
      <c r="BN48" s="33"/>
      <c r="BO48" s="37">
        <f t="shared" si="9"/>
        <v>-1</v>
      </c>
      <c r="BP48" s="36">
        <f>[1]RB!$M48</f>
        <v>4166.666666666667</v>
      </c>
      <c r="BQ48" s="31">
        <f t="shared" si="48"/>
        <v>3654.5833333333335</v>
      </c>
      <c r="BR48" s="31">
        <f t="shared" si="49"/>
        <v>512.08333333333337</v>
      </c>
      <c r="BS48" s="31">
        <f t="shared" si="50"/>
        <v>0</v>
      </c>
      <c r="BT48" s="31">
        <f t="shared" si="51"/>
        <v>0</v>
      </c>
      <c r="BU48" s="33"/>
      <c r="BV48" s="37">
        <f t="shared" si="10"/>
        <v>-1</v>
      </c>
      <c r="BW48" s="36">
        <f>[1]RB!$N48</f>
        <v>4166.666666666667</v>
      </c>
      <c r="BX48" s="31">
        <f t="shared" si="52"/>
        <v>3654.5833333333335</v>
      </c>
      <c r="BY48" s="31">
        <f t="shared" si="53"/>
        <v>512.08333333333337</v>
      </c>
      <c r="BZ48" s="31">
        <f t="shared" si="54"/>
        <v>0</v>
      </c>
      <c r="CA48" s="31">
        <f t="shared" si="55"/>
        <v>0</v>
      </c>
      <c r="CB48" s="33"/>
      <c r="CC48" s="37">
        <f t="shared" si="11"/>
        <v>-1</v>
      </c>
      <c r="CD48" s="36">
        <f>[1]RB!$O48</f>
        <v>4166.666666666667</v>
      </c>
      <c r="CE48" s="31">
        <f t="shared" si="56"/>
        <v>3654.5833333333335</v>
      </c>
      <c r="CF48" s="31">
        <f t="shared" si="57"/>
        <v>512.08333333333337</v>
      </c>
      <c r="CG48" s="31">
        <f t="shared" si="58"/>
        <v>0</v>
      </c>
      <c r="CH48" s="31">
        <f t="shared" si="59"/>
        <v>0</v>
      </c>
      <c r="CI48" s="33"/>
      <c r="CJ48" s="37">
        <f t="shared" si="12"/>
        <v>-1</v>
      </c>
      <c r="CK48" s="36">
        <f>[1]RB!$P48</f>
        <v>4166.666666666667</v>
      </c>
      <c r="CL48" s="31">
        <f t="shared" si="60"/>
        <v>3654.5833333333335</v>
      </c>
      <c r="CM48" s="31">
        <f t="shared" si="61"/>
        <v>512.08333333333337</v>
      </c>
      <c r="CN48" s="31">
        <f t="shared" si="62"/>
        <v>0</v>
      </c>
      <c r="CO48" s="31">
        <f t="shared" si="63"/>
        <v>0</v>
      </c>
      <c r="CP48" s="33"/>
      <c r="CQ48" s="37">
        <f t="shared" si="13"/>
        <v>-1</v>
      </c>
      <c r="CR48" s="181"/>
      <c r="CS48" s="27">
        <f>3399.98</f>
        <v>3399.98</v>
      </c>
      <c r="CT48" s="27">
        <v>632.29999999999995</v>
      </c>
      <c r="CU48" s="27">
        <v>1454.4</v>
      </c>
      <c r="CV48" s="27"/>
      <c r="CW48" s="27"/>
      <c r="CX48" s="27"/>
      <c r="CY48" s="27"/>
      <c r="CZ48" s="27"/>
      <c r="DA48" s="27"/>
      <c r="DB48" s="27"/>
      <c r="DC48" s="27"/>
      <c r="DD48" s="27"/>
    </row>
    <row r="49" spans="1:108" s="26" customFormat="1" ht="16" customHeight="1" x14ac:dyDescent="0.2">
      <c r="A49" s="182" t="s">
        <v>73</v>
      </c>
      <c r="B49" s="30">
        <f t="shared" si="65"/>
        <v>139500</v>
      </c>
      <c r="C49" s="31">
        <f t="shared" si="65"/>
        <v>122355.45000000003</v>
      </c>
      <c r="D49" s="32">
        <f t="shared" si="65"/>
        <v>17144.55</v>
      </c>
      <c r="E49" s="30">
        <f t="shared" si="67"/>
        <v>46500</v>
      </c>
      <c r="F49" s="33">
        <f t="shared" si="67"/>
        <v>40785.15</v>
      </c>
      <c r="G49" s="34">
        <f t="shared" si="67"/>
        <v>5714.8499999999995</v>
      </c>
      <c r="H49" s="31">
        <f t="shared" si="66"/>
        <v>37192.545497999999</v>
      </c>
      <c r="I49" s="33">
        <f t="shared" si="66"/>
        <v>1095.0245020000002</v>
      </c>
      <c r="J49" s="33">
        <f t="shared" si="66"/>
        <v>38287.57</v>
      </c>
      <c r="K49" s="37">
        <f t="shared" si="15"/>
        <v>-0.17661139784946234</v>
      </c>
      <c r="L49" s="36">
        <f>[1]RB!$E49</f>
        <v>11625</v>
      </c>
      <c r="M49" s="31">
        <f t="shared" si="16"/>
        <v>10196.2875</v>
      </c>
      <c r="N49" s="31">
        <f t="shared" si="17"/>
        <v>1428.7124999999999</v>
      </c>
      <c r="O49" s="31">
        <f t="shared" si="18"/>
        <v>11376.580242</v>
      </c>
      <c r="P49" s="31">
        <f t="shared" si="19"/>
        <v>334.94975800000003</v>
      </c>
      <c r="Q49" s="33">
        <f>R80</f>
        <v>11711.53</v>
      </c>
      <c r="R49" s="37">
        <f t="shared" si="2"/>
        <v>7.4434408602150892E-3</v>
      </c>
      <c r="S49" s="36">
        <f>[1]RB!$F49</f>
        <v>11625</v>
      </c>
      <c r="T49" s="31">
        <f t="shared" si="20"/>
        <v>10196.2875</v>
      </c>
      <c r="U49" s="31">
        <f t="shared" si="21"/>
        <v>1428.7124999999999</v>
      </c>
      <c r="V49" s="31">
        <f t="shared" si="22"/>
        <v>6835.7515140000005</v>
      </c>
      <c r="W49" s="31">
        <f t="shared" si="23"/>
        <v>201.258486</v>
      </c>
      <c r="X49" s="33">
        <f>Y80</f>
        <v>7037.01</v>
      </c>
      <c r="Y49" s="37">
        <f t="shared" si="3"/>
        <v>-0.39466580645161287</v>
      </c>
      <c r="Z49" s="36">
        <f>[1]RB!$G49</f>
        <v>11625</v>
      </c>
      <c r="AA49" s="31">
        <f t="shared" si="24"/>
        <v>10196.2875</v>
      </c>
      <c r="AB49" s="31">
        <f t="shared" si="25"/>
        <v>1428.7124999999999</v>
      </c>
      <c r="AC49" s="31">
        <f t="shared" si="26"/>
        <v>9521.215956</v>
      </c>
      <c r="AD49" s="31">
        <f t="shared" si="27"/>
        <v>280.32404400000001</v>
      </c>
      <c r="AE49" s="33">
        <f>AF80</f>
        <v>9801.5400000000009</v>
      </c>
      <c r="AF49" s="37">
        <f t="shared" si="4"/>
        <v>-0.15685677419354827</v>
      </c>
      <c r="AG49" s="36">
        <f>[1]RB!$H49</f>
        <v>11625</v>
      </c>
      <c r="AH49" s="31">
        <f t="shared" si="28"/>
        <v>10196.2875</v>
      </c>
      <c r="AI49" s="31">
        <f t="shared" si="29"/>
        <v>1428.7124999999999</v>
      </c>
      <c r="AJ49" s="31">
        <f t="shared" si="30"/>
        <v>9458.9977859999999</v>
      </c>
      <c r="AK49" s="31">
        <f t="shared" si="31"/>
        <v>278.49221399999999</v>
      </c>
      <c r="AL49" s="33">
        <f>AM80</f>
        <v>9737.49</v>
      </c>
      <c r="AM49" s="37">
        <f t="shared" si="5"/>
        <v>-0.1623664516129032</v>
      </c>
      <c r="AN49" s="36">
        <f>[1]RB!$I49</f>
        <v>11625</v>
      </c>
      <c r="AO49" s="31">
        <f t="shared" si="32"/>
        <v>10196.2875</v>
      </c>
      <c r="AP49" s="31">
        <f t="shared" si="33"/>
        <v>1428.7124999999999</v>
      </c>
      <c r="AQ49" s="31">
        <f t="shared" si="34"/>
        <v>0</v>
      </c>
      <c r="AR49" s="31">
        <f t="shared" si="35"/>
        <v>0</v>
      </c>
      <c r="AS49" s="33"/>
      <c r="AT49" s="37">
        <f t="shared" si="6"/>
        <v>-1</v>
      </c>
      <c r="AU49" s="36">
        <f>[1]RB!$J49</f>
        <v>11625</v>
      </c>
      <c r="AV49" s="31">
        <f t="shared" si="36"/>
        <v>10196.2875</v>
      </c>
      <c r="AW49" s="31">
        <f t="shared" si="37"/>
        <v>1428.7124999999999</v>
      </c>
      <c r="AX49" s="31">
        <f t="shared" si="38"/>
        <v>0</v>
      </c>
      <c r="AY49" s="31">
        <f t="shared" si="39"/>
        <v>0</v>
      </c>
      <c r="AZ49" s="27"/>
      <c r="BA49" s="37">
        <f t="shared" si="7"/>
        <v>-1</v>
      </c>
      <c r="BB49" s="36">
        <f>[1]RB!$K49</f>
        <v>11625</v>
      </c>
      <c r="BC49" s="31">
        <f t="shared" si="40"/>
        <v>10196.2875</v>
      </c>
      <c r="BD49" s="31">
        <f t="shared" si="41"/>
        <v>1428.7124999999999</v>
      </c>
      <c r="BE49" s="31">
        <f t="shared" si="42"/>
        <v>0</v>
      </c>
      <c r="BF49" s="31">
        <f t="shared" si="43"/>
        <v>0</v>
      </c>
      <c r="BG49" s="27"/>
      <c r="BH49" s="37">
        <f t="shared" si="8"/>
        <v>-1</v>
      </c>
      <c r="BI49" s="36">
        <f>[1]RB!$L49</f>
        <v>11625</v>
      </c>
      <c r="BJ49" s="31">
        <f t="shared" si="44"/>
        <v>10196.2875</v>
      </c>
      <c r="BK49" s="31">
        <f t="shared" si="45"/>
        <v>1428.7124999999999</v>
      </c>
      <c r="BL49" s="31">
        <f t="shared" si="46"/>
        <v>0</v>
      </c>
      <c r="BM49" s="31">
        <f t="shared" si="47"/>
        <v>0</v>
      </c>
      <c r="BN49" s="33"/>
      <c r="BO49" s="37">
        <f t="shared" si="9"/>
        <v>-1</v>
      </c>
      <c r="BP49" s="36">
        <f>[1]RB!$M49</f>
        <v>11625</v>
      </c>
      <c r="BQ49" s="31">
        <f t="shared" si="48"/>
        <v>10196.2875</v>
      </c>
      <c r="BR49" s="31">
        <f t="shared" si="49"/>
        <v>1428.7124999999999</v>
      </c>
      <c r="BS49" s="31">
        <f t="shared" si="50"/>
        <v>0</v>
      </c>
      <c r="BT49" s="31">
        <f t="shared" si="51"/>
        <v>0</v>
      </c>
      <c r="BU49" s="33"/>
      <c r="BV49" s="37">
        <f t="shared" si="10"/>
        <v>-1</v>
      </c>
      <c r="BW49" s="36">
        <f>[1]RB!$N49</f>
        <v>11625</v>
      </c>
      <c r="BX49" s="31">
        <f t="shared" si="52"/>
        <v>10196.2875</v>
      </c>
      <c r="BY49" s="31">
        <f t="shared" si="53"/>
        <v>1428.7124999999999</v>
      </c>
      <c r="BZ49" s="31">
        <f t="shared" si="54"/>
        <v>0</v>
      </c>
      <c r="CA49" s="31">
        <f t="shared" si="55"/>
        <v>0</v>
      </c>
      <c r="CB49" s="33"/>
      <c r="CC49" s="37">
        <f t="shared" si="11"/>
        <v>-1</v>
      </c>
      <c r="CD49" s="36">
        <f>[1]RB!$O49</f>
        <v>11625</v>
      </c>
      <c r="CE49" s="31">
        <f t="shared" si="56"/>
        <v>10196.2875</v>
      </c>
      <c r="CF49" s="31">
        <f t="shared" si="57"/>
        <v>1428.7124999999999</v>
      </c>
      <c r="CG49" s="31">
        <f t="shared" si="58"/>
        <v>0</v>
      </c>
      <c r="CH49" s="31">
        <f t="shared" si="59"/>
        <v>0</v>
      </c>
      <c r="CI49" s="33"/>
      <c r="CJ49" s="37">
        <f t="shared" si="12"/>
        <v>-1</v>
      </c>
      <c r="CK49" s="36">
        <f>[1]RB!$P49</f>
        <v>11625</v>
      </c>
      <c r="CL49" s="31">
        <f t="shared" si="60"/>
        <v>10196.2875</v>
      </c>
      <c r="CM49" s="31">
        <f t="shared" si="61"/>
        <v>1428.7124999999999</v>
      </c>
      <c r="CN49" s="31">
        <f t="shared" si="62"/>
        <v>0</v>
      </c>
      <c r="CO49" s="31">
        <f t="shared" si="63"/>
        <v>0</v>
      </c>
      <c r="CP49" s="33"/>
      <c r="CQ49" s="37">
        <f t="shared" si="13"/>
        <v>-1</v>
      </c>
      <c r="CR49" s="181"/>
      <c r="CS49" s="27">
        <f>R77</f>
        <v>0</v>
      </c>
      <c r="CT49" s="27">
        <f>Y77</f>
        <v>0</v>
      </c>
      <c r="CU49" s="27">
        <f>AF77</f>
        <v>0</v>
      </c>
      <c r="CV49" s="27">
        <f>AM77</f>
        <v>0</v>
      </c>
      <c r="CW49" s="27">
        <f>AT77</f>
        <v>0</v>
      </c>
      <c r="CX49" s="27">
        <f>BA80</f>
        <v>0</v>
      </c>
      <c r="CY49" s="27">
        <f>BH80</f>
        <v>0</v>
      </c>
      <c r="CZ49" s="27">
        <f>BO80</f>
        <v>0</v>
      </c>
      <c r="DA49" s="27">
        <f>BV77</f>
        <v>0</v>
      </c>
      <c r="DB49" s="27">
        <f>CC77</f>
        <v>0</v>
      </c>
      <c r="DC49" s="27">
        <f>CJ77</f>
        <v>0</v>
      </c>
      <c r="DD49" s="27">
        <f>CQ77</f>
        <v>0</v>
      </c>
    </row>
    <row r="50" spans="1:108" s="26" customFormat="1" ht="16" customHeight="1" x14ac:dyDescent="0.2">
      <c r="A50" s="182" t="s">
        <v>74</v>
      </c>
      <c r="B50" s="30">
        <f t="shared" si="65"/>
        <v>9455.2000000000007</v>
      </c>
      <c r="C50" s="31">
        <f t="shared" si="65"/>
        <v>8293.1559200000011</v>
      </c>
      <c r="D50" s="32">
        <f t="shared" si="65"/>
        <v>1162.0440799999999</v>
      </c>
      <c r="E50" s="30">
        <f t="shared" si="67"/>
        <v>3151.7333333333336</v>
      </c>
      <c r="F50" s="33">
        <f t="shared" si="67"/>
        <v>2764.385306666667</v>
      </c>
      <c r="G50" s="34">
        <f t="shared" si="67"/>
        <v>387.34802666666667</v>
      </c>
      <c r="H50" s="31">
        <f t="shared" si="66"/>
        <v>4697.0978459999997</v>
      </c>
      <c r="I50" s="33">
        <f t="shared" si="66"/>
        <v>138.29215400000001</v>
      </c>
      <c r="J50" s="33">
        <f t="shared" si="66"/>
        <v>4835.3900000000003</v>
      </c>
      <c r="K50" s="37">
        <f t="shared" si="15"/>
        <v>0.53420022844572301</v>
      </c>
      <c r="L50" s="36">
        <f>[1]RB!$E50</f>
        <v>787.93333333333339</v>
      </c>
      <c r="M50" s="28">
        <f t="shared" si="16"/>
        <v>691.09632666666676</v>
      </c>
      <c r="N50" s="28">
        <f t="shared" si="17"/>
        <v>96.837006666666667</v>
      </c>
      <c r="O50" s="28">
        <f t="shared" si="18"/>
        <v>715.58181000000002</v>
      </c>
      <c r="P50" s="28">
        <f t="shared" si="19"/>
        <v>21.068190000000001</v>
      </c>
      <c r="Q50" s="151">
        <f>736.65</f>
        <v>736.65</v>
      </c>
      <c r="R50" s="37">
        <f t="shared" si="2"/>
        <v>-6.5085878669938313E-2</v>
      </c>
      <c r="S50" s="36">
        <f>[1]RB!$F50</f>
        <v>787.93333333333339</v>
      </c>
      <c r="T50" s="28">
        <f t="shared" si="20"/>
        <v>691.09632666666676</v>
      </c>
      <c r="U50" s="28">
        <f t="shared" si="21"/>
        <v>96.837006666666667</v>
      </c>
      <c r="V50" s="28">
        <f t="shared" si="22"/>
        <v>828.71105399999999</v>
      </c>
      <c r="W50" s="28">
        <f t="shared" si="23"/>
        <v>24.398946000000002</v>
      </c>
      <c r="X50" s="151">
        <f>853.11</f>
        <v>853.11</v>
      </c>
      <c r="Y50" s="37">
        <f t="shared" si="3"/>
        <v>8.2718504103562074E-2</v>
      </c>
      <c r="Z50" s="36">
        <f>[1]RB!$G50</f>
        <v>787.93333333333339</v>
      </c>
      <c r="AA50" s="28">
        <f t="shared" si="24"/>
        <v>691.09632666666676</v>
      </c>
      <c r="AB50" s="28">
        <f t="shared" si="25"/>
        <v>96.837006666666667</v>
      </c>
      <c r="AC50" s="28">
        <f t="shared" si="26"/>
        <v>2476.0500299999999</v>
      </c>
      <c r="AD50" s="28">
        <f t="shared" si="27"/>
        <v>72.899969999999996</v>
      </c>
      <c r="AE50" s="151">
        <f>2548.95</f>
        <v>2548.9499999999998</v>
      </c>
      <c r="AF50" s="37">
        <f t="shared" si="4"/>
        <v>2.2349818089516873</v>
      </c>
      <c r="AG50" s="36">
        <f>[1]RB!$H50</f>
        <v>787.93333333333339</v>
      </c>
      <c r="AH50" s="28">
        <f t="shared" si="28"/>
        <v>691.09632666666676</v>
      </c>
      <c r="AI50" s="28">
        <f t="shared" si="29"/>
        <v>96.837006666666667</v>
      </c>
      <c r="AJ50" s="28">
        <f t="shared" si="30"/>
        <v>676.754952</v>
      </c>
      <c r="AK50" s="28">
        <f t="shared" si="31"/>
        <v>19.925048</v>
      </c>
      <c r="AL50" s="151">
        <f>696.68</f>
        <v>696.68</v>
      </c>
      <c r="AM50" s="37">
        <f t="shared" si="5"/>
        <v>-0.11581352060242001</v>
      </c>
      <c r="AN50" s="36">
        <f>[1]RB!$I50</f>
        <v>787.93333333333339</v>
      </c>
      <c r="AO50" s="28">
        <f t="shared" si="32"/>
        <v>691.09632666666676</v>
      </c>
      <c r="AP50" s="28">
        <f t="shared" si="33"/>
        <v>96.837006666666667</v>
      </c>
      <c r="AQ50" s="28">
        <f t="shared" si="34"/>
        <v>0</v>
      </c>
      <c r="AR50" s="28">
        <f t="shared" si="35"/>
        <v>0</v>
      </c>
      <c r="AS50" s="151"/>
      <c r="AT50" s="37">
        <f t="shared" si="6"/>
        <v>-1</v>
      </c>
      <c r="AU50" s="36">
        <f>[1]RB!$J50</f>
        <v>787.93333333333339</v>
      </c>
      <c r="AV50" s="28">
        <f t="shared" si="36"/>
        <v>691.09632666666676</v>
      </c>
      <c r="AW50" s="28">
        <f t="shared" si="37"/>
        <v>96.837006666666667</v>
      </c>
      <c r="AX50" s="28">
        <f t="shared" si="38"/>
        <v>0</v>
      </c>
      <c r="AY50" s="28">
        <f t="shared" si="39"/>
        <v>0</v>
      </c>
      <c r="AZ50" s="153"/>
      <c r="BA50" s="37">
        <f t="shared" si="7"/>
        <v>-1</v>
      </c>
      <c r="BB50" s="36">
        <f>[1]RB!$K50</f>
        <v>787.93333333333339</v>
      </c>
      <c r="BC50" s="28">
        <f t="shared" si="40"/>
        <v>691.09632666666676</v>
      </c>
      <c r="BD50" s="28">
        <f t="shared" si="41"/>
        <v>96.837006666666667</v>
      </c>
      <c r="BE50" s="28">
        <f t="shared" si="42"/>
        <v>0</v>
      </c>
      <c r="BF50" s="28">
        <f t="shared" si="43"/>
        <v>0</v>
      </c>
      <c r="BG50" s="153"/>
      <c r="BH50" s="37">
        <f t="shared" si="8"/>
        <v>-1</v>
      </c>
      <c r="BI50" s="36">
        <f>[1]RB!$L50</f>
        <v>787.93333333333339</v>
      </c>
      <c r="BJ50" s="28">
        <f t="shared" si="44"/>
        <v>691.09632666666676</v>
      </c>
      <c r="BK50" s="28">
        <f t="shared" si="45"/>
        <v>96.837006666666667</v>
      </c>
      <c r="BL50" s="28">
        <f t="shared" si="46"/>
        <v>0</v>
      </c>
      <c r="BM50" s="28">
        <f t="shared" si="47"/>
        <v>0</v>
      </c>
      <c r="BN50" s="151"/>
      <c r="BO50" s="37">
        <f t="shared" si="9"/>
        <v>-1</v>
      </c>
      <c r="BP50" s="36">
        <f>[1]RB!$M50</f>
        <v>787.93333333333339</v>
      </c>
      <c r="BQ50" s="28">
        <f t="shared" si="48"/>
        <v>691.09632666666676</v>
      </c>
      <c r="BR50" s="28">
        <f t="shared" si="49"/>
        <v>96.837006666666667</v>
      </c>
      <c r="BS50" s="28">
        <f t="shared" si="50"/>
        <v>0</v>
      </c>
      <c r="BT50" s="28">
        <f t="shared" si="51"/>
        <v>0</v>
      </c>
      <c r="BU50" s="151"/>
      <c r="BV50" s="37">
        <f t="shared" si="10"/>
        <v>-1</v>
      </c>
      <c r="BW50" s="36">
        <f>[1]RB!$N50</f>
        <v>787.93333333333339</v>
      </c>
      <c r="BX50" s="28">
        <f t="shared" si="52"/>
        <v>691.09632666666676</v>
      </c>
      <c r="BY50" s="28">
        <f t="shared" si="53"/>
        <v>96.837006666666667</v>
      </c>
      <c r="BZ50" s="28">
        <f t="shared" si="54"/>
        <v>0</v>
      </c>
      <c r="CA50" s="28">
        <f t="shared" si="55"/>
        <v>0</v>
      </c>
      <c r="CB50" s="151"/>
      <c r="CC50" s="37">
        <f t="shared" si="11"/>
        <v>-1</v>
      </c>
      <c r="CD50" s="36">
        <f>[1]RB!$O50</f>
        <v>787.93333333333339</v>
      </c>
      <c r="CE50" s="28">
        <f t="shared" si="56"/>
        <v>691.09632666666676</v>
      </c>
      <c r="CF50" s="28">
        <f t="shared" si="57"/>
        <v>96.837006666666667</v>
      </c>
      <c r="CG50" s="28">
        <f t="shared" si="58"/>
        <v>0</v>
      </c>
      <c r="CH50" s="28">
        <f t="shared" si="59"/>
        <v>0</v>
      </c>
      <c r="CI50" s="151"/>
      <c r="CJ50" s="37">
        <f t="shared" si="12"/>
        <v>-1</v>
      </c>
      <c r="CK50" s="36">
        <f>[1]RB!$P50</f>
        <v>787.93333333333339</v>
      </c>
      <c r="CL50" s="28">
        <f t="shared" si="60"/>
        <v>691.09632666666676</v>
      </c>
      <c r="CM50" s="28">
        <f t="shared" si="61"/>
        <v>96.837006666666667</v>
      </c>
      <c r="CN50" s="28">
        <f t="shared" si="62"/>
        <v>0</v>
      </c>
      <c r="CO50" s="28">
        <f t="shared" si="63"/>
        <v>0</v>
      </c>
      <c r="CP50" s="151"/>
      <c r="CQ50" s="37">
        <f t="shared" si="13"/>
        <v>-1</v>
      </c>
      <c r="CR50" s="181"/>
      <c r="CS50" s="27">
        <v>2605.2600000000002</v>
      </c>
      <c r="CT50" s="27">
        <f>972.08</f>
        <v>972.08</v>
      </c>
      <c r="CU50" s="27">
        <f>1012.08</f>
        <v>1012.08</v>
      </c>
      <c r="CV50" s="27"/>
      <c r="CW50" s="27"/>
      <c r="CX50" s="27"/>
      <c r="CY50" s="27"/>
      <c r="CZ50" s="27"/>
      <c r="DA50" s="27"/>
      <c r="DB50" s="27"/>
      <c r="DC50" s="27"/>
      <c r="DD50" s="27"/>
    </row>
    <row r="51" spans="1:108" s="26" customFormat="1" ht="16" customHeight="1" x14ac:dyDescent="0.2">
      <c r="A51" s="182" t="s">
        <v>75</v>
      </c>
      <c r="B51" s="30">
        <f t="shared" si="65"/>
        <v>7106.6531999999979</v>
      </c>
      <c r="C51" s="31">
        <f t="shared" si="65"/>
        <v>6233.2455217200013</v>
      </c>
      <c r="D51" s="32">
        <f t="shared" si="65"/>
        <v>873.40767827999991</v>
      </c>
      <c r="E51" s="30">
        <f t="shared" si="67"/>
        <v>2368.8843999999999</v>
      </c>
      <c r="F51" s="33">
        <f t="shared" si="67"/>
        <v>2077.74850724</v>
      </c>
      <c r="G51" s="34">
        <f t="shared" si="67"/>
        <v>291.13589275999999</v>
      </c>
      <c r="H51" s="31">
        <f t="shared" si="66"/>
        <v>2329.2229199999997</v>
      </c>
      <c r="I51" s="33">
        <f t="shared" si="66"/>
        <v>68.577079999999995</v>
      </c>
      <c r="J51" s="33">
        <f t="shared" si="66"/>
        <v>2397.8000000000002</v>
      </c>
      <c r="K51" s="37">
        <f t="shared" si="15"/>
        <v>1.2206420878958957E-2</v>
      </c>
      <c r="L51" s="36">
        <f>[1]RB!$E51</f>
        <v>592.22109999999998</v>
      </c>
      <c r="M51" s="31">
        <f t="shared" si="16"/>
        <v>519.43712681</v>
      </c>
      <c r="N51" s="31">
        <f t="shared" si="17"/>
        <v>72.783973189999998</v>
      </c>
      <c r="O51" s="31">
        <f t="shared" si="18"/>
        <v>569.78438399999993</v>
      </c>
      <c r="P51" s="31">
        <f t="shared" si="19"/>
        <v>16.775615999999999</v>
      </c>
      <c r="Q51" s="45">
        <f>586.56</f>
        <v>586.55999999999995</v>
      </c>
      <c r="R51" s="37">
        <f t="shared" si="2"/>
        <v>-9.5590987892867352E-3</v>
      </c>
      <c r="S51" s="36">
        <f>[1]RB!$F51</f>
        <v>592.22109999999998</v>
      </c>
      <c r="T51" s="31">
        <f t="shared" si="20"/>
        <v>519.43712681</v>
      </c>
      <c r="U51" s="31">
        <f t="shared" si="21"/>
        <v>72.783973189999998</v>
      </c>
      <c r="V51" s="31">
        <f t="shared" si="22"/>
        <v>554.94139199999995</v>
      </c>
      <c r="W51" s="31">
        <f t="shared" si="23"/>
        <v>16.338608000000001</v>
      </c>
      <c r="X51" s="45">
        <f>571.28</f>
        <v>571.28</v>
      </c>
      <c r="Y51" s="37">
        <f t="shared" si="3"/>
        <v>-3.5360273384382968E-2</v>
      </c>
      <c r="Z51" s="36">
        <f>[1]RB!$G51</f>
        <v>592.22109999999998</v>
      </c>
      <c r="AA51" s="31">
        <f t="shared" si="24"/>
        <v>519.43712681</v>
      </c>
      <c r="AB51" s="31">
        <f t="shared" si="25"/>
        <v>72.783973189999998</v>
      </c>
      <c r="AC51" s="31">
        <f t="shared" si="26"/>
        <v>516.15339000000006</v>
      </c>
      <c r="AD51" s="31">
        <f t="shared" si="27"/>
        <v>15.196610000000002</v>
      </c>
      <c r="AE51" s="45">
        <f>531.35</f>
        <v>531.35</v>
      </c>
      <c r="AF51" s="37">
        <f t="shared" si="4"/>
        <v>-0.10278441615808687</v>
      </c>
      <c r="AG51" s="36">
        <f>[1]RB!$H51</f>
        <v>592.22109999999998</v>
      </c>
      <c r="AH51" s="31">
        <f t="shared" si="28"/>
        <v>519.43712681</v>
      </c>
      <c r="AI51" s="31">
        <f t="shared" si="29"/>
        <v>72.783973189999998</v>
      </c>
      <c r="AJ51" s="31">
        <f t="shared" si="30"/>
        <v>688.34375399999999</v>
      </c>
      <c r="AK51" s="31">
        <f t="shared" si="31"/>
        <v>20.266246000000002</v>
      </c>
      <c r="AL51" s="45">
        <f>708.61</f>
        <v>708.61</v>
      </c>
      <c r="AM51" s="37">
        <f t="shared" si="5"/>
        <v>0.19652947184759206</v>
      </c>
      <c r="AN51" s="36">
        <f>[1]RB!$I51</f>
        <v>592.22109999999998</v>
      </c>
      <c r="AO51" s="31">
        <f t="shared" si="32"/>
        <v>519.43712681</v>
      </c>
      <c r="AP51" s="31">
        <f t="shared" si="33"/>
        <v>72.783973189999998</v>
      </c>
      <c r="AQ51" s="31">
        <f t="shared" si="34"/>
        <v>0</v>
      </c>
      <c r="AR51" s="31">
        <f t="shared" si="35"/>
        <v>0</v>
      </c>
      <c r="AS51" s="45"/>
      <c r="AT51" s="37">
        <f t="shared" si="6"/>
        <v>-1</v>
      </c>
      <c r="AU51" s="36">
        <f>[1]RB!$J51</f>
        <v>592.22109999999998</v>
      </c>
      <c r="AV51" s="31">
        <f t="shared" si="36"/>
        <v>519.43712681</v>
      </c>
      <c r="AW51" s="31">
        <f t="shared" si="37"/>
        <v>72.783973189999998</v>
      </c>
      <c r="AX51" s="31">
        <f t="shared" si="38"/>
        <v>0</v>
      </c>
      <c r="AY51" s="31">
        <f t="shared" si="39"/>
        <v>0</v>
      </c>
      <c r="AZ51" s="48"/>
      <c r="BA51" s="37">
        <f t="shared" si="7"/>
        <v>-1</v>
      </c>
      <c r="BB51" s="36">
        <f>[1]RB!$K51</f>
        <v>592.22109999999998</v>
      </c>
      <c r="BC51" s="31">
        <f t="shared" si="40"/>
        <v>519.43712681</v>
      </c>
      <c r="BD51" s="31">
        <f t="shared" si="41"/>
        <v>72.783973189999998</v>
      </c>
      <c r="BE51" s="31">
        <f t="shared" si="42"/>
        <v>0</v>
      </c>
      <c r="BF51" s="31">
        <f t="shared" si="43"/>
        <v>0</v>
      </c>
      <c r="BG51" s="48"/>
      <c r="BH51" s="37">
        <f t="shared" si="8"/>
        <v>-1</v>
      </c>
      <c r="BI51" s="36">
        <f>[1]RB!$L51</f>
        <v>592.22109999999998</v>
      </c>
      <c r="BJ51" s="31">
        <f t="shared" si="44"/>
        <v>519.43712681</v>
      </c>
      <c r="BK51" s="31">
        <f t="shared" si="45"/>
        <v>72.783973189999998</v>
      </c>
      <c r="BL51" s="31">
        <f t="shared" si="46"/>
        <v>0</v>
      </c>
      <c r="BM51" s="31">
        <f t="shared" si="47"/>
        <v>0</v>
      </c>
      <c r="BN51" s="45"/>
      <c r="BO51" s="37">
        <f t="shared" si="9"/>
        <v>-1</v>
      </c>
      <c r="BP51" s="36">
        <f>[1]RB!$M51</f>
        <v>592.22109999999998</v>
      </c>
      <c r="BQ51" s="31">
        <f t="shared" si="48"/>
        <v>519.43712681</v>
      </c>
      <c r="BR51" s="31">
        <f t="shared" si="49"/>
        <v>72.783973189999998</v>
      </c>
      <c r="BS51" s="31">
        <f t="shared" si="50"/>
        <v>0</v>
      </c>
      <c r="BT51" s="31">
        <f t="shared" si="51"/>
        <v>0</v>
      </c>
      <c r="BU51" s="45"/>
      <c r="BV51" s="37">
        <f t="shared" si="10"/>
        <v>-1</v>
      </c>
      <c r="BW51" s="36">
        <f>[1]RB!$N51</f>
        <v>592.22109999999998</v>
      </c>
      <c r="BX51" s="31">
        <f t="shared" si="52"/>
        <v>519.43712681</v>
      </c>
      <c r="BY51" s="31">
        <f t="shared" si="53"/>
        <v>72.783973189999998</v>
      </c>
      <c r="BZ51" s="31">
        <f t="shared" si="54"/>
        <v>0</v>
      </c>
      <c r="CA51" s="31">
        <f t="shared" si="55"/>
        <v>0</v>
      </c>
      <c r="CB51" s="45"/>
      <c r="CC51" s="37">
        <f t="shared" si="11"/>
        <v>-1</v>
      </c>
      <c r="CD51" s="36">
        <f>[1]RB!$O51</f>
        <v>592.22109999999998</v>
      </c>
      <c r="CE51" s="31">
        <f t="shared" si="56"/>
        <v>519.43712681</v>
      </c>
      <c r="CF51" s="31">
        <f t="shared" si="57"/>
        <v>72.783973189999998</v>
      </c>
      <c r="CG51" s="31">
        <f t="shared" si="58"/>
        <v>0</v>
      </c>
      <c r="CH51" s="31">
        <f t="shared" si="59"/>
        <v>0</v>
      </c>
      <c r="CI51" s="45"/>
      <c r="CJ51" s="37">
        <f t="shared" si="12"/>
        <v>-1</v>
      </c>
      <c r="CK51" s="36">
        <f>[1]RB!$P51</f>
        <v>592.22109999999998</v>
      </c>
      <c r="CL51" s="31">
        <f t="shared" si="60"/>
        <v>519.43712681</v>
      </c>
      <c r="CM51" s="31">
        <f t="shared" si="61"/>
        <v>72.783973189999998</v>
      </c>
      <c r="CN51" s="31">
        <f t="shared" si="62"/>
        <v>0</v>
      </c>
      <c r="CO51" s="31">
        <f t="shared" si="63"/>
        <v>0</v>
      </c>
      <c r="CP51" s="45"/>
      <c r="CQ51" s="37">
        <f t="shared" si="13"/>
        <v>-1</v>
      </c>
      <c r="CR51" s="181"/>
      <c r="CS51" s="27">
        <f>1178.9</f>
        <v>1178.9000000000001</v>
      </c>
      <c r="CT51" s="27">
        <v>677.64</v>
      </c>
      <c r="CU51" s="27">
        <f>824.85</f>
        <v>824.85</v>
      </c>
      <c r="CV51" s="27"/>
      <c r="CW51" s="27"/>
      <c r="CX51" s="27"/>
      <c r="CY51" s="27"/>
      <c r="CZ51" s="27"/>
      <c r="DA51" s="27"/>
      <c r="DB51" s="27"/>
      <c r="DC51" s="27"/>
      <c r="DD51" s="27"/>
    </row>
    <row r="52" spans="1:108" s="26" customFormat="1" ht="16" customHeight="1" x14ac:dyDescent="0.2">
      <c r="A52" s="182" t="s">
        <v>76</v>
      </c>
      <c r="B52" s="30">
        <f t="shared" si="65"/>
        <v>30000</v>
      </c>
      <c r="C52" s="31">
        <f t="shared" si="65"/>
        <v>26313</v>
      </c>
      <c r="D52" s="32">
        <f t="shared" si="65"/>
        <v>3687</v>
      </c>
      <c r="E52" s="30">
        <f t="shared" si="67"/>
        <v>10000</v>
      </c>
      <c r="F52" s="33">
        <f t="shared" si="67"/>
        <v>8771</v>
      </c>
      <c r="G52" s="34">
        <f t="shared" si="67"/>
        <v>1229</v>
      </c>
      <c r="H52" s="31">
        <f t="shared" si="66"/>
        <v>3553.9737539999996</v>
      </c>
      <c r="I52" s="33">
        <f t="shared" si="66"/>
        <v>104.636246</v>
      </c>
      <c r="J52" s="33">
        <f t="shared" si="66"/>
        <v>3658.61</v>
      </c>
      <c r="K52" s="37">
        <f t="shared" si="15"/>
        <v>-0.63413900000000001</v>
      </c>
      <c r="L52" s="36">
        <f>[1]RB!$E52</f>
        <v>2500</v>
      </c>
      <c r="M52" s="31">
        <f t="shared" si="16"/>
        <v>2192.75</v>
      </c>
      <c r="N52" s="31">
        <f t="shared" si="17"/>
        <v>307.25</v>
      </c>
      <c r="O52" s="31">
        <f t="shared" si="18"/>
        <v>2602.0017539999999</v>
      </c>
      <c r="P52" s="31">
        <f t="shared" si="19"/>
        <v>76.608246000000008</v>
      </c>
      <c r="Q52" s="33">
        <f>2678.61</f>
        <v>2678.61</v>
      </c>
      <c r="R52" s="37">
        <f t="shared" si="2"/>
        <v>7.1444000000000063E-2</v>
      </c>
      <c r="S52" s="36">
        <f>[1]RB!$F52</f>
        <v>2500</v>
      </c>
      <c r="T52" s="31">
        <f t="shared" si="20"/>
        <v>2192.75</v>
      </c>
      <c r="U52" s="31">
        <f t="shared" si="21"/>
        <v>307.25</v>
      </c>
      <c r="V52" s="31">
        <f t="shared" si="22"/>
        <v>951.97199999999998</v>
      </c>
      <c r="W52" s="31">
        <f t="shared" si="23"/>
        <v>28.027999999999999</v>
      </c>
      <c r="X52" s="33">
        <f>980</f>
        <v>980</v>
      </c>
      <c r="Y52" s="37">
        <f t="shared" si="3"/>
        <v>-0.60799999999999998</v>
      </c>
      <c r="Z52" s="36">
        <f>[1]RB!$G52</f>
        <v>2500</v>
      </c>
      <c r="AA52" s="31">
        <f t="shared" si="24"/>
        <v>2192.75</v>
      </c>
      <c r="AB52" s="31">
        <f t="shared" si="25"/>
        <v>307.25</v>
      </c>
      <c r="AC52" s="31">
        <f t="shared" si="26"/>
        <v>0</v>
      </c>
      <c r="AD52" s="31">
        <f t="shared" si="27"/>
        <v>0</v>
      </c>
      <c r="AE52" s="27"/>
      <c r="AF52" s="37">
        <f t="shared" si="4"/>
        <v>-1</v>
      </c>
      <c r="AG52" s="36">
        <f>[1]RB!$H52</f>
        <v>2500</v>
      </c>
      <c r="AH52" s="31">
        <f t="shared" si="28"/>
        <v>2192.75</v>
      </c>
      <c r="AI52" s="31">
        <f t="shared" si="29"/>
        <v>307.25</v>
      </c>
      <c r="AJ52" s="31">
        <f t="shared" si="30"/>
        <v>0</v>
      </c>
      <c r="AK52" s="31">
        <f t="shared" si="31"/>
        <v>0</v>
      </c>
      <c r="AL52" s="33"/>
      <c r="AM52" s="37">
        <f t="shared" si="5"/>
        <v>-1</v>
      </c>
      <c r="AN52" s="36">
        <f>[1]RB!$I52</f>
        <v>2500</v>
      </c>
      <c r="AO52" s="31">
        <f t="shared" si="32"/>
        <v>2192.75</v>
      </c>
      <c r="AP52" s="31">
        <f t="shared" si="33"/>
        <v>307.25</v>
      </c>
      <c r="AQ52" s="31">
        <f t="shared" si="34"/>
        <v>0</v>
      </c>
      <c r="AR52" s="31">
        <f t="shared" si="35"/>
        <v>0</v>
      </c>
      <c r="AS52" s="33"/>
      <c r="AT52" s="37">
        <f t="shared" si="6"/>
        <v>-1</v>
      </c>
      <c r="AU52" s="36">
        <f>[1]RB!$J52</f>
        <v>2500</v>
      </c>
      <c r="AV52" s="31">
        <f t="shared" si="36"/>
        <v>2192.75</v>
      </c>
      <c r="AW52" s="31">
        <f t="shared" si="37"/>
        <v>307.25</v>
      </c>
      <c r="AX52" s="31">
        <f t="shared" si="38"/>
        <v>0</v>
      </c>
      <c r="AY52" s="31">
        <f t="shared" si="39"/>
        <v>0</v>
      </c>
      <c r="AZ52" s="27"/>
      <c r="BA52" s="37">
        <f t="shared" si="7"/>
        <v>-1</v>
      </c>
      <c r="BB52" s="36">
        <f>[1]RB!$K52</f>
        <v>2500</v>
      </c>
      <c r="BC52" s="31">
        <f t="shared" si="40"/>
        <v>2192.75</v>
      </c>
      <c r="BD52" s="31">
        <f t="shared" si="41"/>
        <v>307.25</v>
      </c>
      <c r="BE52" s="31">
        <f t="shared" si="42"/>
        <v>0</v>
      </c>
      <c r="BF52" s="31">
        <f t="shared" si="43"/>
        <v>0</v>
      </c>
      <c r="BG52" s="27"/>
      <c r="BH52" s="37">
        <f t="shared" si="8"/>
        <v>-1</v>
      </c>
      <c r="BI52" s="36">
        <f>[1]RB!$L52</f>
        <v>2500</v>
      </c>
      <c r="BJ52" s="31">
        <f t="shared" si="44"/>
        <v>2192.75</v>
      </c>
      <c r="BK52" s="31">
        <f t="shared" si="45"/>
        <v>307.25</v>
      </c>
      <c r="BL52" s="31">
        <f t="shared" si="46"/>
        <v>0</v>
      </c>
      <c r="BM52" s="31">
        <f t="shared" si="47"/>
        <v>0</v>
      </c>
      <c r="BN52" s="33"/>
      <c r="BO52" s="37">
        <f t="shared" si="9"/>
        <v>-1</v>
      </c>
      <c r="BP52" s="36">
        <f>[1]RB!$M52</f>
        <v>2500</v>
      </c>
      <c r="BQ52" s="31">
        <f t="shared" si="48"/>
        <v>2192.75</v>
      </c>
      <c r="BR52" s="31">
        <f t="shared" si="49"/>
        <v>307.25</v>
      </c>
      <c r="BS52" s="31">
        <f t="shared" si="50"/>
        <v>0</v>
      </c>
      <c r="BT52" s="31">
        <f t="shared" si="51"/>
        <v>0</v>
      </c>
      <c r="BU52" s="33"/>
      <c r="BV52" s="37">
        <f t="shared" si="10"/>
        <v>-1</v>
      </c>
      <c r="BW52" s="36">
        <f>[1]RB!$N52</f>
        <v>2500</v>
      </c>
      <c r="BX52" s="31">
        <f t="shared" si="52"/>
        <v>2192.75</v>
      </c>
      <c r="BY52" s="31">
        <f t="shared" si="53"/>
        <v>307.25</v>
      </c>
      <c r="BZ52" s="31">
        <f t="shared" si="54"/>
        <v>0</v>
      </c>
      <c r="CA52" s="31">
        <f t="shared" si="55"/>
        <v>0</v>
      </c>
      <c r="CB52" s="33"/>
      <c r="CC52" s="37">
        <f t="shared" si="11"/>
        <v>-1</v>
      </c>
      <c r="CD52" s="36">
        <f>[1]RB!$O52</f>
        <v>2500</v>
      </c>
      <c r="CE52" s="31">
        <f t="shared" si="56"/>
        <v>2192.75</v>
      </c>
      <c r="CF52" s="31">
        <f t="shared" si="57"/>
        <v>307.25</v>
      </c>
      <c r="CG52" s="31">
        <f t="shared" si="58"/>
        <v>0</v>
      </c>
      <c r="CH52" s="31">
        <f t="shared" si="59"/>
        <v>0</v>
      </c>
      <c r="CI52" s="33"/>
      <c r="CJ52" s="37">
        <f t="shared" si="12"/>
        <v>-1</v>
      </c>
      <c r="CK52" s="36">
        <f>[1]RB!$P52</f>
        <v>2500</v>
      </c>
      <c r="CL52" s="31">
        <f t="shared" si="60"/>
        <v>2192.75</v>
      </c>
      <c r="CM52" s="31">
        <f t="shared" si="61"/>
        <v>307.25</v>
      </c>
      <c r="CN52" s="31">
        <f t="shared" si="62"/>
        <v>0</v>
      </c>
      <c r="CO52" s="31">
        <f t="shared" si="63"/>
        <v>0</v>
      </c>
      <c r="CP52" s="33"/>
      <c r="CQ52" s="37">
        <f t="shared" si="13"/>
        <v>-1</v>
      </c>
      <c r="CR52" s="181"/>
      <c r="CS52" s="27">
        <f>9453.3</f>
        <v>9453.2999999999993</v>
      </c>
      <c r="CT52" s="27">
        <f>12686.82</f>
        <v>12686.82</v>
      </c>
      <c r="CU52" s="27">
        <v>6490.53</v>
      </c>
      <c r="CV52" s="27"/>
      <c r="CW52" s="27"/>
      <c r="CX52" s="27"/>
      <c r="CY52" s="27"/>
      <c r="CZ52" s="27"/>
      <c r="DA52" s="27"/>
      <c r="DB52" s="27"/>
      <c r="DC52" s="27"/>
      <c r="DD52" s="27"/>
    </row>
    <row r="53" spans="1:108" s="26" customFormat="1" ht="16" customHeight="1" x14ac:dyDescent="0.2">
      <c r="A53" s="183" t="s">
        <v>77</v>
      </c>
      <c r="B53" s="30">
        <f t="shared" si="65"/>
        <v>5000</v>
      </c>
      <c r="C53" s="31">
        <f t="shared" si="65"/>
        <v>4385.5000000000009</v>
      </c>
      <c r="D53" s="32">
        <f t="shared" si="65"/>
        <v>614.5</v>
      </c>
      <c r="E53" s="30">
        <f t="shared" si="67"/>
        <v>1666.6666666666667</v>
      </c>
      <c r="F53" s="33">
        <f t="shared" si="67"/>
        <v>1461.8333333333335</v>
      </c>
      <c r="G53" s="34">
        <f t="shared" si="67"/>
        <v>204.83333333333334</v>
      </c>
      <c r="H53" s="31">
        <f t="shared" si="66"/>
        <v>301.22142599999995</v>
      </c>
      <c r="I53" s="33">
        <f t="shared" si="66"/>
        <v>8.8685739999999988</v>
      </c>
      <c r="J53" s="33">
        <f t="shared" si="66"/>
        <v>310.08999999999997</v>
      </c>
      <c r="K53" s="37">
        <f t="shared" si="15"/>
        <v>-0.81394600000000006</v>
      </c>
      <c r="L53" s="36">
        <f>[1]RB!$E53</f>
        <v>416.66666666666669</v>
      </c>
      <c r="M53" s="31">
        <f t="shared" si="16"/>
        <v>365.45833333333337</v>
      </c>
      <c r="N53" s="31">
        <f t="shared" si="17"/>
        <v>51.208333333333336</v>
      </c>
      <c r="O53" s="31">
        <f t="shared" si="18"/>
        <v>0</v>
      </c>
      <c r="P53" s="31">
        <f t="shared" si="19"/>
        <v>0</v>
      </c>
      <c r="Q53" s="33"/>
      <c r="R53" s="37">
        <f t="shared" si="2"/>
        <v>-1</v>
      </c>
      <c r="S53" s="36">
        <f>[1]RB!$F53</f>
        <v>416.66666666666669</v>
      </c>
      <c r="T53" s="31">
        <f t="shared" si="20"/>
        <v>365.45833333333337</v>
      </c>
      <c r="U53" s="31">
        <f t="shared" si="21"/>
        <v>51.208333333333336</v>
      </c>
      <c r="V53" s="31">
        <f t="shared" si="22"/>
        <v>0</v>
      </c>
      <c r="W53" s="31">
        <f t="shared" si="23"/>
        <v>0</v>
      </c>
      <c r="X53" s="33"/>
      <c r="Y53" s="37">
        <f t="shared" si="3"/>
        <v>-1</v>
      </c>
      <c r="Z53" s="36">
        <f>[1]RB!$G53</f>
        <v>416.66666666666669</v>
      </c>
      <c r="AA53" s="31">
        <f t="shared" si="24"/>
        <v>365.45833333333337</v>
      </c>
      <c r="AB53" s="31">
        <f t="shared" si="25"/>
        <v>51.208333333333336</v>
      </c>
      <c r="AC53" s="31">
        <f t="shared" si="26"/>
        <v>301.22142599999995</v>
      </c>
      <c r="AD53" s="31">
        <f t="shared" si="27"/>
        <v>8.8685739999999988</v>
      </c>
      <c r="AE53" s="33">
        <f>310.09</f>
        <v>310.08999999999997</v>
      </c>
      <c r="AF53" s="37">
        <f t="shared" si="4"/>
        <v>-0.25578400000000012</v>
      </c>
      <c r="AG53" s="36">
        <f>[1]RB!$H53</f>
        <v>416.66666666666669</v>
      </c>
      <c r="AH53" s="31">
        <f t="shared" si="28"/>
        <v>365.45833333333337</v>
      </c>
      <c r="AI53" s="31">
        <f t="shared" si="29"/>
        <v>51.208333333333336</v>
      </c>
      <c r="AJ53" s="31">
        <f t="shared" si="30"/>
        <v>0</v>
      </c>
      <c r="AK53" s="31">
        <f t="shared" si="31"/>
        <v>0</v>
      </c>
      <c r="AL53" s="33"/>
      <c r="AM53" s="37">
        <f t="shared" si="5"/>
        <v>-1</v>
      </c>
      <c r="AN53" s="36">
        <f>[1]RB!$I53</f>
        <v>416.66666666666669</v>
      </c>
      <c r="AO53" s="31">
        <f t="shared" si="32"/>
        <v>365.45833333333337</v>
      </c>
      <c r="AP53" s="31">
        <f t="shared" si="33"/>
        <v>51.208333333333336</v>
      </c>
      <c r="AQ53" s="31">
        <f t="shared" si="34"/>
        <v>0</v>
      </c>
      <c r="AR53" s="31">
        <f t="shared" si="35"/>
        <v>0</v>
      </c>
      <c r="AS53" s="33"/>
      <c r="AT53" s="37">
        <f t="shared" si="6"/>
        <v>-1</v>
      </c>
      <c r="AU53" s="36">
        <f>[1]RB!$J53</f>
        <v>416.66666666666669</v>
      </c>
      <c r="AV53" s="31">
        <f t="shared" si="36"/>
        <v>365.45833333333337</v>
      </c>
      <c r="AW53" s="31">
        <f t="shared" si="37"/>
        <v>51.208333333333336</v>
      </c>
      <c r="AX53" s="31">
        <f t="shared" si="38"/>
        <v>0</v>
      </c>
      <c r="AY53" s="31">
        <f t="shared" si="39"/>
        <v>0</v>
      </c>
      <c r="AZ53" s="27"/>
      <c r="BA53" s="37">
        <f t="shared" si="7"/>
        <v>-1</v>
      </c>
      <c r="BB53" s="36">
        <f>[1]RB!$K53</f>
        <v>416.66666666666669</v>
      </c>
      <c r="BC53" s="31">
        <f t="shared" si="40"/>
        <v>365.45833333333337</v>
      </c>
      <c r="BD53" s="31">
        <f t="shared" si="41"/>
        <v>51.208333333333336</v>
      </c>
      <c r="BE53" s="31">
        <f t="shared" si="42"/>
        <v>0</v>
      </c>
      <c r="BF53" s="31">
        <f t="shared" si="43"/>
        <v>0</v>
      </c>
      <c r="BG53" s="27"/>
      <c r="BH53" s="37">
        <f t="shared" si="8"/>
        <v>-1</v>
      </c>
      <c r="BI53" s="36">
        <f>[1]RB!$L53</f>
        <v>416.66666666666669</v>
      </c>
      <c r="BJ53" s="31">
        <f t="shared" si="44"/>
        <v>365.45833333333337</v>
      </c>
      <c r="BK53" s="31">
        <f t="shared" si="45"/>
        <v>51.208333333333336</v>
      </c>
      <c r="BL53" s="31">
        <f t="shared" si="46"/>
        <v>0</v>
      </c>
      <c r="BM53" s="31">
        <f t="shared" si="47"/>
        <v>0</v>
      </c>
      <c r="BN53" s="33"/>
      <c r="BO53" s="37">
        <f t="shared" si="9"/>
        <v>-1</v>
      </c>
      <c r="BP53" s="36">
        <f>[1]RB!$M53</f>
        <v>416.66666666666669</v>
      </c>
      <c r="BQ53" s="31">
        <f t="shared" si="48"/>
        <v>365.45833333333337</v>
      </c>
      <c r="BR53" s="31">
        <f t="shared" si="49"/>
        <v>51.208333333333336</v>
      </c>
      <c r="BS53" s="31">
        <f t="shared" si="50"/>
        <v>0</v>
      </c>
      <c r="BT53" s="31">
        <f t="shared" si="51"/>
        <v>0</v>
      </c>
      <c r="BU53" s="33"/>
      <c r="BV53" s="37">
        <f t="shared" si="10"/>
        <v>-1</v>
      </c>
      <c r="BW53" s="36">
        <f>[1]RB!$N53</f>
        <v>416.66666666666669</v>
      </c>
      <c r="BX53" s="31">
        <f t="shared" si="52"/>
        <v>365.45833333333337</v>
      </c>
      <c r="BY53" s="31">
        <f t="shared" si="53"/>
        <v>51.208333333333336</v>
      </c>
      <c r="BZ53" s="31">
        <f t="shared" si="54"/>
        <v>0</v>
      </c>
      <c r="CA53" s="31">
        <f t="shared" si="55"/>
        <v>0</v>
      </c>
      <c r="CB53" s="33"/>
      <c r="CC53" s="37">
        <f t="shared" si="11"/>
        <v>-1</v>
      </c>
      <c r="CD53" s="36">
        <f>[1]RB!$O53</f>
        <v>416.66666666666669</v>
      </c>
      <c r="CE53" s="31">
        <f t="shared" si="56"/>
        <v>365.45833333333337</v>
      </c>
      <c r="CF53" s="31">
        <f t="shared" si="57"/>
        <v>51.208333333333336</v>
      </c>
      <c r="CG53" s="31">
        <f t="shared" si="58"/>
        <v>0</v>
      </c>
      <c r="CH53" s="31">
        <f t="shared" si="59"/>
        <v>0</v>
      </c>
      <c r="CI53" s="33"/>
      <c r="CJ53" s="37">
        <f t="shared" si="12"/>
        <v>-1</v>
      </c>
      <c r="CK53" s="36">
        <f>[1]RB!$P53</f>
        <v>416.66666666666669</v>
      </c>
      <c r="CL53" s="31">
        <f t="shared" si="60"/>
        <v>365.45833333333337</v>
      </c>
      <c r="CM53" s="31">
        <f t="shared" si="61"/>
        <v>51.208333333333336</v>
      </c>
      <c r="CN53" s="31">
        <f t="shared" si="62"/>
        <v>0</v>
      </c>
      <c r="CO53" s="31">
        <f t="shared" si="63"/>
        <v>0</v>
      </c>
      <c r="CP53" s="33"/>
      <c r="CQ53" s="37">
        <f t="shared" si="13"/>
        <v>-1</v>
      </c>
      <c r="CR53" s="181"/>
      <c r="CS53" s="27"/>
      <c r="CT53" s="27">
        <f>215</f>
        <v>215</v>
      </c>
      <c r="CU53" s="27"/>
      <c r="CV53" s="27"/>
      <c r="CW53" s="27"/>
      <c r="CX53" s="27"/>
      <c r="CY53" s="27"/>
      <c r="CZ53" s="27"/>
      <c r="DA53" s="27"/>
      <c r="DB53" s="27"/>
      <c r="DC53" s="27"/>
      <c r="DD53" s="27"/>
    </row>
    <row r="54" spans="1:108" s="26" customFormat="1" ht="16" customHeight="1" thickBot="1" x14ac:dyDescent="0.25">
      <c r="A54" s="184" t="s">
        <v>78</v>
      </c>
      <c r="B54" s="50">
        <f t="shared" si="65"/>
        <v>254149.99999999994</v>
      </c>
      <c r="C54" s="40">
        <f t="shared" si="65"/>
        <v>222914.965</v>
      </c>
      <c r="D54" s="51">
        <f t="shared" si="65"/>
        <v>31235.034999999996</v>
      </c>
      <c r="E54" s="52">
        <f t="shared" si="67"/>
        <v>145228.57142857142</v>
      </c>
      <c r="F54" s="53">
        <f t="shared" si="67"/>
        <v>127379.98</v>
      </c>
      <c r="G54" s="54">
        <f t="shared" si="67"/>
        <v>17848.591428571428</v>
      </c>
      <c r="H54" s="40">
        <f t="shared" si="66"/>
        <v>66994.699224000171</v>
      </c>
      <c r="I54" s="53">
        <f t="shared" si="66"/>
        <v>1972.4607760000049</v>
      </c>
      <c r="J54" s="53">
        <f t="shared" si="66"/>
        <v>68967.160000000178</v>
      </c>
      <c r="K54" s="60">
        <f t="shared" si="15"/>
        <v>-0.52511300413141715</v>
      </c>
      <c r="L54" s="87">
        <f>[1]RB!$E54</f>
        <v>36307.142857142855</v>
      </c>
      <c r="M54" s="40">
        <f t="shared" si="16"/>
        <v>31844.994999999999</v>
      </c>
      <c r="N54" s="40">
        <f t="shared" si="17"/>
        <v>4462.147857142857</v>
      </c>
      <c r="O54" s="40">
        <f t="shared" si="18"/>
        <v>0</v>
      </c>
      <c r="P54" s="40">
        <f t="shared" si="19"/>
        <v>0</v>
      </c>
      <c r="Q54" s="53"/>
      <c r="R54" s="60">
        <f t="shared" si="2"/>
        <v>-1</v>
      </c>
      <c r="S54" s="87">
        <f>[1]RB!$F54</f>
        <v>36307.142857142855</v>
      </c>
      <c r="T54" s="40">
        <f t="shared" si="20"/>
        <v>31844.994999999999</v>
      </c>
      <c r="U54" s="40">
        <f t="shared" si="21"/>
        <v>4462.147857142857</v>
      </c>
      <c r="V54" s="40">
        <f t="shared" si="22"/>
        <v>48340.594175999999</v>
      </c>
      <c r="W54" s="40">
        <f t="shared" si="23"/>
        <v>1423.2458239999999</v>
      </c>
      <c r="X54" s="53">
        <v>49763.839999999997</v>
      </c>
      <c r="Y54" s="60">
        <f t="shared" si="3"/>
        <v>0.37063497934290779</v>
      </c>
      <c r="Z54" s="87">
        <f>[1]RB!$G54</f>
        <v>36307.142857142855</v>
      </c>
      <c r="AA54" s="40">
        <f t="shared" si="24"/>
        <v>31844.994999999999</v>
      </c>
      <c r="AB54" s="40">
        <f t="shared" si="25"/>
        <v>4462.147857142857</v>
      </c>
      <c r="AC54" s="40">
        <f t="shared" si="26"/>
        <v>13983.001866000172</v>
      </c>
      <c r="AD54" s="40">
        <f t="shared" si="27"/>
        <v>411.68813400000505</v>
      </c>
      <c r="AE54" s="61">
        <v>14394.690000000177</v>
      </c>
      <c r="AF54" s="60">
        <f t="shared" si="4"/>
        <v>-0.60353008066102198</v>
      </c>
      <c r="AG54" s="87">
        <f>[1]RB!$H54</f>
        <v>36307.142857142855</v>
      </c>
      <c r="AH54" s="40">
        <f t="shared" si="28"/>
        <v>31844.994999999999</v>
      </c>
      <c r="AI54" s="40">
        <f t="shared" si="29"/>
        <v>4462.147857142857</v>
      </c>
      <c r="AJ54" s="40">
        <f t="shared" si="30"/>
        <v>4671.1031820000044</v>
      </c>
      <c r="AK54" s="40">
        <f t="shared" si="31"/>
        <v>137.52681800000013</v>
      </c>
      <c r="AL54" s="53">
        <v>4808.6300000000047</v>
      </c>
      <c r="AM54" s="60">
        <f t="shared" si="5"/>
        <v>-0.8675569152075544</v>
      </c>
      <c r="AN54" s="56">
        <f>[1]RB!$I54</f>
        <v>36307.142857142855</v>
      </c>
      <c r="AO54" s="40">
        <f t="shared" si="32"/>
        <v>31844.994999999999</v>
      </c>
      <c r="AP54" s="40">
        <f t="shared" si="33"/>
        <v>4462.147857142857</v>
      </c>
      <c r="AQ54" s="40">
        <f t="shared" si="34"/>
        <v>0</v>
      </c>
      <c r="AR54" s="40">
        <f t="shared" si="35"/>
        <v>0</v>
      </c>
      <c r="AS54" s="58"/>
      <c r="AT54" s="60">
        <f t="shared" si="6"/>
        <v>-1</v>
      </c>
      <c r="AU54" s="56">
        <f>[1]RB!$J54</f>
        <v>36307.142857142855</v>
      </c>
      <c r="AV54" s="40">
        <f t="shared" si="36"/>
        <v>31844.994999999999</v>
      </c>
      <c r="AW54" s="40">
        <f t="shared" si="37"/>
        <v>4462.147857142857</v>
      </c>
      <c r="AX54" s="40">
        <f t="shared" si="38"/>
        <v>0</v>
      </c>
      <c r="AY54" s="40">
        <f t="shared" si="39"/>
        <v>0</v>
      </c>
      <c r="AZ54" s="59"/>
      <c r="BA54" s="60">
        <f t="shared" si="7"/>
        <v>-1</v>
      </c>
      <c r="BB54" s="56">
        <f>[1]RB!$K54</f>
        <v>36307.142857142855</v>
      </c>
      <c r="BC54" s="40">
        <f t="shared" si="40"/>
        <v>31844.994999999999</v>
      </c>
      <c r="BD54" s="40">
        <f t="shared" si="41"/>
        <v>4462.147857142857</v>
      </c>
      <c r="BE54" s="40">
        <f t="shared" si="42"/>
        <v>0</v>
      </c>
      <c r="BF54" s="40">
        <f t="shared" si="43"/>
        <v>0</v>
      </c>
      <c r="BG54" s="59"/>
      <c r="BH54" s="60">
        <f t="shared" si="8"/>
        <v>-1</v>
      </c>
      <c r="BI54" s="56">
        <f>[1]RB!$L54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9"/>
        <v/>
      </c>
      <c r="BP54" s="56">
        <f>[1]RB!$M54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0"/>
        <v/>
      </c>
      <c r="BW54" s="87">
        <f>[1]RB!$N54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1"/>
        <v/>
      </c>
      <c r="CD54" s="87">
        <f>[1]RB!$O54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2"/>
        <v/>
      </c>
      <c r="CK54" s="87">
        <f>[1]RB!$P54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3"/>
        <v/>
      </c>
      <c r="CR54" s="181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</row>
    <row r="55" spans="1:108" s="26" customFormat="1" ht="16" customHeight="1" thickBot="1" x14ac:dyDescent="0.25">
      <c r="A55" s="119" t="s">
        <v>79</v>
      </c>
      <c r="B55" s="63">
        <f t="shared" ref="B55:J55" si="68">SUM(B4:B54)</f>
        <v>16754635.466540018</v>
      </c>
      <c r="C55" s="64">
        <f t="shared" si="68"/>
        <v>14695490.76770225</v>
      </c>
      <c r="D55" s="65">
        <f t="shared" si="68"/>
        <v>2059144.6988377683</v>
      </c>
      <c r="E55" s="63">
        <f t="shared" si="68"/>
        <v>6402670.6319888514</v>
      </c>
      <c r="F55" s="66">
        <f t="shared" si="68"/>
        <v>5615782.4113174211</v>
      </c>
      <c r="G55" s="67">
        <f t="shared" si="68"/>
        <v>786888.22067142965</v>
      </c>
      <c r="H55" s="64">
        <f t="shared" si="68"/>
        <v>4871355.4463400003</v>
      </c>
      <c r="I55" s="66">
        <f t="shared" si="68"/>
        <v>143422.65365999998</v>
      </c>
      <c r="J55" s="66">
        <f t="shared" si="68"/>
        <v>5014778.1000000006</v>
      </c>
      <c r="K55" s="120">
        <f>+J55/E55-1</f>
        <v>-0.21676775392048109</v>
      </c>
      <c r="L55" s="121">
        <f t="shared" ref="L55:X55" si="69">SUM(L4:L54)</f>
        <v>1368225.5514708913</v>
      </c>
      <c r="M55" s="121">
        <f t="shared" si="69"/>
        <v>1200070.6311951184</v>
      </c>
      <c r="N55" s="121">
        <f t="shared" si="69"/>
        <v>168154.92027577251</v>
      </c>
      <c r="O55" s="122">
        <f t="shared" si="69"/>
        <v>1257555.5754119998</v>
      </c>
      <c r="P55" s="122">
        <f t="shared" si="69"/>
        <v>37025.004588000003</v>
      </c>
      <c r="Q55" s="123">
        <f t="shared" si="69"/>
        <v>1294580.5800000003</v>
      </c>
      <c r="R55" s="120">
        <f>+Q55/L55-1</f>
        <v>-5.3825168950923374E-2</v>
      </c>
      <c r="S55" s="121">
        <f t="shared" si="69"/>
        <v>1415557.1784792121</v>
      </c>
      <c r="T55" s="121">
        <f t="shared" si="69"/>
        <v>1241585.2012441168</v>
      </c>
      <c r="U55" s="121">
        <f t="shared" si="69"/>
        <v>173971.97723509514</v>
      </c>
      <c r="V55" s="122">
        <f t="shared" si="69"/>
        <v>1044997.5673019999</v>
      </c>
      <c r="W55" s="122">
        <f t="shared" si="69"/>
        <v>30766.862698000001</v>
      </c>
      <c r="X55" s="123">
        <f t="shared" si="69"/>
        <v>1075764.4300000002</v>
      </c>
      <c r="Y55" s="120">
        <f>+X55/S55-1</f>
        <v>-0.24004169781701401</v>
      </c>
      <c r="Z55" s="121">
        <f t="shared" ref="Z55:AE55" si="70">SUM(Z4:Z54)</f>
        <v>1958851.4082809037</v>
      </c>
      <c r="AA55" s="121">
        <f t="shared" si="70"/>
        <v>1718108.5702031804</v>
      </c>
      <c r="AB55" s="121">
        <f t="shared" si="70"/>
        <v>240742.83807772299</v>
      </c>
      <c r="AC55" s="122">
        <f t="shared" si="70"/>
        <v>1434321.8259660003</v>
      </c>
      <c r="AD55" s="122">
        <f t="shared" si="70"/>
        <v>42229.364034000013</v>
      </c>
      <c r="AE55" s="123">
        <f t="shared" si="70"/>
        <v>1476551.1900000004</v>
      </c>
      <c r="AF55" s="120">
        <f>+AE55/Z55-1</f>
        <v>-0.2462158263980686</v>
      </c>
      <c r="AG55" s="121">
        <f t="shared" ref="AG55:AL55" si="71">SUM(AG4:AG54)</f>
        <v>1660036.493757844</v>
      </c>
      <c r="AH55" s="121">
        <f t="shared" si="71"/>
        <v>1456018.0086750048</v>
      </c>
      <c r="AI55" s="121">
        <f t="shared" si="71"/>
        <v>204018.485082839</v>
      </c>
      <c r="AJ55" s="122">
        <f t="shared" si="71"/>
        <v>1134480.4776600001</v>
      </c>
      <c r="AK55" s="122">
        <f t="shared" si="71"/>
        <v>33401.422339999997</v>
      </c>
      <c r="AL55" s="123">
        <f t="shared" si="71"/>
        <v>1167881.9000000004</v>
      </c>
      <c r="AM55" s="120">
        <f>+AL55/AG55-1</f>
        <v>-0.29647215323787701</v>
      </c>
      <c r="AN55" s="121">
        <f t="shared" ref="AN55:AS55" si="72">SUM(AN4:AN54)</f>
        <v>1790191.8531481933</v>
      </c>
      <c r="AO55" s="121">
        <f t="shared" si="72"/>
        <v>1570177.2743962803</v>
      </c>
      <c r="AP55" s="121">
        <f t="shared" si="72"/>
        <v>220014.57875191292</v>
      </c>
      <c r="AQ55" s="122">
        <f t="shared" si="72"/>
        <v>0</v>
      </c>
      <c r="AR55" s="122">
        <f t="shared" si="72"/>
        <v>0</v>
      </c>
      <c r="AS55" s="123">
        <f t="shared" si="72"/>
        <v>0</v>
      </c>
      <c r="AT55" s="120">
        <f>+AS55/AN55-1</f>
        <v>-1</v>
      </c>
      <c r="AU55" s="121">
        <f t="shared" ref="AU55:AZ55" si="73">SUM(AU4:AU54)</f>
        <v>1729301.7396026254</v>
      </c>
      <c r="AV55" s="121">
        <f t="shared" si="73"/>
        <v>1516770.5558054626</v>
      </c>
      <c r="AW55" s="121">
        <f t="shared" si="73"/>
        <v>212531.18379716261</v>
      </c>
      <c r="AX55" s="122">
        <f t="shared" si="73"/>
        <v>0</v>
      </c>
      <c r="AY55" s="122">
        <f t="shared" si="73"/>
        <v>0</v>
      </c>
      <c r="AZ55" s="123">
        <f t="shared" si="73"/>
        <v>0</v>
      </c>
      <c r="BA55" s="120">
        <f>+AZ55/AU55-1</f>
        <v>-1</v>
      </c>
      <c r="BB55" s="121">
        <f t="shared" ref="BB55:BG55" si="74">SUM(BB4:BB54)</f>
        <v>1915068.9284868091</v>
      </c>
      <c r="BC55" s="121">
        <f t="shared" si="74"/>
        <v>1679706.9571757806</v>
      </c>
      <c r="BD55" s="121">
        <f t="shared" si="74"/>
        <v>235361.97131102884</v>
      </c>
      <c r="BE55" s="122">
        <f t="shared" si="74"/>
        <v>0</v>
      </c>
      <c r="BF55" s="122">
        <f t="shared" si="74"/>
        <v>0</v>
      </c>
      <c r="BG55" s="123">
        <f t="shared" si="74"/>
        <v>0</v>
      </c>
      <c r="BH55" s="120">
        <f>+BG55/BB55-1</f>
        <v>-1</v>
      </c>
      <c r="BI55" s="121">
        <f t="shared" ref="BI55:BN55" si="75">SUM(BI4:BI54)</f>
        <v>1226565.6509903804</v>
      </c>
      <c r="BJ55" s="121">
        <f t="shared" si="75"/>
        <v>1075820.7324836624</v>
      </c>
      <c r="BK55" s="121">
        <f t="shared" si="75"/>
        <v>150744.91850671772</v>
      </c>
      <c r="BL55" s="122">
        <f t="shared" si="75"/>
        <v>0</v>
      </c>
      <c r="BM55" s="122">
        <f t="shared" si="75"/>
        <v>0</v>
      </c>
      <c r="BN55" s="123">
        <f t="shared" si="75"/>
        <v>0</v>
      </c>
      <c r="BO55" s="120">
        <f>+BN55/BI55-1</f>
        <v>-1</v>
      </c>
      <c r="BP55" s="121">
        <f t="shared" ref="BP55:BU55" si="76">SUM(BP4:BP54)</f>
        <v>1140133.7873470066</v>
      </c>
      <c r="BQ55" s="121">
        <f t="shared" si="76"/>
        <v>1000011.3448820597</v>
      </c>
      <c r="BR55" s="121">
        <f t="shared" si="76"/>
        <v>140122.44246494712</v>
      </c>
      <c r="BS55" s="122">
        <f t="shared" si="76"/>
        <v>0</v>
      </c>
      <c r="BT55" s="122">
        <f t="shared" si="76"/>
        <v>0</v>
      </c>
      <c r="BU55" s="123">
        <f t="shared" si="76"/>
        <v>0</v>
      </c>
      <c r="BV55" s="120">
        <f>+BU55/BP55-1</f>
        <v>-1</v>
      </c>
      <c r="BW55" s="121">
        <f t="shared" ref="BW55:CB55" si="77">SUM(BW4:BW54)</f>
        <v>923664.24820633384</v>
      </c>
      <c r="BX55" s="121">
        <f t="shared" si="77"/>
        <v>810145.91210177552</v>
      </c>
      <c r="BY55" s="121">
        <f t="shared" si="77"/>
        <v>113518.3361045584</v>
      </c>
      <c r="BZ55" s="122">
        <f t="shared" si="77"/>
        <v>0</v>
      </c>
      <c r="CA55" s="122">
        <f t="shared" si="77"/>
        <v>0</v>
      </c>
      <c r="CB55" s="123">
        <f t="shared" si="77"/>
        <v>0</v>
      </c>
      <c r="CC55" s="120">
        <f>+CB55/BW55-1</f>
        <v>-1</v>
      </c>
      <c r="CD55" s="121">
        <f t="shared" ref="CD55:CI55" si="78">SUM(CD4:CD54)</f>
        <v>810741.88419324555</v>
      </c>
      <c r="CE55" s="121">
        <f t="shared" si="78"/>
        <v>711101.70662589569</v>
      </c>
      <c r="CF55" s="121">
        <f t="shared" si="78"/>
        <v>99640.177567349878</v>
      </c>
      <c r="CG55" s="122">
        <f t="shared" si="78"/>
        <v>0</v>
      </c>
      <c r="CH55" s="122">
        <f t="shared" si="78"/>
        <v>0</v>
      </c>
      <c r="CI55" s="123">
        <f t="shared" si="78"/>
        <v>0</v>
      </c>
      <c r="CJ55" s="120">
        <f>+CI55/CD55-1</f>
        <v>-1</v>
      </c>
      <c r="CK55" s="121">
        <f t="shared" ref="CK55:CP55" si="79">SUM(CK4:CK54)</f>
        <v>816296.74257657363</v>
      </c>
      <c r="CL55" s="121">
        <f t="shared" si="79"/>
        <v>715973.87291391275</v>
      </c>
      <c r="CM55" s="121">
        <f t="shared" si="79"/>
        <v>100322.86966266089</v>
      </c>
      <c r="CN55" s="122">
        <f t="shared" si="79"/>
        <v>0</v>
      </c>
      <c r="CO55" s="122">
        <f t="shared" si="79"/>
        <v>0</v>
      </c>
      <c r="CP55" s="123">
        <f t="shared" si="79"/>
        <v>0</v>
      </c>
      <c r="CQ55" s="120">
        <f>+CP55/CK55-1</f>
        <v>-1</v>
      </c>
      <c r="CR55" s="186"/>
      <c r="CS55" s="187"/>
      <c r="CT55" s="187"/>
      <c r="CU55" s="187"/>
      <c r="CV55" s="187"/>
      <c r="CW55" s="187"/>
      <c r="CX55" s="187"/>
      <c r="CY55" s="188"/>
      <c r="CZ55" s="188"/>
      <c r="DA55" s="188"/>
      <c r="DB55" s="188"/>
      <c r="DC55" s="188"/>
      <c r="DD55" s="188"/>
    </row>
    <row r="56" spans="1:108" s="26" customFormat="1" ht="16" customHeight="1" x14ac:dyDescent="0.2">
      <c r="A56" s="189" t="s">
        <v>80</v>
      </c>
      <c r="B56" s="75">
        <f>+L56+S56+Z56+AG56+AN56+AU56+BB56+BI56+BP56+BW56+CD56+CK56</f>
        <v>-238754.32525951564</v>
      </c>
      <c r="C56" s="76">
        <f t="shared" ref="C56:D57" si="80">+M56+T56+AA56+AH56+AO56+AV56+BC56+BJ56+BQ56+BX56+CE56+CL56</f>
        <v>-209411.41868512108</v>
      </c>
      <c r="D56" s="77">
        <f t="shared" si="80"/>
        <v>-29342.906574394456</v>
      </c>
      <c r="E56" s="75">
        <f>+L56+S56+Z56+AG56</f>
        <v>-79584.775086505193</v>
      </c>
      <c r="F56" s="78">
        <f t="shared" ref="F56:G57" si="81">+M56+T56+AA56+AH56</f>
        <v>-69803.806228373709</v>
      </c>
      <c r="G56" s="79">
        <f t="shared" si="81"/>
        <v>-9780.9688581314877</v>
      </c>
      <c r="H56" s="76">
        <f t="shared" ref="H56:J57" si="82">+O56+V56+AC56+AJ56+AQ56+AX56+BE56+BL56+BS56+BZ56+CG56+CN56</f>
        <v>-35962.451964</v>
      </c>
      <c r="I56" s="78">
        <f t="shared" si="82"/>
        <v>-1058.8080359999999</v>
      </c>
      <c r="J56" s="78">
        <f t="shared" si="82"/>
        <v>-37021.259999999995</v>
      </c>
      <c r="K56" s="25">
        <f t="shared" ref="K56:K57" si="83">IF(E56=0,"",(+J56/E56-1))</f>
        <v>-0.53481982000000006</v>
      </c>
      <c r="L56" s="23">
        <f>[1]RB!$E56</f>
        <v>-19896.193771626298</v>
      </c>
      <c r="M56" s="18">
        <f t="shared" ref="M56:M57" si="84">L56-N56</f>
        <v>-17450.951557093427</v>
      </c>
      <c r="N56" s="18">
        <f t="shared" ref="N56:N57" si="85">+L56*12.29%</f>
        <v>-2445.2422145328719</v>
      </c>
      <c r="O56" s="18">
        <f t="shared" ref="O56:O57" si="86">+Q56-P56</f>
        <v>0</v>
      </c>
      <c r="P56" s="18">
        <f t="shared" ref="P56:P57" si="87">+Q56*2.86%</f>
        <v>0</v>
      </c>
      <c r="Q56" s="20"/>
      <c r="R56" s="25">
        <f t="shared" ref="R56:R57" si="88">IF(L56=0,"",(+Q56/L56-1))</f>
        <v>-1</v>
      </c>
      <c r="S56" s="23">
        <f>[1]RB!$F56</f>
        <v>-19896.193771626298</v>
      </c>
      <c r="T56" s="18">
        <f t="shared" ref="T56:T57" si="89">S56-U56</f>
        <v>-17450.951557093427</v>
      </c>
      <c r="U56" s="18">
        <f t="shared" ref="U56:U57" si="90">+S56*12.29%</f>
        <v>-2445.2422145328719</v>
      </c>
      <c r="V56" s="18">
        <f t="shared" ref="V56:V57" si="91">+X56-W56</f>
        <v>-12310.348206000001</v>
      </c>
      <c r="W56" s="18">
        <f t="shared" ref="W56:W57" si="92">+X56*2.86%</f>
        <v>-362.44179400000002</v>
      </c>
      <c r="X56" s="20">
        <v>-12672.79</v>
      </c>
      <c r="Y56" s="25">
        <f>IF(S56=0,"",(+X56/S56-1))</f>
        <v>-0.36305455478260862</v>
      </c>
      <c r="Z56" s="23">
        <f>[1]RB!$G56</f>
        <v>-19896.193771626298</v>
      </c>
      <c r="AA56" s="18">
        <f t="shared" ref="AA56:AA57" si="93">Z56-AB56</f>
        <v>-17450.951557093427</v>
      </c>
      <c r="AB56" s="18">
        <f t="shared" ref="AB56:AB57" si="94">+Z56*12.29%</f>
        <v>-2445.2422145328719</v>
      </c>
      <c r="AC56" s="18">
        <f t="shared" ref="AC56:AC57" si="95">+AE56-AD56</f>
        <v>2379.0848820000001</v>
      </c>
      <c r="AD56" s="18">
        <f t="shared" ref="AD56:AD57" si="96">+AE56*2.86%</f>
        <v>70.045118000000002</v>
      </c>
      <c r="AE56" s="20">
        <f>2449.13</f>
        <v>2449.13</v>
      </c>
      <c r="AF56" s="25">
        <f t="shared" ref="AF56:AF57" si="97">IF(Z56=0,"",(+AE56/Z56-1))</f>
        <v>-1.1230954034782608</v>
      </c>
      <c r="AG56" s="23">
        <f>[1]RB!$H56</f>
        <v>-19896.193771626298</v>
      </c>
      <c r="AH56" s="18">
        <f t="shared" ref="AH56:AH57" si="98">AG56-AI56</f>
        <v>-17450.951557093427</v>
      </c>
      <c r="AI56" s="18">
        <f t="shared" ref="AI56:AI57" si="99">+AG56*12.29%</f>
        <v>-2445.2422145328719</v>
      </c>
      <c r="AJ56" s="18">
        <f t="shared" ref="AJ56:AJ57" si="100">+AL56-AK56</f>
        <v>-26031.18864</v>
      </c>
      <c r="AK56" s="18">
        <f t="shared" ref="AK56:AK57" si="101">+AL56*2.86%</f>
        <v>-766.41135999999995</v>
      </c>
      <c r="AL56" s="20">
        <f>-29680+2882.4</f>
        <v>-26797.599999999999</v>
      </c>
      <c r="AM56" s="25">
        <f t="shared" ref="AM56:AM57" si="102">IF(AG56=0,"",(+AL56/AG56-1))</f>
        <v>0.34687067826086948</v>
      </c>
      <c r="AN56" s="23">
        <f>[1]RB!$I56</f>
        <v>-19896.193771626298</v>
      </c>
      <c r="AO56" s="18">
        <f t="shared" ref="AO56:AO57" si="103">AN56-AP56</f>
        <v>-17450.951557093427</v>
      </c>
      <c r="AP56" s="18">
        <f t="shared" ref="AP56:AP57" si="104">+AN56*12.29%</f>
        <v>-2445.2422145328719</v>
      </c>
      <c r="AQ56" s="18">
        <f t="shared" ref="AQ56:AQ57" si="105">+AS56-AR56</f>
        <v>0</v>
      </c>
      <c r="AR56" s="18">
        <f t="shared" ref="AR56:AR57" si="106">+AS56*2.86%</f>
        <v>0</v>
      </c>
      <c r="AS56" s="20"/>
      <c r="AT56" s="25">
        <f t="shared" ref="AT56:AT57" si="107">IF(AN56=0,"",(+AS56/AN56-1))</f>
        <v>-1</v>
      </c>
      <c r="AU56" s="23">
        <f>[1]RB!$J56</f>
        <v>-19896.193771626298</v>
      </c>
      <c r="AV56" s="18">
        <f t="shared" ref="AV56:AV57" si="108">AU56-AW56</f>
        <v>-17450.951557093427</v>
      </c>
      <c r="AW56" s="18">
        <f t="shared" ref="AW56:AW57" si="109">+AU56*12.29%</f>
        <v>-2445.2422145328719</v>
      </c>
      <c r="AX56" s="18">
        <f t="shared" ref="AX56:AX57" si="110">+AZ56-AY56</f>
        <v>0</v>
      </c>
      <c r="AY56" s="18">
        <f t="shared" ref="AY56:AY57" si="111">+AZ56*2.86%</f>
        <v>0</v>
      </c>
      <c r="AZ56" s="20"/>
      <c r="BA56" s="25">
        <f t="shared" ref="BA56:BA57" si="112">IF(AU56=0,"",(+AZ56/AU56-1))</f>
        <v>-1</v>
      </c>
      <c r="BB56" s="23">
        <f>[1]RB!$K56</f>
        <v>-19896.193771626298</v>
      </c>
      <c r="BC56" s="18">
        <f t="shared" ref="BC56:BC57" si="113">BB56-BD56</f>
        <v>-17450.951557093427</v>
      </c>
      <c r="BD56" s="18">
        <f t="shared" ref="BD56:BD57" si="114">+BB56*12.29%</f>
        <v>-2445.2422145328719</v>
      </c>
      <c r="BE56" s="18">
        <f t="shared" ref="BE56:BE57" si="115">+BG56-BF56</f>
        <v>0</v>
      </c>
      <c r="BF56" s="18">
        <f t="shared" ref="BF56:BF57" si="116">+BG56*2.86%</f>
        <v>0</v>
      </c>
      <c r="BG56" s="20"/>
      <c r="BH56" s="25">
        <f t="shared" ref="BH56:BH57" si="117">IF(BB56=0,"",(+BG56/BB56-1))</f>
        <v>-1</v>
      </c>
      <c r="BI56" s="23">
        <f>[1]RB!$L56</f>
        <v>-19896.193771626298</v>
      </c>
      <c r="BJ56" s="18">
        <f t="shared" ref="BJ56:BJ57" si="118">BI56-BK56</f>
        <v>-17450.951557093427</v>
      </c>
      <c r="BK56" s="18">
        <f t="shared" ref="BK56:BK57" si="119">+BI56*12.29%</f>
        <v>-2445.2422145328719</v>
      </c>
      <c r="BL56" s="18">
        <f t="shared" ref="BL56:BL57" si="120">+BN56-BM56</f>
        <v>0</v>
      </c>
      <c r="BM56" s="18">
        <f t="shared" ref="BM56:BM57" si="121">+BN56*2.86%</f>
        <v>0</v>
      </c>
      <c r="BN56" s="20"/>
      <c r="BO56" s="25">
        <f t="shared" ref="BO56:BO57" si="122">IF(BI56=0,"",(+BN56/BI56-1))</f>
        <v>-1</v>
      </c>
      <c r="BP56" s="23">
        <f>[1]RB!$M56</f>
        <v>-19896.193771626298</v>
      </c>
      <c r="BQ56" s="18">
        <f t="shared" ref="BQ56:BQ57" si="123">BP56-BR56</f>
        <v>-17450.951557093427</v>
      </c>
      <c r="BR56" s="18">
        <f t="shared" ref="BR56:BR57" si="124">+BP56*12.29%</f>
        <v>-2445.2422145328719</v>
      </c>
      <c r="BS56" s="18">
        <f t="shared" ref="BS56:BS57" si="125">+BU56-BT56</f>
        <v>0</v>
      </c>
      <c r="BT56" s="18">
        <f t="shared" ref="BT56:BT57" si="126">+BU56*2.86%</f>
        <v>0</v>
      </c>
      <c r="BU56" s="20"/>
      <c r="BV56" s="25">
        <f t="shared" ref="BV56:BV57" si="127">IF(BP56=0,"",(+BU56/BP56-1))</f>
        <v>-1</v>
      </c>
      <c r="BW56" s="23">
        <f>[1]RB!$N56</f>
        <v>-19896.193771626298</v>
      </c>
      <c r="BX56" s="18">
        <f t="shared" ref="BX56:BX57" si="128">BW56-BY56</f>
        <v>-17450.951557093427</v>
      </c>
      <c r="BY56" s="18">
        <f t="shared" ref="BY56:BY57" si="129">+BW56*12.29%</f>
        <v>-2445.2422145328719</v>
      </c>
      <c r="BZ56" s="18">
        <f t="shared" ref="BZ56:BZ57" si="130">+CB56-CA56</f>
        <v>0</v>
      </c>
      <c r="CA56" s="18">
        <f t="shared" ref="CA56:CA57" si="131">+CB56*2.86%</f>
        <v>0</v>
      </c>
      <c r="CB56" s="20"/>
      <c r="CC56" s="25">
        <f t="shared" ref="CC56:CC57" si="132">IF(BW56=0,"",(+CB56/BW56-1))</f>
        <v>-1</v>
      </c>
      <c r="CD56" s="23">
        <f>[1]RB!$O56</f>
        <v>-19896.193771626298</v>
      </c>
      <c r="CE56" s="18">
        <f t="shared" ref="CE56:CE57" si="133">CD56-CF56</f>
        <v>-17450.951557093427</v>
      </c>
      <c r="CF56" s="18">
        <f t="shared" ref="CF56:CF57" si="134">+CD56*12.29%</f>
        <v>-2445.2422145328719</v>
      </c>
      <c r="CG56" s="18">
        <f t="shared" ref="CG56:CG57" si="135">+CI56-CH56</f>
        <v>0</v>
      </c>
      <c r="CH56" s="18">
        <f t="shared" ref="CH56:CH57" si="136">+CI56*2.86%</f>
        <v>0</v>
      </c>
      <c r="CI56" s="20"/>
      <c r="CJ56" s="25">
        <f t="shared" ref="CJ56:CJ57" si="137">IF(CD56=0,"",(+CI56/CD56-1))</f>
        <v>-1</v>
      </c>
      <c r="CK56" s="23">
        <f>[1]RB!$P56</f>
        <v>-19896.193771626298</v>
      </c>
      <c r="CL56" s="18">
        <f t="shared" ref="CL56:CL57" si="138">CK56-CM56</f>
        <v>-17450.951557093427</v>
      </c>
      <c r="CM56" s="18">
        <f t="shared" ref="CM56:CM57" si="139">+CK56*12.29%</f>
        <v>-2445.2422145328719</v>
      </c>
      <c r="CN56" s="18">
        <f t="shared" ref="CN56:CN57" si="140">+CP56-CO56</f>
        <v>0</v>
      </c>
      <c r="CO56" s="18">
        <f t="shared" ref="CO56:CO57" si="141">+CP56*2.86%</f>
        <v>0</v>
      </c>
      <c r="CP56" s="20"/>
      <c r="CQ56" s="25">
        <f t="shared" ref="CQ56:CQ57" si="142">IF(CK56=0,"",(+CP56/CK56-1))</f>
        <v>-1</v>
      </c>
      <c r="CR56" s="181"/>
      <c r="CS56" s="27">
        <v>-79525.5</v>
      </c>
      <c r="CT56" s="27"/>
      <c r="CU56" s="27">
        <v>-72133.52</v>
      </c>
      <c r="CV56" s="27"/>
      <c r="CW56" s="27"/>
      <c r="CX56" s="27"/>
      <c r="CY56" s="27"/>
      <c r="CZ56" s="27"/>
      <c r="DA56" s="27"/>
      <c r="DB56" s="27"/>
      <c r="DC56" s="27"/>
      <c r="DD56" s="27"/>
    </row>
    <row r="57" spans="1:108" s="26" customFormat="1" ht="16" customHeight="1" thickBot="1" x14ac:dyDescent="0.25">
      <c r="A57" s="190" t="s">
        <v>81</v>
      </c>
      <c r="B57" s="52">
        <f>+L57+S57+Z57+AG57+AN57+AU57+BB57+BI57+BP57+BW57+CD57+CK57</f>
        <v>-79584.775086505178</v>
      </c>
      <c r="C57" s="40">
        <f t="shared" si="80"/>
        <v>-69803.806228373694</v>
      </c>
      <c r="D57" s="51">
        <f t="shared" si="80"/>
        <v>-9780.9688581314877</v>
      </c>
      <c r="E57" s="50">
        <f>+L57+S57+Z57+AG57</f>
        <v>-26528.258362168399</v>
      </c>
      <c r="F57" s="58">
        <f t="shared" si="81"/>
        <v>-23267.935409457903</v>
      </c>
      <c r="G57" s="85">
        <f t="shared" si="81"/>
        <v>-3260.3229527104959</v>
      </c>
      <c r="H57" s="57">
        <f t="shared" si="82"/>
        <v>-45656.130276000004</v>
      </c>
      <c r="I57" s="58">
        <f t="shared" si="82"/>
        <v>-1344.2097240000001</v>
      </c>
      <c r="J57" s="58">
        <f t="shared" si="82"/>
        <v>-47000.340000000004</v>
      </c>
      <c r="K57" s="127">
        <f t="shared" si="83"/>
        <v>0.77170846869565213</v>
      </c>
      <c r="L57" s="56">
        <f>[1]RB!$E57</f>
        <v>-6632.0645905420997</v>
      </c>
      <c r="M57" s="57">
        <f t="shared" si="84"/>
        <v>-5816.9838523644758</v>
      </c>
      <c r="N57" s="57">
        <f t="shared" si="85"/>
        <v>-815.08073817762397</v>
      </c>
      <c r="O57" s="57">
        <f t="shared" si="86"/>
        <v>-25401.702012000002</v>
      </c>
      <c r="P57" s="57">
        <f t="shared" si="87"/>
        <v>-747.87798800000007</v>
      </c>
      <c r="Q57" s="58">
        <v>-26149.58</v>
      </c>
      <c r="R57" s="127">
        <f t="shared" si="88"/>
        <v>2.9429018886956522</v>
      </c>
      <c r="S57" s="56">
        <f>[1]RB!$F57</f>
        <v>-6632.0645905420997</v>
      </c>
      <c r="T57" s="57">
        <f t="shared" si="89"/>
        <v>-5816.9838523644758</v>
      </c>
      <c r="U57" s="57">
        <f t="shared" si="90"/>
        <v>-815.08073817762397</v>
      </c>
      <c r="V57" s="57">
        <f t="shared" si="91"/>
        <v>-3753.1301819999999</v>
      </c>
      <c r="W57" s="57">
        <f t="shared" si="92"/>
        <v>-110.499818</v>
      </c>
      <c r="X57" s="58">
        <v>-3863.63</v>
      </c>
      <c r="Y57" s="127">
        <f>IF(S57=0,"",(+X57/S57-1))</f>
        <v>-0.41743178956521743</v>
      </c>
      <c r="Z57" s="56">
        <f>[1]RB!$G57</f>
        <v>-6632.0645905420997</v>
      </c>
      <c r="AA57" s="57">
        <f t="shared" si="93"/>
        <v>-5816.9838523644758</v>
      </c>
      <c r="AB57" s="57">
        <f t="shared" si="94"/>
        <v>-815.08073817762397</v>
      </c>
      <c r="AC57" s="57">
        <f t="shared" si="95"/>
        <v>-16501.298082000001</v>
      </c>
      <c r="AD57" s="57">
        <f t="shared" si="96"/>
        <v>-485.83191800000003</v>
      </c>
      <c r="AE57" s="59">
        <f>-16987.13</f>
        <v>-16987.13</v>
      </c>
      <c r="AF57" s="127">
        <f t="shared" si="97"/>
        <v>1.5613637756521737</v>
      </c>
      <c r="AG57" s="56">
        <f>[1]RB!$H57</f>
        <v>-6632.0645905420997</v>
      </c>
      <c r="AH57" s="57">
        <f t="shared" si="98"/>
        <v>-5816.9838523644758</v>
      </c>
      <c r="AI57" s="57">
        <f t="shared" si="99"/>
        <v>-815.08073817762397</v>
      </c>
      <c r="AJ57" s="57">
        <f t="shared" si="100"/>
        <v>0</v>
      </c>
      <c r="AK57" s="57">
        <f t="shared" si="101"/>
        <v>0</v>
      </c>
      <c r="AL57" s="58"/>
      <c r="AM57" s="127">
        <f t="shared" si="102"/>
        <v>-1</v>
      </c>
      <c r="AN57" s="56">
        <f>[1]RB!$I57</f>
        <v>-6632.0645905420997</v>
      </c>
      <c r="AO57" s="57">
        <f t="shared" si="103"/>
        <v>-5816.9838523644758</v>
      </c>
      <c r="AP57" s="57">
        <f t="shared" si="104"/>
        <v>-815.08073817762397</v>
      </c>
      <c r="AQ57" s="57">
        <f t="shared" si="105"/>
        <v>0</v>
      </c>
      <c r="AR57" s="57">
        <f t="shared" si="106"/>
        <v>0</v>
      </c>
      <c r="AS57" s="58"/>
      <c r="AT57" s="127">
        <f t="shared" si="107"/>
        <v>-1</v>
      </c>
      <c r="AU57" s="56">
        <f>[1]RB!$J57</f>
        <v>-6632.0645905420997</v>
      </c>
      <c r="AV57" s="57">
        <f t="shared" si="108"/>
        <v>-5816.9838523644758</v>
      </c>
      <c r="AW57" s="57">
        <f t="shared" si="109"/>
        <v>-815.08073817762397</v>
      </c>
      <c r="AX57" s="57">
        <f t="shared" si="110"/>
        <v>0</v>
      </c>
      <c r="AY57" s="57">
        <f t="shared" si="111"/>
        <v>0</v>
      </c>
      <c r="AZ57" s="58"/>
      <c r="BA57" s="127">
        <f t="shared" si="112"/>
        <v>-1</v>
      </c>
      <c r="BB57" s="56">
        <f>[1]RB!$K57</f>
        <v>-6632.0645905420997</v>
      </c>
      <c r="BC57" s="57">
        <f t="shared" si="113"/>
        <v>-5816.9838523644758</v>
      </c>
      <c r="BD57" s="57">
        <f t="shared" si="114"/>
        <v>-815.08073817762397</v>
      </c>
      <c r="BE57" s="57">
        <f t="shared" si="115"/>
        <v>0</v>
      </c>
      <c r="BF57" s="57">
        <f t="shared" si="116"/>
        <v>0</v>
      </c>
      <c r="BG57" s="58"/>
      <c r="BH57" s="127">
        <f t="shared" si="117"/>
        <v>-1</v>
      </c>
      <c r="BI57" s="56">
        <f>[1]RB!$L57</f>
        <v>-6632.0645905420997</v>
      </c>
      <c r="BJ57" s="57">
        <f t="shared" si="118"/>
        <v>-5816.9838523644758</v>
      </c>
      <c r="BK57" s="57">
        <f t="shared" si="119"/>
        <v>-815.08073817762397</v>
      </c>
      <c r="BL57" s="57">
        <f t="shared" si="120"/>
        <v>0</v>
      </c>
      <c r="BM57" s="57">
        <f t="shared" si="121"/>
        <v>0</v>
      </c>
      <c r="BN57" s="58"/>
      <c r="BO57" s="127">
        <f t="shared" si="122"/>
        <v>-1</v>
      </c>
      <c r="BP57" s="56">
        <f>[1]RB!$M57</f>
        <v>-6632.0645905420997</v>
      </c>
      <c r="BQ57" s="57">
        <f t="shared" si="123"/>
        <v>-5816.9838523644758</v>
      </c>
      <c r="BR57" s="57">
        <f t="shared" si="124"/>
        <v>-815.08073817762397</v>
      </c>
      <c r="BS57" s="57">
        <f t="shared" si="125"/>
        <v>0</v>
      </c>
      <c r="BT57" s="57">
        <f t="shared" si="126"/>
        <v>0</v>
      </c>
      <c r="BU57" s="58"/>
      <c r="BV57" s="127">
        <f t="shared" si="127"/>
        <v>-1</v>
      </c>
      <c r="BW57" s="56">
        <f>[1]RB!$N57</f>
        <v>-6632.0645905420997</v>
      </c>
      <c r="BX57" s="57">
        <f t="shared" si="128"/>
        <v>-5816.9838523644758</v>
      </c>
      <c r="BY57" s="57">
        <f t="shared" si="129"/>
        <v>-815.08073817762397</v>
      </c>
      <c r="BZ57" s="57">
        <f t="shared" si="130"/>
        <v>0</v>
      </c>
      <c r="CA57" s="57">
        <f t="shared" si="131"/>
        <v>0</v>
      </c>
      <c r="CB57" s="58"/>
      <c r="CC57" s="127">
        <f t="shared" si="132"/>
        <v>-1</v>
      </c>
      <c r="CD57" s="56">
        <f>[1]RB!$O57</f>
        <v>-6632.0645905420997</v>
      </c>
      <c r="CE57" s="57">
        <f t="shared" si="133"/>
        <v>-5816.9838523644758</v>
      </c>
      <c r="CF57" s="57">
        <f t="shared" si="134"/>
        <v>-815.08073817762397</v>
      </c>
      <c r="CG57" s="57">
        <f t="shared" si="135"/>
        <v>0</v>
      </c>
      <c r="CH57" s="57">
        <f t="shared" si="136"/>
        <v>0</v>
      </c>
      <c r="CI57" s="58"/>
      <c r="CJ57" s="127">
        <f t="shared" si="137"/>
        <v>-1</v>
      </c>
      <c r="CK57" s="56">
        <f>[1]RB!$P57</f>
        <v>-6632.0645905420997</v>
      </c>
      <c r="CL57" s="57">
        <f t="shared" si="138"/>
        <v>-5816.9838523644758</v>
      </c>
      <c r="CM57" s="57">
        <f t="shared" si="139"/>
        <v>-815.08073817762397</v>
      </c>
      <c r="CN57" s="57">
        <f t="shared" si="140"/>
        <v>0</v>
      </c>
      <c r="CO57" s="57">
        <f t="shared" si="141"/>
        <v>0</v>
      </c>
      <c r="CP57" s="58"/>
      <c r="CQ57" s="127">
        <f t="shared" si="142"/>
        <v>-1</v>
      </c>
      <c r="CR57" s="181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</row>
    <row r="58" spans="1:108" s="26" customFormat="1" ht="16" customHeight="1" thickBot="1" x14ac:dyDescent="0.25">
      <c r="A58" s="191" t="s">
        <v>82</v>
      </c>
      <c r="B58" s="89">
        <f>+B55+B56+B57</f>
        <v>16436296.366193997</v>
      </c>
      <c r="C58" s="90">
        <f t="shared" ref="C58:D58" si="143">+C55+C56+C57</f>
        <v>14416275.542788755</v>
      </c>
      <c r="D58" s="91">
        <f t="shared" si="143"/>
        <v>2020020.8234052423</v>
      </c>
      <c r="E58" s="92">
        <f t="shared" ref="E58:J58" si="144">SUM(E55:E57)</f>
        <v>6296557.5985401776</v>
      </c>
      <c r="F58" s="93">
        <f t="shared" si="144"/>
        <v>5522710.6696795886</v>
      </c>
      <c r="G58" s="94">
        <f t="shared" si="144"/>
        <v>773846.92886058777</v>
      </c>
      <c r="H58" s="95">
        <f t="shared" si="144"/>
        <v>4789736.8640999999</v>
      </c>
      <c r="I58" s="96">
        <f t="shared" si="144"/>
        <v>141019.63589999999</v>
      </c>
      <c r="J58" s="96">
        <f t="shared" si="144"/>
        <v>4930756.5000000009</v>
      </c>
      <c r="K58" s="132">
        <f>+J58/E55-1</f>
        <v>-0.22989065291519328</v>
      </c>
      <c r="L58" s="133">
        <f t="shared" ref="L58:Q58" si="145">SUM(L55:L57)</f>
        <v>1341697.2931087229</v>
      </c>
      <c r="M58" s="133">
        <f t="shared" si="145"/>
        <v>1176802.6957856603</v>
      </c>
      <c r="N58" s="133">
        <f t="shared" si="145"/>
        <v>164894.59732306204</v>
      </c>
      <c r="O58" s="95">
        <f t="shared" si="145"/>
        <v>1232153.8733999999</v>
      </c>
      <c r="P58" s="95">
        <f t="shared" si="145"/>
        <v>36277.126600000003</v>
      </c>
      <c r="Q58" s="96">
        <f t="shared" si="145"/>
        <v>1268431.0000000002</v>
      </c>
      <c r="R58" s="132">
        <f>+Q58/L55-1</f>
        <v>-7.2937207877464605E-2</v>
      </c>
      <c r="S58" s="133">
        <f t="shared" ref="S58:X58" si="146">SUM(S55:S57)</f>
        <v>1389028.9201170437</v>
      </c>
      <c r="T58" s="133">
        <f t="shared" si="146"/>
        <v>1218317.2658346586</v>
      </c>
      <c r="U58" s="133">
        <f t="shared" si="146"/>
        <v>170711.65428238467</v>
      </c>
      <c r="V58" s="95">
        <f t="shared" si="146"/>
        <v>1028934.0889139998</v>
      </c>
      <c r="W58" s="95">
        <f t="shared" si="146"/>
        <v>30293.921086000002</v>
      </c>
      <c r="X58" s="96">
        <f t="shared" si="146"/>
        <v>1059228.0100000002</v>
      </c>
      <c r="Y58" s="132">
        <f>+X58/S55-1</f>
        <v>-0.25172361378014418</v>
      </c>
      <c r="Z58" s="133">
        <f t="shared" ref="Z58:AE58" si="147">SUM(Z55:Z57)</f>
        <v>1932323.1499187353</v>
      </c>
      <c r="AA58" s="133">
        <f t="shared" si="147"/>
        <v>1694840.6347937223</v>
      </c>
      <c r="AB58" s="133">
        <f t="shared" si="147"/>
        <v>237482.51512501252</v>
      </c>
      <c r="AC58" s="95">
        <f t="shared" si="147"/>
        <v>1420199.6127660002</v>
      </c>
      <c r="AD58" s="95">
        <f t="shared" si="147"/>
        <v>41813.577234000011</v>
      </c>
      <c r="AE58" s="96">
        <f t="shared" si="147"/>
        <v>1462013.1900000004</v>
      </c>
      <c r="AF58" s="132">
        <f>+AE58/Z55-1</f>
        <v>-0.25363752257090832</v>
      </c>
      <c r="AG58" s="133">
        <f t="shared" ref="AG58:AL58" si="148">SUM(AG55:AG57)</f>
        <v>1633508.2353956755</v>
      </c>
      <c r="AH58" s="133">
        <f t="shared" si="148"/>
        <v>1432750.0732655467</v>
      </c>
      <c r="AI58" s="133">
        <f t="shared" si="148"/>
        <v>200758.16213012853</v>
      </c>
      <c r="AJ58" s="95">
        <f t="shared" si="148"/>
        <v>1108449.28902</v>
      </c>
      <c r="AK58" s="95">
        <f t="shared" si="148"/>
        <v>32635.010979999999</v>
      </c>
      <c r="AL58" s="96">
        <f t="shared" si="148"/>
        <v>1141084.3000000003</v>
      </c>
      <c r="AM58" s="132">
        <f>+AL58/AG55-1</f>
        <v>-0.31261493088208292</v>
      </c>
      <c r="AN58" s="133">
        <f t="shared" ref="AN58:AS58" si="149">SUM(AN55:AN57)</f>
        <v>1763663.5947860249</v>
      </c>
      <c r="AO58" s="133">
        <f t="shared" si="149"/>
        <v>1546909.3389868222</v>
      </c>
      <c r="AP58" s="133">
        <f t="shared" si="149"/>
        <v>216754.25579920245</v>
      </c>
      <c r="AQ58" s="95">
        <f t="shared" si="149"/>
        <v>0</v>
      </c>
      <c r="AR58" s="95">
        <f t="shared" si="149"/>
        <v>0</v>
      </c>
      <c r="AS58" s="96">
        <f t="shared" si="149"/>
        <v>0</v>
      </c>
      <c r="AT58" s="132">
        <f>+AS58/AN55-1</f>
        <v>-1</v>
      </c>
      <c r="AU58" s="133">
        <f t="shared" ref="AU58:AZ58" si="150">SUM(AU55:AU57)</f>
        <v>1702773.4812404569</v>
      </c>
      <c r="AV58" s="133">
        <f t="shared" si="150"/>
        <v>1493502.6203960045</v>
      </c>
      <c r="AW58" s="133">
        <f t="shared" si="150"/>
        <v>209270.86084445214</v>
      </c>
      <c r="AX58" s="95">
        <f t="shared" si="150"/>
        <v>0</v>
      </c>
      <c r="AY58" s="95">
        <f t="shared" si="150"/>
        <v>0</v>
      </c>
      <c r="AZ58" s="96">
        <f t="shared" si="150"/>
        <v>0</v>
      </c>
      <c r="BA58" s="132">
        <f>+AZ58/AU55-1</f>
        <v>-1</v>
      </c>
      <c r="BB58" s="133">
        <f t="shared" ref="BB58:BG58" si="151">SUM(BB55:BB57)</f>
        <v>1888540.6701246407</v>
      </c>
      <c r="BC58" s="133">
        <f t="shared" si="151"/>
        <v>1656439.0217663224</v>
      </c>
      <c r="BD58" s="133">
        <f t="shared" si="151"/>
        <v>232101.64835831837</v>
      </c>
      <c r="BE58" s="95">
        <f t="shared" si="151"/>
        <v>0</v>
      </c>
      <c r="BF58" s="95">
        <f t="shared" si="151"/>
        <v>0</v>
      </c>
      <c r="BG58" s="96">
        <f t="shared" si="151"/>
        <v>0</v>
      </c>
      <c r="BH58" s="132">
        <f>+BG58/BB55-1</f>
        <v>-1</v>
      </c>
      <c r="BI58" s="133">
        <f t="shared" ref="BI58:BN58" si="152">SUM(BI55:BI57)</f>
        <v>1200037.392628212</v>
      </c>
      <c r="BJ58" s="133">
        <f t="shared" si="152"/>
        <v>1052552.7970742043</v>
      </c>
      <c r="BK58" s="133">
        <f t="shared" si="152"/>
        <v>147484.59555400725</v>
      </c>
      <c r="BL58" s="95">
        <f t="shared" si="152"/>
        <v>0</v>
      </c>
      <c r="BM58" s="95">
        <f t="shared" si="152"/>
        <v>0</v>
      </c>
      <c r="BN58" s="96">
        <f t="shared" si="152"/>
        <v>0</v>
      </c>
      <c r="BO58" s="132">
        <f>+BN58/BI55-1</f>
        <v>-1</v>
      </c>
      <c r="BP58" s="133">
        <f t="shared" ref="BP58:BU58" si="153">SUM(BP55:BP57)</f>
        <v>1113605.5289848382</v>
      </c>
      <c r="BQ58" s="133">
        <f t="shared" si="153"/>
        <v>976743.40947260184</v>
      </c>
      <c r="BR58" s="133">
        <f t="shared" si="153"/>
        <v>136862.11951223665</v>
      </c>
      <c r="BS58" s="95">
        <f t="shared" si="153"/>
        <v>0</v>
      </c>
      <c r="BT58" s="95">
        <f t="shared" si="153"/>
        <v>0</v>
      </c>
      <c r="BU58" s="96">
        <f t="shared" si="153"/>
        <v>0</v>
      </c>
      <c r="BV58" s="132">
        <f>+BU58/BP55-1</f>
        <v>-1</v>
      </c>
      <c r="BW58" s="133">
        <f t="shared" ref="BW58:CB58" si="154">SUM(BW55:BW57)</f>
        <v>897135.98984416539</v>
      </c>
      <c r="BX58" s="133">
        <f t="shared" si="154"/>
        <v>786877.97669231764</v>
      </c>
      <c r="BY58" s="133">
        <f t="shared" si="154"/>
        <v>110258.0131518479</v>
      </c>
      <c r="BZ58" s="95">
        <f t="shared" si="154"/>
        <v>0</v>
      </c>
      <c r="CA58" s="95">
        <f t="shared" si="154"/>
        <v>0</v>
      </c>
      <c r="CB58" s="96">
        <f t="shared" si="154"/>
        <v>0</v>
      </c>
      <c r="CC58" s="132">
        <f>+CB58/BW55-1</f>
        <v>-1</v>
      </c>
      <c r="CD58" s="133">
        <f t="shared" ref="CD58:CI58" si="155">SUM(CD55:CD57)</f>
        <v>784213.62583107711</v>
      </c>
      <c r="CE58" s="133">
        <f t="shared" si="155"/>
        <v>687833.7712164378</v>
      </c>
      <c r="CF58" s="133">
        <f t="shared" si="155"/>
        <v>96379.854614639378</v>
      </c>
      <c r="CG58" s="95">
        <f t="shared" si="155"/>
        <v>0</v>
      </c>
      <c r="CH58" s="95">
        <f t="shared" si="155"/>
        <v>0</v>
      </c>
      <c r="CI58" s="96">
        <f t="shared" si="155"/>
        <v>0</v>
      </c>
      <c r="CJ58" s="132">
        <f>+CI58/CD55-1</f>
        <v>-1</v>
      </c>
      <c r="CK58" s="133">
        <f t="shared" ref="CK58:CP58" si="156">SUM(CK55:CK57)</f>
        <v>789768.48421440518</v>
      </c>
      <c r="CL58" s="133">
        <f t="shared" si="156"/>
        <v>692705.93750445487</v>
      </c>
      <c r="CM58" s="133">
        <f t="shared" si="156"/>
        <v>97062.546709950388</v>
      </c>
      <c r="CN58" s="95">
        <f t="shared" si="156"/>
        <v>0</v>
      </c>
      <c r="CO58" s="95">
        <f t="shared" si="156"/>
        <v>0</v>
      </c>
      <c r="CP58" s="96">
        <f t="shared" si="156"/>
        <v>0</v>
      </c>
      <c r="CQ58" s="132">
        <f>+CP58/CK55-1</f>
        <v>-1</v>
      </c>
      <c r="CR58" s="192"/>
      <c r="CS58" s="193"/>
      <c r="CT58" s="193"/>
      <c r="CU58" s="193"/>
      <c r="CV58" s="193"/>
      <c r="CW58" s="193"/>
      <c r="CX58" s="193"/>
      <c r="CY58" s="27"/>
      <c r="CZ58" s="27"/>
      <c r="DA58" s="27"/>
      <c r="DB58" s="27"/>
      <c r="DC58" s="27"/>
      <c r="DD58" s="27"/>
    </row>
    <row r="59" spans="1:108" s="105" customFormat="1" ht="14.25" customHeight="1" x14ac:dyDescent="0.2">
      <c r="B59" s="104"/>
      <c r="C59" s="104"/>
      <c r="D59" s="104"/>
      <c r="J59" s="104">
        <f>+J58-'[2]RUBIÃO I'!$N$48</f>
        <v>0</v>
      </c>
      <c r="K59" s="104"/>
      <c r="L59" s="104"/>
      <c r="M59" s="104"/>
      <c r="N59" s="104"/>
      <c r="O59" s="104"/>
      <c r="P59" s="104"/>
      <c r="Q59" s="104">
        <f>+Q58-'[2]RUBIÃO I'!$N$109</f>
        <v>0</v>
      </c>
      <c r="R59" s="104"/>
      <c r="S59" s="104"/>
      <c r="T59" s="104"/>
      <c r="U59" s="104"/>
      <c r="V59" s="104"/>
      <c r="W59" s="104"/>
      <c r="X59" s="104">
        <f>+X58-'[2]RUBIÃO I'!$N$163</f>
        <v>0</v>
      </c>
      <c r="AE59" s="104">
        <f>AE58-'[2]RUBIÃO I'!$N$218</f>
        <v>0</v>
      </c>
      <c r="AL59" s="104">
        <f>AL58-'[2]RUBIÃO I'!$N$274</f>
        <v>0</v>
      </c>
      <c r="AS59" s="104">
        <f>AS58-'[3]RUBIÃO I'!$N$326</f>
        <v>0</v>
      </c>
      <c r="AZ59" s="104">
        <f>AZ58-'[3]RUBIÃO I'!$N$381</f>
        <v>0</v>
      </c>
      <c r="BA59" s="104"/>
      <c r="BB59" s="104"/>
      <c r="BC59" s="104"/>
      <c r="BD59" s="104"/>
      <c r="BE59" s="104"/>
      <c r="BF59" s="104"/>
      <c r="BG59" s="104">
        <f>BG58-'[3]RUBIÃO I'!$N$436</f>
        <v>0</v>
      </c>
      <c r="BH59" s="104"/>
      <c r="BI59" s="104"/>
      <c r="BJ59" s="104"/>
      <c r="BK59" s="104"/>
      <c r="BL59" s="104"/>
      <c r="BM59" s="104"/>
      <c r="BN59" s="104">
        <f>BN58-'[3]RUBIÃO I'!$N$491</f>
        <v>0</v>
      </c>
      <c r="BO59" s="104"/>
      <c r="BP59" s="104"/>
      <c r="BQ59" s="104"/>
      <c r="BR59" s="104"/>
      <c r="BS59" s="104"/>
      <c r="BT59" s="104"/>
      <c r="BU59" s="104">
        <f>BU58-'[3]RUBIÃO I'!$N$546</f>
        <v>0</v>
      </c>
      <c r="BV59" s="104"/>
      <c r="BW59" s="104"/>
      <c r="BX59" s="104"/>
      <c r="BY59" s="104"/>
      <c r="BZ59" s="104"/>
      <c r="CA59" s="104"/>
      <c r="CB59" s="104">
        <f>CB58-'[3]RUBIÃO I'!$N$601</f>
        <v>0</v>
      </c>
      <c r="CC59" s="104"/>
      <c r="CD59" s="104"/>
      <c r="CE59" s="104"/>
      <c r="CF59" s="104"/>
      <c r="CG59" s="104"/>
      <c r="CH59" s="104"/>
      <c r="CI59" s="104">
        <f>CI58-'[3]RUBIÃO I'!$N$656</f>
        <v>0</v>
      </c>
      <c r="CP59" s="104">
        <f>CP58-'[3]RUBIÃO I'!$N$711</f>
        <v>0</v>
      </c>
    </row>
    <row r="60" spans="1:108" ht="14.25" customHeight="1" x14ac:dyDescent="0.2">
      <c r="L60" s="269" t="s">
        <v>83</v>
      </c>
      <c r="M60" s="270"/>
      <c r="N60" s="270"/>
      <c r="O60" s="270"/>
      <c r="P60" s="270"/>
      <c r="Q60" s="271"/>
      <c r="R60" s="272"/>
      <c r="S60" s="269" t="s">
        <v>83</v>
      </c>
      <c r="T60" s="270"/>
      <c r="U60" s="270"/>
      <c r="V60" s="270"/>
      <c r="W60" s="270"/>
      <c r="X60" s="271"/>
      <c r="Y60" s="272"/>
      <c r="Z60" s="269" t="s">
        <v>83</v>
      </c>
      <c r="AA60" s="270"/>
      <c r="AB60" s="270"/>
      <c r="AC60" s="270"/>
      <c r="AD60" s="270"/>
      <c r="AE60" s="271"/>
      <c r="AF60" s="272"/>
      <c r="AG60" s="269" t="s">
        <v>83</v>
      </c>
      <c r="AH60" s="270"/>
      <c r="AI60" s="270"/>
      <c r="AJ60" s="270"/>
      <c r="AK60" s="270"/>
      <c r="AL60" s="271"/>
      <c r="AM60" s="272"/>
      <c r="AN60" s="269" t="s">
        <v>83</v>
      </c>
      <c r="AO60" s="270"/>
      <c r="AP60" s="270"/>
      <c r="AQ60" s="270"/>
      <c r="AR60" s="270"/>
      <c r="AS60" s="271"/>
      <c r="AT60" s="272"/>
      <c r="AU60" s="269" t="s">
        <v>83</v>
      </c>
      <c r="AV60" s="270"/>
      <c r="AW60" s="270"/>
      <c r="AX60" s="270"/>
      <c r="AY60" s="270"/>
      <c r="AZ60" s="271"/>
      <c r="BA60" s="272"/>
      <c r="BB60" s="269" t="s">
        <v>83</v>
      </c>
      <c r="BC60" s="270"/>
      <c r="BD60" s="270"/>
      <c r="BE60" s="270"/>
      <c r="BF60" s="270"/>
      <c r="BG60" s="271"/>
      <c r="BH60" s="272"/>
      <c r="BI60" s="269" t="s">
        <v>83</v>
      </c>
      <c r="BJ60" s="270"/>
      <c r="BK60" s="270"/>
      <c r="BL60" s="270"/>
      <c r="BM60" s="270"/>
      <c r="BN60" s="271"/>
      <c r="BO60" s="272"/>
      <c r="BP60" s="269" t="s">
        <v>83</v>
      </c>
      <c r="BQ60" s="270"/>
      <c r="BR60" s="270"/>
      <c r="BS60" s="270"/>
      <c r="BT60" s="270"/>
      <c r="BU60" s="271"/>
      <c r="BV60" s="272"/>
      <c r="BW60" s="269" t="s">
        <v>83</v>
      </c>
      <c r="BX60" s="270"/>
      <c r="BY60" s="270"/>
      <c r="BZ60" s="270"/>
      <c r="CA60" s="270"/>
      <c r="CB60" s="271"/>
      <c r="CC60" s="272"/>
      <c r="CD60" s="269" t="s">
        <v>83</v>
      </c>
      <c r="CE60" s="270"/>
      <c r="CF60" s="270"/>
      <c r="CG60" s="270"/>
      <c r="CH60" s="270"/>
      <c r="CI60" s="271"/>
      <c r="CJ60" s="272"/>
      <c r="CK60" s="269" t="s">
        <v>83</v>
      </c>
      <c r="CL60" s="270"/>
      <c r="CM60" s="270"/>
      <c r="CN60" s="270"/>
      <c r="CO60" s="270"/>
      <c r="CP60" s="271"/>
      <c r="CQ60" s="272"/>
      <c r="CR60" s="145"/>
      <c r="CS60" s="145"/>
      <c r="CT60" s="145"/>
      <c r="CU60" s="145"/>
      <c r="CV60" s="145"/>
      <c r="CW60" s="145"/>
      <c r="CX60" s="145"/>
    </row>
    <row r="61" spans="1:108" ht="14.25" customHeight="1" x14ac:dyDescent="0.2">
      <c r="A61" s="156"/>
      <c r="L61" s="107" t="s">
        <v>84</v>
      </c>
      <c r="M61" s="108"/>
      <c r="N61" s="108"/>
      <c r="O61" s="108"/>
      <c r="P61" s="108"/>
      <c r="Q61" s="109"/>
      <c r="R61" s="166">
        <f>19.05+1184.85+68.66+5.94+110.78+4.5+1069.6+314.82+167.9+562.17+66.71+11.24+9.59+61.2+697.79+84.78+1.6+1184.85+9.85+5.67</f>
        <v>5641.5500000000011</v>
      </c>
      <c r="S61" s="107" t="s">
        <v>84</v>
      </c>
      <c r="T61" s="108"/>
      <c r="U61" s="108"/>
      <c r="V61" s="108"/>
      <c r="W61" s="108"/>
      <c r="X61" s="109"/>
      <c r="Y61" s="168">
        <f>26.98+20.72+32.98+110.79+25.11+22.49+1151.49+72.29+566.21+108.98+7.52+40.48+1184.85+134.92+5.94+39.39+4.5+11.99+562.17+11.24</f>
        <v>4141.0399999999991</v>
      </c>
      <c r="Z61" s="107" t="s">
        <v>84</v>
      </c>
      <c r="AA61" s="108"/>
      <c r="AB61" s="108"/>
      <c r="AC61" s="108"/>
      <c r="AD61" s="108"/>
      <c r="AE61" s="109"/>
      <c r="AF61" s="168">
        <f>27.73+5.94+29.92+4.5+179.9+562.17+11.24+58.64+1184.85+16.49+61.37+485.86+84.86</f>
        <v>2713.47</v>
      </c>
      <c r="AG61" s="107" t="s">
        <v>84</v>
      </c>
      <c r="AH61" s="108"/>
      <c r="AI61" s="108"/>
      <c r="AJ61" s="108"/>
      <c r="AK61" s="108"/>
      <c r="AL61" s="109"/>
      <c r="AM61" s="168">
        <f>18.14+5.94+314.82+43.41+7.81+4.5+1093.25+562.17+11.24+251.85+49.47+55.6+637.07+75.23+1184.85+27.73</f>
        <v>4343.079999999999</v>
      </c>
      <c r="AN61" s="107"/>
      <c r="AO61" s="108"/>
      <c r="AP61" s="108"/>
      <c r="AQ61" s="108"/>
      <c r="AR61" s="108"/>
      <c r="AS61" s="109"/>
      <c r="AT61" s="168"/>
      <c r="AU61" s="107"/>
      <c r="AV61" s="108"/>
      <c r="AW61" s="108"/>
      <c r="AX61" s="108"/>
      <c r="AY61" s="108"/>
      <c r="AZ61" s="109"/>
      <c r="BA61" s="168"/>
      <c r="BB61" s="107"/>
      <c r="BC61" s="108"/>
      <c r="BD61" s="108"/>
      <c r="BE61" s="108"/>
      <c r="BF61" s="108"/>
      <c r="BG61" s="109"/>
      <c r="BH61" s="168"/>
      <c r="BI61" s="107"/>
      <c r="BJ61" s="108"/>
      <c r="BK61" s="108"/>
      <c r="BL61" s="108"/>
      <c r="BM61" s="108"/>
      <c r="BN61" s="109"/>
      <c r="BO61" s="168"/>
      <c r="BP61" s="107"/>
      <c r="BQ61" s="108"/>
      <c r="BR61" s="108"/>
      <c r="BS61" s="108"/>
      <c r="BT61" s="108"/>
      <c r="BU61" s="109"/>
      <c r="BV61" s="168"/>
      <c r="BW61" s="107"/>
      <c r="BX61" s="108"/>
      <c r="BY61" s="108"/>
      <c r="BZ61" s="108"/>
      <c r="CA61" s="108"/>
      <c r="CB61" s="109"/>
      <c r="CC61" s="168"/>
      <c r="CD61" s="107"/>
      <c r="CE61" s="108"/>
      <c r="CF61" s="108"/>
      <c r="CG61" s="108"/>
      <c r="CH61" s="108"/>
      <c r="CI61" s="109"/>
      <c r="CJ61" s="168"/>
      <c r="CK61" s="107"/>
      <c r="CL61" s="108"/>
      <c r="CM61" s="108"/>
      <c r="CN61" s="108"/>
      <c r="CO61" s="108"/>
      <c r="CP61" s="109"/>
      <c r="CQ61" s="168"/>
      <c r="CR61" s="139"/>
      <c r="CS61" s="139"/>
      <c r="CT61" s="139"/>
      <c r="CU61" s="139"/>
      <c r="CV61" s="139"/>
      <c r="CW61" s="139"/>
      <c r="CX61" s="139"/>
    </row>
    <row r="62" spans="1:108" ht="14.25" customHeight="1" x14ac:dyDescent="0.2">
      <c r="A62" s="156"/>
      <c r="L62" s="107" t="s">
        <v>86</v>
      </c>
      <c r="M62" s="108"/>
      <c r="N62" s="108"/>
      <c r="O62" s="108"/>
      <c r="P62" s="108"/>
      <c r="Q62" s="109"/>
      <c r="R62" s="166">
        <f>672.07</f>
        <v>672.07</v>
      </c>
      <c r="S62" s="107" t="s">
        <v>86</v>
      </c>
      <c r="T62" s="108"/>
      <c r="U62" s="108"/>
      <c r="V62" s="108"/>
      <c r="W62" s="108"/>
      <c r="X62" s="109"/>
      <c r="Y62" s="168">
        <f>530.35</f>
        <v>530.35</v>
      </c>
      <c r="Z62" s="107" t="s">
        <v>86</v>
      </c>
      <c r="AA62" s="108"/>
      <c r="AB62" s="108"/>
      <c r="AC62" s="108"/>
      <c r="AD62" s="108"/>
      <c r="AE62" s="109"/>
      <c r="AF62" s="168">
        <f>867.16</f>
        <v>867.16</v>
      </c>
      <c r="AG62" s="107" t="s">
        <v>86</v>
      </c>
      <c r="AH62" s="108"/>
      <c r="AI62" s="108"/>
      <c r="AJ62" s="108"/>
      <c r="AK62" s="108"/>
      <c r="AL62" s="109"/>
      <c r="AM62" s="168">
        <f>641.3</f>
        <v>641.29999999999995</v>
      </c>
      <c r="AN62" s="107"/>
      <c r="AO62" s="108"/>
      <c r="AP62" s="108"/>
      <c r="AQ62" s="108"/>
      <c r="AR62" s="108"/>
      <c r="AS62" s="109"/>
      <c r="AT62" s="168"/>
      <c r="AU62" s="107"/>
      <c r="AV62" s="108"/>
      <c r="AW62" s="108"/>
      <c r="AX62" s="108"/>
      <c r="AY62" s="108"/>
      <c r="AZ62" s="109"/>
      <c r="BA62" s="168"/>
      <c r="BB62" s="107"/>
      <c r="BC62" s="108"/>
      <c r="BD62" s="108"/>
      <c r="BE62" s="108"/>
      <c r="BF62" s="108"/>
      <c r="BG62" s="109"/>
      <c r="BH62" s="168"/>
      <c r="BI62" s="107"/>
      <c r="BJ62" s="108"/>
      <c r="BK62" s="108"/>
      <c r="BL62" s="108"/>
      <c r="BM62" s="108"/>
      <c r="BN62" s="109"/>
      <c r="BO62" s="168"/>
      <c r="BP62" s="107"/>
      <c r="BQ62" s="108"/>
      <c r="BR62" s="108"/>
      <c r="BS62" s="108"/>
      <c r="BT62" s="108"/>
      <c r="BU62" s="109"/>
      <c r="BV62" s="168"/>
      <c r="BW62" s="107"/>
      <c r="BX62" s="108"/>
      <c r="BY62" s="108"/>
      <c r="BZ62" s="108"/>
      <c r="CA62" s="108"/>
      <c r="CB62" s="109"/>
      <c r="CC62" s="168"/>
      <c r="CD62" s="107"/>
      <c r="CE62" s="108"/>
      <c r="CF62" s="108"/>
      <c r="CG62" s="108"/>
      <c r="CH62" s="108"/>
      <c r="CI62" s="109"/>
      <c r="CJ62" s="168"/>
      <c r="CK62" s="107"/>
      <c r="CL62" s="108"/>
      <c r="CM62" s="108"/>
      <c r="CN62" s="108"/>
      <c r="CO62" s="108"/>
      <c r="CP62" s="109"/>
      <c r="CQ62" s="168"/>
      <c r="CR62" s="139"/>
      <c r="CS62" s="139"/>
      <c r="CT62" s="139"/>
      <c r="CU62" s="139"/>
      <c r="CV62" s="139"/>
      <c r="CW62" s="139"/>
      <c r="CX62" s="139"/>
    </row>
    <row r="63" spans="1:108" ht="14.25" customHeight="1" x14ac:dyDescent="0.2">
      <c r="A63" s="139"/>
      <c r="L63" s="107" t="s">
        <v>87</v>
      </c>
      <c r="M63" s="108"/>
      <c r="N63" s="108"/>
      <c r="O63" s="108"/>
      <c r="P63" s="108"/>
      <c r="Q63" s="109"/>
      <c r="R63" s="166">
        <f>643.18</f>
        <v>643.17999999999995</v>
      </c>
      <c r="S63" s="107" t="s">
        <v>87</v>
      </c>
      <c r="T63" s="108"/>
      <c r="U63" s="108"/>
      <c r="V63" s="108"/>
      <c r="W63" s="108"/>
      <c r="X63" s="109"/>
      <c r="Y63" s="168">
        <f>210</f>
        <v>210</v>
      </c>
      <c r="Z63" s="107" t="s">
        <v>87</v>
      </c>
      <c r="AA63" s="108"/>
      <c r="AB63" s="108"/>
      <c r="AC63" s="108"/>
      <c r="AD63" s="108"/>
      <c r="AE63" s="109"/>
      <c r="AF63" s="168">
        <f>625.34</f>
        <v>625.34</v>
      </c>
      <c r="AG63" s="107" t="s">
        <v>87</v>
      </c>
      <c r="AH63" s="108"/>
      <c r="AI63" s="108"/>
      <c r="AJ63" s="108"/>
      <c r="AK63" s="108"/>
      <c r="AL63" s="109"/>
      <c r="AM63" s="168">
        <f>694.71+120</f>
        <v>814.71</v>
      </c>
      <c r="AN63" s="107"/>
      <c r="AO63" s="108"/>
      <c r="AP63" s="108"/>
      <c r="AQ63" s="108"/>
      <c r="AR63" s="108"/>
      <c r="AS63" s="109"/>
      <c r="AT63" s="168"/>
      <c r="AU63" s="107"/>
      <c r="AV63" s="108"/>
      <c r="AW63" s="108"/>
      <c r="AX63" s="108"/>
      <c r="AY63" s="108"/>
      <c r="AZ63" s="109"/>
      <c r="BA63" s="168"/>
      <c r="BB63" s="107"/>
      <c r="BC63" s="108"/>
      <c r="BD63" s="108"/>
      <c r="BE63" s="108"/>
      <c r="BF63" s="108"/>
      <c r="BG63" s="109"/>
      <c r="BH63" s="168"/>
      <c r="BI63" s="107"/>
      <c r="BJ63" s="108"/>
      <c r="BK63" s="108"/>
      <c r="BL63" s="108"/>
      <c r="BM63" s="108"/>
      <c r="BN63" s="109"/>
      <c r="BO63" s="168"/>
      <c r="BP63" s="107"/>
      <c r="BQ63" s="108"/>
      <c r="BR63" s="108"/>
      <c r="BS63" s="108"/>
      <c r="BT63" s="108"/>
      <c r="BU63" s="109"/>
      <c r="BV63" s="168"/>
      <c r="BW63" s="107"/>
      <c r="BX63" s="108"/>
      <c r="BY63" s="108"/>
      <c r="BZ63" s="108"/>
      <c r="CA63" s="108"/>
      <c r="CB63" s="109"/>
      <c r="CC63" s="168"/>
      <c r="CD63" s="107"/>
      <c r="CE63" s="108"/>
      <c r="CF63" s="108"/>
      <c r="CG63" s="108"/>
      <c r="CH63" s="108"/>
      <c r="CI63" s="109"/>
      <c r="CJ63" s="168"/>
      <c r="CK63" s="107"/>
      <c r="CL63" s="108"/>
      <c r="CM63" s="108"/>
      <c r="CN63" s="108"/>
      <c r="CO63" s="108"/>
      <c r="CP63" s="109"/>
      <c r="CQ63" s="168"/>
      <c r="CR63" s="139"/>
      <c r="CS63" s="139"/>
      <c r="CT63" s="139"/>
      <c r="CU63" s="139"/>
      <c r="CV63" s="139"/>
      <c r="CW63" s="139"/>
      <c r="CX63" s="139"/>
    </row>
    <row r="64" spans="1:108" ht="14.25" customHeight="1" x14ac:dyDescent="0.2">
      <c r="A64" s="139"/>
      <c r="L64" s="107" t="s">
        <v>89</v>
      </c>
      <c r="M64" s="108"/>
      <c r="N64" s="108"/>
      <c r="O64" s="108"/>
      <c r="P64" s="108"/>
      <c r="Q64" s="109"/>
      <c r="R64" s="166">
        <f>516.35+78+190.2</f>
        <v>784.55</v>
      </c>
      <c r="S64" s="107" t="s">
        <v>89</v>
      </c>
      <c r="T64" s="108"/>
      <c r="U64" s="108"/>
      <c r="V64" s="108"/>
      <c r="W64" s="108"/>
      <c r="X64" s="109"/>
      <c r="Y64" s="168">
        <f>361.98+290.04</f>
        <v>652.02</v>
      </c>
      <c r="Z64" s="107" t="s">
        <v>89</v>
      </c>
      <c r="AA64" s="108"/>
      <c r="AB64" s="108"/>
      <c r="AC64" s="108"/>
      <c r="AD64" s="108"/>
      <c r="AE64" s="109"/>
      <c r="AF64" s="168">
        <f>364.18</f>
        <v>364.18</v>
      </c>
      <c r="AG64" s="107" t="s">
        <v>89</v>
      </c>
      <c r="AH64" s="108"/>
      <c r="AI64" s="108"/>
      <c r="AJ64" s="108"/>
      <c r="AK64" s="108"/>
      <c r="AL64" s="109"/>
      <c r="AM64" s="168">
        <f>1063.81</f>
        <v>1063.81</v>
      </c>
      <c r="AN64" s="107"/>
      <c r="AO64" s="108"/>
      <c r="AP64" s="108"/>
      <c r="AQ64" s="108"/>
      <c r="AR64" s="108"/>
      <c r="AS64" s="109"/>
      <c r="AT64" s="168"/>
      <c r="AU64" s="107"/>
      <c r="AV64" s="108"/>
      <c r="AW64" s="108"/>
      <c r="AX64" s="108"/>
      <c r="AY64" s="108"/>
      <c r="AZ64" s="109"/>
      <c r="BA64" s="168"/>
      <c r="BB64" s="107"/>
      <c r="BC64" s="108"/>
      <c r="BD64" s="108"/>
      <c r="BE64" s="108"/>
      <c r="BF64" s="108"/>
      <c r="BG64" s="109"/>
      <c r="BH64" s="168"/>
      <c r="BI64" s="107"/>
      <c r="BJ64" s="108"/>
      <c r="BK64" s="108"/>
      <c r="BL64" s="108"/>
      <c r="BM64" s="108"/>
      <c r="BN64" s="109"/>
      <c r="BO64" s="168"/>
      <c r="BP64" s="107"/>
      <c r="BQ64" s="108"/>
      <c r="BR64" s="108"/>
      <c r="BS64" s="108"/>
      <c r="BT64" s="108"/>
      <c r="BU64" s="109"/>
      <c r="BV64" s="168"/>
      <c r="BW64" s="107"/>
      <c r="BX64" s="108"/>
      <c r="BY64" s="108"/>
      <c r="BZ64" s="108"/>
      <c r="CA64" s="108"/>
      <c r="CB64" s="109"/>
      <c r="CC64" s="168"/>
      <c r="CD64" s="107"/>
      <c r="CE64" s="108"/>
      <c r="CF64" s="108"/>
      <c r="CG64" s="108"/>
      <c r="CH64" s="108"/>
      <c r="CI64" s="109"/>
      <c r="CJ64" s="168"/>
      <c r="CK64" s="107"/>
      <c r="CL64" s="108"/>
      <c r="CM64" s="108"/>
      <c r="CN64" s="108"/>
      <c r="CO64" s="108"/>
      <c r="CP64" s="109"/>
      <c r="CQ64" s="168"/>
      <c r="CR64" s="139"/>
      <c r="CS64" s="139"/>
      <c r="CT64" s="139"/>
      <c r="CU64" s="139"/>
      <c r="CV64" s="139"/>
      <c r="CW64" s="139"/>
      <c r="CX64" s="139"/>
    </row>
    <row r="65" spans="1:105" ht="14.25" customHeight="1" x14ac:dyDescent="0.2">
      <c r="A65" s="139"/>
      <c r="L65" s="107" t="s">
        <v>159</v>
      </c>
      <c r="M65" s="108"/>
      <c r="N65" s="108"/>
      <c r="O65" s="108"/>
      <c r="P65" s="108"/>
      <c r="Q65" s="109"/>
      <c r="R65" s="166">
        <f>151.05+657.5+409.98</f>
        <v>1218.53</v>
      </c>
      <c r="S65" s="107" t="s">
        <v>159</v>
      </c>
      <c r="T65" s="108"/>
      <c r="U65" s="108"/>
      <c r="V65" s="108"/>
      <c r="W65" s="108"/>
      <c r="X65" s="109"/>
      <c r="Y65" s="168">
        <f>751.51</f>
        <v>751.51</v>
      </c>
      <c r="Z65" s="107" t="s">
        <v>159</v>
      </c>
      <c r="AA65" s="108"/>
      <c r="AB65" s="108"/>
      <c r="AC65" s="108"/>
      <c r="AD65" s="108"/>
      <c r="AE65" s="109"/>
      <c r="AF65" s="168"/>
      <c r="AG65" s="107" t="s">
        <v>159</v>
      </c>
      <c r="AH65" s="108"/>
      <c r="AI65" s="108"/>
      <c r="AJ65" s="108"/>
      <c r="AK65" s="108"/>
      <c r="AL65" s="109"/>
      <c r="AM65" s="168">
        <f>760+320</f>
        <v>1080</v>
      </c>
      <c r="AN65" s="107"/>
      <c r="AO65" s="108"/>
      <c r="AP65" s="108"/>
      <c r="AQ65" s="108"/>
      <c r="AR65" s="108"/>
      <c r="AS65" s="109"/>
      <c r="AT65" s="168"/>
      <c r="AU65" s="107"/>
      <c r="AV65" s="108"/>
      <c r="AW65" s="108"/>
      <c r="AX65" s="108"/>
      <c r="AY65" s="108"/>
      <c r="AZ65" s="109"/>
      <c r="BA65" s="168"/>
      <c r="BB65" s="107"/>
      <c r="BC65" s="108"/>
      <c r="BD65" s="108"/>
      <c r="BE65" s="108"/>
      <c r="BF65" s="108"/>
      <c r="BG65" s="109"/>
      <c r="BH65" s="168"/>
      <c r="BI65" s="107"/>
      <c r="BJ65" s="108"/>
      <c r="BK65" s="108"/>
      <c r="BL65" s="108"/>
      <c r="BM65" s="108"/>
      <c r="BN65" s="109"/>
      <c r="BO65" s="168"/>
      <c r="BP65" s="107"/>
      <c r="BQ65" s="108"/>
      <c r="BR65" s="108"/>
      <c r="BS65" s="108"/>
      <c r="BT65" s="108"/>
      <c r="BU65" s="109"/>
      <c r="BV65" s="168"/>
      <c r="BW65" s="107"/>
      <c r="BX65" s="108"/>
      <c r="BY65" s="108"/>
      <c r="BZ65" s="108"/>
      <c r="CA65" s="108"/>
      <c r="CB65" s="109"/>
      <c r="CC65" s="168"/>
      <c r="CD65" s="107"/>
      <c r="CE65" s="108"/>
      <c r="CF65" s="108"/>
      <c r="CG65" s="108"/>
      <c r="CH65" s="108"/>
      <c r="CI65" s="109"/>
      <c r="CJ65" s="168"/>
      <c r="CK65" s="107"/>
      <c r="CL65" s="108"/>
      <c r="CM65" s="108"/>
      <c r="CN65" s="108"/>
      <c r="CO65" s="108"/>
      <c r="CP65" s="109"/>
      <c r="CQ65" s="168"/>
      <c r="CR65" s="139"/>
      <c r="CS65" s="139"/>
      <c r="CT65" s="139"/>
      <c r="CU65" s="139"/>
      <c r="CV65" s="139"/>
      <c r="CW65" s="139"/>
      <c r="CX65" s="139"/>
    </row>
    <row r="66" spans="1:105" ht="14.25" customHeight="1" x14ac:dyDescent="0.2">
      <c r="A66" s="139"/>
      <c r="L66" s="107" t="s">
        <v>94</v>
      </c>
      <c r="M66" s="108"/>
      <c r="N66" s="108"/>
      <c r="O66" s="108"/>
      <c r="P66" s="108"/>
      <c r="Q66" s="109"/>
      <c r="R66" s="166">
        <f>177.1</f>
        <v>177.1</v>
      </c>
      <c r="S66" s="107" t="s">
        <v>94</v>
      </c>
      <c r="T66" s="108"/>
      <c r="U66" s="108"/>
      <c r="V66" s="108"/>
      <c r="W66" s="108"/>
      <c r="X66" s="109"/>
      <c r="Y66" s="168"/>
      <c r="Z66" s="107" t="s">
        <v>94</v>
      </c>
      <c r="AA66" s="108"/>
      <c r="AB66" s="108"/>
      <c r="AC66" s="108"/>
      <c r="AD66" s="108"/>
      <c r="AE66" s="109"/>
      <c r="AF66" s="168"/>
      <c r="AG66" s="107" t="s">
        <v>94</v>
      </c>
      <c r="AH66" s="108"/>
      <c r="AI66" s="108"/>
      <c r="AJ66" s="108"/>
      <c r="AK66" s="108"/>
      <c r="AL66" s="109"/>
      <c r="AM66" s="168"/>
      <c r="AN66" s="107"/>
      <c r="AO66" s="108"/>
      <c r="AP66" s="108"/>
      <c r="AQ66" s="108"/>
      <c r="AR66" s="108"/>
      <c r="AS66" s="109"/>
      <c r="AT66" s="168"/>
      <c r="AU66" s="107"/>
      <c r="AV66" s="108"/>
      <c r="AW66" s="108"/>
      <c r="AX66" s="108"/>
      <c r="AY66" s="108"/>
      <c r="AZ66" s="109"/>
      <c r="BA66" s="168"/>
      <c r="BB66" s="107"/>
      <c r="BC66" s="108"/>
      <c r="BD66" s="108"/>
      <c r="BE66" s="108"/>
      <c r="BF66" s="108"/>
      <c r="BG66" s="109"/>
      <c r="BH66" s="168"/>
      <c r="BI66" s="107"/>
      <c r="BJ66" s="108"/>
      <c r="BK66" s="108"/>
      <c r="BL66" s="108"/>
      <c r="BM66" s="108"/>
      <c r="BN66" s="109"/>
      <c r="BO66" s="168"/>
      <c r="BP66" s="107"/>
      <c r="BQ66" s="108"/>
      <c r="BR66" s="108"/>
      <c r="BS66" s="108"/>
      <c r="BT66" s="108"/>
      <c r="BU66" s="109"/>
      <c r="BV66" s="168"/>
      <c r="BW66" s="107"/>
      <c r="BX66" s="108"/>
      <c r="BY66" s="108"/>
      <c r="BZ66" s="108"/>
      <c r="CA66" s="108"/>
      <c r="CB66" s="109"/>
      <c r="CC66" s="168"/>
      <c r="CD66" s="107"/>
      <c r="CE66" s="108"/>
      <c r="CF66" s="108"/>
      <c r="CG66" s="108"/>
      <c r="CH66" s="108"/>
      <c r="CI66" s="109"/>
      <c r="CJ66" s="168"/>
      <c r="CK66" s="107"/>
      <c r="CL66" s="108"/>
      <c r="CM66" s="108"/>
      <c r="CN66" s="108"/>
      <c r="CO66" s="108"/>
      <c r="CP66" s="109"/>
      <c r="CQ66" s="168"/>
      <c r="CR66" s="139"/>
      <c r="CS66" s="139"/>
      <c r="CT66" s="139"/>
      <c r="CU66" s="139"/>
      <c r="CV66" s="139"/>
      <c r="CW66" s="139"/>
      <c r="CX66" s="139"/>
    </row>
    <row r="67" spans="1:105" ht="14.25" customHeight="1" x14ac:dyDescent="0.2">
      <c r="A67" s="139"/>
      <c r="L67" s="107" t="s">
        <v>95</v>
      </c>
      <c r="M67" s="108"/>
      <c r="N67" s="108"/>
      <c r="O67" s="108"/>
      <c r="P67" s="108"/>
      <c r="Q67" s="109"/>
      <c r="R67" s="166">
        <f>675</f>
        <v>675</v>
      </c>
      <c r="S67" s="107" t="s">
        <v>95</v>
      </c>
      <c r="T67" s="108"/>
      <c r="U67" s="108"/>
      <c r="V67" s="108"/>
      <c r="W67" s="108"/>
      <c r="X67" s="109"/>
      <c r="Y67" s="168"/>
      <c r="Z67" s="107" t="s">
        <v>95</v>
      </c>
      <c r="AA67" s="108"/>
      <c r="AB67" s="108"/>
      <c r="AC67" s="108"/>
      <c r="AD67" s="108"/>
      <c r="AE67" s="109"/>
      <c r="AF67" s="168">
        <f>675</f>
        <v>675</v>
      </c>
      <c r="AG67" s="107" t="s">
        <v>95</v>
      </c>
      <c r="AH67" s="108"/>
      <c r="AI67" s="108"/>
      <c r="AJ67" s="108"/>
      <c r="AK67" s="108"/>
      <c r="AL67" s="109"/>
      <c r="AM67" s="168">
        <f>725</f>
        <v>725</v>
      </c>
      <c r="AN67" s="107"/>
      <c r="AO67" s="108"/>
      <c r="AP67" s="108"/>
      <c r="AQ67" s="108"/>
      <c r="AR67" s="108"/>
      <c r="AS67" s="109"/>
      <c r="AT67" s="168"/>
      <c r="AU67" s="107"/>
      <c r="AV67" s="108"/>
      <c r="AW67" s="108"/>
      <c r="AX67" s="108"/>
      <c r="AY67" s="108"/>
      <c r="AZ67" s="109"/>
      <c r="BA67" s="168"/>
      <c r="BB67" s="107"/>
      <c r="BC67" s="108"/>
      <c r="BD67" s="108"/>
      <c r="BE67" s="108"/>
      <c r="BF67" s="108"/>
      <c r="BG67" s="109"/>
      <c r="BH67" s="168"/>
      <c r="BI67" s="107"/>
      <c r="BJ67" s="108"/>
      <c r="BK67" s="108"/>
      <c r="BL67" s="108"/>
      <c r="BM67" s="108"/>
      <c r="BN67" s="109"/>
      <c r="BO67" s="168"/>
      <c r="BP67" s="107"/>
      <c r="BQ67" s="108"/>
      <c r="BR67" s="108"/>
      <c r="BS67" s="108"/>
      <c r="BT67" s="108"/>
      <c r="BU67" s="109"/>
      <c r="BV67" s="168"/>
      <c r="BW67" s="107"/>
      <c r="BX67" s="108"/>
      <c r="BY67" s="108"/>
      <c r="BZ67" s="108"/>
      <c r="CA67" s="108"/>
      <c r="CB67" s="109"/>
      <c r="CC67" s="168"/>
      <c r="CD67" s="107"/>
      <c r="CE67" s="108"/>
      <c r="CF67" s="108"/>
      <c r="CG67" s="108"/>
      <c r="CH67" s="108"/>
      <c r="CI67" s="109"/>
      <c r="CJ67" s="168"/>
      <c r="CK67" s="107"/>
      <c r="CL67" s="108"/>
      <c r="CM67" s="108"/>
      <c r="CN67" s="108"/>
      <c r="CO67" s="108"/>
      <c r="CP67" s="109"/>
      <c r="CQ67" s="168"/>
      <c r="CR67" s="139"/>
      <c r="CS67" s="139"/>
      <c r="CT67" s="139"/>
      <c r="CU67" s="139"/>
      <c r="CV67" s="139"/>
      <c r="CW67" s="139"/>
      <c r="CX67" s="139"/>
    </row>
    <row r="68" spans="1:105" ht="14.25" customHeight="1" x14ac:dyDescent="0.2">
      <c r="A68" s="139"/>
      <c r="L68" s="107" t="s">
        <v>90</v>
      </c>
      <c r="M68" s="108"/>
      <c r="N68" s="108"/>
      <c r="O68" s="108"/>
      <c r="P68" s="108"/>
      <c r="Q68" s="109"/>
      <c r="R68" s="166">
        <f>635</f>
        <v>635</v>
      </c>
      <c r="S68" s="107" t="s">
        <v>90</v>
      </c>
      <c r="T68" s="108"/>
      <c r="U68" s="108"/>
      <c r="V68" s="108"/>
      <c r="W68" s="108"/>
      <c r="X68" s="109"/>
      <c r="Y68" s="168">
        <f>66</f>
        <v>66</v>
      </c>
      <c r="Z68" s="107" t="s">
        <v>90</v>
      </c>
      <c r="AA68" s="108"/>
      <c r="AB68" s="108"/>
      <c r="AC68" s="108"/>
      <c r="AD68" s="108"/>
      <c r="AE68" s="109"/>
      <c r="AF68" s="168">
        <f>4276</f>
        <v>4276</v>
      </c>
      <c r="AG68" s="107" t="s">
        <v>90</v>
      </c>
      <c r="AH68" s="108"/>
      <c r="AI68" s="108"/>
      <c r="AJ68" s="108"/>
      <c r="AK68" s="108"/>
      <c r="AL68" s="109"/>
      <c r="AM68" s="168">
        <f>678.5</f>
        <v>678.5</v>
      </c>
      <c r="AN68" s="107"/>
      <c r="AO68" s="108"/>
      <c r="AP68" s="108"/>
      <c r="AQ68" s="108"/>
      <c r="AR68" s="108"/>
      <c r="AS68" s="109"/>
      <c r="AT68" s="168"/>
      <c r="AU68" s="107"/>
      <c r="AV68" s="108"/>
      <c r="AW68" s="108"/>
      <c r="AX68" s="108"/>
      <c r="AY68" s="108"/>
      <c r="AZ68" s="109"/>
      <c r="BA68" s="168"/>
      <c r="BB68" s="107"/>
      <c r="BC68" s="108"/>
      <c r="BD68" s="108"/>
      <c r="BE68" s="108"/>
      <c r="BF68" s="108"/>
      <c r="BG68" s="109"/>
      <c r="BH68" s="168"/>
      <c r="BI68" s="107"/>
      <c r="BJ68" s="108"/>
      <c r="BK68" s="108"/>
      <c r="BL68" s="108"/>
      <c r="BM68" s="108"/>
      <c r="BN68" s="109"/>
      <c r="BO68" s="168"/>
      <c r="BP68" s="107"/>
      <c r="BQ68" s="108"/>
      <c r="BR68" s="108"/>
      <c r="BS68" s="108"/>
      <c r="BT68" s="108"/>
      <c r="BU68" s="109"/>
      <c r="BV68" s="168"/>
      <c r="BW68" s="107"/>
      <c r="BX68" s="108"/>
      <c r="BY68" s="108"/>
      <c r="BZ68" s="108"/>
      <c r="CA68" s="108"/>
      <c r="CB68" s="109"/>
      <c r="CC68" s="168"/>
      <c r="CD68" s="107"/>
      <c r="CE68" s="108"/>
      <c r="CF68" s="108"/>
      <c r="CG68" s="108"/>
      <c r="CH68" s="108"/>
      <c r="CI68" s="109"/>
      <c r="CJ68" s="168"/>
      <c r="CK68" s="107"/>
      <c r="CL68" s="108"/>
      <c r="CM68" s="108"/>
      <c r="CN68" s="108"/>
      <c r="CO68" s="108"/>
      <c r="CP68" s="109"/>
      <c r="CQ68" s="168"/>
      <c r="CR68" s="139"/>
      <c r="CS68" s="139"/>
      <c r="CT68" s="139"/>
      <c r="CU68" s="139"/>
      <c r="CV68" s="139"/>
      <c r="CW68" s="139"/>
      <c r="CX68" s="139"/>
    </row>
    <row r="69" spans="1:105" ht="14.25" customHeight="1" x14ac:dyDescent="0.2">
      <c r="A69" s="139"/>
      <c r="L69" s="107" t="s">
        <v>188</v>
      </c>
      <c r="M69" s="108"/>
      <c r="N69" s="108"/>
      <c r="O69" s="108"/>
      <c r="P69" s="108"/>
      <c r="Q69" s="109"/>
      <c r="R69" s="166">
        <f>1069.98</f>
        <v>1069.98</v>
      </c>
      <c r="S69" s="107" t="s">
        <v>188</v>
      </c>
      <c r="T69" s="108"/>
      <c r="U69" s="108"/>
      <c r="V69" s="108"/>
      <c r="W69" s="108"/>
      <c r="X69" s="109"/>
      <c r="Y69" s="168"/>
      <c r="Z69" s="107" t="s">
        <v>188</v>
      </c>
      <c r="AA69" s="108"/>
      <c r="AB69" s="108"/>
      <c r="AC69" s="108"/>
      <c r="AD69" s="108"/>
      <c r="AE69" s="109"/>
      <c r="AF69" s="168"/>
      <c r="AG69" s="107" t="s">
        <v>188</v>
      </c>
      <c r="AH69" s="108"/>
      <c r="AI69" s="108"/>
      <c r="AJ69" s="108"/>
      <c r="AK69" s="108"/>
      <c r="AL69" s="109"/>
      <c r="AM69" s="168"/>
      <c r="AN69" s="107"/>
      <c r="AO69" s="108"/>
      <c r="AP69" s="108"/>
      <c r="AQ69" s="108"/>
      <c r="AR69" s="108"/>
      <c r="AS69" s="109"/>
      <c r="AT69" s="168"/>
      <c r="AU69" s="107"/>
      <c r="AV69" s="108"/>
      <c r="AW69" s="108"/>
      <c r="AX69" s="108"/>
      <c r="AY69" s="108"/>
      <c r="AZ69" s="109"/>
      <c r="BA69" s="168"/>
      <c r="BB69" s="107"/>
      <c r="BC69" s="108"/>
      <c r="BD69" s="108"/>
      <c r="BE69" s="108"/>
      <c r="BF69" s="108"/>
      <c r="BG69" s="109"/>
      <c r="BH69" s="168"/>
      <c r="BI69" s="107"/>
      <c r="BJ69" s="108"/>
      <c r="BK69" s="108"/>
      <c r="BL69" s="108"/>
      <c r="BM69" s="108"/>
      <c r="BN69" s="109"/>
      <c r="BO69" s="168"/>
      <c r="BP69" s="107"/>
      <c r="BQ69" s="108"/>
      <c r="BR69" s="108"/>
      <c r="BS69" s="108"/>
      <c r="BT69" s="108"/>
      <c r="BU69" s="109"/>
      <c r="BV69" s="168"/>
      <c r="BW69" s="107"/>
      <c r="BX69" s="108"/>
      <c r="BY69" s="108"/>
      <c r="BZ69" s="108"/>
      <c r="CA69" s="108"/>
      <c r="CB69" s="109"/>
      <c r="CC69" s="168"/>
      <c r="CD69" s="107"/>
      <c r="CE69" s="108"/>
      <c r="CF69" s="108"/>
      <c r="CG69" s="108"/>
      <c r="CH69" s="108"/>
      <c r="CI69" s="109"/>
      <c r="CJ69" s="168"/>
      <c r="CK69" s="107"/>
      <c r="CL69" s="108"/>
      <c r="CM69" s="108"/>
      <c r="CN69" s="108"/>
      <c r="CO69" s="108"/>
      <c r="CP69" s="109"/>
      <c r="CQ69" s="168"/>
      <c r="CR69" s="139"/>
      <c r="CS69" s="139"/>
      <c r="CT69" s="139"/>
      <c r="CU69" s="139"/>
      <c r="CV69" s="139"/>
      <c r="CW69" s="139"/>
      <c r="CX69" s="139"/>
    </row>
    <row r="70" spans="1:105" ht="14.25" customHeight="1" x14ac:dyDescent="0.2">
      <c r="A70" s="139"/>
      <c r="L70" s="107" t="s">
        <v>98</v>
      </c>
      <c r="M70" s="108"/>
      <c r="N70" s="108"/>
      <c r="O70" s="108"/>
      <c r="P70" s="108"/>
      <c r="Q70" s="109"/>
      <c r="R70" s="166">
        <f>194.57</f>
        <v>194.57</v>
      </c>
      <c r="S70" s="107" t="s">
        <v>98</v>
      </c>
      <c r="T70" s="108"/>
      <c r="U70" s="108"/>
      <c r="V70" s="108"/>
      <c r="W70" s="108"/>
      <c r="X70" s="109"/>
      <c r="Y70" s="168">
        <f>102.35</f>
        <v>102.35</v>
      </c>
      <c r="Z70" s="107" t="s">
        <v>98</v>
      </c>
      <c r="AA70" s="108"/>
      <c r="AB70" s="108"/>
      <c r="AC70" s="108"/>
      <c r="AD70" s="108"/>
      <c r="AE70" s="109"/>
      <c r="AF70" s="168">
        <f>102.35</f>
        <v>102.35</v>
      </c>
      <c r="AG70" s="107" t="s">
        <v>98</v>
      </c>
      <c r="AH70" s="108"/>
      <c r="AI70" s="108"/>
      <c r="AJ70" s="108"/>
      <c r="AK70" s="108"/>
      <c r="AL70" s="109"/>
      <c r="AM70" s="168">
        <f>102.35</f>
        <v>102.35</v>
      </c>
      <c r="AN70" s="107"/>
      <c r="AO70" s="108"/>
      <c r="AP70" s="108"/>
      <c r="AQ70" s="108"/>
      <c r="AR70" s="108"/>
      <c r="AS70" s="109"/>
      <c r="AT70" s="168"/>
      <c r="AU70" s="107"/>
      <c r="AV70" s="108"/>
      <c r="AW70" s="108"/>
      <c r="AX70" s="108"/>
      <c r="AY70" s="108"/>
      <c r="AZ70" s="109"/>
      <c r="BA70" s="168"/>
      <c r="BB70" s="107"/>
      <c r="BC70" s="108"/>
      <c r="BD70" s="108"/>
      <c r="BE70" s="108"/>
      <c r="BF70" s="108"/>
      <c r="BG70" s="109"/>
      <c r="BH70" s="168"/>
      <c r="BI70" s="107"/>
      <c r="BJ70" s="108"/>
      <c r="BK70" s="108"/>
      <c r="BL70" s="108"/>
      <c r="BM70" s="108"/>
      <c r="BN70" s="109"/>
      <c r="BO70" s="168"/>
      <c r="BP70" s="107"/>
      <c r="BQ70" s="108"/>
      <c r="BR70" s="108"/>
      <c r="BS70" s="108"/>
      <c r="BT70" s="108"/>
      <c r="BU70" s="109"/>
      <c r="BV70" s="168"/>
      <c r="BW70" s="107"/>
      <c r="BX70" s="108"/>
      <c r="BY70" s="108"/>
      <c r="BZ70" s="108"/>
      <c r="CA70" s="108"/>
      <c r="CB70" s="109"/>
      <c r="CC70" s="168"/>
      <c r="CD70" s="107"/>
      <c r="CE70" s="108"/>
      <c r="CF70" s="108"/>
      <c r="CG70" s="108"/>
      <c r="CH70" s="108"/>
      <c r="CI70" s="109"/>
      <c r="CJ70" s="168"/>
      <c r="CK70" s="107"/>
      <c r="CL70" s="108"/>
      <c r="CM70" s="108"/>
      <c r="CN70" s="108"/>
      <c r="CO70" s="108"/>
      <c r="CP70" s="109"/>
      <c r="CQ70" s="168"/>
      <c r="CR70" s="139"/>
      <c r="CS70" s="139"/>
      <c r="CT70" s="139"/>
      <c r="CU70" s="139"/>
      <c r="CV70" s="139"/>
      <c r="CW70" s="139"/>
      <c r="CX70" s="139"/>
    </row>
    <row r="71" spans="1:105" ht="14.25" customHeight="1" x14ac:dyDescent="0.2">
      <c r="A71" s="139"/>
      <c r="L71" s="107"/>
      <c r="M71" s="108"/>
      <c r="N71" s="108"/>
      <c r="O71" s="108"/>
      <c r="P71" s="108"/>
      <c r="Q71" s="109"/>
      <c r="R71" s="168"/>
      <c r="S71" s="107" t="s">
        <v>109</v>
      </c>
      <c r="T71" s="108"/>
      <c r="U71" s="108"/>
      <c r="V71" s="108"/>
      <c r="W71" s="108"/>
      <c r="X71" s="109"/>
      <c r="Y71" s="168">
        <f>125</f>
        <v>125</v>
      </c>
      <c r="Z71" s="107" t="s">
        <v>109</v>
      </c>
      <c r="AA71" s="108"/>
      <c r="AB71" s="108"/>
      <c r="AC71" s="108"/>
      <c r="AD71" s="108"/>
      <c r="AE71" s="109"/>
      <c r="AF71" s="168">
        <f>100</f>
        <v>100</v>
      </c>
      <c r="AG71" s="107" t="s">
        <v>109</v>
      </c>
      <c r="AH71" s="108"/>
      <c r="AI71" s="108"/>
      <c r="AJ71" s="108"/>
      <c r="AK71" s="108"/>
      <c r="AL71" s="109"/>
      <c r="AM71" s="168">
        <f>50</f>
        <v>50</v>
      </c>
      <c r="AN71" s="107"/>
      <c r="AO71" s="108"/>
      <c r="AP71" s="108"/>
      <c r="AQ71" s="108"/>
      <c r="AR71" s="108"/>
      <c r="AS71" s="109"/>
      <c r="AT71" s="168"/>
      <c r="AU71" s="107"/>
      <c r="AV71" s="108"/>
      <c r="AW71" s="108"/>
      <c r="AX71" s="108"/>
      <c r="AY71" s="108"/>
      <c r="AZ71" s="109"/>
      <c r="BA71" s="168"/>
      <c r="BB71" s="107"/>
      <c r="BC71" s="108"/>
      <c r="BD71" s="108"/>
      <c r="BE71" s="108"/>
      <c r="BF71" s="108"/>
      <c r="BG71" s="109"/>
      <c r="BH71" s="168"/>
      <c r="BI71" s="107"/>
      <c r="BJ71" s="108"/>
      <c r="BK71" s="108"/>
      <c r="BL71" s="108"/>
      <c r="BM71" s="108"/>
      <c r="BN71" s="109"/>
      <c r="BO71" s="168"/>
      <c r="BP71" s="107"/>
      <c r="BQ71" s="108"/>
      <c r="BR71" s="108"/>
      <c r="BS71" s="108"/>
      <c r="BT71" s="108"/>
      <c r="BU71" s="109"/>
      <c r="BV71" s="168"/>
      <c r="BW71" s="107"/>
      <c r="BX71" s="108"/>
      <c r="BY71" s="108"/>
      <c r="BZ71" s="108"/>
      <c r="CA71" s="108"/>
      <c r="CB71" s="109"/>
      <c r="CC71" s="168"/>
      <c r="CD71" s="107"/>
      <c r="CE71" s="108"/>
      <c r="CF71" s="108"/>
      <c r="CG71" s="108"/>
      <c r="CH71" s="108"/>
      <c r="CI71" s="109"/>
      <c r="CJ71" s="168"/>
      <c r="CK71" s="107"/>
      <c r="CL71" s="108"/>
      <c r="CM71" s="108"/>
      <c r="CN71" s="108"/>
      <c r="CO71" s="108"/>
      <c r="CP71" s="109"/>
      <c r="CQ71" s="168"/>
      <c r="CR71" s="139"/>
      <c r="CS71" s="139"/>
      <c r="CT71" s="139"/>
      <c r="CU71" s="139"/>
      <c r="CV71" s="139"/>
      <c r="CW71" s="139"/>
      <c r="CX71" s="139"/>
    </row>
    <row r="72" spans="1:105" ht="14.25" customHeight="1" x14ac:dyDescent="0.2">
      <c r="A72" s="139"/>
      <c r="L72" s="107"/>
      <c r="M72" s="108"/>
      <c r="N72" s="108"/>
      <c r="O72" s="108"/>
      <c r="P72" s="108"/>
      <c r="Q72" s="109"/>
      <c r="R72" s="168"/>
      <c r="S72" s="107" t="s">
        <v>189</v>
      </c>
      <c r="T72" s="108"/>
      <c r="U72" s="108"/>
      <c r="V72" s="108"/>
      <c r="W72" s="108"/>
      <c r="X72" s="109"/>
      <c r="Y72" s="168">
        <v>220</v>
      </c>
      <c r="Z72" s="107" t="s">
        <v>189</v>
      </c>
      <c r="AA72" s="108"/>
      <c r="AB72" s="108"/>
      <c r="AC72" s="108"/>
      <c r="AD72" s="108"/>
      <c r="AE72" s="109"/>
      <c r="AF72" s="168"/>
      <c r="AG72" s="107" t="s">
        <v>189</v>
      </c>
      <c r="AH72" s="108"/>
      <c r="AI72" s="108"/>
      <c r="AJ72" s="108"/>
      <c r="AK72" s="108"/>
      <c r="AL72" s="109"/>
      <c r="AM72" s="168"/>
      <c r="AN72" s="107"/>
      <c r="AO72" s="108"/>
      <c r="AP72" s="108"/>
      <c r="AQ72" s="108"/>
      <c r="AR72" s="108"/>
      <c r="AS72" s="109"/>
      <c r="AT72" s="168"/>
      <c r="AU72" s="107"/>
      <c r="AV72" s="108"/>
      <c r="AW72" s="108"/>
      <c r="AX72" s="108"/>
      <c r="AY72" s="108"/>
      <c r="AZ72" s="109"/>
      <c r="BA72" s="168"/>
      <c r="BB72" s="107"/>
      <c r="BC72" s="108"/>
      <c r="BD72" s="108"/>
      <c r="BE72" s="108"/>
      <c r="BF72" s="108"/>
      <c r="BG72" s="109"/>
      <c r="BH72" s="168"/>
      <c r="BI72" s="107"/>
      <c r="BJ72" s="108"/>
      <c r="BK72" s="108"/>
      <c r="BL72" s="108"/>
      <c r="BM72" s="108"/>
      <c r="BN72" s="109"/>
      <c r="BO72" s="168"/>
      <c r="BP72" s="107"/>
      <c r="BQ72" s="108"/>
      <c r="BR72" s="108"/>
      <c r="BS72" s="108"/>
      <c r="BT72" s="108"/>
      <c r="BU72" s="109"/>
      <c r="BV72" s="168"/>
      <c r="BW72" s="107"/>
      <c r="BX72" s="108"/>
      <c r="BY72" s="108"/>
      <c r="BZ72" s="108"/>
      <c r="CA72" s="108"/>
      <c r="CB72" s="109"/>
      <c r="CC72" s="168"/>
      <c r="CD72" s="107"/>
      <c r="CE72" s="108"/>
      <c r="CF72" s="108"/>
      <c r="CG72" s="108"/>
      <c r="CH72" s="108"/>
      <c r="CI72" s="109"/>
      <c r="CJ72" s="168"/>
      <c r="CK72" s="107"/>
      <c r="CL72" s="108"/>
      <c r="CM72" s="108"/>
      <c r="CN72" s="108"/>
      <c r="CO72" s="108"/>
      <c r="CP72" s="109"/>
      <c r="CQ72" s="168"/>
      <c r="CR72" s="139"/>
      <c r="CS72" s="139"/>
      <c r="CT72" s="139"/>
      <c r="CU72" s="139"/>
      <c r="CV72" s="139"/>
      <c r="CW72" s="139"/>
      <c r="CX72" s="139"/>
    </row>
    <row r="73" spans="1:105" ht="14.25" customHeight="1" x14ac:dyDescent="0.2">
      <c r="A73" s="139"/>
      <c r="L73" s="107"/>
      <c r="M73" s="108"/>
      <c r="N73" s="108"/>
      <c r="O73" s="108"/>
      <c r="P73" s="108"/>
      <c r="Q73" s="109"/>
      <c r="R73" s="168"/>
      <c r="S73" s="107" t="s">
        <v>129</v>
      </c>
      <c r="T73" s="108"/>
      <c r="U73" s="108"/>
      <c r="V73" s="108"/>
      <c r="W73" s="108"/>
      <c r="X73" s="109"/>
      <c r="Y73" s="168">
        <v>238.74</v>
      </c>
      <c r="Z73" s="107" t="s">
        <v>129</v>
      </c>
      <c r="AA73" s="108"/>
      <c r="AB73" s="108"/>
      <c r="AC73" s="108"/>
      <c r="AD73" s="108"/>
      <c r="AE73" s="109"/>
      <c r="AF73" s="168"/>
      <c r="AG73" s="107" t="s">
        <v>129</v>
      </c>
      <c r="AH73" s="108"/>
      <c r="AI73" s="108"/>
      <c r="AJ73" s="108"/>
      <c r="AK73" s="108"/>
      <c r="AL73" s="109"/>
      <c r="AM73" s="168">
        <f>238.74</f>
        <v>238.74</v>
      </c>
      <c r="AN73" s="107"/>
      <c r="AO73" s="108"/>
      <c r="AP73" s="108"/>
      <c r="AQ73" s="108"/>
      <c r="AR73" s="108"/>
      <c r="AS73" s="109"/>
      <c r="AT73" s="168"/>
      <c r="AU73" s="107"/>
      <c r="AV73" s="108"/>
      <c r="AW73" s="108"/>
      <c r="AX73" s="108"/>
      <c r="AY73" s="108"/>
      <c r="AZ73" s="109"/>
      <c r="BA73" s="168"/>
      <c r="BB73" s="107"/>
      <c r="BC73" s="108"/>
      <c r="BD73" s="108"/>
      <c r="BE73" s="108"/>
      <c r="BF73" s="108"/>
      <c r="BG73" s="109"/>
      <c r="BH73" s="168"/>
      <c r="BI73" s="107"/>
      <c r="BJ73" s="108"/>
      <c r="BK73" s="108"/>
      <c r="BL73" s="108"/>
      <c r="BM73" s="108"/>
      <c r="BN73" s="109"/>
      <c r="BO73" s="168"/>
      <c r="BP73" s="107"/>
      <c r="BQ73" s="108"/>
      <c r="BR73" s="108"/>
      <c r="BS73" s="108"/>
      <c r="BT73" s="108"/>
      <c r="BU73" s="109"/>
      <c r="BV73" s="168"/>
      <c r="BW73" s="107"/>
      <c r="BX73" s="108"/>
      <c r="BY73" s="108"/>
      <c r="BZ73" s="108"/>
      <c r="CA73" s="108"/>
      <c r="CB73" s="109"/>
      <c r="CC73" s="168"/>
      <c r="CD73" s="107"/>
      <c r="CE73" s="108"/>
      <c r="CF73" s="108"/>
      <c r="CG73" s="108"/>
      <c r="CH73" s="108"/>
      <c r="CI73" s="109"/>
      <c r="CJ73" s="168"/>
      <c r="CK73" s="107"/>
      <c r="CL73" s="108"/>
      <c r="CM73" s="108"/>
      <c r="CN73" s="108"/>
      <c r="CO73" s="108"/>
      <c r="CP73" s="109"/>
      <c r="CQ73" s="168"/>
      <c r="CR73" s="139"/>
      <c r="CS73" s="139"/>
      <c r="CT73" s="139"/>
      <c r="CU73" s="139"/>
      <c r="CV73" s="139"/>
      <c r="CW73" s="139"/>
      <c r="CX73" s="139"/>
    </row>
    <row r="74" spans="1:105" ht="14.25" customHeight="1" x14ac:dyDescent="0.2">
      <c r="A74" s="139"/>
      <c r="L74" s="107"/>
      <c r="M74" s="108"/>
      <c r="N74" s="108"/>
      <c r="O74" s="108"/>
      <c r="P74" s="108"/>
      <c r="Q74" s="109"/>
      <c r="R74" s="168"/>
      <c r="S74" s="107"/>
      <c r="T74" s="108"/>
      <c r="U74" s="108"/>
      <c r="V74" s="108"/>
      <c r="W74" s="108"/>
      <c r="X74" s="109"/>
      <c r="Y74" s="168"/>
      <c r="Z74" s="107" t="s">
        <v>122</v>
      </c>
      <c r="AA74" s="108"/>
      <c r="AB74" s="108"/>
      <c r="AC74" s="108"/>
      <c r="AD74" s="108"/>
      <c r="AE74" s="109"/>
      <c r="AF74" s="168">
        <v>78.040000000000006</v>
      </c>
      <c r="AG74" s="107" t="s">
        <v>122</v>
      </c>
      <c r="AH74" s="108"/>
      <c r="AI74" s="108"/>
      <c r="AJ74" s="108"/>
      <c r="AK74" s="108"/>
      <c r="AL74" s="109"/>
      <c r="AM74" s="168"/>
      <c r="AN74" s="107"/>
      <c r="AO74" s="108"/>
      <c r="AP74" s="108"/>
      <c r="AQ74" s="108"/>
      <c r="AR74" s="108"/>
      <c r="AS74" s="109"/>
      <c r="AT74" s="168"/>
      <c r="AU74" s="107"/>
      <c r="AV74" s="108"/>
      <c r="AW74" s="108"/>
      <c r="AX74" s="108"/>
      <c r="AY74" s="108"/>
      <c r="AZ74" s="109"/>
      <c r="BA74" s="168"/>
      <c r="BB74" s="107"/>
      <c r="BC74" s="108"/>
      <c r="BD74" s="108"/>
      <c r="BE74" s="108"/>
      <c r="BF74" s="108"/>
      <c r="BG74" s="109"/>
      <c r="BH74" s="168"/>
      <c r="BI74" s="107"/>
      <c r="BJ74" s="108"/>
      <c r="BK74" s="108"/>
      <c r="BL74" s="108"/>
      <c r="BM74" s="108"/>
      <c r="BN74" s="109"/>
      <c r="BO74" s="168"/>
      <c r="BP74" s="107"/>
      <c r="BQ74" s="108"/>
      <c r="BR74" s="108"/>
      <c r="BS74" s="108"/>
      <c r="BT74" s="108"/>
      <c r="BU74" s="109"/>
      <c r="BV74" s="168"/>
      <c r="BW74" s="107"/>
      <c r="BX74" s="108"/>
      <c r="BY74" s="108"/>
      <c r="BZ74" s="108"/>
      <c r="CA74" s="108"/>
      <c r="CB74" s="109"/>
      <c r="CC74" s="168"/>
      <c r="CD74" s="107"/>
      <c r="CE74" s="108"/>
      <c r="CF74" s="108"/>
      <c r="CG74" s="108"/>
      <c r="CH74" s="108"/>
      <c r="CI74" s="109"/>
      <c r="CJ74" s="168"/>
      <c r="CK74" s="107"/>
      <c r="CL74" s="108"/>
      <c r="CM74" s="108"/>
      <c r="CN74" s="108"/>
      <c r="CO74" s="108"/>
      <c r="CP74" s="109"/>
      <c r="CQ74" s="168"/>
      <c r="CR74" s="139"/>
      <c r="CS74" s="139"/>
      <c r="CT74" s="139"/>
      <c r="CU74" s="139"/>
      <c r="CV74" s="139"/>
      <c r="CW74" s="139"/>
      <c r="CX74" s="139"/>
    </row>
    <row r="75" spans="1:105" ht="14.25" customHeight="1" x14ac:dyDescent="0.2">
      <c r="A75" s="139"/>
      <c r="L75" s="107"/>
      <c r="M75" s="108"/>
      <c r="N75" s="108"/>
      <c r="O75" s="108"/>
      <c r="P75" s="108"/>
      <c r="Q75" s="109"/>
      <c r="R75" s="168"/>
      <c r="S75" s="107"/>
      <c r="T75" s="108"/>
      <c r="U75" s="108"/>
      <c r="V75" s="108"/>
      <c r="W75" s="108"/>
      <c r="X75" s="109"/>
      <c r="Y75" s="168"/>
      <c r="Z75" s="107"/>
      <c r="AA75" s="108"/>
      <c r="AB75" s="108"/>
      <c r="AC75" s="108"/>
      <c r="AD75" s="108"/>
      <c r="AE75" s="109"/>
      <c r="AF75" s="168"/>
      <c r="AG75" s="107"/>
      <c r="AH75" s="108"/>
      <c r="AI75" s="108"/>
      <c r="AJ75" s="108"/>
      <c r="AK75" s="108"/>
      <c r="AL75" s="109"/>
      <c r="AM75" s="168"/>
      <c r="AN75" s="107"/>
      <c r="AO75" s="108"/>
      <c r="AP75" s="108"/>
      <c r="AQ75" s="108"/>
      <c r="AR75" s="108"/>
      <c r="AS75" s="109"/>
      <c r="AT75" s="168"/>
      <c r="AU75" s="107"/>
      <c r="AV75" s="108"/>
      <c r="AW75" s="108"/>
      <c r="AX75" s="108"/>
      <c r="AY75" s="108"/>
      <c r="AZ75" s="109"/>
      <c r="BA75" s="168"/>
      <c r="BB75" s="107"/>
      <c r="BC75" s="108"/>
      <c r="BD75" s="108"/>
      <c r="BE75" s="108"/>
      <c r="BF75" s="108"/>
      <c r="BG75" s="109"/>
      <c r="BH75" s="168"/>
      <c r="BI75" s="107"/>
      <c r="BJ75" s="108"/>
      <c r="BK75" s="108"/>
      <c r="BL75" s="108"/>
      <c r="BM75" s="108"/>
      <c r="BN75" s="109"/>
      <c r="BO75" s="168"/>
      <c r="BP75" s="107"/>
      <c r="BQ75" s="108"/>
      <c r="BR75" s="108"/>
      <c r="BS75" s="108"/>
      <c r="BT75" s="108"/>
      <c r="BU75" s="109"/>
      <c r="BV75" s="168"/>
      <c r="BW75" s="107"/>
      <c r="BX75" s="108"/>
      <c r="BY75" s="108"/>
      <c r="BZ75" s="108"/>
      <c r="CA75" s="108"/>
      <c r="CB75" s="109"/>
      <c r="CC75" s="168"/>
      <c r="CD75" s="107"/>
      <c r="CE75" s="108"/>
      <c r="CF75" s="108"/>
      <c r="CG75" s="108"/>
      <c r="CH75" s="108"/>
      <c r="CI75" s="109"/>
      <c r="CJ75" s="168"/>
      <c r="CK75" s="107"/>
      <c r="CL75" s="108"/>
      <c r="CM75" s="108"/>
      <c r="CN75" s="108"/>
      <c r="CO75" s="108"/>
      <c r="CP75" s="109"/>
      <c r="CQ75" s="168"/>
      <c r="CR75" s="139"/>
      <c r="CS75" s="139"/>
      <c r="CT75" s="139"/>
      <c r="CU75" s="139"/>
      <c r="CV75" s="139"/>
      <c r="CW75" s="139"/>
      <c r="CX75" s="139"/>
    </row>
    <row r="76" spans="1:105" ht="14.25" customHeight="1" x14ac:dyDescent="0.2">
      <c r="A76" s="156"/>
      <c r="L76" s="107"/>
      <c r="M76" s="108"/>
      <c r="N76" s="108"/>
      <c r="O76" s="108"/>
      <c r="P76" s="108"/>
      <c r="Q76" s="109"/>
      <c r="R76" s="168"/>
      <c r="S76" s="107"/>
      <c r="T76" s="108"/>
      <c r="U76" s="108"/>
      <c r="V76" s="108"/>
      <c r="W76" s="108"/>
      <c r="X76" s="109"/>
      <c r="Y76" s="168"/>
      <c r="Z76" s="107"/>
      <c r="AA76" s="108"/>
      <c r="AB76" s="108"/>
      <c r="AC76" s="108"/>
      <c r="AD76" s="108"/>
      <c r="AE76" s="109"/>
      <c r="AF76" s="168"/>
      <c r="AG76" s="107"/>
      <c r="AH76" s="108"/>
      <c r="AI76" s="108"/>
      <c r="AJ76" s="108"/>
      <c r="AK76" s="108"/>
      <c r="AL76" s="109"/>
      <c r="AM76" s="168"/>
      <c r="AN76" s="107"/>
      <c r="AO76" s="108"/>
      <c r="AP76" s="108"/>
      <c r="AQ76" s="108"/>
      <c r="AR76" s="108"/>
      <c r="AS76" s="109"/>
      <c r="AT76" s="168"/>
      <c r="AU76" s="107"/>
      <c r="AV76" s="108"/>
      <c r="AW76" s="108"/>
      <c r="AX76" s="108"/>
      <c r="AY76" s="108"/>
      <c r="AZ76" s="109"/>
      <c r="BA76" s="168"/>
      <c r="BB76" s="107"/>
      <c r="BC76" s="108"/>
      <c r="BD76" s="108"/>
      <c r="BE76" s="108"/>
      <c r="BF76" s="108"/>
      <c r="BG76" s="109"/>
      <c r="BH76" s="168"/>
      <c r="BI76" s="107"/>
      <c r="BJ76" s="108"/>
      <c r="BK76" s="108"/>
      <c r="BL76" s="108"/>
      <c r="BM76" s="108"/>
      <c r="BN76" s="109"/>
      <c r="BO76" s="168"/>
      <c r="BP76" s="107"/>
      <c r="BQ76" s="108"/>
      <c r="BR76" s="108"/>
      <c r="BS76" s="108"/>
      <c r="BT76" s="108"/>
      <c r="BU76" s="109"/>
      <c r="BV76" s="168"/>
      <c r="BW76" s="107"/>
      <c r="BX76" s="108"/>
      <c r="BY76" s="108"/>
      <c r="BZ76" s="108"/>
      <c r="CA76" s="108"/>
      <c r="CB76" s="109"/>
      <c r="CC76" s="168"/>
      <c r="CD76" s="107"/>
      <c r="CE76" s="108"/>
      <c r="CF76" s="108"/>
      <c r="CG76" s="108"/>
      <c r="CH76" s="108"/>
      <c r="CI76" s="109"/>
      <c r="CJ76" s="168"/>
      <c r="CK76" s="107"/>
      <c r="CL76" s="108"/>
      <c r="CM76" s="108"/>
      <c r="CN76" s="108"/>
      <c r="CO76" s="108"/>
      <c r="CP76" s="109"/>
      <c r="CQ76" s="168"/>
      <c r="CR76" s="139"/>
      <c r="CS76" s="139"/>
      <c r="CT76" s="139"/>
      <c r="CU76" s="139"/>
      <c r="CV76" s="139"/>
      <c r="CW76" s="139"/>
      <c r="CX76" s="139"/>
    </row>
    <row r="77" spans="1:105" ht="14.25" customHeight="1" x14ac:dyDescent="0.2">
      <c r="L77" s="107"/>
      <c r="M77" s="108"/>
      <c r="N77" s="108"/>
      <c r="O77" s="108"/>
      <c r="P77" s="108"/>
      <c r="Q77" s="109"/>
      <c r="R77" s="168"/>
      <c r="S77" s="107"/>
      <c r="T77" s="108"/>
      <c r="U77" s="108"/>
      <c r="V77" s="108"/>
      <c r="W77" s="108"/>
      <c r="X77" s="109"/>
      <c r="Y77" s="168"/>
      <c r="Z77" s="107"/>
      <c r="AA77" s="108"/>
      <c r="AB77" s="108"/>
      <c r="AC77" s="108"/>
      <c r="AD77" s="108"/>
      <c r="AE77" s="109"/>
      <c r="AF77" s="168"/>
      <c r="AG77" s="107"/>
      <c r="AH77" s="108"/>
      <c r="AI77" s="108"/>
      <c r="AJ77" s="108"/>
      <c r="AK77" s="108"/>
      <c r="AL77" s="109"/>
      <c r="AM77" s="168"/>
      <c r="AN77" s="107"/>
      <c r="AO77" s="108"/>
      <c r="AP77" s="108"/>
      <c r="AQ77" s="108"/>
      <c r="AR77" s="108"/>
      <c r="AS77" s="109"/>
      <c r="AT77" s="168"/>
      <c r="AU77" s="107"/>
      <c r="AV77" s="108"/>
      <c r="AW77" s="108"/>
      <c r="AX77" s="108"/>
      <c r="AY77" s="108"/>
      <c r="AZ77" s="109"/>
      <c r="BA77" s="168"/>
      <c r="BB77" s="107"/>
      <c r="BC77" s="108"/>
      <c r="BD77" s="108"/>
      <c r="BE77" s="108"/>
      <c r="BF77" s="108"/>
      <c r="BG77" s="109"/>
      <c r="BH77" s="168"/>
      <c r="BI77" s="107"/>
      <c r="BJ77" s="108"/>
      <c r="BK77" s="108"/>
      <c r="BL77" s="108"/>
      <c r="BM77" s="108"/>
      <c r="BN77" s="109"/>
      <c r="BO77" s="168"/>
      <c r="BP77" s="107"/>
      <c r="BQ77" s="108"/>
      <c r="BR77" s="108"/>
      <c r="BS77" s="108"/>
      <c r="BT77" s="108"/>
      <c r="BU77" s="109"/>
      <c r="BV77" s="168"/>
      <c r="BW77" s="107"/>
      <c r="BX77" s="108"/>
      <c r="BY77" s="108"/>
      <c r="BZ77" s="108"/>
      <c r="CA77" s="108"/>
      <c r="CB77" s="109"/>
      <c r="CC77" s="168"/>
      <c r="CD77" s="107"/>
      <c r="CE77" s="108"/>
      <c r="CF77" s="108"/>
      <c r="CG77" s="108"/>
      <c r="CH77" s="108"/>
      <c r="CI77" s="109"/>
      <c r="CJ77" s="168"/>
      <c r="CK77" s="107"/>
      <c r="CL77" s="108"/>
      <c r="CM77" s="108"/>
      <c r="CN77" s="108"/>
      <c r="CO77" s="108"/>
      <c r="CP77" s="109"/>
      <c r="CQ77" s="168"/>
      <c r="CR77" s="140"/>
      <c r="CS77" s="140"/>
      <c r="CT77" s="140"/>
      <c r="CU77" s="140"/>
      <c r="CV77" s="140"/>
      <c r="CW77" s="140"/>
      <c r="CX77" s="140"/>
    </row>
    <row r="78" spans="1:105" ht="14.25" customHeight="1" x14ac:dyDescent="0.2">
      <c r="L78" s="107"/>
      <c r="M78" s="108"/>
      <c r="N78" s="108"/>
      <c r="O78" s="108"/>
      <c r="P78" s="108"/>
      <c r="Q78" s="109"/>
      <c r="R78" s="168"/>
      <c r="S78" s="107"/>
      <c r="T78" s="108"/>
      <c r="U78" s="108"/>
      <c r="V78" s="108"/>
      <c r="W78" s="108"/>
      <c r="X78" s="109"/>
      <c r="Y78" s="168"/>
      <c r="Z78" s="107"/>
      <c r="AA78" s="108"/>
      <c r="AB78" s="108"/>
      <c r="AC78" s="108"/>
      <c r="AD78" s="108"/>
      <c r="AE78" s="109"/>
      <c r="AF78" s="168"/>
      <c r="AG78" s="107"/>
      <c r="AH78" s="108"/>
      <c r="AI78" s="108"/>
      <c r="AJ78" s="108"/>
      <c r="AK78" s="108"/>
      <c r="AL78" s="109"/>
      <c r="AM78" s="168"/>
      <c r="AN78" s="107"/>
      <c r="AO78" s="108"/>
      <c r="AP78" s="108"/>
      <c r="AQ78" s="108"/>
      <c r="AR78" s="108"/>
      <c r="AS78" s="109"/>
      <c r="AT78" s="168"/>
      <c r="AU78" s="107"/>
      <c r="AV78" s="108"/>
      <c r="AW78" s="108"/>
      <c r="AX78" s="108"/>
      <c r="AY78" s="108"/>
      <c r="AZ78" s="109"/>
      <c r="BA78" s="168"/>
      <c r="BB78" s="107"/>
      <c r="BC78" s="108"/>
      <c r="BD78" s="108"/>
      <c r="BE78" s="108"/>
      <c r="BF78" s="108"/>
      <c r="BG78" s="109"/>
      <c r="BH78" s="168"/>
      <c r="BI78" s="107"/>
      <c r="BJ78" s="108"/>
      <c r="BK78" s="108"/>
      <c r="BL78" s="108"/>
      <c r="BM78" s="108"/>
      <c r="BN78" s="109"/>
      <c r="BO78" s="168"/>
      <c r="BP78" s="107"/>
      <c r="BQ78" s="108"/>
      <c r="BR78" s="108"/>
      <c r="BS78" s="108"/>
      <c r="BT78" s="108"/>
      <c r="BU78" s="109"/>
      <c r="BV78" s="168"/>
      <c r="BW78" s="107"/>
      <c r="BX78" s="108"/>
      <c r="BY78" s="108"/>
      <c r="BZ78" s="108"/>
      <c r="CA78" s="108"/>
      <c r="CB78" s="109"/>
      <c r="CC78" s="168"/>
      <c r="CD78" s="107"/>
      <c r="CE78" s="108"/>
      <c r="CF78" s="108"/>
      <c r="CG78" s="108"/>
      <c r="CH78" s="108"/>
      <c r="CI78" s="109"/>
      <c r="CJ78" s="168"/>
      <c r="CK78" s="107"/>
      <c r="CL78" s="108"/>
      <c r="CM78" s="108"/>
      <c r="CN78" s="108"/>
      <c r="CO78" s="108"/>
      <c r="CP78" s="109"/>
      <c r="CQ78" s="168"/>
    </row>
    <row r="79" spans="1:105" ht="14.25" customHeight="1" x14ac:dyDescent="0.2">
      <c r="L79" s="107"/>
      <c r="M79" s="108"/>
      <c r="N79" s="108"/>
      <c r="O79" s="108"/>
      <c r="P79" s="108"/>
      <c r="Q79" s="109"/>
      <c r="R79" s="168"/>
      <c r="S79" s="107"/>
      <c r="T79" s="108"/>
      <c r="U79" s="108"/>
      <c r="V79" s="108"/>
      <c r="W79" s="108"/>
      <c r="X79" s="109"/>
      <c r="Y79" s="168"/>
      <c r="Z79" s="107"/>
      <c r="AA79" s="108"/>
      <c r="AB79" s="108"/>
      <c r="AC79" s="108"/>
      <c r="AD79" s="108"/>
      <c r="AE79" s="109"/>
      <c r="AF79" s="168"/>
      <c r="AG79" s="107"/>
      <c r="AH79" s="108"/>
      <c r="AI79" s="108"/>
      <c r="AJ79" s="108"/>
      <c r="AK79" s="108"/>
      <c r="AL79" s="109"/>
      <c r="AM79" s="168"/>
      <c r="AN79" s="107"/>
      <c r="AO79" s="108"/>
      <c r="AP79" s="108"/>
      <c r="AQ79" s="108"/>
      <c r="AR79" s="108"/>
      <c r="AS79" s="109"/>
      <c r="AT79" s="168"/>
      <c r="AU79" s="107"/>
      <c r="AV79" s="108"/>
      <c r="AW79" s="108"/>
      <c r="AX79" s="108"/>
      <c r="AY79" s="108"/>
      <c r="AZ79" s="109"/>
      <c r="BA79" s="168"/>
      <c r="BB79" s="107"/>
      <c r="BC79" s="108"/>
      <c r="BD79" s="108"/>
      <c r="BE79" s="108"/>
      <c r="BF79" s="108"/>
      <c r="BG79" s="109"/>
      <c r="BH79" s="168"/>
      <c r="BI79" s="107"/>
      <c r="BJ79" s="108"/>
      <c r="BK79" s="108"/>
      <c r="BL79" s="108"/>
      <c r="BM79" s="108"/>
      <c r="BN79" s="109"/>
      <c r="BO79" s="168"/>
      <c r="BP79" s="107"/>
      <c r="BQ79" s="108"/>
      <c r="BR79" s="108"/>
      <c r="BS79" s="108"/>
      <c r="BT79" s="108"/>
      <c r="BU79" s="109"/>
      <c r="BV79" s="168"/>
      <c r="BW79" s="107"/>
      <c r="BX79" s="108"/>
      <c r="BY79" s="108"/>
      <c r="BZ79" s="108"/>
      <c r="CA79" s="108"/>
      <c r="CB79" s="109"/>
      <c r="CC79" s="168"/>
      <c r="CD79" s="107"/>
      <c r="CE79" s="108"/>
      <c r="CF79" s="108"/>
      <c r="CG79" s="108"/>
      <c r="CH79" s="108"/>
      <c r="CI79" s="109"/>
      <c r="CJ79" s="168"/>
      <c r="CK79" s="107"/>
      <c r="CL79" s="108"/>
      <c r="CM79" s="108"/>
      <c r="CN79" s="108"/>
      <c r="CO79" s="108"/>
      <c r="CP79" s="109"/>
      <c r="CQ79" s="168"/>
    </row>
    <row r="80" spans="1:105" ht="14.25" customHeight="1" x14ac:dyDescent="0.2">
      <c r="L80" s="107" t="s">
        <v>82</v>
      </c>
      <c r="M80" s="108"/>
      <c r="N80" s="108"/>
      <c r="O80" s="108"/>
      <c r="P80" s="108"/>
      <c r="Q80" s="109"/>
      <c r="R80" s="194">
        <f>SUM(R61:R79)</f>
        <v>11711.53</v>
      </c>
      <c r="S80" s="107" t="s">
        <v>82</v>
      </c>
      <c r="T80" s="108"/>
      <c r="U80" s="108"/>
      <c r="V80" s="108"/>
      <c r="W80" s="108"/>
      <c r="X80" s="109"/>
      <c r="Y80" s="177">
        <f>SUM(Y61:Y79)</f>
        <v>7037.01</v>
      </c>
      <c r="Z80" s="107" t="s">
        <v>82</v>
      </c>
      <c r="AA80" s="108"/>
      <c r="AB80" s="108"/>
      <c r="AC80" s="108"/>
      <c r="AD80" s="108"/>
      <c r="AE80" s="109"/>
      <c r="AF80" s="177">
        <f>SUM(AF61:AF79)</f>
        <v>9801.5400000000009</v>
      </c>
      <c r="AG80" s="107" t="s">
        <v>82</v>
      </c>
      <c r="AH80" s="108"/>
      <c r="AI80" s="108"/>
      <c r="AJ80" s="108"/>
      <c r="AK80" s="108"/>
      <c r="AL80" s="109"/>
      <c r="AM80" s="177">
        <f>SUM(AM61:AM79)</f>
        <v>9737.49</v>
      </c>
      <c r="AN80" s="107" t="s">
        <v>82</v>
      </c>
      <c r="AO80" s="108"/>
      <c r="AP80" s="108"/>
      <c r="AQ80" s="108"/>
      <c r="AR80" s="108"/>
      <c r="AS80" s="109"/>
      <c r="AT80" s="177">
        <f>SUM(AT61:AT79)</f>
        <v>0</v>
      </c>
      <c r="AU80" s="107" t="s">
        <v>82</v>
      </c>
      <c r="AV80" s="108"/>
      <c r="AW80" s="108"/>
      <c r="AX80" s="108"/>
      <c r="AY80" s="108"/>
      <c r="AZ80" s="109"/>
      <c r="BA80" s="177">
        <f>SUM(BA61:BA79)</f>
        <v>0</v>
      </c>
      <c r="BB80" s="107" t="s">
        <v>82</v>
      </c>
      <c r="BC80" s="108"/>
      <c r="BD80" s="108"/>
      <c r="BE80" s="108"/>
      <c r="BF80" s="108"/>
      <c r="BG80" s="109"/>
      <c r="BH80" s="177">
        <f>SUM(BH61:BH79)</f>
        <v>0</v>
      </c>
      <c r="BI80" s="107" t="s">
        <v>82</v>
      </c>
      <c r="BJ80" s="108"/>
      <c r="BK80" s="108"/>
      <c r="BL80" s="108"/>
      <c r="BM80" s="108"/>
      <c r="BN80" s="109"/>
      <c r="BO80" s="177">
        <f>SUM(BO61:BO79)</f>
        <v>0</v>
      </c>
      <c r="BP80" s="107" t="s">
        <v>82</v>
      </c>
      <c r="BQ80" s="108"/>
      <c r="BR80" s="108"/>
      <c r="BS80" s="108"/>
      <c r="BT80" s="108"/>
      <c r="BU80" s="109"/>
      <c r="BV80" s="177">
        <f>SUM(BV61:BV79)</f>
        <v>0</v>
      </c>
      <c r="BW80" s="107" t="s">
        <v>82</v>
      </c>
      <c r="BX80" s="108"/>
      <c r="BY80" s="108"/>
      <c r="BZ80" s="108"/>
      <c r="CA80" s="108"/>
      <c r="CB80" s="109"/>
      <c r="CC80" s="177">
        <f>SUM(CC61:CC79)</f>
        <v>0</v>
      </c>
      <c r="CD80" s="107" t="s">
        <v>82</v>
      </c>
      <c r="CE80" s="108"/>
      <c r="CF80" s="108"/>
      <c r="CG80" s="108"/>
      <c r="CH80" s="108"/>
      <c r="CI80" s="109"/>
      <c r="CJ80" s="177">
        <f>SUM(CJ61:CJ79)</f>
        <v>0</v>
      </c>
      <c r="CK80" s="107" t="s">
        <v>82</v>
      </c>
      <c r="CL80" s="108"/>
      <c r="CM80" s="108"/>
      <c r="CN80" s="108"/>
      <c r="CO80" s="108"/>
      <c r="CP80" s="109"/>
      <c r="CQ80" s="177">
        <f>SUM(CQ61:CQ79)</f>
        <v>0</v>
      </c>
      <c r="DA80" s="155"/>
    </row>
    <row r="81" spans="105:105" ht="14.25" customHeight="1" x14ac:dyDescent="0.2">
      <c r="DA81" s="155"/>
    </row>
    <row r="82" spans="105:105" ht="14.25" customHeight="1" x14ac:dyDescent="0.2">
      <c r="DA82" s="155"/>
    </row>
    <row r="83" spans="105:105" ht="14.25" customHeight="1" x14ac:dyDescent="0.2">
      <c r="DA83" s="155"/>
    </row>
    <row r="84" spans="105:105" ht="14.25" customHeight="1" x14ac:dyDescent="0.2">
      <c r="DA84" s="155"/>
    </row>
    <row r="85" spans="105:105" ht="14.25" customHeight="1" x14ac:dyDescent="0.2"/>
    <row r="86" spans="105:105" ht="14.25" customHeight="1" x14ac:dyDescent="0.2"/>
    <row r="87" spans="105:105" ht="14.25" customHeight="1" x14ac:dyDescent="0.2"/>
    <row r="88" spans="105:105" ht="14.25" customHeight="1" x14ac:dyDescent="0.2"/>
    <row r="89" spans="105:105" ht="14.25" customHeight="1" x14ac:dyDescent="0.2"/>
    <row r="90" spans="105:105" ht="14.25" customHeight="1" x14ac:dyDescent="0.2"/>
    <row r="91" spans="105:105" ht="14.25" customHeight="1" x14ac:dyDescent="0.2"/>
    <row r="92" spans="105:105" ht="14.25" customHeight="1" x14ac:dyDescent="0.2"/>
    <row r="93" spans="105:105" ht="14.25" customHeight="1" x14ac:dyDescent="0.2"/>
    <row r="94" spans="105:105" ht="14.25" customHeight="1" x14ac:dyDescent="0.2"/>
    <row r="95" spans="105:105" ht="14.25" customHeight="1" x14ac:dyDescent="0.2"/>
    <row r="96" spans="105:105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105:105" ht="14.25" customHeight="1" x14ac:dyDescent="0.2"/>
    <row r="194" spans="105:105" ht="14.25" customHeight="1" x14ac:dyDescent="0.2"/>
    <row r="195" spans="105:105" ht="14.25" customHeight="1" x14ac:dyDescent="0.2"/>
    <row r="196" spans="105:105" ht="14.25" customHeight="1" x14ac:dyDescent="0.2"/>
    <row r="197" spans="105:105" ht="14.25" customHeight="1" x14ac:dyDescent="0.2"/>
    <row r="198" spans="105:105" ht="14.25" customHeight="1" x14ac:dyDescent="0.2"/>
    <row r="199" spans="105:105" ht="14.25" customHeight="1" x14ac:dyDescent="0.2"/>
    <row r="200" spans="105:105" ht="14.25" customHeight="1" x14ac:dyDescent="0.2"/>
    <row r="201" spans="105:105" ht="14.25" customHeight="1" x14ac:dyDescent="0.2"/>
    <row r="202" spans="105:105" ht="14.25" customHeight="1" x14ac:dyDescent="0.2"/>
    <row r="203" spans="105:105" ht="14.25" customHeight="1" x14ac:dyDescent="0.2"/>
    <row r="204" spans="105:105" ht="14.25" customHeight="1" x14ac:dyDescent="0.2"/>
    <row r="205" spans="105:105" ht="14.25" customHeight="1" x14ac:dyDescent="0.2">
      <c r="DA205" s="155"/>
    </row>
    <row r="206" spans="105:105" ht="14.25" customHeight="1" x14ac:dyDescent="0.2">
      <c r="DA206" s="155"/>
    </row>
    <row r="207" spans="105:105" ht="14.25" customHeight="1" x14ac:dyDescent="0.2">
      <c r="DA207" s="155"/>
    </row>
    <row r="208" spans="105:105" ht="14.25" customHeight="1" x14ac:dyDescent="0.2">
      <c r="DA208" s="155"/>
    </row>
    <row r="209" spans="105:105" ht="14.25" customHeight="1" x14ac:dyDescent="0.2">
      <c r="DA209" s="155"/>
    </row>
    <row r="210" spans="105:105" ht="14.25" customHeight="1" x14ac:dyDescent="0.2">
      <c r="DA210" s="155"/>
    </row>
    <row r="211" spans="105:105" ht="14.25" customHeight="1" x14ac:dyDescent="0.2">
      <c r="DA211" s="155"/>
    </row>
    <row r="212" spans="105:105" ht="14.25" customHeight="1" x14ac:dyDescent="0.2">
      <c r="DA212" s="155"/>
    </row>
    <row r="213" spans="105:105" ht="14.25" customHeight="1" x14ac:dyDescent="0.2">
      <c r="DA213" s="155"/>
    </row>
    <row r="214" spans="105:105" ht="14.25" customHeight="1" x14ac:dyDescent="0.2">
      <c r="DA214" s="155"/>
    </row>
    <row r="215" spans="105:105" ht="14.25" customHeight="1" x14ac:dyDescent="0.2">
      <c r="DA215" s="155"/>
    </row>
    <row r="216" spans="105:105" ht="14.25" customHeight="1" x14ac:dyDescent="0.2">
      <c r="DA216" s="155"/>
    </row>
    <row r="217" spans="105:105" ht="14.25" customHeight="1" x14ac:dyDescent="0.2">
      <c r="DA217" s="155"/>
    </row>
    <row r="218" spans="105:105" ht="14.25" customHeight="1" x14ac:dyDescent="0.2">
      <c r="DA218" s="155"/>
    </row>
    <row r="219" spans="105:105" ht="14.25" customHeight="1" x14ac:dyDescent="0.2">
      <c r="DA219" s="155"/>
    </row>
    <row r="220" spans="105:105" ht="14.25" customHeight="1" x14ac:dyDescent="0.2">
      <c r="DA220" s="155"/>
    </row>
    <row r="221" spans="105:105" ht="14.25" customHeight="1" x14ac:dyDescent="0.2">
      <c r="DA221" s="155"/>
    </row>
    <row r="222" spans="105:105" ht="14.25" customHeight="1" x14ac:dyDescent="0.2">
      <c r="DA222" s="155"/>
    </row>
    <row r="223" spans="105:105" ht="14.25" customHeight="1" x14ac:dyDescent="0.2">
      <c r="DA223" s="155"/>
    </row>
    <row r="224" spans="105:105" ht="14.25" customHeight="1" x14ac:dyDescent="0.2">
      <c r="DA224" s="155"/>
    </row>
    <row r="225" spans="105:105" ht="14.25" customHeight="1" x14ac:dyDescent="0.2">
      <c r="DA225" s="155"/>
    </row>
    <row r="226" spans="105:105" ht="14.25" customHeight="1" x14ac:dyDescent="0.2">
      <c r="DA226" s="155"/>
    </row>
    <row r="227" spans="105:105" ht="14.25" customHeight="1" x14ac:dyDescent="0.2">
      <c r="DA227" s="155"/>
    </row>
    <row r="228" spans="105:105" ht="14.25" customHeight="1" x14ac:dyDescent="0.2">
      <c r="DA228" s="155"/>
    </row>
    <row r="229" spans="105:105" ht="14.25" customHeight="1" x14ac:dyDescent="0.2">
      <c r="DA229" s="155"/>
    </row>
    <row r="230" spans="105:105" ht="14.25" customHeight="1" x14ac:dyDescent="0.2">
      <c r="DA230" s="155"/>
    </row>
    <row r="231" spans="105:105" ht="14.25" customHeight="1" x14ac:dyDescent="0.2">
      <c r="DA231" s="155"/>
    </row>
    <row r="232" spans="105:105" ht="14.25" customHeight="1" x14ac:dyDescent="0.2">
      <c r="DA232" s="155"/>
    </row>
    <row r="233" spans="105:105" ht="14.25" customHeight="1" x14ac:dyDescent="0.2">
      <c r="DA233" s="155"/>
    </row>
    <row r="234" spans="105:105" ht="14.25" customHeight="1" x14ac:dyDescent="0.2">
      <c r="DA234" s="155"/>
    </row>
    <row r="235" spans="105:105" ht="14.25" customHeight="1" x14ac:dyDescent="0.2">
      <c r="DA235" s="155"/>
    </row>
    <row r="236" spans="105:105" ht="14.25" customHeight="1" x14ac:dyDescent="0.2">
      <c r="DA236" s="155"/>
    </row>
    <row r="237" spans="105:105" ht="14.25" customHeight="1" x14ac:dyDescent="0.2">
      <c r="DA237" s="155"/>
    </row>
    <row r="238" spans="105:105" ht="14.25" customHeight="1" x14ac:dyDescent="0.2">
      <c r="DA238" s="155"/>
    </row>
    <row r="239" spans="105:105" ht="14.25" customHeight="1" x14ac:dyDescent="0.2">
      <c r="DA239" s="155"/>
    </row>
    <row r="240" spans="105:105" ht="14.25" customHeight="1" x14ac:dyDescent="0.2">
      <c r="DA240" s="155"/>
    </row>
    <row r="241" spans="105:105" ht="14.25" customHeight="1" x14ac:dyDescent="0.2">
      <c r="DA241" s="155"/>
    </row>
    <row r="242" spans="105:105" ht="14.25" customHeight="1" x14ac:dyDescent="0.2">
      <c r="DA242" s="155"/>
    </row>
    <row r="243" spans="105:105" ht="14.25" customHeight="1" x14ac:dyDescent="0.2">
      <c r="DA243" s="155"/>
    </row>
    <row r="244" spans="105:105" ht="14.25" customHeight="1" x14ac:dyDescent="0.2">
      <c r="DA244" s="155"/>
    </row>
    <row r="245" spans="105:105" ht="14.25" customHeight="1" x14ac:dyDescent="0.2">
      <c r="DA245" s="155"/>
    </row>
    <row r="246" spans="105:105" ht="14.25" customHeight="1" x14ac:dyDescent="0.2">
      <c r="DA246" s="155"/>
    </row>
    <row r="247" spans="105:105" ht="14.25" customHeight="1" x14ac:dyDescent="0.2">
      <c r="DA247" s="155"/>
    </row>
    <row r="248" spans="105:105" ht="14.25" customHeight="1" x14ac:dyDescent="0.2">
      <c r="DA248" s="155"/>
    </row>
    <row r="249" spans="105:105" ht="14.25" customHeight="1" x14ac:dyDescent="0.2">
      <c r="DA249" s="155"/>
    </row>
    <row r="250" spans="105:105" ht="14.25" customHeight="1" x14ac:dyDescent="0.2">
      <c r="DA250" s="155"/>
    </row>
    <row r="251" spans="105:105" ht="14.25" customHeight="1" x14ac:dyDescent="0.2">
      <c r="DA251" s="155"/>
    </row>
    <row r="252" spans="105:105" ht="14.25" customHeight="1" x14ac:dyDescent="0.2">
      <c r="DA252" s="155"/>
    </row>
    <row r="253" spans="105:105" ht="14.25" customHeight="1" x14ac:dyDescent="0.2">
      <c r="DA253" s="155"/>
    </row>
    <row r="254" spans="105:105" ht="14.25" customHeight="1" x14ac:dyDescent="0.2">
      <c r="DA254" s="155"/>
    </row>
    <row r="255" spans="105:105" ht="14.25" customHeight="1" x14ac:dyDescent="0.2">
      <c r="DA255" s="155"/>
    </row>
    <row r="256" spans="105:105" ht="14.25" customHeight="1" x14ac:dyDescent="0.2">
      <c r="DA256" s="155"/>
    </row>
    <row r="257" spans="105:105" ht="14.25" customHeight="1" x14ac:dyDescent="0.2">
      <c r="DA257" s="155"/>
    </row>
    <row r="258" spans="105:105" ht="14.25" customHeight="1" x14ac:dyDescent="0.2">
      <c r="DA258" s="155"/>
    </row>
    <row r="259" spans="105:105" ht="14.25" customHeight="1" x14ac:dyDescent="0.2">
      <c r="DA259" s="155"/>
    </row>
    <row r="260" spans="105:105" ht="14.25" customHeight="1" x14ac:dyDescent="0.2">
      <c r="DA260" s="155"/>
    </row>
    <row r="261" spans="105:105" ht="14.25" customHeight="1" x14ac:dyDescent="0.2">
      <c r="DA261" s="155"/>
    </row>
    <row r="262" spans="105:105" ht="14.25" customHeight="1" x14ac:dyDescent="0.2">
      <c r="DA262" s="155"/>
    </row>
    <row r="263" spans="105:105" ht="14.25" customHeight="1" x14ac:dyDescent="0.2">
      <c r="DA263" s="155"/>
    </row>
    <row r="264" spans="105:105" ht="14.25" customHeight="1" x14ac:dyDescent="0.2">
      <c r="DA264" s="155"/>
    </row>
    <row r="265" spans="105:105" ht="14.25" customHeight="1" x14ac:dyDescent="0.2">
      <c r="DA265" s="155"/>
    </row>
    <row r="266" spans="105:105" ht="14.25" customHeight="1" x14ac:dyDescent="0.2">
      <c r="DA266" s="155"/>
    </row>
    <row r="267" spans="105:105" ht="14.25" customHeight="1" x14ac:dyDescent="0.2">
      <c r="DA267" s="155"/>
    </row>
    <row r="268" spans="105:105" ht="14.25" customHeight="1" x14ac:dyDescent="0.2">
      <c r="DA268" s="155"/>
    </row>
    <row r="269" spans="105:105" ht="14.25" customHeight="1" x14ac:dyDescent="0.2">
      <c r="DA269" s="155"/>
    </row>
    <row r="270" spans="105:105" ht="14.25" customHeight="1" x14ac:dyDescent="0.2">
      <c r="DA270" s="155"/>
    </row>
    <row r="271" spans="105:105" ht="14.25" customHeight="1" x14ac:dyDescent="0.2">
      <c r="DA271" s="155"/>
    </row>
    <row r="272" spans="105:105" ht="14.25" customHeight="1" x14ac:dyDescent="0.2">
      <c r="DA272" s="155"/>
    </row>
    <row r="273" spans="105:105" ht="14.25" customHeight="1" x14ac:dyDescent="0.2">
      <c r="DA273" s="155"/>
    </row>
    <row r="274" spans="105:105" ht="14.25" customHeight="1" x14ac:dyDescent="0.2">
      <c r="DA274" s="155"/>
    </row>
    <row r="275" spans="105:105" ht="14.25" customHeight="1" x14ac:dyDescent="0.2">
      <c r="DA275" s="155"/>
    </row>
    <row r="276" spans="105:105" ht="14.25" customHeight="1" x14ac:dyDescent="0.2">
      <c r="DA276" s="155"/>
    </row>
    <row r="277" spans="105:105" ht="14.25" customHeight="1" x14ac:dyDescent="0.2">
      <c r="DA277" s="155"/>
    </row>
    <row r="278" spans="105:105" ht="14.25" customHeight="1" x14ac:dyDescent="0.2">
      <c r="DA278" s="155"/>
    </row>
    <row r="279" spans="105:105" ht="14.25" customHeight="1" x14ac:dyDescent="0.2">
      <c r="DA279" s="155"/>
    </row>
    <row r="280" spans="105:105" ht="14.25" customHeight="1" x14ac:dyDescent="0.2">
      <c r="DA280" s="155"/>
    </row>
    <row r="281" spans="105:105" ht="14.25" customHeight="1" x14ac:dyDescent="0.2">
      <c r="DA281" s="155"/>
    </row>
    <row r="282" spans="105:105" ht="14.25" customHeight="1" x14ac:dyDescent="0.2">
      <c r="DA282" s="155"/>
    </row>
    <row r="283" spans="105:105" ht="14.25" customHeight="1" x14ac:dyDescent="0.2">
      <c r="DA283" s="155"/>
    </row>
    <row r="284" spans="105:105" ht="14.25" customHeight="1" x14ac:dyDescent="0.2">
      <c r="DA284" s="155"/>
    </row>
    <row r="285" spans="105:105" ht="14.25" customHeight="1" x14ac:dyDescent="0.2">
      <c r="DA285" s="155"/>
    </row>
    <row r="286" spans="105:105" ht="14.25" customHeight="1" x14ac:dyDescent="0.2">
      <c r="DA286" s="155"/>
    </row>
    <row r="287" spans="105:105" ht="14.25" customHeight="1" x14ac:dyDescent="0.2">
      <c r="DA287" s="155"/>
    </row>
    <row r="288" spans="105:105" ht="14.25" customHeight="1" x14ac:dyDescent="0.2">
      <c r="DA288" s="155"/>
    </row>
    <row r="289" spans="105:105" ht="14.25" customHeight="1" x14ac:dyDescent="0.2">
      <c r="DA289" s="155"/>
    </row>
    <row r="290" spans="105:105" ht="14.25" customHeight="1" x14ac:dyDescent="0.2">
      <c r="DA290" s="155"/>
    </row>
    <row r="291" spans="105:105" ht="14.25" customHeight="1" x14ac:dyDescent="0.2">
      <c r="DA291" s="155"/>
    </row>
    <row r="292" spans="105:105" ht="14.25" customHeight="1" x14ac:dyDescent="0.2">
      <c r="DA292" s="155"/>
    </row>
    <row r="293" spans="105:105" ht="14.25" customHeight="1" x14ac:dyDescent="0.2">
      <c r="DA293" s="155"/>
    </row>
    <row r="294" spans="105:105" ht="14.25" customHeight="1" x14ac:dyDescent="0.2">
      <c r="DA294" s="155"/>
    </row>
    <row r="295" spans="105:105" ht="14.25" customHeight="1" x14ac:dyDescent="0.2">
      <c r="DA295" s="155"/>
    </row>
    <row r="296" spans="105:105" ht="14.25" customHeight="1" x14ac:dyDescent="0.2">
      <c r="DA296" s="155"/>
    </row>
    <row r="297" spans="105:105" ht="14.25" customHeight="1" x14ac:dyDescent="0.2">
      <c r="DA297" s="155"/>
    </row>
    <row r="298" spans="105:105" ht="14.25" customHeight="1" x14ac:dyDescent="0.2">
      <c r="DA298" s="155"/>
    </row>
    <row r="299" spans="105:105" ht="14.25" customHeight="1" x14ac:dyDescent="0.2">
      <c r="DA299" s="155"/>
    </row>
    <row r="300" spans="105:105" ht="14.25" customHeight="1" x14ac:dyDescent="0.2">
      <c r="DA300" s="155"/>
    </row>
    <row r="301" spans="105:105" ht="14.25" customHeight="1" x14ac:dyDescent="0.2">
      <c r="DA301" s="155"/>
    </row>
    <row r="302" spans="105:105" ht="14.25" customHeight="1" x14ac:dyDescent="0.2">
      <c r="DA302" s="155"/>
    </row>
    <row r="303" spans="105:105" ht="14.25" customHeight="1" x14ac:dyDescent="0.2">
      <c r="DA303" s="155"/>
    </row>
    <row r="304" spans="105:105" ht="14.25" customHeight="1" x14ac:dyDescent="0.2">
      <c r="DA304" s="155"/>
    </row>
    <row r="305" spans="105:105" ht="14.25" customHeight="1" x14ac:dyDescent="0.2">
      <c r="DA305" s="155"/>
    </row>
    <row r="306" spans="105:105" ht="14.25" customHeight="1" x14ac:dyDescent="0.2">
      <c r="DA306" s="155"/>
    </row>
    <row r="307" spans="105:105" ht="14.25" customHeight="1" x14ac:dyDescent="0.2">
      <c r="DA307" s="155"/>
    </row>
    <row r="308" spans="105:105" ht="14.25" customHeight="1" x14ac:dyDescent="0.2">
      <c r="DA308" s="155"/>
    </row>
    <row r="309" spans="105:105" ht="14.25" customHeight="1" x14ac:dyDescent="0.2">
      <c r="DA309" s="155"/>
    </row>
    <row r="310" spans="105:105" ht="14.25" customHeight="1" x14ac:dyDescent="0.2">
      <c r="DA310" s="155"/>
    </row>
    <row r="311" spans="105:105" ht="14.25" customHeight="1" x14ac:dyDescent="0.2">
      <c r="DA311" s="155"/>
    </row>
    <row r="312" spans="105:105" ht="14.25" customHeight="1" x14ac:dyDescent="0.2">
      <c r="DA312" s="155"/>
    </row>
    <row r="313" spans="105:105" ht="14.25" customHeight="1" x14ac:dyDescent="0.2">
      <c r="DA313" s="155"/>
    </row>
    <row r="314" spans="105:105" ht="14.25" customHeight="1" x14ac:dyDescent="0.2">
      <c r="DA314" s="155"/>
    </row>
    <row r="315" spans="105:105" ht="14.25" customHeight="1" x14ac:dyDescent="0.2">
      <c r="DA315" s="155"/>
    </row>
    <row r="316" spans="105:105" ht="14.25" customHeight="1" x14ac:dyDescent="0.2">
      <c r="DA316" s="155"/>
    </row>
    <row r="317" spans="105:105" ht="14.25" customHeight="1" x14ac:dyDescent="0.2">
      <c r="DA317" s="155"/>
    </row>
    <row r="318" spans="105:105" ht="14.25" customHeight="1" x14ac:dyDescent="0.2">
      <c r="DA318" s="155"/>
    </row>
    <row r="319" spans="105:105" ht="14.25" customHeight="1" x14ac:dyDescent="0.2">
      <c r="DA319" s="155"/>
    </row>
    <row r="320" spans="105:105" ht="14.25" customHeight="1" x14ac:dyDescent="0.2">
      <c r="DA320" s="155"/>
    </row>
    <row r="321" spans="105:105" ht="14.25" customHeight="1" x14ac:dyDescent="0.2">
      <c r="DA321" s="155"/>
    </row>
    <row r="322" spans="105:105" ht="14.25" customHeight="1" x14ac:dyDescent="0.2">
      <c r="DA322" s="155"/>
    </row>
    <row r="323" spans="105:105" ht="14.25" customHeight="1" x14ac:dyDescent="0.2">
      <c r="DA323" s="155"/>
    </row>
    <row r="324" spans="105:105" ht="14.25" customHeight="1" x14ac:dyDescent="0.2">
      <c r="DA324" s="155"/>
    </row>
    <row r="325" spans="105:105" ht="14.25" customHeight="1" x14ac:dyDescent="0.2">
      <c r="DA325" s="155"/>
    </row>
    <row r="326" spans="105:105" ht="14.25" customHeight="1" x14ac:dyDescent="0.2">
      <c r="DA326" s="155"/>
    </row>
    <row r="327" spans="105:105" ht="14.25" customHeight="1" x14ac:dyDescent="0.2">
      <c r="DA327" s="155"/>
    </row>
    <row r="328" spans="105:105" ht="14.25" customHeight="1" x14ac:dyDescent="0.2">
      <c r="DA328" s="155"/>
    </row>
    <row r="329" spans="105:105" ht="14.25" customHeight="1" x14ac:dyDescent="0.2">
      <c r="DA329" s="155"/>
    </row>
    <row r="330" spans="105:105" ht="14.25" customHeight="1" x14ac:dyDescent="0.2">
      <c r="DA330" s="155"/>
    </row>
    <row r="331" spans="105:105" ht="14.25" customHeight="1" x14ac:dyDescent="0.2">
      <c r="DA331" s="155"/>
    </row>
    <row r="332" spans="105:105" ht="14.25" customHeight="1" x14ac:dyDescent="0.2">
      <c r="DA332" s="155"/>
    </row>
    <row r="333" spans="105:105" ht="14.25" customHeight="1" x14ac:dyDescent="0.2">
      <c r="DA333" s="155"/>
    </row>
    <row r="334" spans="105:105" ht="14.25" customHeight="1" x14ac:dyDescent="0.2">
      <c r="DA334" s="155"/>
    </row>
    <row r="335" spans="105:105" ht="14.25" customHeight="1" x14ac:dyDescent="0.2">
      <c r="DA335" s="155"/>
    </row>
    <row r="336" spans="105:105" ht="14.25" customHeight="1" x14ac:dyDescent="0.2">
      <c r="DA336" s="155"/>
    </row>
    <row r="337" spans="105:105" ht="14.25" customHeight="1" x14ac:dyDescent="0.2">
      <c r="DA337" s="155"/>
    </row>
    <row r="338" spans="105:105" ht="14.25" customHeight="1" x14ac:dyDescent="0.2">
      <c r="DA338" s="155"/>
    </row>
    <row r="339" spans="105:105" ht="14.25" customHeight="1" x14ac:dyDescent="0.2">
      <c r="DA339" s="155"/>
    </row>
    <row r="340" spans="105:105" ht="14.25" customHeight="1" x14ac:dyDescent="0.2">
      <c r="DA340" s="155"/>
    </row>
    <row r="341" spans="105:105" ht="14.25" customHeight="1" x14ac:dyDescent="0.2">
      <c r="DA341" s="155"/>
    </row>
    <row r="342" spans="105:105" ht="14.25" customHeight="1" x14ac:dyDescent="0.2">
      <c r="DA342" s="155"/>
    </row>
    <row r="343" spans="105:105" ht="14.25" customHeight="1" x14ac:dyDescent="0.2">
      <c r="DA343" s="155"/>
    </row>
    <row r="344" spans="105:105" ht="14.25" customHeight="1" x14ac:dyDescent="0.2">
      <c r="DA344" s="155"/>
    </row>
    <row r="345" spans="105:105" ht="14.25" customHeight="1" x14ac:dyDescent="0.2">
      <c r="DA345" s="155"/>
    </row>
    <row r="346" spans="105:105" ht="14.25" customHeight="1" x14ac:dyDescent="0.2">
      <c r="DA346" s="155"/>
    </row>
    <row r="347" spans="105:105" ht="14.25" customHeight="1" x14ac:dyDescent="0.2">
      <c r="DA347" s="155"/>
    </row>
    <row r="348" spans="105:105" ht="14.25" customHeight="1" x14ac:dyDescent="0.2">
      <c r="DA348" s="155"/>
    </row>
    <row r="349" spans="105:105" ht="14.25" customHeight="1" x14ac:dyDescent="0.2">
      <c r="DA349" s="155"/>
    </row>
    <row r="350" spans="105:105" ht="14.25" customHeight="1" x14ac:dyDescent="0.2">
      <c r="DA350" s="155"/>
    </row>
    <row r="351" spans="105:105" ht="14.25" customHeight="1" x14ac:dyDescent="0.2">
      <c r="DA351" s="155"/>
    </row>
    <row r="352" spans="105:105" ht="14.25" customHeight="1" x14ac:dyDescent="0.2">
      <c r="DA352" s="155"/>
    </row>
    <row r="353" spans="105:105" ht="14.25" customHeight="1" x14ac:dyDescent="0.2">
      <c r="DA353" s="155"/>
    </row>
    <row r="354" spans="105:105" ht="14.25" customHeight="1" x14ac:dyDescent="0.2">
      <c r="DA354" s="155"/>
    </row>
    <row r="355" spans="105:105" ht="14.25" customHeight="1" x14ac:dyDescent="0.2">
      <c r="DA355" s="155"/>
    </row>
    <row r="356" spans="105:105" ht="14.25" customHeight="1" x14ac:dyDescent="0.2">
      <c r="DA356" s="155"/>
    </row>
    <row r="357" spans="105:105" ht="14.25" customHeight="1" x14ac:dyDescent="0.2">
      <c r="DA357" s="155"/>
    </row>
    <row r="358" spans="105:105" ht="14.25" customHeight="1" x14ac:dyDescent="0.2">
      <c r="DA358" s="155"/>
    </row>
    <row r="359" spans="105:105" ht="14.25" customHeight="1" x14ac:dyDescent="0.2">
      <c r="DA359" s="155"/>
    </row>
    <row r="360" spans="105:105" ht="14.25" customHeight="1" x14ac:dyDescent="0.2">
      <c r="DA360" s="155"/>
    </row>
    <row r="361" spans="105:105" ht="14.25" customHeight="1" x14ac:dyDescent="0.2">
      <c r="DA361" s="155"/>
    </row>
    <row r="362" spans="105:105" ht="14.25" customHeight="1" x14ac:dyDescent="0.2">
      <c r="DA362" s="155"/>
    </row>
    <row r="363" spans="105:105" ht="14.25" customHeight="1" x14ac:dyDescent="0.2">
      <c r="DA363" s="155"/>
    </row>
    <row r="364" spans="105:105" ht="14.25" customHeight="1" x14ac:dyDescent="0.2">
      <c r="DA364" s="155"/>
    </row>
    <row r="365" spans="105:105" ht="14.25" customHeight="1" x14ac:dyDescent="0.2">
      <c r="DA365" s="155"/>
    </row>
    <row r="366" spans="105:105" ht="14.25" customHeight="1" x14ac:dyDescent="0.2">
      <c r="DA366" s="155"/>
    </row>
    <row r="367" spans="105:105" ht="14.25" customHeight="1" x14ac:dyDescent="0.2">
      <c r="DA367" s="155"/>
    </row>
    <row r="368" spans="105:105" ht="14.25" customHeight="1" x14ac:dyDescent="0.2">
      <c r="DA368" s="155"/>
    </row>
    <row r="369" spans="105:105" ht="14.25" customHeight="1" x14ac:dyDescent="0.2">
      <c r="DA369" s="155"/>
    </row>
    <row r="370" spans="105:105" ht="14.25" customHeight="1" x14ac:dyDescent="0.2">
      <c r="DA370" s="155"/>
    </row>
    <row r="371" spans="105:105" ht="14.25" customHeight="1" x14ac:dyDescent="0.2">
      <c r="DA371" s="155"/>
    </row>
    <row r="372" spans="105:105" ht="14.25" customHeight="1" x14ac:dyDescent="0.2">
      <c r="DA372" s="155"/>
    </row>
    <row r="373" spans="105:105" ht="14.25" customHeight="1" x14ac:dyDescent="0.2">
      <c r="DA373" s="155"/>
    </row>
    <row r="374" spans="105:105" ht="14.25" customHeight="1" x14ac:dyDescent="0.2">
      <c r="DA374" s="155"/>
    </row>
    <row r="375" spans="105:105" ht="14.25" customHeight="1" x14ac:dyDescent="0.2">
      <c r="DA375" s="155"/>
    </row>
    <row r="376" spans="105:105" ht="14.25" customHeight="1" x14ac:dyDescent="0.2">
      <c r="DA376" s="155"/>
    </row>
    <row r="377" spans="105:105" ht="14.25" customHeight="1" x14ac:dyDescent="0.2">
      <c r="DA377" s="155"/>
    </row>
    <row r="378" spans="105:105" ht="14.25" customHeight="1" x14ac:dyDescent="0.2">
      <c r="DA378" s="155"/>
    </row>
    <row r="379" spans="105:105" ht="14.25" customHeight="1" x14ac:dyDescent="0.2">
      <c r="DA379" s="155"/>
    </row>
    <row r="380" spans="105:105" ht="14.25" customHeight="1" x14ac:dyDescent="0.2">
      <c r="DA380" s="155"/>
    </row>
    <row r="381" spans="105:105" ht="14.25" customHeight="1" x14ac:dyDescent="0.2">
      <c r="DA381" s="155"/>
    </row>
    <row r="382" spans="105:105" ht="14.25" customHeight="1" x14ac:dyDescent="0.2">
      <c r="DA382" s="155"/>
    </row>
    <row r="383" spans="105:105" ht="14.25" customHeight="1" x14ac:dyDescent="0.2">
      <c r="DA383" s="155"/>
    </row>
    <row r="384" spans="105:105" ht="14.25" customHeight="1" x14ac:dyDescent="0.2">
      <c r="DA384" s="155"/>
    </row>
    <row r="385" spans="105:105" ht="14.25" customHeight="1" x14ac:dyDescent="0.2">
      <c r="DA385" s="155"/>
    </row>
    <row r="386" spans="105:105" ht="14.25" customHeight="1" x14ac:dyDescent="0.2">
      <c r="DA386" s="155"/>
    </row>
    <row r="387" spans="105:105" ht="14.25" customHeight="1" x14ac:dyDescent="0.2">
      <c r="DA387" s="155"/>
    </row>
    <row r="388" spans="105:105" ht="14.25" customHeight="1" x14ac:dyDescent="0.2">
      <c r="DA388" s="155"/>
    </row>
    <row r="389" spans="105:105" ht="14.25" customHeight="1" x14ac:dyDescent="0.2">
      <c r="DA389" s="155"/>
    </row>
    <row r="390" spans="105:105" ht="14.25" customHeight="1" x14ac:dyDescent="0.2">
      <c r="DA390" s="155"/>
    </row>
    <row r="391" spans="105:105" ht="14.25" customHeight="1" x14ac:dyDescent="0.2">
      <c r="DA391" s="155"/>
    </row>
    <row r="392" spans="105:105" ht="14.25" customHeight="1" x14ac:dyDescent="0.2">
      <c r="DA392" s="155"/>
    </row>
    <row r="393" spans="105:105" ht="14.25" customHeight="1" x14ac:dyDescent="0.2">
      <c r="DA393" s="155"/>
    </row>
    <row r="394" spans="105:105" ht="14.25" customHeight="1" x14ac:dyDescent="0.2">
      <c r="DA394" s="155"/>
    </row>
    <row r="395" spans="105:105" ht="14.25" customHeight="1" x14ac:dyDescent="0.2">
      <c r="DA395" s="155"/>
    </row>
    <row r="396" spans="105:105" ht="14.25" customHeight="1" x14ac:dyDescent="0.2">
      <c r="DA396" s="155"/>
    </row>
    <row r="397" spans="105:105" ht="14.25" customHeight="1" x14ac:dyDescent="0.2">
      <c r="DA397" s="155"/>
    </row>
    <row r="398" spans="105:105" ht="14.25" customHeight="1" x14ac:dyDescent="0.2">
      <c r="DA398" s="155"/>
    </row>
    <row r="399" spans="105:105" ht="14.25" customHeight="1" x14ac:dyDescent="0.2">
      <c r="DA399" s="155"/>
    </row>
    <row r="400" spans="105:105" ht="14.25" customHeight="1" x14ac:dyDescent="0.2">
      <c r="DA400" s="155"/>
    </row>
    <row r="401" spans="105:105" ht="14.25" customHeight="1" x14ac:dyDescent="0.2">
      <c r="DA401" s="155"/>
    </row>
    <row r="402" spans="105:105" ht="14.25" customHeight="1" x14ac:dyDescent="0.2">
      <c r="DA402" s="155"/>
    </row>
    <row r="403" spans="105:105" ht="14.25" customHeight="1" x14ac:dyDescent="0.2">
      <c r="DA403" s="155"/>
    </row>
    <row r="404" spans="105:105" ht="14.25" customHeight="1" x14ac:dyDescent="0.2">
      <c r="DA404" s="155"/>
    </row>
    <row r="405" spans="105:105" ht="14.25" customHeight="1" x14ac:dyDescent="0.2">
      <c r="DA405" s="155"/>
    </row>
    <row r="406" spans="105:105" ht="14.25" customHeight="1" x14ac:dyDescent="0.2">
      <c r="DA406" s="155"/>
    </row>
    <row r="407" spans="105:105" ht="14.25" customHeight="1" x14ac:dyDescent="0.2">
      <c r="DA407" s="155"/>
    </row>
    <row r="408" spans="105:105" ht="14.25" customHeight="1" x14ac:dyDescent="0.2">
      <c r="DA408" s="155"/>
    </row>
    <row r="409" spans="105:105" ht="14.25" customHeight="1" x14ac:dyDescent="0.2">
      <c r="DA409" s="155"/>
    </row>
    <row r="410" spans="105:105" ht="14.25" customHeight="1" x14ac:dyDescent="0.2">
      <c r="DA410" s="155"/>
    </row>
    <row r="411" spans="105:105" ht="14.25" customHeight="1" x14ac:dyDescent="0.2">
      <c r="DA411" s="155"/>
    </row>
    <row r="412" spans="105:105" ht="14.25" customHeight="1" x14ac:dyDescent="0.2">
      <c r="DA412" s="155"/>
    </row>
    <row r="413" spans="105:105" ht="14.25" customHeight="1" x14ac:dyDescent="0.2">
      <c r="DA413" s="155"/>
    </row>
    <row r="414" spans="105:105" ht="14.25" customHeight="1" x14ac:dyDescent="0.2">
      <c r="DA414" s="155"/>
    </row>
    <row r="415" spans="105:105" ht="14.25" customHeight="1" x14ac:dyDescent="0.2">
      <c r="DA415" s="155"/>
    </row>
    <row r="416" spans="105:105" ht="14.25" customHeight="1" x14ac:dyDescent="0.2">
      <c r="DA416" s="155"/>
    </row>
    <row r="417" spans="105:105" ht="14.25" customHeight="1" x14ac:dyDescent="0.2">
      <c r="DA417" s="155"/>
    </row>
    <row r="418" spans="105:105" ht="14.25" customHeight="1" x14ac:dyDescent="0.2">
      <c r="DA418" s="155"/>
    </row>
    <row r="419" spans="105:105" ht="14.25" customHeight="1" x14ac:dyDescent="0.2">
      <c r="DA419" s="155"/>
    </row>
    <row r="420" spans="105:105" ht="14.25" customHeight="1" x14ac:dyDescent="0.2">
      <c r="DA420" s="155"/>
    </row>
    <row r="421" spans="105:105" ht="14.25" customHeight="1" x14ac:dyDescent="0.2">
      <c r="DA421" s="155"/>
    </row>
    <row r="422" spans="105:105" ht="14.25" customHeight="1" x14ac:dyDescent="0.2">
      <c r="DA422" s="155"/>
    </row>
    <row r="423" spans="105:105" ht="14.25" customHeight="1" x14ac:dyDescent="0.2">
      <c r="DA423" s="155"/>
    </row>
    <row r="424" spans="105:105" ht="14.25" customHeight="1" x14ac:dyDescent="0.2">
      <c r="DA424" s="155"/>
    </row>
    <row r="425" spans="105:105" ht="14.25" customHeight="1" x14ac:dyDescent="0.2">
      <c r="DA425" s="155"/>
    </row>
    <row r="426" spans="105:105" ht="14.25" customHeight="1" x14ac:dyDescent="0.2">
      <c r="DA426" s="155"/>
    </row>
    <row r="427" spans="105:105" ht="14.25" customHeight="1" x14ac:dyDescent="0.2">
      <c r="DA427" s="155"/>
    </row>
    <row r="428" spans="105:105" ht="14.25" customHeight="1" x14ac:dyDescent="0.2">
      <c r="DA428" s="155"/>
    </row>
    <row r="429" spans="105:105" ht="14.25" customHeight="1" x14ac:dyDescent="0.2">
      <c r="DA429" s="155"/>
    </row>
    <row r="430" spans="105:105" ht="14.25" customHeight="1" x14ac:dyDescent="0.2">
      <c r="DA430" s="155"/>
    </row>
    <row r="431" spans="105:105" ht="14.25" customHeight="1" x14ac:dyDescent="0.2">
      <c r="DA431" s="155"/>
    </row>
    <row r="432" spans="105:105" ht="14.25" customHeight="1" x14ac:dyDescent="0.2">
      <c r="DA432" s="155"/>
    </row>
    <row r="433" spans="105:105" ht="14.25" customHeight="1" x14ac:dyDescent="0.2">
      <c r="DA433" s="155"/>
    </row>
    <row r="434" spans="105:105" ht="14.25" customHeight="1" x14ac:dyDescent="0.2">
      <c r="DA434" s="155"/>
    </row>
    <row r="435" spans="105:105" ht="14.25" customHeight="1" x14ac:dyDescent="0.2">
      <c r="DA435" s="155"/>
    </row>
    <row r="436" spans="105:105" ht="14.25" customHeight="1" x14ac:dyDescent="0.2">
      <c r="DA436" s="155"/>
    </row>
    <row r="437" spans="105:105" ht="14.25" customHeight="1" x14ac:dyDescent="0.2">
      <c r="DA437" s="155"/>
    </row>
    <row r="438" spans="105:105" ht="14.25" customHeight="1" x14ac:dyDescent="0.2">
      <c r="DA438" s="155"/>
    </row>
    <row r="439" spans="105:105" ht="14.25" customHeight="1" x14ac:dyDescent="0.2">
      <c r="DA439" s="155"/>
    </row>
    <row r="440" spans="105:105" ht="14.25" customHeight="1" x14ac:dyDescent="0.2">
      <c r="DA440" s="155"/>
    </row>
    <row r="441" spans="105:105" ht="14.25" customHeight="1" x14ac:dyDescent="0.2">
      <c r="DA441" s="155"/>
    </row>
    <row r="442" spans="105:105" ht="14.25" customHeight="1" x14ac:dyDescent="0.2">
      <c r="DA442" s="155"/>
    </row>
    <row r="443" spans="105:105" ht="14.25" customHeight="1" x14ac:dyDescent="0.2">
      <c r="DA443" s="155"/>
    </row>
    <row r="444" spans="105:105" ht="14.25" customHeight="1" x14ac:dyDescent="0.2">
      <c r="DA444" s="155"/>
    </row>
    <row r="445" spans="105:105" ht="14.25" customHeight="1" x14ac:dyDescent="0.2">
      <c r="DA445" s="155"/>
    </row>
    <row r="446" spans="105:105" ht="14.25" customHeight="1" x14ac:dyDescent="0.2">
      <c r="DA446" s="155"/>
    </row>
    <row r="447" spans="105:105" ht="14.25" customHeight="1" x14ac:dyDescent="0.2">
      <c r="DA447" s="155"/>
    </row>
    <row r="448" spans="105:105" ht="14.25" customHeight="1" x14ac:dyDescent="0.2">
      <c r="DA448" s="155"/>
    </row>
    <row r="449" spans="105:105" ht="14.25" customHeight="1" x14ac:dyDescent="0.2">
      <c r="DA449" s="155"/>
    </row>
    <row r="450" spans="105:105" ht="14.25" customHeight="1" x14ac:dyDescent="0.2">
      <c r="DA450" s="155"/>
    </row>
    <row r="451" spans="105:105" ht="14.25" customHeight="1" x14ac:dyDescent="0.2">
      <c r="DA451" s="155"/>
    </row>
    <row r="452" spans="105:105" ht="14.25" customHeight="1" x14ac:dyDescent="0.2">
      <c r="DA452" s="155"/>
    </row>
    <row r="453" spans="105:105" ht="14.25" customHeight="1" x14ac:dyDescent="0.2">
      <c r="DA453" s="155"/>
    </row>
    <row r="454" spans="105:105" ht="14.25" customHeight="1" x14ac:dyDescent="0.2">
      <c r="DA454" s="155"/>
    </row>
    <row r="455" spans="105:105" ht="14.25" customHeight="1" x14ac:dyDescent="0.2">
      <c r="DA455" s="155"/>
    </row>
    <row r="456" spans="105:105" ht="14.25" customHeight="1" x14ac:dyDescent="0.2">
      <c r="DA456" s="155"/>
    </row>
    <row r="457" spans="105:105" ht="14.25" customHeight="1" x14ac:dyDescent="0.2">
      <c r="DA457" s="155"/>
    </row>
    <row r="458" spans="105:105" ht="14.25" customHeight="1" x14ac:dyDescent="0.2">
      <c r="DA458" s="155"/>
    </row>
    <row r="459" spans="105:105" ht="14.25" customHeight="1" x14ac:dyDescent="0.2">
      <c r="DA459" s="155"/>
    </row>
    <row r="460" spans="105:105" ht="14.25" customHeight="1" x14ac:dyDescent="0.2">
      <c r="DA460" s="155"/>
    </row>
    <row r="461" spans="105:105" ht="14.25" customHeight="1" x14ac:dyDescent="0.2">
      <c r="DA461" s="155"/>
    </row>
    <row r="462" spans="105:105" ht="14.25" customHeight="1" x14ac:dyDescent="0.2">
      <c r="DA462" s="155"/>
    </row>
    <row r="463" spans="105:105" ht="14.25" customHeight="1" x14ac:dyDescent="0.2">
      <c r="DA463" s="155"/>
    </row>
    <row r="464" spans="105:105" ht="14.25" customHeight="1" x14ac:dyDescent="0.2">
      <c r="DA464" s="155"/>
    </row>
    <row r="465" spans="105:105" ht="14.25" customHeight="1" x14ac:dyDescent="0.2">
      <c r="DA465" s="155"/>
    </row>
    <row r="466" spans="105:105" ht="14.25" customHeight="1" x14ac:dyDescent="0.2">
      <c r="DA466" s="155"/>
    </row>
    <row r="467" spans="105:105" ht="14.25" customHeight="1" x14ac:dyDescent="0.2">
      <c r="DA467" s="155"/>
    </row>
    <row r="468" spans="105:105" ht="14.25" customHeight="1" x14ac:dyDescent="0.2">
      <c r="DA468" s="155"/>
    </row>
    <row r="469" spans="105:105" ht="14.25" customHeight="1" x14ac:dyDescent="0.2">
      <c r="DA469" s="155"/>
    </row>
    <row r="470" spans="105:105" ht="14.25" customHeight="1" x14ac:dyDescent="0.2">
      <c r="DA470" s="155"/>
    </row>
    <row r="471" spans="105:105" ht="14.25" customHeight="1" x14ac:dyDescent="0.2">
      <c r="DA471" s="155"/>
    </row>
    <row r="472" spans="105:105" ht="14.25" customHeight="1" x14ac:dyDescent="0.2">
      <c r="DA472" s="155"/>
    </row>
    <row r="473" spans="105:105" ht="14.25" customHeight="1" x14ac:dyDescent="0.2">
      <c r="DA473" s="155"/>
    </row>
    <row r="474" spans="105:105" ht="14.25" customHeight="1" x14ac:dyDescent="0.2">
      <c r="DA474" s="155"/>
    </row>
    <row r="475" spans="105:105" ht="14.25" customHeight="1" x14ac:dyDescent="0.2">
      <c r="DA475" s="155"/>
    </row>
    <row r="476" spans="105:105" ht="14.25" customHeight="1" x14ac:dyDescent="0.2">
      <c r="DA476" s="155"/>
    </row>
    <row r="477" spans="105:105" ht="14.25" customHeight="1" x14ac:dyDescent="0.2">
      <c r="DA477" s="155"/>
    </row>
    <row r="478" spans="105:105" ht="14.25" customHeight="1" x14ac:dyDescent="0.2">
      <c r="DA478" s="155"/>
    </row>
    <row r="479" spans="105:105" ht="14.25" customHeight="1" x14ac:dyDescent="0.2">
      <c r="DA479" s="155"/>
    </row>
    <row r="480" spans="105:105" ht="14.25" customHeight="1" x14ac:dyDescent="0.2">
      <c r="DA480" s="155"/>
    </row>
    <row r="481" spans="105:105" ht="14.25" customHeight="1" x14ac:dyDescent="0.2">
      <c r="DA481" s="155"/>
    </row>
    <row r="482" spans="105:105" ht="14.25" customHeight="1" x14ac:dyDescent="0.2">
      <c r="DA482" s="155"/>
    </row>
    <row r="483" spans="105:105" ht="14.25" customHeight="1" x14ac:dyDescent="0.2">
      <c r="DA483" s="155"/>
    </row>
    <row r="484" spans="105:105" ht="14.25" customHeight="1" x14ac:dyDescent="0.2">
      <c r="DA484" s="155"/>
    </row>
    <row r="485" spans="105:105" ht="14.25" customHeight="1" x14ac:dyDescent="0.2">
      <c r="DA485" s="155"/>
    </row>
    <row r="486" spans="105:105" ht="14.25" customHeight="1" x14ac:dyDescent="0.2">
      <c r="DA486" s="155"/>
    </row>
    <row r="487" spans="105:105" ht="14.25" customHeight="1" x14ac:dyDescent="0.2">
      <c r="DA487" s="155"/>
    </row>
    <row r="488" spans="105:105" ht="14.25" customHeight="1" x14ac:dyDescent="0.2">
      <c r="DA488" s="155"/>
    </row>
    <row r="489" spans="105:105" ht="14.25" customHeight="1" x14ac:dyDescent="0.2">
      <c r="DA489" s="155"/>
    </row>
    <row r="490" spans="105:105" ht="14.25" customHeight="1" x14ac:dyDescent="0.2">
      <c r="DA490" s="155"/>
    </row>
    <row r="491" spans="105:105" ht="14.25" customHeight="1" x14ac:dyDescent="0.2">
      <c r="DA491" s="155"/>
    </row>
    <row r="492" spans="105:105" ht="14.25" customHeight="1" x14ac:dyDescent="0.2">
      <c r="DA492" s="155"/>
    </row>
    <row r="493" spans="105:105" ht="14.25" customHeight="1" x14ac:dyDescent="0.2">
      <c r="DA493" s="155"/>
    </row>
    <row r="494" spans="105:105" ht="14.25" customHeight="1" x14ac:dyDescent="0.2">
      <c r="DA494" s="155"/>
    </row>
    <row r="495" spans="105:105" ht="14.25" customHeight="1" x14ac:dyDescent="0.2">
      <c r="DA495" s="155"/>
    </row>
    <row r="496" spans="105:105" ht="14.25" customHeight="1" x14ac:dyDescent="0.2">
      <c r="DA496" s="155"/>
    </row>
    <row r="497" spans="105:105" ht="14.25" customHeight="1" x14ac:dyDescent="0.2">
      <c r="DA497" s="155"/>
    </row>
    <row r="498" spans="105:105" ht="14.25" customHeight="1" x14ac:dyDescent="0.2">
      <c r="DA498" s="155"/>
    </row>
    <row r="499" spans="105:105" ht="14.25" customHeight="1" x14ac:dyDescent="0.2">
      <c r="DA499" s="155"/>
    </row>
    <row r="500" spans="105:105" ht="14.25" customHeight="1" x14ac:dyDescent="0.2">
      <c r="DA500" s="155"/>
    </row>
    <row r="501" spans="105:105" ht="14.25" customHeight="1" x14ac:dyDescent="0.2">
      <c r="DA501" s="155"/>
    </row>
    <row r="502" spans="105:105" ht="14.25" customHeight="1" x14ac:dyDescent="0.2">
      <c r="DA502" s="155"/>
    </row>
    <row r="503" spans="105:105" ht="14.25" customHeight="1" x14ac:dyDescent="0.2">
      <c r="DA503" s="155"/>
    </row>
    <row r="504" spans="105:105" ht="14.25" customHeight="1" x14ac:dyDescent="0.2">
      <c r="DA504" s="155"/>
    </row>
    <row r="505" spans="105:105" ht="14.25" customHeight="1" x14ac:dyDescent="0.2">
      <c r="DA505" s="155"/>
    </row>
    <row r="506" spans="105:105" ht="14.25" customHeight="1" x14ac:dyDescent="0.2">
      <c r="DA506" s="155"/>
    </row>
    <row r="507" spans="105:105" ht="14.25" customHeight="1" x14ac:dyDescent="0.2">
      <c r="DA507" s="155"/>
    </row>
    <row r="508" spans="105:105" ht="14.25" customHeight="1" x14ac:dyDescent="0.2">
      <c r="DA508" s="155"/>
    </row>
    <row r="509" spans="105:105" ht="14.25" customHeight="1" x14ac:dyDescent="0.2">
      <c r="DA509" s="155"/>
    </row>
    <row r="510" spans="105:105" ht="14.25" customHeight="1" x14ac:dyDescent="0.2">
      <c r="DA510" s="155"/>
    </row>
    <row r="511" spans="105:105" ht="14.25" customHeight="1" x14ac:dyDescent="0.2">
      <c r="DA511" s="155"/>
    </row>
    <row r="512" spans="105:105" ht="14.25" customHeight="1" x14ac:dyDescent="0.2">
      <c r="DA512" s="155"/>
    </row>
    <row r="513" spans="105:105" ht="14.25" customHeight="1" x14ac:dyDescent="0.2">
      <c r="DA513" s="155"/>
    </row>
    <row r="514" spans="105:105" ht="14.25" customHeight="1" x14ac:dyDescent="0.2">
      <c r="DA514" s="155"/>
    </row>
    <row r="515" spans="105:105" ht="14.25" customHeight="1" x14ac:dyDescent="0.2">
      <c r="DA515" s="155"/>
    </row>
    <row r="516" spans="105:105" ht="14.25" customHeight="1" x14ac:dyDescent="0.2">
      <c r="DA516" s="155"/>
    </row>
    <row r="517" spans="105:105" ht="14.25" customHeight="1" x14ac:dyDescent="0.2">
      <c r="DA517" s="155"/>
    </row>
    <row r="518" spans="105:105" ht="14.25" customHeight="1" x14ac:dyDescent="0.2">
      <c r="DA518" s="155"/>
    </row>
    <row r="519" spans="105:105" ht="14.25" customHeight="1" x14ac:dyDescent="0.2">
      <c r="DA519" s="155"/>
    </row>
    <row r="520" spans="105:105" ht="14.25" customHeight="1" x14ac:dyDescent="0.2">
      <c r="DA520" s="155"/>
    </row>
    <row r="521" spans="105:105" ht="14.25" customHeight="1" x14ac:dyDescent="0.2">
      <c r="DA521" s="155"/>
    </row>
    <row r="522" spans="105:105" ht="14.25" customHeight="1" x14ac:dyDescent="0.2">
      <c r="DA522" s="155"/>
    </row>
    <row r="523" spans="105:105" ht="14.25" customHeight="1" x14ac:dyDescent="0.2">
      <c r="DA523" s="155"/>
    </row>
    <row r="524" spans="105:105" ht="14.25" customHeight="1" x14ac:dyDescent="0.2">
      <c r="DA524" s="155"/>
    </row>
    <row r="525" spans="105:105" ht="14.25" customHeight="1" x14ac:dyDescent="0.2">
      <c r="DA525" s="155"/>
    </row>
    <row r="526" spans="105:105" ht="14.25" customHeight="1" x14ac:dyDescent="0.2">
      <c r="DA526" s="155"/>
    </row>
    <row r="527" spans="105:105" ht="14.25" customHeight="1" x14ac:dyDescent="0.2">
      <c r="DA527" s="155"/>
    </row>
    <row r="528" spans="105:105" ht="14.25" customHeight="1" x14ac:dyDescent="0.2">
      <c r="DA528" s="155"/>
    </row>
    <row r="529" spans="105:105" ht="14.25" customHeight="1" x14ac:dyDescent="0.2">
      <c r="DA529" s="155"/>
    </row>
    <row r="530" spans="105:105" ht="14.25" customHeight="1" x14ac:dyDescent="0.2">
      <c r="DA530" s="155"/>
    </row>
    <row r="531" spans="105:105" ht="14.25" customHeight="1" x14ac:dyDescent="0.2">
      <c r="DA531" s="155"/>
    </row>
    <row r="532" spans="105:105" ht="14.25" customHeight="1" x14ac:dyDescent="0.2">
      <c r="DA532" s="155"/>
    </row>
    <row r="533" spans="105:105" ht="14.25" customHeight="1" x14ac:dyDescent="0.2">
      <c r="DA533" s="155"/>
    </row>
    <row r="534" spans="105:105" ht="14.25" customHeight="1" x14ac:dyDescent="0.2">
      <c r="DA534" s="155"/>
    </row>
    <row r="535" spans="105:105" ht="14.25" customHeight="1" x14ac:dyDescent="0.2">
      <c r="DA535" s="155"/>
    </row>
    <row r="536" spans="105:105" ht="14.25" customHeight="1" x14ac:dyDescent="0.2">
      <c r="DA536" s="155"/>
    </row>
    <row r="537" spans="105:105" ht="14.25" customHeight="1" x14ac:dyDescent="0.2">
      <c r="DA537" s="155"/>
    </row>
    <row r="538" spans="105:105" ht="14.25" customHeight="1" x14ac:dyDescent="0.2">
      <c r="DA538" s="155"/>
    </row>
    <row r="539" spans="105:105" ht="14.25" customHeight="1" x14ac:dyDescent="0.2">
      <c r="DA539" s="155"/>
    </row>
    <row r="540" spans="105:105" ht="14.25" customHeight="1" x14ac:dyDescent="0.2">
      <c r="DA540" s="155"/>
    </row>
    <row r="541" spans="105:105" ht="14.25" customHeight="1" x14ac:dyDescent="0.2">
      <c r="DA541" s="155"/>
    </row>
    <row r="542" spans="105:105" ht="14.25" customHeight="1" x14ac:dyDescent="0.2">
      <c r="DA542" s="155"/>
    </row>
    <row r="543" spans="105:105" ht="14.25" customHeight="1" x14ac:dyDescent="0.2">
      <c r="DA543" s="155"/>
    </row>
    <row r="544" spans="105:105" ht="14.25" customHeight="1" x14ac:dyDescent="0.2">
      <c r="DA544" s="155"/>
    </row>
    <row r="545" spans="105:105" ht="14.25" customHeight="1" x14ac:dyDescent="0.2">
      <c r="DA545" s="155"/>
    </row>
    <row r="546" spans="105:105" ht="14.25" customHeight="1" x14ac:dyDescent="0.2">
      <c r="DA546" s="155"/>
    </row>
    <row r="547" spans="105:105" ht="14.25" customHeight="1" x14ac:dyDescent="0.2">
      <c r="DA547" s="155"/>
    </row>
    <row r="548" spans="105:105" ht="14.25" customHeight="1" x14ac:dyDescent="0.2">
      <c r="DA548" s="155"/>
    </row>
    <row r="549" spans="105:105" ht="14.25" customHeight="1" x14ac:dyDescent="0.2">
      <c r="DA549" s="155"/>
    </row>
    <row r="550" spans="105:105" ht="14.25" customHeight="1" x14ac:dyDescent="0.2">
      <c r="DA550" s="155"/>
    </row>
    <row r="551" spans="105:105" ht="14.25" customHeight="1" x14ac:dyDescent="0.2">
      <c r="DA551" s="155"/>
    </row>
    <row r="552" spans="105:105" ht="14.25" customHeight="1" x14ac:dyDescent="0.2">
      <c r="DA552" s="155"/>
    </row>
    <row r="553" spans="105:105" ht="14.25" customHeight="1" x14ac:dyDescent="0.2">
      <c r="DA553" s="155"/>
    </row>
    <row r="554" spans="105:105" ht="14.25" customHeight="1" x14ac:dyDescent="0.2">
      <c r="DA554" s="155"/>
    </row>
    <row r="555" spans="105:105" ht="14.25" customHeight="1" x14ac:dyDescent="0.2">
      <c r="DA555" s="155"/>
    </row>
    <row r="556" spans="105:105" ht="14.25" customHeight="1" x14ac:dyDescent="0.2">
      <c r="DA556" s="155"/>
    </row>
    <row r="557" spans="105:105" ht="14.25" customHeight="1" x14ac:dyDescent="0.2">
      <c r="DA557" s="155"/>
    </row>
    <row r="558" spans="105:105" ht="14.25" customHeight="1" x14ac:dyDescent="0.2">
      <c r="DA558" s="155"/>
    </row>
    <row r="559" spans="105:105" ht="14.25" customHeight="1" x14ac:dyDescent="0.2">
      <c r="DA559" s="155"/>
    </row>
    <row r="560" spans="105:105" ht="14.25" customHeight="1" x14ac:dyDescent="0.2">
      <c r="DA560" s="155"/>
    </row>
    <row r="561" spans="105:105" ht="14.25" customHeight="1" x14ac:dyDescent="0.2">
      <c r="DA561" s="155"/>
    </row>
    <row r="562" spans="105:105" ht="14.25" customHeight="1" x14ac:dyDescent="0.2">
      <c r="DA562" s="155"/>
    </row>
    <row r="563" spans="105:105" ht="14.25" customHeight="1" x14ac:dyDescent="0.2">
      <c r="DA563" s="155"/>
    </row>
    <row r="564" spans="105:105" ht="14.25" customHeight="1" x14ac:dyDescent="0.2">
      <c r="DA564" s="155"/>
    </row>
    <row r="565" spans="105:105" ht="14.25" customHeight="1" x14ac:dyDescent="0.2">
      <c r="DA565" s="155"/>
    </row>
    <row r="566" spans="105:105" ht="14.25" customHeight="1" x14ac:dyDescent="0.2">
      <c r="DA566" s="155"/>
    </row>
    <row r="567" spans="105:105" ht="14.25" customHeight="1" x14ac:dyDescent="0.2">
      <c r="DA567" s="155"/>
    </row>
    <row r="568" spans="105:105" ht="14.25" customHeight="1" x14ac:dyDescent="0.2">
      <c r="DA568" s="155"/>
    </row>
    <row r="569" spans="105:105" ht="14.25" customHeight="1" x14ac:dyDescent="0.2">
      <c r="DA569" s="155"/>
    </row>
    <row r="570" spans="105:105" ht="14.25" customHeight="1" x14ac:dyDescent="0.2">
      <c r="DA570" s="155"/>
    </row>
    <row r="571" spans="105:105" ht="14.25" customHeight="1" x14ac:dyDescent="0.2">
      <c r="DA571" s="155"/>
    </row>
    <row r="572" spans="105:105" ht="14.25" customHeight="1" x14ac:dyDescent="0.2">
      <c r="DA572" s="155"/>
    </row>
    <row r="573" spans="105:105" ht="14.25" customHeight="1" x14ac:dyDescent="0.2">
      <c r="DA573" s="155"/>
    </row>
    <row r="574" spans="105:105" ht="14.25" customHeight="1" x14ac:dyDescent="0.2">
      <c r="DA574" s="155"/>
    </row>
    <row r="575" spans="105:105" ht="14.25" customHeight="1" x14ac:dyDescent="0.2">
      <c r="DA575" s="155"/>
    </row>
    <row r="576" spans="105:105" ht="14.25" customHeight="1" x14ac:dyDescent="0.2">
      <c r="DA576" s="155"/>
    </row>
    <row r="577" spans="105:105" ht="14.25" customHeight="1" x14ac:dyDescent="0.2">
      <c r="DA577" s="155"/>
    </row>
    <row r="578" spans="105:105" ht="14.25" customHeight="1" x14ac:dyDescent="0.2">
      <c r="DA578" s="155"/>
    </row>
    <row r="579" spans="105:105" ht="14.25" customHeight="1" x14ac:dyDescent="0.2">
      <c r="DA579" s="155"/>
    </row>
    <row r="580" spans="105:105" ht="14.25" customHeight="1" x14ac:dyDescent="0.2">
      <c r="DA580" s="155"/>
    </row>
    <row r="581" spans="105:105" ht="14.25" customHeight="1" x14ac:dyDescent="0.2">
      <c r="DA581" s="155"/>
    </row>
    <row r="582" spans="105:105" ht="14.25" customHeight="1" x14ac:dyDescent="0.2">
      <c r="DA582" s="155"/>
    </row>
    <row r="583" spans="105:105" ht="14.25" customHeight="1" x14ac:dyDescent="0.2">
      <c r="DA583" s="155"/>
    </row>
    <row r="584" spans="105:105" ht="14.25" customHeight="1" x14ac:dyDescent="0.2">
      <c r="DA584" s="155"/>
    </row>
    <row r="585" spans="105:105" ht="14.25" customHeight="1" x14ac:dyDescent="0.2">
      <c r="DA585" s="155"/>
    </row>
    <row r="586" spans="105:105" ht="14.25" customHeight="1" x14ac:dyDescent="0.2">
      <c r="DA586" s="155"/>
    </row>
    <row r="587" spans="105:105" ht="14.25" customHeight="1" x14ac:dyDescent="0.2">
      <c r="DA587" s="155"/>
    </row>
    <row r="588" spans="105:105" ht="14.25" customHeight="1" x14ac:dyDescent="0.2">
      <c r="DA588" s="155"/>
    </row>
    <row r="589" spans="105:105" ht="14.25" customHeight="1" x14ac:dyDescent="0.2">
      <c r="DA589" s="155"/>
    </row>
    <row r="590" spans="105:105" ht="14.25" customHeight="1" x14ac:dyDescent="0.2">
      <c r="DA590" s="155"/>
    </row>
    <row r="591" spans="105:105" ht="14.25" customHeight="1" x14ac:dyDescent="0.2">
      <c r="DA591" s="155"/>
    </row>
    <row r="592" spans="105:105" ht="14.25" customHeight="1" x14ac:dyDescent="0.2">
      <c r="DA592" s="155"/>
    </row>
    <row r="593" spans="105:105" ht="14.25" customHeight="1" x14ac:dyDescent="0.2">
      <c r="DA593" s="155"/>
    </row>
    <row r="594" spans="105:105" ht="14.25" customHeight="1" x14ac:dyDescent="0.2">
      <c r="DA594" s="155"/>
    </row>
    <row r="595" spans="105:105" ht="14.25" customHeight="1" x14ac:dyDescent="0.2">
      <c r="DA595" s="155"/>
    </row>
    <row r="596" spans="105:105" ht="14.25" customHeight="1" x14ac:dyDescent="0.2">
      <c r="DA596" s="155"/>
    </row>
    <row r="597" spans="105:105" ht="14.25" customHeight="1" x14ac:dyDescent="0.2">
      <c r="DA597" s="155"/>
    </row>
    <row r="598" spans="105:105" ht="14.25" customHeight="1" x14ac:dyDescent="0.2">
      <c r="DA598" s="155"/>
    </row>
    <row r="599" spans="105:105" ht="14.25" customHeight="1" x14ac:dyDescent="0.2">
      <c r="DA599" s="155"/>
    </row>
    <row r="600" spans="105:105" ht="14.25" customHeight="1" x14ac:dyDescent="0.2">
      <c r="DA600" s="155"/>
    </row>
    <row r="601" spans="105:105" ht="14.25" customHeight="1" x14ac:dyDescent="0.2">
      <c r="DA601" s="155"/>
    </row>
    <row r="602" spans="105:105" ht="14.25" customHeight="1" x14ac:dyDescent="0.2">
      <c r="DA602" s="155"/>
    </row>
    <row r="603" spans="105:105" ht="14.25" customHeight="1" x14ac:dyDescent="0.2">
      <c r="DA603" s="155"/>
    </row>
    <row r="604" spans="105:105" ht="14.25" customHeight="1" x14ac:dyDescent="0.2">
      <c r="DA604" s="155"/>
    </row>
    <row r="605" spans="105:105" ht="14.25" customHeight="1" x14ac:dyDescent="0.2">
      <c r="DA605" s="155"/>
    </row>
    <row r="606" spans="105:105" ht="14.25" customHeight="1" x14ac:dyDescent="0.2">
      <c r="DA606" s="155"/>
    </row>
    <row r="607" spans="105:105" ht="14.25" customHeight="1" x14ac:dyDescent="0.2">
      <c r="DA607" s="155"/>
    </row>
    <row r="608" spans="105:105" ht="14.25" customHeight="1" x14ac:dyDescent="0.2">
      <c r="DA608" s="155"/>
    </row>
    <row r="609" spans="105:105" ht="14.25" customHeight="1" x14ac:dyDescent="0.2">
      <c r="DA609" s="155"/>
    </row>
    <row r="610" spans="105:105" ht="14.25" customHeight="1" x14ac:dyDescent="0.2">
      <c r="DA610" s="155"/>
    </row>
    <row r="611" spans="105:105" ht="14.25" customHeight="1" x14ac:dyDescent="0.2">
      <c r="DA611" s="155"/>
    </row>
    <row r="612" spans="105:105" ht="14.25" customHeight="1" x14ac:dyDescent="0.2">
      <c r="DA612" s="155"/>
    </row>
    <row r="613" spans="105:105" ht="14.25" customHeight="1" x14ac:dyDescent="0.2">
      <c r="DA613" s="155"/>
    </row>
    <row r="614" spans="105:105" ht="14.25" customHeight="1" x14ac:dyDescent="0.2">
      <c r="DA614" s="155"/>
    </row>
    <row r="615" spans="105:105" ht="14.25" customHeight="1" x14ac:dyDescent="0.2">
      <c r="DA615" s="155"/>
    </row>
    <row r="616" spans="105:105" ht="14.25" customHeight="1" x14ac:dyDescent="0.2">
      <c r="DA616" s="155"/>
    </row>
    <row r="617" spans="105:105" ht="14.25" customHeight="1" x14ac:dyDescent="0.2">
      <c r="DA617" s="155"/>
    </row>
    <row r="618" spans="105:105" ht="14.25" customHeight="1" x14ac:dyDescent="0.2">
      <c r="DA618" s="155"/>
    </row>
    <row r="619" spans="105:105" ht="14.25" customHeight="1" x14ac:dyDescent="0.2">
      <c r="DA619" s="155"/>
    </row>
    <row r="620" spans="105:105" ht="14.25" customHeight="1" x14ac:dyDescent="0.2">
      <c r="DA620" s="155"/>
    </row>
    <row r="621" spans="105:105" ht="14.25" customHeight="1" x14ac:dyDescent="0.2">
      <c r="DA621" s="155"/>
    </row>
    <row r="622" spans="105:105" ht="14.25" customHeight="1" x14ac:dyDescent="0.2">
      <c r="DA622" s="155"/>
    </row>
    <row r="623" spans="105:105" ht="14.25" customHeight="1" x14ac:dyDescent="0.2">
      <c r="DA623" s="155"/>
    </row>
    <row r="624" spans="105:105" ht="14.25" customHeight="1" x14ac:dyDescent="0.2">
      <c r="DA624" s="155"/>
    </row>
    <row r="625" spans="105:105" ht="14.25" customHeight="1" x14ac:dyDescent="0.2">
      <c r="DA625" s="155"/>
    </row>
    <row r="626" spans="105:105" ht="14.25" customHeight="1" x14ac:dyDescent="0.2">
      <c r="DA626" s="155"/>
    </row>
    <row r="627" spans="105:105" ht="14.25" customHeight="1" x14ac:dyDescent="0.2">
      <c r="DA627" s="155"/>
    </row>
    <row r="628" spans="105:105" ht="14.25" customHeight="1" x14ac:dyDescent="0.2">
      <c r="DA628" s="155"/>
    </row>
    <row r="629" spans="105:105" ht="14.25" customHeight="1" x14ac:dyDescent="0.2">
      <c r="DA629" s="155"/>
    </row>
    <row r="630" spans="105:105" ht="14.25" customHeight="1" x14ac:dyDescent="0.2">
      <c r="DA630" s="155"/>
    </row>
    <row r="631" spans="105:105" ht="14.25" customHeight="1" x14ac:dyDescent="0.2">
      <c r="DA631" s="155"/>
    </row>
    <row r="632" spans="105:105" ht="14.25" customHeight="1" x14ac:dyDescent="0.2">
      <c r="DA632" s="155"/>
    </row>
    <row r="633" spans="105:105" ht="14.25" customHeight="1" x14ac:dyDescent="0.2">
      <c r="DA633" s="155"/>
    </row>
    <row r="634" spans="105:105" ht="14.25" customHeight="1" x14ac:dyDescent="0.2">
      <c r="DA634" s="155"/>
    </row>
    <row r="635" spans="105:105" ht="14.25" customHeight="1" x14ac:dyDescent="0.2">
      <c r="DA635" s="155"/>
    </row>
    <row r="636" spans="105:105" ht="14.25" customHeight="1" x14ac:dyDescent="0.2">
      <c r="DA636" s="155"/>
    </row>
    <row r="637" spans="105:105" ht="14.25" customHeight="1" x14ac:dyDescent="0.2">
      <c r="DA637" s="155"/>
    </row>
    <row r="638" spans="105:105" ht="14.25" customHeight="1" x14ac:dyDescent="0.2">
      <c r="DA638" s="155"/>
    </row>
    <row r="639" spans="105:105" ht="14.25" customHeight="1" x14ac:dyDescent="0.2">
      <c r="DA639" s="155"/>
    </row>
    <row r="640" spans="105:105" ht="14.25" customHeight="1" x14ac:dyDescent="0.2">
      <c r="DA640" s="155"/>
    </row>
    <row r="641" spans="105:105" ht="14.25" customHeight="1" x14ac:dyDescent="0.2">
      <c r="DA641" s="155"/>
    </row>
    <row r="642" spans="105:105" ht="14.25" customHeight="1" x14ac:dyDescent="0.2">
      <c r="DA642" s="155"/>
    </row>
    <row r="643" spans="105:105" ht="14.25" customHeight="1" x14ac:dyDescent="0.2">
      <c r="DA643" s="155"/>
    </row>
    <row r="644" spans="105:105" ht="14.25" customHeight="1" x14ac:dyDescent="0.2">
      <c r="DA644" s="155"/>
    </row>
    <row r="645" spans="105:105" ht="14.25" customHeight="1" x14ac:dyDescent="0.2">
      <c r="DA645" s="155"/>
    </row>
    <row r="646" spans="105:105" ht="14.25" customHeight="1" x14ac:dyDescent="0.2">
      <c r="DA646" s="155"/>
    </row>
    <row r="647" spans="105:105" ht="14.25" customHeight="1" x14ac:dyDescent="0.2">
      <c r="DA647" s="155"/>
    </row>
    <row r="648" spans="105:105" ht="14.25" customHeight="1" x14ac:dyDescent="0.2">
      <c r="DA648" s="155"/>
    </row>
    <row r="649" spans="105:105" ht="14.25" customHeight="1" x14ac:dyDescent="0.2">
      <c r="DA649" s="155"/>
    </row>
    <row r="650" spans="105:105" ht="14.25" customHeight="1" x14ac:dyDescent="0.2">
      <c r="DA650" s="155"/>
    </row>
    <row r="651" spans="105:105" ht="14.25" customHeight="1" x14ac:dyDescent="0.2">
      <c r="DA651" s="155"/>
    </row>
    <row r="652" spans="105:105" ht="14.25" customHeight="1" x14ac:dyDescent="0.2">
      <c r="DA652" s="155"/>
    </row>
    <row r="653" spans="105:105" ht="14.25" customHeight="1" x14ac:dyDescent="0.2">
      <c r="DA653" s="155"/>
    </row>
    <row r="654" spans="105:105" ht="14.25" customHeight="1" x14ac:dyDescent="0.2">
      <c r="DA654" s="155"/>
    </row>
    <row r="655" spans="105:105" ht="14.25" customHeight="1" x14ac:dyDescent="0.2">
      <c r="DA655" s="155"/>
    </row>
    <row r="656" spans="105:105" ht="14.25" customHeight="1" x14ac:dyDescent="0.2">
      <c r="DA656" s="155"/>
    </row>
    <row r="657" spans="105:105" ht="14.25" customHeight="1" x14ac:dyDescent="0.2">
      <c r="DA657" s="155"/>
    </row>
    <row r="658" spans="105:105" ht="14.25" customHeight="1" x14ac:dyDescent="0.2">
      <c r="DA658" s="155"/>
    </row>
    <row r="659" spans="105:105" ht="14.25" customHeight="1" x14ac:dyDescent="0.2">
      <c r="DA659" s="155"/>
    </row>
    <row r="660" spans="105:105" ht="14.25" customHeight="1" x14ac:dyDescent="0.2">
      <c r="DA660" s="155"/>
    </row>
    <row r="661" spans="105:105" ht="14.25" customHeight="1" x14ac:dyDescent="0.2">
      <c r="DA661" s="155"/>
    </row>
    <row r="662" spans="105:105" ht="14.25" customHeight="1" x14ac:dyDescent="0.2">
      <c r="DA662" s="155"/>
    </row>
    <row r="663" spans="105:105" ht="14.25" customHeight="1" x14ac:dyDescent="0.2">
      <c r="DA663" s="155"/>
    </row>
    <row r="664" spans="105:105" ht="14.25" customHeight="1" x14ac:dyDescent="0.2">
      <c r="DA664" s="155"/>
    </row>
    <row r="665" spans="105:105" ht="14.25" customHeight="1" x14ac:dyDescent="0.2">
      <c r="DA665" s="155"/>
    </row>
    <row r="666" spans="105:105" ht="14.25" customHeight="1" x14ac:dyDescent="0.2">
      <c r="DA666" s="155"/>
    </row>
    <row r="667" spans="105:105" ht="14.25" customHeight="1" x14ac:dyDescent="0.2">
      <c r="DA667" s="155"/>
    </row>
    <row r="668" spans="105:105" ht="14.25" customHeight="1" x14ac:dyDescent="0.2">
      <c r="DA668" s="155"/>
    </row>
    <row r="669" spans="105:105" ht="14.25" customHeight="1" x14ac:dyDescent="0.2">
      <c r="DA669" s="155"/>
    </row>
    <row r="670" spans="105:105" ht="14.25" customHeight="1" x14ac:dyDescent="0.2">
      <c r="DA670" s="155"/>
    </row>
    <row r="671" spans="105:105" ht="14.25" customHeight="1" x14ac:dyDescent="0.2">
      <c r="DA671" s="155"/>
    </row>
    <row r="672" spans="105:105" ht="14.25" customHeight="1" x14ac:dyDescent="0.2">
      <c r="DA672" s="155"/>
    </row>
    <row r="673" spans="105:105" ht="14.25" customHeight="1" x14ac:dyDescent="0.2">
      <c r="DA673" s="155"/>
    </row>
    <row r="674" spans="105:105" ht="14.25" customHeight="1" x14ac:dyDescent="0.2">
      <c r="DA674" s="155"/>
    </row>
    <row r="675" spans="105:105" ht="14.25" customHeight="1" x14ac:dyDescent="0.2">
      <c r="DA675" s="155"/>
    </row>
    <row r="676" spans="105:105" ht="14.25" customHeight="1" x14ac:dyDescent="0.2">
      <c r="DA676" s="155"/>
    </row>
    <row r="677" spans="105:105" ht="14.25" customHeight="1" x14ac:dyDescent="0.2">
      <c r="DA677" s="155"/>
    </row>
    <row r="678" spans="105:105" ht="14.25" customHeight="1" x14ac:dyDescent="0.2">
      <c r="DA678" s="155"/>
    </row>
    <row r="679" spans="105:105" ht="14.25" customHeight="1" x14ac:dyDescent="0.2">
      <c r="DA679" s="155"/>
    </row>
    <row r="680" spans="105:105" ht="14.25" customHeight="1" x14ac:dyDescent="0.2">
      <c r="DA680" s="155"/>
    </row>
    <row r="681" spans="105:105" ht="14.25" customHeight="1" x14ac:dyDescent="0.2">
      <c r="DA681" s="155"/>
    </row>
    <row r="682" spans="105:105" ht="14.25" customHeight="1" x14ac:dyDescent="0.2">
      <c r="DA682" s="155"/>
    </row>
    <row r="683" spans="105:105" ht="14.25" customHeight="1" x14ac:dyDescent="0.2">
      <c r="DA683" s="155"/>
    </row>
    <row r="684" spans="105:105" ht="14.25" customHeight="1" x14ac:dyDescent="0.2">
      <c r="DA684" s="155"/>
    </row>
    <row r="685" spans="105:105" ht="14.25" customHeight="1" x14ac:dyDescent="0.2">
      <c r="DA685" s="155"/>
    </row>
    <row r="686" spans="105:105" ht="14.25" customHeight="1" x14ac:dyDescent="0.2">
      <c r="DA686" s="155"/>
    </row>
    <row r="687" spans="105:105" ht="14.25" customHeight="1" x14ac:dyDescent="0.2">
      <c r="DA687" s="155"/>
    </row>
    <row r="688" spans="105:105" ht="14.25" customHeight="1" x14ac:dyDescent="0.2">
      <c r="DA688" s="155"/>
    </row>
    <row r="689" spans="105:105" ht="14.25" customHeight="1" x14ac:dyDescent="0.2">
      <c r="DA689" s="155"/>
    </row>
    <row r="690" spans="105:105" ht="14.25" customHeight="1" x14ac:dyDescent="0.2">
      <c r="DA690" s="155"/>
    </row>
    <row r="691" spans="105:105" ht="14.25" customHeight="1" x14ac:dyDescent="0.2">
      <c r="DA691" s="155"/>
    </row>
    <row r="692" spans="105:105" ht="14.25" customHeight="1" x14ac:dyDescent="0.2">
      <c r="DA692" s="155"/>
    </row>
    <row r="693" spans="105:105" ht="14.25" customHeight="1" x14ac:dyDescent="0.2">
      <c r="DA693" s="155"/>
    </row>
    <row r="694" spans="105:105" ht="14.25" customHeight="1" x14ac:dyDescent="0.2">
      <c r="DA694" s="155"/>
    </row>
    <row r="695" spans="105:105" ht="14.25" customHeight="1" x14ac:dyDescent="0.2">
      <c r="DA695" s="155"/>
    </row>
    <row r="696" spans="105:105" ht="14.25" customHeight="1" x14ac:dyDescent="0.2">
      <c r="DA696" s="155"/>
    </row>
    <row r="697" spans="105:105" ht="14.25" customHeight="1" x14ac:dyDescent="0.2">
      <c r="DA697" s="155"/>
    </row>
    <row r="698" spans="105:105" ht="14.25" customHeight="1" x14ac:dyDescent="0.2">
      <c r="DA698" s="155"/>
    </row>
    <row r="699" spans="105:105" ht="14.25" customHeight="1" x14ac:dyDescent="0.2">
      <c r="DA699" s="155"/>
    </row>
    <row r="700" spans="105:105" ht="14.25" customHeight="1" x14ac:dyDescent="0.2">
      <c r="DA700" s="155"/>
    </row>
    <row r="701" spans="105:105" ht="14.25" customHeight="1" x14ac:dyDescent="0.2">
      <c r="DA701" s="155"/>
    </row>
    <row r="702" spans="105:105" ht="14.25" customHeight="1" x14ac:dyDescent="0.2">
      <c r="DA702" s="155"/>
    </row>
    <row r="703" spans="105:105" ht="14.25" customHeight="1" x14ac:dyDescent="0.2">
      <c r="DA703" s="155"/>
    </row>
    <row r="704" spans="105:105" ht="14.25" customHeight="1" x14ac:dyDescent="0.2">
      <c r="DA704" s="155"/>
    </row>
    <row r="705" spans="105:105" ht="14.25" customHeight="1" x14ac:dyDescent="0.2">
      <c r="DA705" s="155"/>
    </row>
    <row r="706" spans="105:105" ht="14.25" customHeight="1" x14ac:dyDescent="0.2">
      <c r="DA706" s="155"/>
    </row>
    <row r="707" spans="105:105" ht="14.25" customHeight="1" x14ac:dyDescent="0.2">
      <c r="DA707" s="155"/>
    </row>
    <row r="708" spans="105:105" ht="14.25" customHeight="1" x14ac:dyDescent="0.2">
      <c r="DA708" s="155"/>
    </row>
    <row r="709" spans="105:105" ht="14.25" customHeight="1" x14ac:dyDescent="0.2">
      <c r="DA709" s="155"/>
    </row>
    <row r="710" spans="105:105" ht="14.25" customHeight="1" x14ac:dyDescent="0.2">
      <c r="DA710" s="155"/>
    </row>
    <row r="711" spans="105:105" ht="14.25" customHeight="1" x14ac:dyDescent="0.2">
      <c r="DA711" s="155"/>
    </row>
    <row r="712" spans="105:105" ht="14.25" customHeight="1" x14ac:dyDescent="0.2">
      <c r="DA712" s="155"/>
    </row>
    <row r="713" spans="105:105" ht="14.25" customHeight="1" x14ac:dyDescent="0.2">
      <c r="DA713" s="155"/>
    </row>
    <row r="714" spans="105:105" ht="14.25" customHeight="1" x14ac:dyDescent="0.2">
      <c r="DA714" s="155"/>
    </row>
    <row r="715" spans="105:105" ht="14.25" customHeight="1" x14ac:dyDescent="0.2">
      <c r="DA715" s="155"/>
    </row>
    <row r="716" spans="105:105" ht="14.25" customHeight="1" x14ac:dyDescent="0.2">
      <c r="DA716" s="155"/>
    </row>
    <row r="717" spans="105:105" ht="14.25" customHeight="1" x14ac:dyDescent="0.2">
      <c r="DA717" s="155"/>
    </row>
    <row r="718" spans="105:105" ht="14.25" customHeight="1" x14ac:dyDescent="0.2">
      <c r="DA718" s="155"/>
    </row>
    <row r="719" spans="105:105" ht="14.25" customHeight="1" x14ac:dyDescent="0.2">
      <c r="DA719" s="155"/>
    </row>
    <row r="720" spans="105:105" ht="14.25" customHeight="1" x14ac:dyDescent="0.2">
      <c r="DA720" s="155"/>
    </row>
    <row r="721" spans="105:105" ht="14.25" customHeight="1" x14ac:dyDescent="0.2">
      <c r="DA721" s="155"/>
    </row>
    <row r="722" spans="105:105" ht="14.25" customHeight="1" x14ac:dyDescent="0.2">
      <c r="DA722" s="155"/>
    </row>
    <row r="723" spans="105:105" ht="14.25" customHeight="1" x14ac:dyDescent="0.2">
      <c r="DA723" s="155"/>
    </row>
    <row r="724" spans="105:105" ht="14.25" customHeight="1" x14ac:dyDescent="0.2">
      <c r="DA724" s="155"/>
    </row>
    <row r="725" spans="105:105" ht="14.25" customHeight="1" x14ac:dyDescent="0.2">
      <c r="DA725" s="155"/>
    </row>
    <row r="726" spans="105:105" ht="14.25" customHeight="1" x14ac:dyDescent="0.2">
      <c r="DA726" s="155"/>
    </row>
    <row r="727" spans="105:105" ht="14.25" customHeight="1" x14ac:dyDescent="0.2">
      <c r="DA727" s="155"/>
    </row>
    <row r="728" spans="105:105" ht="14.25" customHeight="1" x14ac:dyDescent="0.2">
      <c r="DA728" s="155"/>
    </row>
    <row r="729" spans="105:105" ht="14.25" customHeight="1" x14ac:dyDescent="0.2">
      <c r="DA729" s="155"/>
    </row>
    <row r="730" spans="105:105" ht="14.25" customHeight="1" x14ac:dyDescent="0.2">
      <c r="DA730" s="155"/>
    </row>
    <row r="731" spans="105:105" ht="14.25" customHeight="1" x14ac:dyDescent="0.2">
      <c r="DA731" s="155"/>
    </row>
    <row r="732" spans="105:105" ht="14.25" customHeight="1" x14ac:dyDescent="0.2">
      <c r="DA732" s="155"/>
    </row>
    <row r="733" spans="105:105" ht="14.25" customHeight="1" x14ac:dyDescent="0.2">
      <c r="DA733" s="155"/>
    </row>
    <row r="734" spans="105:105" ht="14.25" customHeight="1" x14ac:dyDescent="0.2">
      <c r="DA734" s="155"/>
    </row>
    <row r="735" spans="105:105" ht="14.25" customHeight="1" x14ac:dyDescent="0.2">
      <c r="DA735" s="155"/>
    </row>
    <row r="736" spans="105:105" ht="14.25" customHeight="1" x14ac:dyDescent="0.2">
      <c r="DA736" s="155"/>
    </row>
    <row r="737" spans="105:105" ht="14.25" customHeight="1" x14ac:dyDescent="0.2">
      <c r="DA737" s="155"/>
    </row>
    <row r="738" spans="105:105" ht="14.25" customHeight="1" x14ac:dyDescent="0.2">
      <c r="DA738" s="155"/>
    </row>
    <row r="739" spans="105:105" ht="14.25" customHeight="1" x14ac:dyDescent="0.2">
      <c r="DA739" s="155"/>
    </row>
    <row r="740" spans="105:105" ht="14.25" customHeight="1" x14ac:dyDescent="0.2">
      <c r="DA740" s="155"/>
    </row>
    <row r="741" spans="105:105" ht="14.25" customHeight="1" x14ac:dyDescent="0.2">
      <c r="DA741" s="155"/>
    </row>
    <row r="742" spans="105:105" ht="14.25" customHeight="1" x14ac:dyDescent="0.2">
      <c r="DA742" s="155"/>
    </row>
    <row r="743" spans="105:105" ht="14.25" customHeight="1" x14ac:dyDescent="0.2">
      <c r="DA743" s="155"/>
    </row>
    <row r="744" spans="105:105" ht="14.25" customHeight="1" x14ac:dyDescent="0.2">
      <c r="DA744" s="155"/>
    </row>
    <row r="745" spans="105:105" ht="14.25" customHeight="1" x14ac:dyDescent="0.2">
      <c r="DA745" s="155"/>
    </row>
    <row r="746" spans="105:105" ht="14.25" customHeight="1" x14ac:dyDescent="0.2">
      <c r="DA746" s="155"/>
    </row>
    <row r="747" spans="105:105" ht="14.25" customHeight="1" x14ac:dyDescent="0.2">
      <c r="DA747" s="155"/>
    </row>
    <row r="748" spans="105:105" ht="14.25" customHeight="1" x14ac:dyDescent="0.2">
      <c r="DA748" s="155"/>
    </row>
    <row r="749" spans="105:105" ht="14.25" customHeight="1" x14ac:dyDescent="0.2">
      <c r="DA749" s="155"/>
    </row>
    <row r="750" spans="105:105" ht="14.25" customHeight="1" x14ac:dyDescent="0.2">
      <c r="DA750" s="155"/>
    </row>
    <row r="751" spans="105:105" ht="14.25" customHeight="1" x14ac:dyDescent="0.2">
      <c r="DA751" s="155"/>
    </row>
    <row r="752" spans="105:105" ht="14.25" customHeight="1" x14ac:dyDescent="0.2">
      <c r="DA752" s="155"/>
    </row>
    <row r="753" spans="105:105" ht="14.25" customHeight="1" x14ac:dyDescent="0.2">
      <c r="DA753" s="155"/>
    </row>
    <row r="754" spans="105:105" ht="14.25" customHeight="1" x14ac:dyDescent="0.2">
      <c r="DA754" s="155"/>
    </row>
    <row r="755" spans="105:105" ht="14.25" customHeight="1" x14ac:dyDescent="0.2">
      <c r="DA755" s="155"/>
    </row>
    <row r="756" spans="105:105" ht="14.25" customHeight="1" x14ac:dyDescent="0.2">
      <c r="DA756" s="155"/>
    </row>
    <row r="757" spans="105:105" ht="14.25" customHeight="1" x14ac:dyDescent="0.2">
      <c r="DA757" s="155"/>
    </row>
    <row r="758" spans="105:105" ht="14.25" customHeight="1" x14ac:dyDescent="0.2">
      <c r="DA758" s="155"/>
    </row>
    <row r="759" spans="105:105" ht="14.25" customHeight="1" x14ac:dyDescent="0.2">
      <c r="DA759" s="155"/>
    </row>
    <row r="760" spans="105:105" ht="14.25" customHeight="1" x14ac:dyDescent="0.2">
      <c r="DA760" s="155"/>
    </row>
    <row r="761" spans="105:105" ht="14.25" customHeight="1" x14ac:dyDescent="0.2">
      <c r="DA761" s="155"/>
    </row>
    <row r="762" spans="105:105" ht="14.25" customHeight="1" x14ac:dyDescent="0.2">
      <c r="DA762" s="155"/>
    </row>
    <row r="763" spans="105:105" ht="14.25" customHeight="1" x14ac:dyDescent="0.2">
      <c r="DA763" s="155"/>
    </row>
    <row r="764" spans="105:105" ht="14.25" customHeight="1" x14ac:dyDescent="0.2">
      <c r="DA764" s="155"/>
    </row>
    <row r="765" spans="105:105" ht="14.25" customHeight="1" x14ac:dyDescent="0.2">
      <c r="DA765" s="155"/>
    </row>
    <row r="766" spans="105:105" ht="14.25" customHeight="1" x14ac:dyDescent="0.2">
      <c r="DA766" s="155"/>
    </row>
    <row r="767" spans="105:105" ht="14.25" customHeight="1" x14ac:dyDescent="0.2">
      <c r="DA767" s="155"/>
    </row>
    <row r="768" spans="105:105" ht="14.25" customHeight="1" x14ac:dyDescent="0.2">
      <c r="DA768" s="155"/>
    </row>
    <row r="769" spans="105:105" ht="14.25" customHeight="1" x14ac:dyDescent="0.2">
      <c r="DA769" s="155"/>
    </row>
    <row r="770" spans="105:105" ht="14.25" customHeight="1" x14ac:dyDescent="0.2">
      <c r="DA770" s="155"/>
    </row>
    <row r="771" spans="105:105" ht="14.25" customHeight="1" x14ac:dyDescent="0.2">
      <c r="DA771" s="155"/>
    </row>
    <row r="772" spans="105:105" ht="14.25" customHeight="1" x14ac:dyDescent="0.2">
      <c r="DA772" s="155"/>
    </row>
    <row r="773" spans="105:105" ht="14.25" customHeight="1" x14ac:dyDescent="0.2">
      <c r="DA773" s="155"/>
    </row>
    <row r="774" spans="105:105" ht="14.25" customHeight="1" x14ac:dyDescent="0.2">
      <c r="DA774" s="155"/>
    </row>
    <row r="775" spans="105:105" ht="14.25" customHeight="1" x14ac:dyDescent="0.2">
      <c r="DA775" s="155"/>
    </row>
    <row r="776" spans="105:105" ht="14.25" customHeight="1" x14ac:dyDescent="0.2">
      <c r="DA776" s="155"/>
    </row>
    <row r="777" spans="105:105" ht="14.25" customHeight="1" x14ac:dyDescent="0.2">
      <c r="DA777" s="155"/>
    </row>
    <row r="778" spans="105:105" ht="14.25" customHeight="1" x14ac:dyDescent="0.2">
      <c r="DA778" s="155"/>
    </row>
    <row r="779" spans="105:105" ht="14.25" customHeight="1" x14ac:dyDescent="0.2">
      <c r="DA779" s="155"/>
    </row>
    <row r="780" spans="105:105" ht="14.25" customHeight="1" x14ac:dyDescent="0.2">
      <c r="DA780" s="155"/>
    </row>
    <row r="781" spans="105:105" ht="14.25" customHeight="1" x14ac:dyDescent="0.2">
      <c r="DA781" s="155"/>
    </row>
    <row r="782" spans="105:105" ht="14.25" customHeight="1" x14ac:dyDescent="0.2">
      <c r="DA782" s="155"/>
    </row>
    <row r="783" spans="105:105" ht="14.25" customHeight="1" x14ac:dyDescent="0.2">
      <c r="DA783" s="155"/>
    </row>
    <row r="784" spans="105:105" ht="14.25" customHeight="1" x14ac:dyDescent="0.2">
      <c r="DA784" s="155"/>
    </row>
    <row r="785" spans="105:105" ht="14.25" customHeight="1" x14ac:dyDescent="0.2">
      <c r="DA785" s="155"/>
    </row>
    <row r="786" spans="105:105" ht="14.25" customHeight="1" x14ac:dyDescent="0.2">
      <c r="DA786" s="155"/>
    </row>
    <row r="787" spans="105:105" ht="14.25" customHeight="1" x14ac:dyDescent="0.2">
      <c r="DA787" s="155"/>
    </row>
    <row r="788" spans="105:105" ht="14.25" customHeight="1" x14ac:dyDescent="0.2">
      <c r="DA788" s="155"/>
    </row>
    <row r="789" spans="105:105" ht="14.25" customHeight="1" x14ac:dyDescent="0.2">
      <c r="DA789" s="155"/>
    </row>
    <row r="790" spans="105:105" ht="14.25" customHeight="1" x14ac:dyDescent="0.2">
      <c r="DA790" s="155"/>
    </row>
    <row r="791" spans="105:105" ht="14.25" customHeight="1" x14ac:dyDescent="0.2">
      <c r="DA791" s="155"/>
    </row>
    <row r="792" spans="105:105" ht="14.25" customHeight="1" x14ac:dyDescent="0.2">
      <c r="DA792" s="155"/>
    </row>
    <row r="793" spans="105:105" ht="14.25" customHeight="1" x14ac:dyDescent="0.2">
      <c r="DA793" s="155"/>
    </row>
    <row r="794" spans="105:105" ht="14.25" customHeight="1" x14ac:dyDescent="0.2">
      <c r="DA794" s="155"/>
    </row>
    <row r="795" spans="105:105" ht="14.25" customHeight="1" x14ac:dyDescent="0.2">
      <c r="DA795" s="155"/>
    </row>
    <row r="796" spans="105:105" ht="14.25" customHeight="1" x14ac:dyDescent="0.2">
      <c r="DA796" s="155"/>
    </row>
    <row r="797" spans="105:105" ht="14.25" customHeight="1" x14ac:dyDescent="0.2">
      <c r="DA797" s="155"/>
    </row>
    <row r="798" spans="105:105" ht="14.25" customHeight="1" x14ac:dyDescent="0.2">
      <c r="DA798" s="155"/>
    </row>
    <row r="799" spans="105:105" ht="14.25" customHeight="1" x14ac:dyDescent="0.2">
      <c r="DA799" s="155"/>
    </row>
    <row r="800" spans="105:105" ht="14.25" customHeight="1" x14ac:dyDescent="0.2">
      <c r="DA800" s="155"/>
    </row>
    <row r="801" spans="105:105" ht="14.25" customHeight="1" x14ac:dyDescent="0.2">
      <c r="DA801" s="155"/>
    </row>
    <row r="802" spans="105:105" ht="14.25" customHeight="1" x14ac:dyDescent="0.2">
      <c r="DA802" s="155"/>
    </row>
    <row r="803" spans="105:105" ht="14.25" customHeight="1" x14ac:dyDescent="0.2">
      <c r="DA803" s="155"/>
    </row>
    <row r="804" spans="105:105" ht="14.25" customHeight="1" x14ac:dyDescent="0.2">
      <c r="DA804" s="155"/>
    </row>
    <row r="805" spans="105:105" ht="14.25" customHeight="1" x14ac:dyDescent="0.2">
      <c r="DA805" s="155"/>
    </row>
    <row r="806" spans="105:105" ht="14.25" customHeight="1" x14ac:dyDescent="0.2">
      <c r="DA806" s="155"/>
    </row>
    <row r="807" spans="105:105" ht="14.25" customHeight="1" x14ac:dyDescent="0.2">
      <c r="DA807" s="155"/>
    </row>
    <row r="808" spans="105:105" ht="14.25" customHeight="1" x14ac:dyDescent="0.2">
      <c r="DA808" s="155"/>
    </row>
    <row r="809" spans="105:105" ht="14.25" customHeight="1" x14ac:dyDescent="0.2">
      <c r="DA809" s="155"/>
    </row>
    <row r="810" spans="105:105" ht="14.25" customHeight="1" x14ac:dyDescent="0.2">
      <c r="DA810" s="155"/>
    </row>
    <row r="811" spans="105:105" ht="14.25" customHeight="1" x14ac:dyDescent="0.2">
      <c r="DA811" s="155"/>
    </row>
    <row r="812" spans="105:105" ht="14.25" customHeight="1" x14ac:dyDescent="0.2">
      <c r="DA812" s="155"/>
    </row>
    <row r="813" spans="105:105" ht="14.25" customHeight="1" x14ac:dyDescent="0.2">
      <c r="DA813" s="155"/>
    </row>
    <row r="814" spans="105:105" ht="14.25" customHeight="1" x14ac:dyDescent="0.2">
      <c r="DA814" s="155"/>
    </row>
    <row r="815" spans="105:105" ht="14.25" customHeight="1" x14ac:dyDescent="0.2">
      <c r="DA815" s="155"/>
    </row>
    <row r="816" spans="105:105" ht="14.25" customHeight="1" x14ac:dyDescent="0.2">
      <c r="DA816" s="155"/>
    </row>
    <row r="817" spans="105:105" ht="14.25" customHeight="1" x14ac:dyDescent="0.2">
      <c r="DA817" s="155"/>
    </row>
    <row r="818" spans="105:105" ht="14.25" customHeight="1" x14ac:dyDescent="0.2">
      <c r="DA818" s="155"/>
    </row>
    <row r="819" spans="105:105" ht="14.25" customHeight="1" x14ac:dyDescent="0.2">
      <c r="DA819" s="155"/>
    </row>
    <row r="820" spans="105:105" ht="14.25" customHeight="1" x14ac:dyDescent="0.2">
      <c r="DA820" s="155"/>
    </row>
    <row r="821" spans="105:105" ht="14.25" customHeight="1" x14ac:dyDescent="0.2">
      <c r="DA821" s="155"/>
    </row>
    <row r="822" spans="105:105" ht="14.25" customHeight="1" x14ac:dyDescent="0.2">
      <c r="DA822" s="155"/>
    </row>
    <row r="823" spans="105:105" ht="14.25" customHeight="1" x14ac:dyDescent="0.2">
      <c r="DA823" s="155"/>
    </row>
    <row r="824" spans="105:105" ht="14.25" customHeight="1" x14ac:dyDescent="0.2">
      <c r="DA824" s="155"/>
    </row>
    <row r="825" spans="105:105" ht="14.25" customHeight="1" x14ac:dyDescent="0.2">
      <c r="DA825" s="155"/>
    </row>
    <row r="826" spans="105:105" ht="14.25" customHeight="1" x14ac:dyDescent="0.2">
      <c r="DA826" s="155"/>
    </row>
    <row r="827" spans="105:105" ht="14.25" customHeight="1" x14ac:dyDescent="0.2">
      <c r="DA827" s="155"/>
    </row>
    <row r="828" spans="105:105" ht="14.25" customHeight="1" x14ac:dyDescent="0.2">
      <c r="DA828" s="155"/>
    </row>
    <row r="829" spans="105:105" ht="14.25" customHeight="1" x14ac:dyDescent="0.2">
      <c r="DA829" s="155"/>
    </row>
    <row r="830" spans="105:105" ht="14.25" customHeight="1" x14ac:dyDescent="0.2">
      <c r="DA830" s="155"/>
    </row>
    <row r="831" spans="105:105" ht="14.25" customHeight="1" x14ac:dyDescent="0.2">
      <c r="DA831" s="155"/>
    </row>
    <row r="832" spans="105:105" ht="14.25" customHeight="1" x14ac:dyDescent="0.2">
      <c r="DA832" s="155"/>
    </row>
    <row r="833" spans="105:105" ht="14.25" customHeight="1" x14ac:dyDescent="0.2">
      <c r="DA833" s="155"/>
    </row>
    <row r="834" spans="105:105" ht="14.25" customHeight="1" x14ac:dyDescent="0.2">
      <c r="DA834" s="155"/>
    </row>
    <row r="835" spans="105:105" ht="14.25" customHeight="1" x14ac:dyDescent="0.2">
      <c r="DA835" s="155"/>
    </row>
    <row r="836" spans="105:105" ht="14.25" customHeight="1" x14ac:dyDescent="0.2">
      <c r="DA836" s="155"/>
    </row>
    <row r="837" spans="105:105" ht="14.25" customHeight="1" x14ac:dyDescent="0.2">
      <c r="DA837" s="155"/>
    </row>
    <row r="838" spans="105:105" ht="14.25" customHeight="1" x14ac:dyDescent="0.2">
      <c r="DA838" s="155"/>
    </row>
    <row r="839" spans="105:105" ht="14.25" customHeight="1" x14ac:dyDescent="0.2">
      <c r="DA839" s="155"/>
    </row>
    <row r="840" spans="105:105" ht="14.25" customHeight="1" x14ac:dyDescent="0.2">
      <c r="DA840" s="155"/>
    </row>
    <row r="841" spans="105:105" ht="14.25" customHeight="1" x14ac:dyDescent="0.2">
      <c r="DA841" s="155"/>
    </row>
    <row r="842" spans="105:105" ht="14.25" customHeight="1" x14ac:dyDescent="0.2">
      <c r="DA842" s="155"/>
    </row>
    <row r="843" spans="105:105" ht="14.25" customHeight="1" x14ac:dyDescent="0.2">
      <c r="DA843" s="155"/>
    </row>
    <row r="844" spans="105:105" ht="14.25" customHeight="1" x14ac:dyDescent="0.2">
      <c r="DA844" s="155"/>
    </row>
    <row r="845" spans="105:105" ht="14.25" customHeight="1" x14ac:dyDescent="0.2">
      <c r="DA845" s="155"/>
    </row>
    <row r="846" spans="105:105" ht="14.25" customHeight="1" x14ac:dyDescent="0.2">
      <c r="DA846" s="155"/>
    </row>
    <row r="847" spans="105:105" ht="14.25" customHeight="1" x14ac:dyDescent="0.2">
      <c r="DA847" s="155"/>
    </row>
    <row r="848" spans="105:105" ht="14.25" customHeight="1" x14ac:dyDescent="0.2">
      <c r="DA848" s="155"/>
    </row>
    <row r="849" spans="105:105" ht="14.25" customHeight="1" x14ac:dyDescent="0.2">
      <c r="DA849" s="155"/>
    </row>
    <row r="850" spans="105:105" ht="14.25" customHeight="1" x14ac:dyDescent="0.2">
      <c r="DA850" s="155"/>
    </row>
    <row r="851" spans="105:105" ht="14.25" customHeight="1" x14ac:dyDescent="0.2">
      <c r="DA851" s="155"/>
    </row>
    <row r="852" spans="105:105" ht="14.25" customHeight="1" x14ac:dyDescent="0.2">
      <c r="DA852" s="155"/>
    </row>
    <row r="853" spans="105:105" ht="14.25" customHeight="1" x14ac:dyDescent="0.2">
      <c r="DA853" s="155"/>
    </row>
    <row r="854" spans="105:105" ht="14.25" customHeight="1" x14ac:dyDescent="0.2">
      <c r="DA854" s="155"/>
    </row>
    <row r="855" spans="105:105" ht="14.25" customHeight="1" x14ac:dyDescent="0.2">
      <c r="DA855" s="155"/>
    </row>
    <row r="856" spans="105:105" ht="14.25" customHeight="1" x14ac:dyDescent="0.2">
      <c r="DA856" s="155"/>
    </row>
    <row r="857" spans="105:105" ht="14.25" customHeight="1" x14ac:dyDescent="0.2">
      <c r="DA857" s="155"/>
    </row>
    <row r="858" spans="105:105" ht="14.25" customHeight="1" x14ac:dyDescent="0.2">
      <c r="DA858" s="155"/>
    </row>
    <row r="859" spans="105:105" ht="14.25" customHeight="1" x14ac:dyDescent="0.2">
      <c r="DA859" s="155"/>
    </row>
    <row r="860" spans="105:105" ht="14.25" customHeight="1" x14ac:dyDescent="0.2">
      <c r="DA860" s="155"/>
    </row>
    <row r="861" spans="105:105" ht="14.25" customHeight="1" x14ac:dyDescent="0.2">
      <c r="DA861" s="155"/>
    </row>
    <row r="862" spans="105:105" ht="14.25" customHeight="1" x14ac:dyDescent="0.2">
      <c r="DA862" s="155"/>
    </row>
    <row r="863" spans="105:105" ht="14.25" customHeight="1" x14ac:dyDescent="0.2">
      <c r="DA863" s="155"/>
    </row>
    <row r="864" spans="105:105" ht="14.25" customHeight="1" x14ac:dyDescent="0.2">
      <c r="DA864" s="155"/>
    </row>
    <row r="865" spans="105:105" ht="14.25" customHeight="1" x14ac:dyDescent="0.2">
      <c r="DA865" s="155"/>
    </row>
    <row r="866" spans="105:105" ht="14.25" customHeight="1" x14ac:dyDescent="0.2">
      <c r="DA866" s="155"/>
    </row>
    <row r="867" spans="105:105" ht="14.25" customHeight="1" x14ac:dyDescent="0.2">
      <c r="DA867" s="155"/>
    </row>
    <row r="868" spans="105:105" ht="14.25" customHeight="1" x14ac:dyDescent="0.2">
      <c r="DA868" s="155"/>
    </row>
    <row r="869" spans="105:105" ht="14.25" customHeight="1" x14ac:dyDescent="0.2">
      <c r="DA869" s="155"/>
    </row>
    <row r="870" spans="105:105" ht="14.25" customHeight="1" x14ac:dyDescent="0.2">
      <c r="DA870" s="155"/>
    </row>
    <row r="871" spans="105:105" ht="14.25" customHeight="1" x14ac:dyDescent="0.2">
      <c r="DA871" s="155"/>
    </row>
    <row r="872" spans="105:105" ht="14.25" customHeight="1" x14ac:dyDescent="0.2">
      <c r="DA872" s="155"/>
    </row>
    <row r="873" spans="105:105" ht="14.25" customHeight="1" x14ac:dyDescent="0.2">
      <c r="DA873" s="155"/>
    </row>
    <row r="874" spans="105:105" ht="14.25" customHeight="1" x14ac:dyDescent="0.2">
      <c r="DA874" s="155"/>
    </row>
    <row r="875" spans="105:105" ht="14.25" customHeight="1" x14ac:dyDescent="0.2">
      <c r="DA875" s="155"/>
    </row>
    <row r="876" spans="105:105" ht="14.25" customHeight="1" x14ac:dyDescent="0.2">
      <c r="DA876" s="155"/>
    </row>
    <row r="877" spans="105:105" ht="14.25" customHeight="1" x14ac:dyDescent="0.2">
      <c r="DA877" s="155"/>
    </row>
    <row r="878" spans="105:105" ht="14.25" customHeight="1" x14ac:dyDescent="0.2">
      <c r="DA878" s="155"/>
    </row>
    <row r="879" spans="105:105" ht="14.25" customHeight="1" x14ac:dyDescent="0.2">
      <c r="DA879" s="155"/>
    </row>
    <row r="880" spans="105:105" ht="14.25" customHeight="1" x14ac:dyDescent="0.2">
      <c r="DA880" s="155"/>
    </row>
    <row r="881" spans="105:105" ht="14.25" customHeight="1" x14ac:dyDescent="0.2">
      <c r="DA881" s="155"/>
    </row>
    <row r="882" spans="105:105" ht="14.25" customHeight="1" x14ac:dyDescent="0.2">
      <c r="DA882" s="155"/>
    </row>
    <row r="883" spans="105:105" ht="14.25" customHeight="1" x14ac:dyDescent="0.2">
      <c r="DA883" s="155"/>
    </row>
    <row r="884" spans="105:105" ht="14.25" customHeight="1" x14ac:dyDescent="0.2">
      <c r="DA884" s="155"/>
    </row>
    <row r="885" spans="105:105" ht="14.25" customHeight="1" x14ac:dyDescent="0.2">
      <c r="DA885" s="155"/>
    </row>
    <row r="886" spans="105:105" ht="14.25" customHeight="1" x14ac:dyDescent="0.2">
      <c r="DA886" s="155"/>
    </row>
    <row r="887" spans="105:105" ht="14.25" customHeight="1" x14ac:dyDescent="0.2">
      <c r="DA887" s="155"/>
    </row>
    <row r="888" spans="105:105" ht="14.25" customHeight="1" x14ac:dyDescent="0.2">
      <c r="DA888" s="155"/>
    </row>
    <row r="889" spans="105:105" ht="14.25" customHeight="1" x14ac:dyDescent="0.2">
      <c r="DA889" s="155"/>
    </row>
    <row r="890" spans="105:105" ht="14.25" customHeight="1" x14ac:dyDescent="0.2">
      <c r="DA890" s="155"/>
    </row>
    <row r="891" spans="105:105" ht="14.25" customHeight="1" x14ac:dyDescent="0.2">
      <c r="DA891" s="155"/>
    </row>
    <row r="892" spans="105:105" ht="14.25" customHeight="1" x14ac:dyDescent="0.2">
      <c r="DA892" s="155"/>
    </row>
    <row r="893" spans="105:105" ht="14.25" customHeight="1" x14ac:dyDescent="0.2">
      <c r="DA893" s="155"/>
    </row>
    <row r="894" spans="105:105" ht="14.25" customHeight="1" x14ac:dyDescent="0.2">
      <c r="DA894" s="155"/>
    </row>
    <row r="895" spans="105:105" ht="14.25" customHeight="1" x14ac:dyDescent="0.2">
      <c r="DA895" s="155"/>
    </row>
    <row r="896" spans="105:105" ht="14.25" customHeight="1" x14ac:dyDescent="0.2">
      <c r="DA896" s="155"/>
    </row>
    <row r="897" spans="105:105" ht="14.25" customHeight="1" x14ac:dyDescent="0.2">
      <c r="DA897" s="155"/>
    </row>
    <row r="898" spans="105:105" ht="14.25" customHeight="1" x14ac:dyDescent="0.2">
      <c r="DA898" s="155"/>
    </row>
    <row r="899" spans="105:105" ht="14.25" customHeight="1" x14ac:dyDescent="0.2">
      <c r="DA899" s="155"/>
    </row>
    <row r="900" spans="105:105" ht="14.25" customHeight="1" x14ac:dyDescent="0.2">
      <c r="DA900" s="155"/>
    </row>
    <row r="901" spans="105:105" ht="14.25" customHeight="1" x14ac:dyDescent="0.2">
      <c r="DA901" s="155"/>
    </row>
    <row r="902" spans="105:105" ht="14.25" customHeight="1" x14ac:dyDescent="0.2">
      <c r="DA902" s="155"/>
    </row>
    <row r="903" spans="105:105" ht="14.25" customHeight="1" x14ac:dyDescent="0.2">
      <c r="DA903" s="155"/>
    </row>
    <row r="904" spans="105:105" ht="14.25" customHeight="1" x14ac:dyDescent="0.2">
      <c r="DA904" s="155"/>
    </row>
    <row r="905" spans="105:105" ht="14.25" customHeight="1" x14ac:dyDescent="0.2">
      <c r="DA905" s="155"/>
    </row>
    <row r="906" spans="105:105" ht="14.25" customHeight="1" x14ac:dyDescent="0.2">
      <c r="DA906" s="155"/>
    </row>
    <row r="907" spans="105:105" ht="14.25" customHeight="1" x14ac:dyDescent="0.2">
      <c r="DA907" s="155"/>
    </row>
    <row r="908" spans="105:105" ht="14.25" customHeight="1" x14ac:dyDescent="0.2">
      <c r="DA908" s="155"/>
    </row>
    <row r="909" spans="105:105" ht="14.25" customHeight="1" x14ac:dyDescent="0.2">
      <c r="DA909" s="155"/>
    </row>
    <row r="910" spans="105:105" ht="14.25" customHeight="1" x14ac:dyDescent="0.2">
      <c r="DA910" s="155"/>
    </row>
    <row r="911" spans="105:105" ht="14.25" customHeight="1" x14ac:dyDescent="0.2">
      <c r="DA911" s="155"/>
    </row>
    <row r="912" spans="105:105" ht="14.25" customHeight="1" x14ac:dyDescent="0.2">
      <c r="DA912" s="155"/>
    </row>
    <row r="913" spans="105:105" ht="14.25" customHeight="1" x14ac:dyDescent="0.2">
      <c r="DA913" s="155"/>
    </row>
    <row r="914" spans="105:105" ht="14.25" customHeight="1" x14ac:dyDescent="0.2">
      <c r="DA914" s="155"/>
    </row>
    <row r="915" spans="105:105" ht="14.25" customHeight="1" x14ac:dyDescent="0.2">
      <c r="DA915" s="155"/>
    </row>
    <row r="916" spans="105:105" ht="14.25" customHeight="1" x14ac:dyDescent="0.2">
      <c r="DA916" s="155"/>
    </row>
    <row r="917" spans="105:105" ht="14.25" customHeight="1" x14ac:dyDescent="0.2">
      <c r="DA917" s="155"/>
    </row>
    <row r="918" spans="105:105" ht="14.25" customHeight="1" x14ac:dyDescent="0.2">
      <c r="DA918" s="155"/>
    </row>
    <row r="919" spans="105:105" ht="14.25" customHeight="1" x14ac:dyDescent="0.2">
      <c r="DA919" s="155"/>
    </row>
    <row r="920" spans="105:105" ht="14.25" customHeight="1" x14ac:dyDescent="0.2">
      <c r="DA920" s="155"/>
    </row>
    <row r="921" spans="105:105" ht="14.25" customHeight="1" x14ac:dyDescent="0.2">
      <c r="DA921" s="155"/>
    </row>
    <row r="922" spans="105:105" ht="14.25" customHeight="1" x14ac:dyDescent="0.2">
      <c r="DA922" s="155"/>
    </row>
    <row r="923" spans="105:105" ht="14.25" customHeight="1" x14ac:dyDescent="0.2">
      <c r="DA923" s="155"/>
    </row>
    <row r="924" spans="105:105" ht="14.25" customHeight="1" x14ac:dyDescent="0.2">
      <c r="DA924" s="155"/>
    </row>
    <row r="925" spans="105:105" ht="14.25" customHeight="1" x14ac:dyDescent="0.2">
      <c r="DA925" s="155"/>
    </row>
    <row r="926" spans="105:105" ht="14.25" customHeight="1" x14ac:dyDescent="0.2">
      <c r="DA926" s="155"/>
    </row>
    <row r="927" spans="105:105" ht="14.25" customHeight="1" x14ac:dyDescent="0.2">
      <c r="DA927" s="155"/>
    </row>
    <row r="928" spans="105:105" ht="14.25" customHeight="1" x14ac:dyDescent="0.2">
      <c r="DA928" s="155"/>
    </row>
    <row r="929" spans="105:105" ht="14.25" customHeight="1" x14ac:dyDescent="0.2">
      <c r="DA929" s="155"/>
    </row>
    <row r="930" spans="105:105" ht="14.25" customHeight="1" x14ac:dyDescent="0.2">
      <c r="DA930" s="155"/>
    </row>
    <row r="931" spans="105:105" ht="14.25" customHeight="1" x14ac:dyDescent="0.2">
      <c r="DA931" s="155"/>
    </row>
    <row r="932" spans="105:105" ht="14.25" customHeight="1" x14ac:dyDescent="0.2">
      <c r="DA932" s="155"/>
    </row>
    <row r="933" spans="105:105" ht="14.25" customHeight="1" x14ac:dyDescent="0.2">
      <c r="DA933" s="155"/>
    </row>
    <row r="934" spans="105:105" ht="14.25" customHeight="1" x14ac:dyDescent="0.2">
      <c r="DA934" s="155"/>
    </row>
    <row r="935" spans="105:105" ht="14.25" customHeight="1" x14ac:dyDescent="0.2">
      <c r="DA935" s="155"/>
    </row>
    <row r="936" spans="105:105" ht="14.25" customHeight="1" x14ac:dyDescent="0.2">
      <c r="DA936" s="155"/>
    </row>
    <row r="937" spans="105:105" ht="14.25" customHeight="1" x14ac:dyDescent="0.2">
      <c r="DA937" s="155"/>
    </row>
    <row r="938" spans="105:105" ht="14.25" customHeight="1" x14ac:dyDescent="0.2">
      <c r="DA938" s="155"/>
    </row>
    <row r="939" spans="105:105" ht="14.25" customHeight="1" x14ac:dyDescent="0.2">
      <c r="DA939" s="155"/>
    </row>
    <row r="940" spans="105:105" ht="14.25" customHeight="1" x14ac:dyDescent="0.2">
      <c r="DA940" s="155"/>
    </row>
    <row r="941" spans="105:105" ht="14.25" customHeight="1" x14ac:dyDescent="0.2">
      <c r="DA941" s="155"/>
    </row>
    <row r="942" spans="105:105" ht="14.25" customHeight="1" x14ac:dyDescent="0.2">
      <c r="DA942" s="155"/>
    </row>
    <row r="943" spans="105:105" ht="14.25" customHeight="1" x14ac:dyDescent="0.2">
      <c r="DA943" s="155"/>
    </row>
    <row r="944" spans="105:105" ht="14.25" customHeight="1" x14ac:dyDescent="0.2">
      <c r="DA944" s="155"/>
    </row>
    <row r="945" spans="105:105" ht="14.25" customHeight="1" x14ac:dyDescent="0.2">
      <c r="DA945" s="155"/>
    </row>
    <row r="946" spans="105:105" ht="14.25" customHeight="1" x14ac:dyDescent="0.2">
      <c r="DA946" s="155"/>
    </row>
    <row r="947" spans="105:105" ht="14.25" customHeight="1" x14ac:dyDescent="0.2">
      <c r="DA947" s="155"/>
    </row>
    <row r="948" spans="105:105" ht="14.25" customHeight="1" x14ac:dyDescent="0.2">
      <c r="DA948" s="155"/>
    </row>
    <row r="949" spans="105:105" ht="14.25" customHeight="1" x14ac:dyDescent="0.2">
      <c r="DA949" s="155"/>
    </row>
    <row r="950" spans="105:105" ht="14.25" customHeight="1" x14ac:dyDescent="0.2">
      <c r="DA950" s="155"/>
    </row>
    <row r="951" spans="105:105" ht="14.25" customHeight="1" x14ac:dyDescent="0.2">
      <c r="DA951" s="155"/>
    </row>
    <row r="952" spans="105:105" ht="14.25" customHeight="1" x14ac:dyDescent="0.2">
      <c r="DA952" s="155"/>
    </row>
    <row r="953" spans="105:105" ht="14.25" customHeight="1" x14ac:dyDescent="0.2">
      <c r="DA953" s="155"/>
    </row>
    <row r="954" spans="105:105" ht="14.25" customHeight="1" x14ac:dyDescent="0.2">
      <c r="DA954" s="155"/>
    </row>
    <row r="955" spans="105:105" ht="14.25" customHeight="1" x14ac:dyDescent="0.2">
      <c r="DA955" s="155"/>
    </row>
    <row r="956" spans="105:105" ht="14.25" customHeight="1" x14ac:dyDescent="0.2">
      <c r="DA956" s="155"/>
    </row>
    <row r="957" spans="105:105" ht="14.25" customHeight="1" x14ac:dyDescent="0.2">
      <c r="DA957" s="155"/>
    </row>
    <row r="958" spans="105:105" ht="14.25" customHeight="1" x14ac:dyDescent="0.2">
      <c r="DA958" s="155"/>
    </row>
    <row r="959" spans="105:105" ht="14.25" customHeight="1" x14ac:dyDescent="0.2">
      <c r="DA959" s="155"/>
    </row>
    <row r="960" spans="105:105" ht="14.25" customHeight="1" x14ac:dyDescent="0.2">
      <c r="DA960" s="155"/>
    </row>
    <row r="961" spans="105:105" ht="14.25" customHeight="1" x14ac:dyDescent="0.2">
      <c r="DA961" s="155"/>
    </row>
    <row r="962" spans="105:105" ht="14.25" customHeight="1" x14ac:dyDescent="0.2">
      <c r="DA962" s="155"/>
    </row>
    <row r="963" spans="105:105" ht="14.25" customHeight="1" x14ac:dyDescent="0.2">
      <c r="DA963" s="155"/>
    </row>
    <row r="964" spans="105:105" ht="14.25" customHeight="1" x14ac:dyDescent="0.2">
      <c r="DA964" s="155"/>
    </row>
    <row r="965" spans="105:105" ht="14.25" customHeight="1" x14ac:dyDescent="0.2">
      <c r="DA965" s="155"/>
    </row>
    <row r="966" spans="105:105" ht="14.25" customHeight="1" x14ac:dyDescent="0.2">
      <c r="DA966" s="155"/>
    </row>
    <row r="967" spans="105:105" ht="14.25" customHeight="1" x14ac:dyDescent="0.2">
      <c r="DA967" s="155"/>
    </row>
    <row r="968" spans="105:105" ht="14.25" customHeight="1" x14ac:dyDescent="0.2">
      <c r="DA968" s="155"/>
    </row>
    <row r="969" spans="105:105" ht="14.25" customHeight="1" x14ac:dyDescent="0.2">
      <c r="DA969" s="155"/>
    </row>
    <row r="970" spans="105:105" ht="14.25" customHeight="1" x14ac:dyDescent="0.2">
      <c r="DA970" s="155"/>
    </row>
    <row r="971" spans="105:105" ht="14.25" customHeight="1" x14ac:dyDescent="0.2">
      <c r="DA971" s="155"/>
    </row>
    <row r="972" spans="105:105" ht="14.25" customHeight="1" x14ac:dyDescent="0.2">
      <c r="DA972" s="155"/>
    </row>
    <row r="973" spans="105:105" ht="14.25" customHeight="1" x14ac:dyDescent="0.2">
      <c r="DA973" s="155"/>
    </row>
    <row r="974" spans="105:105" ht="14.25" customHeight="1" x14ac:dyDescent="0.2">
      <c r="DA974" s="155"/>
    </row>
    <row r="975" spans="105:105" ht="14.25" customHeight="1" x14ac:dyDescent="0.2">
      <c r="DA975" s="155"/>
    </row>
    <row r="976" spans="105:105" ht="14.25" customHeight="1" x14ac:dyDescent="0.2">
      <c r="DA976" s="155"/>
    </row>
    <row r="977" spans="105:105" ht="14.25" customHeight="1" x14ac:dyDescent="0.2">
      <c r="DA977" s="155"/>
    </row>
    <row r="978" spans="105:105" ht="14.25" customHeight="1" x14ac:dyDescent="0.2">
      <c r="DA978" s="155"/>
    </row>
    <row r="979" spans="105:105" ht="14.25" customHeight="1" x14ac:dyDescent="0.2">
      <c r="DA979" s="155"/>
    </row>
    <row r="980" spans="105:105" ht="14.25" customHeight="1" x14ac:dyDescent="0.2">
      <c r="DA980" s="155"/>
    </row>
    <row r="981" spans="105:105" ht="14.25" customHeight="1" x14ac:dyDescent="0.2">
      <c r="DA981" s="155"/>
    </row>
    <row r="982" spans="105:105" ht="14.25" customHeight="1" x14ac:dyDescent="0.2">
      <c r="DA982" s="155"/>
    </row>
    <row r="983" spans="105:105" ht="14.25" customHeight="1" x14ac:dyDescent="0.2">
      <c r="DA983" s="155"/>
    </row>
    <row r="984" spans="105:105" ht="14.25" customHeight="1" x14ac:dyDescent="0.2">
      <c r="DA984" s="155"/>
    </row>
    <row r="985" spans="105:105" ht="14.25" customHeight="1" x14ac:dyDescent="0.2">
      <c r="DA985" s="155"/>
    </row>
    <row r="986" spans="105:105" ht="14.25" customHeight="1" x14ac:dyDescent="0.2">
      <c r="DA986" s="155"/>
    </row>
    <row r="987" spans="105:105" ht="14.25" customHeight="1" x14ac:dyDescent="0.2">
      <c r="DA987" s="155"/>
    </row>
    <row r="988" spans="105:105" ht="14.25" customHeight="1" x14ac:dyDescent="0.2">
      <c r="DA988" s="155"/>
    </row>
    <row r="989" spans="105:105" ht="14.25" customHeight="1" x14ac:dyDescent="0.2">
      <c r="DA989" s="155"/>
    </row>
    <row r="990" spans="105:105" ht="14.25" customHeight="1" x14ac:dyDescent="0.2">
      <c r="DA990" s="155"/>
    </row>
    <row r="991" spans="105:105" ht="14.25" customHeight="1" x14ac:dyDescent="0.2">
      <c r="DA991" s="155"/>
    </row>
    <row r="992" spans="105:105" ht="14.25" customHeight="1" x14ac:dyDescent="0.2">
      <c r="DA992" s="155"/>
    </row>
    <row r="993" spans="105:105" ht="14.25" customHeight="1" x14ac:dyDescent="0.2">
      <c r="DA993" s="155"/>
    </row>
    <row r="994" spans="105:105" ht="14.25" customHeight="1" x14ac:dyDescent="0.2">
      <c r="DA994" s="155"/>
    </row>
    <row r="995" spans="105:105" ht="14.25" customHeight="1" x14ac:dyDescent="0.2">
      <c r="DA995" s="155"/>
    </row>
    <row r="996" spans="105:105" ht="14.25" customHeight="1" x14ac:dyDescent="0.2">
      <c r="DA996" s="155"/>
    </row>
    <row r="997" spans="105:105" ht="14.25" customHeight="1" x14ac:dyDescent="0.2">
      <c r="DA997" s="155"/>
    </row>
    <row r="998" spans="105:105" ht="14.25" customHeight="1" x14ac:dyDescent="0.2">
      <c r="DA998" s="155"/>
    </row>
    <row r="999" spans="105:105" ht="14.25" customHeight="1" x14ac:dyDescent="0.2">
      <c r="DA999" s="155"/>
    </row>
    <row r="1000" spans="105:105" ht="14.25" customHeight="1" x14ac:dyDescent="0.2">
      <c r="DA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C0C2-F7B9-2849-93DA-1478080B1ED4}">
  <sheetPr>
    <pageSetUpPr fitToPage="1"/>
  </sheetPr>
  <dimension ref="A1:CU1000"/>
  <sheetViews>
    <sheetView zoomScale="80" zoomScaleNormal="80" workbookViewId="0">
      <pane xSplit="11" ySplit="3" topLeftCell="CH37" activePane="bottomRight" state="frozen"/>
      <selection activeCell="J2" sqref="J2:P58"/>
      <selection pane="topRight" activeCell="J2" sqref="J2:P58"/>
      <selection pane="bottomLeft" activeCell="J2" sqref="J2:P58"/>
      <selection pane="bottomRight" activeCell="CK58" sqref="CK58:CM58"/>
    </sheetView>
  </sheetViews>
  <sheetFormatPr baseColWidth="10" defaultColWidth="14.5" defaultRowHeight="15" customHeight="1" x14ac:dyDescent="0.2"/>
  <cols>
    <col min="1" max="1" width="32.33203125" customWidth="1"/>
    <col min="2" max="44" width="11.5" customWidth="1"/>
    <col min="45" max="45" width="13.5" customWidth="1"/>
    <col min="46" max="58" width="11.5" customWidth="1"/>
    <col min="59" max="59" width="14.1640625" customWidth="1"/>
    <col min="60" max="65" width="11.5" customWidth="1"/>
    <col min="66" max="66" width="14.1640625" customWidth="1"/>
    <col min="67" max="72" width="11.5" customWidth="1"/>
    <col min="73" max="73" width="14.5" customWidth="1"/>
    <col min="74" max="79" width="11.5" customWidth="1"/>
    <col min="80" max="80" width="14.5" customWidth="1"/>
    <col min="81" max="93" width="11.5" customWidth="1"/>
    <col min="94" max="94" width="13.5" customWidth="1"/>
    <col min="95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489966.59039603639</v>
      </c>
      <c r="C4" s="18">
        <f t="shared" si="0"/>
        <v>429749.69643636351</v>
      </c>
      <c r="D4" s="19">
        <f t="shared" si="0"/>
        <v>60216.89395967286</v>
      </c>
      <c r="E4" s="17">
        <f>+L4+S4+Z4+AG4</f>
        <v>167615.51801717337</v>
      </c>
      <c r="F4" s="20">
        <f>+M4+T4+AA4+AH4</f>
        <v>147015.57085286276</v>
      </c>
      <c r="G4" s="21">
        <f>+N4+U4+AB4+AI4</f>
        <v>20599.947164310604</v>
      </c>
      <c r="H4" s="18">
        <f t="shared" ref="H4:J35" si="1">+O4+V4+AC4+AJ4+AQ4+AX4+BE4+BL4+BS4+BZ4+CG4+CN4</f>
        <v>164008.46935820027</v>
      </c>
      <c r="I4" s="20">
        <f t="shared" si="1"/>
        <v>0</v>
      </c>
      <c r="J4" s="20">
        <f t="shared" si="1"/>
        <v>164008.46935820027</v>
      </c>
      <c r="K4" s="25">
        <f>IF(E4=0,"",(+J4/E4-1))</f>
        <v>-2.1519777533984263E-2</v>
      </c>
      <c r="L4" s="23">
        <f>[1]SFI!$E4</f>
        <v>38375.127664150357</v>
      </c>
      <c r="M4" s="18">
        <f>L4-N4</f>
        <v>33658.824474226276</v>
      </c>
      <c r="N4" s="18">
        <f>+L4*12.29%</f>
        <v>4716.3031899240787</v>
      </c>
      <c r="O4" s="18">
        <f>+Q4-P4</f>
        <v>36111.19816844356</v>
      </c>
      <c r="P4" s="18"/>
      <c r="Q4" s="20">
        <v>36111.19816844356</v>
      </c>
      <c r="R4" s="25">
        <f t="shared" ref="R4:R54" si="2">IF(L4=0,"",(+Q4/L4-1))</f>
        <v>-5.8994709164752468E-2</v>
      </c>
      <c r="S4" s="23">
        <f>[1]SFI!$F4</f>
        <v>52490.135024722302</v>
      </c>
      <c r="T4" s="18">
        <f>S4-U4</f>
        <v>46039.097430183931</v>
      </c>
      <c r="U4" s="18">
        <f>+S4*12.29%</f>
        <v>6451.0375945383703</v>
      </c>
      <c r="V4" s="18">
        <f>+X4-W4</f>
        <v>32646.01728267724</v>
      </c>
      <c r="W4" s="18"/>
      <c r="X4" s="147">
        <f>'[4]SÃO FRANCISCO'!X4*'[3]SF I'!$X$4</f>
        <v>32646.01728267724</v>
      </c>
      <c r="Y4" s="25">
        <f t="shared" ref="Y4:Y54" si="3">IF(S4=0,"",(+X4/S4-1))</f>
        <v>-0.37805423309920405</v>
      </c>
      <c r="Z4" s="23">
        <f>[1]SFI!$G4</f>
        <v>38375.127664150357</v>
      </c>
      <c r="AA4" s="18">
        <f>Z4-AB4</f>
        <v>33658.824474226276</v>
      </c>
      <c r="AB4" s="18">
        <f>+Z4*12.29%</f>
        <v>4716.3031899240787</v>
      </c>
      <c r="AC4" s="18">
        <f>+AE4-AD4</f>
        <v>33444.621386940664</v>
      </c>
      <c r="AD4" s="18"/>
      <c r="AE4" s="24">
        <f>'[4]SÃO FRANCISCO'!AE4*'[2]SF I'!$X$4</f>
        <v>33444.621386940664</v>
      </c>
      <c r="AF4" s="25">
        <f t="shared" ref="AF4:AF54" si="4">IF(Z4=0,"",(+AE4/Z4-1))</f>
        <v>-0.12848182083875437</v>
      </c>
      <c r="AG4" s="23">
        <f>[1]SFI!$H4</f>
        <v>38375.127664150357</v>
      </c>
      <c r="AH4" s="18">
        <f>AG4-AI4</f>
        <v>33658.824474226276</v>
      </c>
      <c r="AI4" s="18">
        <f>+AG4*12.29%</f>
        <v>4716.3031899240787</v>
      </c>
      <c r="AJ4" s="18">
        <f>+AL4-AK4</f>
        <v>61806.632520138795</v>
      </c>
      <c r="AK4" s="18"/>
      <c r="AL4" s="24">
        <f>'[4]SÃO FRANCISCO'!AL4*'[2]SF I'!$X$4</f>
        <v>61806.632520138795</v>
      </c>
      <c r="AM4" s="25">
        <f t="shared" ref="AM4:AM54" si="5">IF(AG4=0,"",(+AL4/AG4-1))</f>
        <v>0.61059092913136825</v>
      </c>
      <c r="AN4" s="23">
        <f>[1]SFI!$I4</f>
        <v>38375.127664150357</v>
      </c>
      <c r="AO4" s="18">
        <f>AN4-AP4</f>
        <v>33658.824474226276</v>
      </c>
      <c r="AP4" s="18">
        <f>+AN4*12.29%</f>
        <v>4716.3031899240787</v>
      </c>
      <c r="AQ4" s="18">
        <f>+AS4-AR4</f>
        <v>0</v>
      </c>
      <c r="AR4" s="18"/>
      <c r="AS4" s="20">
        <f>'[4]SÃO FRANCISCO'!AS4*'[3]SF I'!$X$4</f>
        <v>0</v>
      </c>
      <c r="AT4" s="25">
        <f t="shared" ref="AT4:AT54" si="6">IF(AN4=0,"",(+AS4/AN4-1))</f>
        <v>-1</v>
      </c>
      <c r="AU4" s="23">
        <f>[1]SFI!$J4</f>
        <v>38375.127664150357</v>
      </c>
      <c r="AV4" s="18">
        <f>AU4-AW4</f>
        <v>33658.824474226276</v>
      </c>
      <c r="AW4" s="18">
        <f>+AU4*12.29%</f>
        <v>4716.3031899240787</v>
      </c>
      <c r="AX4" s="18">
        <f>+AZ4-AY4</f>
        <v>0</v>
      </c>
      <c r="AY4" s="18"/>
      <c r="AZ4" s="24">
        <f>'[4]SÃO FRANCISCO'!AZ4*'[3]SF I'!$X$4</f>
        <v>0</v>
      </c>
      <c r="BA4" s="25">
        <f t="shared" ref="BA4:BA54" si="7">IF(AU4=0,"",(+AZ4/AU4-1))</f>
        <v>-1</v>
      </c>
      <c r="BB4" s="23">
        <f>[1]SFI!$K4</f>
        <v>38375.127664150357</v>
      </c>
      <c r="BC4" s="18">
        <f>BB4-BD4</f>
        <v>33658.824474226276</v>
      </c>
      <c r="BD4" s="18">
        <f>+BB4*12.29%</f>
        <v>4716.3031899240787</v>
      </c>
      <c r="BE4" s="18">
        <f>+BG4-BF4</f>
        <v>0</v>
      </c>
      <c r="BF4" s="18"/>
      <c r="BG4" s="20">
        <f>'[4]SÃO FRANCISCO'!BG4*'[3]SF I'!$X$4</f>
        <v>0</v>
      </c>
      <c r="BH4" s="25">
        <f t="shared" ref="BH4:BH54" si="8">IF(BB4=0,"",(+BG4/BB4-1))</f>
        <v>-1</v>
      </c>
      <c r="BI4" s="23">
        <f>[1]SFI!$L4</f>
        <v>41445.137877282395</v>
      </c>
      <c r="BJ4" s="18">
        <f>BI4-BK4</f>
        <v>36351.530432164393</v>
      </c>
      <c r="BK4" s="18">
        <f>+BI4*12.29%</f>
        <v>5093.6074451180066</v>
      </c>
      <c r="BL4" s="18">
        <f>+BN4-BM4</f>
        <v>0</v>
      </c>
      <c r="BM4" s="18"/>
      <c r="BN4" s="20">
        <f>'[4]SÃO FRANCISCO'!BN4*'[3]SF I'!$X$4</f>
        <v>0</v>
      </c>
      <c r="BO4" s="25">
        <f t="shared" ref="BO4:BO54" si="9">IF(BI4=0,"",(+BN4/BI4-1))</f>
        <v>-1</v>
      </c>
      <c r="BP4" s="23">
        <f>[1]SFI!$M4</f>
        <v>41445.137877282395</v>
      </c>
      <c r="BQ4" s="18">
        <f>BP4-BR4</f>
        <v>36351.530432164393</v>
      </c>
      <c r="BR4" s="18">
        <f>+BP4*12.29%</f>
        <v>5093.6074451180066</v>
      </c>
      <c r="BS4" s="18">
        <f>+BU4-BT4</f>
        <v>0</v>
      </c>
      <c r="BT4" s="18"/>
      <c r="BU4" s="20">
        <f>'[4]SÃO FRANCISCO'!BU4*'[3]SF I'!$X$4</f>
        <v>0</v>
      </c>
      <c r="BV4" s="25">
        <f t="shared" ref="BV4:BV54" si="10">IF(BP4=0,"",(+BU4/BP4-1))</f>
        <v>-1</v>
      </c>
      <c r="BW4" s="23">
        <f>[1]SFI!$N4</f>
        <v>41445.137877282395</v>
      </c>
      <c r="BX4" s="18">
        <f>BW4-BY4</f>
        <v>36351.530432164393</v>
      </c>
      <c r="BY4" s="18">
        <f>+BW4*12.29%</f>
        <v>5093.6074451180066</v>
      </c>
      <c r="BZ4" s="18">
        <f>+CB4-CA4</f>
        <v>0</v>
      </c>
      <c r="CA4" s="18"/>
      <c r="CB4" s="20">
        <f>'[4]SÃO FRANCISCO'!CB4*'[3]SF I'!$X$4</f>
        <v>0</v>
      </c>
      <c r="CC4" s="25">
        <f t="shared" ref="CC4:CC54" si="11">IF(BW4=0,"",(+CB4/BW4-1))</f>
        <v>-1</v>
      </c>
      <c r="CD4" s="23">
        <f>[1]SFI!$O4</f>
        <v>41445.137877282395</v>
      </c>
      <c r="CE4" s="18">
        <f>CD4-CF4</f>
        <v>36351.530432164393</v>
      </c>
      <c r="CF4" s="18">
        <f>+CD4*12.29%</f>
        <v>5093.6074451180066</v>
      </c>
      <c r="CG4" s="18">
        <f>+CI4-CH4</f>
        <v>0</v>
      </c>
      <c r="CH4" s="18"/>
      <c r="CI4" s="20">
        <f>'[4]SÃO FRANCISCO'!CI4*'[3]SF I'!$X$4</f>
        <v>0</v>
      </c>
      <c r="CJ4" s="25">
        <f t="shared" ref="CJ4:CJ54" si="12">IF(CD4=0,"",(+CI4/CD4-1))</f>
        <v>-1</v>
      </c>
      <c r="CK4" s="23">
        <f>[1]SFI!$P4</f>
        <v>41445.137877282395</v>
      </c>
      <c r="CL4" s="18">
        <f>CK4-CM4</f>
        <v>36351.530432164393</v>
      </c>
      <c r="CM4" s="18">
        <f>+CK4*12.29%</f>
        <v>5093.6074451180066</v>
      </c>
      <c r="CN4" s="18">
        <f>+CP4-CO4</f>
        <v>0</v>
      </c>
      <c r="CO4" s="18"/>
      <c r="CP4" s="20">
        <f>'[4]SÃO FRANCISCO'!CP4*'[3]SF I'!$X$4</f>
        <v>0</v>
      </c>
      <c r="CQ4" s="25">
        <f t="shared" ref="CQ4:CQ54" si="13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20009.224737671524</v>
      </c>
      <c r="C5" s="31">
        <f t="shared" si="0"/>
        <v>17550.091017411691</v>
      </c>
      <c r="D5" s="32">
        <f t="shared" si="0"/>
        <v>2459.1337202598302</v>
      </c>
      <c r="E5" s="30">
        <f t="shared" ref="E5:G36" si="14">+L5+S5+Z5+AG5</f>
        <v>6669.7415792238417</v>
      </c>
      <c r="F5" s="33">
        <f t="shared" si="14"/>
        <v>5850.0303391372317</v>
      </c>
      <c r="G5" s="34">
        <f t="shared" si="14"/>
        <v>819.71124008661013</v>
      </c>
      <c r="H5" s="31">
        <f t="shared" si="1"/>
        <v>15926.150824470782</v>
      </c>
      <c r="I5" s="33">
        <f t="shared" si="1"/>
        <v>0</v>
      </c>
      <c r="J5" s="33">
        <f t="shared" si="1"/>
        <v>15926.150824470782</v>
      </c>
      <c r="K5" s="37">
        <f t="shared" ref="K5:K58" si="15">IF(E5=0,"",(+J5/E5-1))</f>
        <v>1.3878212724283854</v>
      </c>
      <c r="L5" s="36">
        <f>[1]SFI!$E5</f>
        <v>1667.4353948059604</v>
      </c>
      <c r="M5" s="31">
        <f t="shared" ref="M5:M54" si="16">L5-N5</f>
        <v>1462.5075847843079</v>
      </c>
      <c r="N5" s="31">
        <f t="shared" ref="N5:N54" si="17">+L5*12.29%</f>
        <v>204.92781002165253</v>
      </c>
      <c r="O5" s="31">
        <f t="shared" ref="O5:O54" si="18">+Q5-P5</f>
        <v>3787.9536509730565</v>
      </c>
      <c r="P5" s="31"/>
      <c r="Q5" s="33">
        <v>3787.9536509730565</v>
      </c>
      <c r="R5" s="37">
        <f t="shared" si="2"/>
        <v>1.2717243875069961</v>
      </c>
      <c r="S5" s="36">
        <f>[1]SFI!$F5</f>
        <v>1667.4353948059604</v>
      </c>
      <c r="T5" s="31">
        <f t="shared" ref="T5:T54" si="19">S5-U5</f>
        <v>1462.5075847843079</v>
      </c>
      <c r="U5" s="31">
        <f t="shared" ref="U5:U54" si="20">+S5*12.29%</f>
        <v>204.92781002165253</v>
      </c>
      <c r="V5" s="31">
        <f t="shared" ref="V5:V54" si="21">+X5-W5</f>
        <v>4917.6452842927338</v>
      </c>
      <c r="W5" s="31"/>
      <c r="X5" s="148">
        <f>'[4]SÃO FRANCISCO'!X5*'[3]SF I'!$X$4</f>
        <v>4917.6452842927338</v>
      </c>
      <c r="Y5" s="37">
        <f t="shared" si="3"/>
        <v>1.9492268783613054</v>
      </c>
      <c r="Z5" s="36">
        <f>[1]SFI!$G5</f>
        <v>1667.4353948059604</v>
      </c>
      <c r="AA5" s="31">
        <f t="shared" ref="AA5:AA54" si="22">Z5-AB5</f>
        <v>1462.5075847843079</v>
      </c>
      <c r="AB5" s="31">
        <f t="shared" ref="AB5:AB54" si="23">+Z5*12.29%</f>
        <v>204.92781002165253</v>
      </c>
      <c r="AC5" s="31">
        <f t="shared" ref="AC5:AC54" si="24">+AE5-AD5</f>
        <v>2871.7629391110841</v>
      </c>
      <c r="AD5" s="31"/>
      <c r="AE5" s="27">
        <f>'[4]SÃO FRANCISCO'!AE5*'[2]SF I'!$X$4</f>
        <v>2871.7629391110841</v>
      </c>
      <c r="AF5" s="37">
        <f t="shared" si="4"/>
        <v>0.72226339206699608</v>
      </c>
      <c r="AG5" s="36">
        <f>[1]SFI!$H5</f>
        <v>1667.4353948059604</v>
      </c>
      <c r="AH5" s="31">
        <f t="shared" ref="AH5:AH54" si="25">AG5-AI5</f>
        <v>1462.5075847843079</v>
      </c>
      <c r="AI5" s="31">
        <f t="shared" ref="AI5:AI54" si="26">+AG5*12.29%</f>
        <v>204.92781002165253</v>
      </c>
      <c r="AJ5" s="31">
        <f t="shared" ref="AJ5:AJ54" si="27">+AL5-AK5</f>
        <v>4348.7889500939073</v>
      </c>
      <c r="AK5" s="31"/>
      <c r="AL5" s="33">
        <f>'[4]SÃO FRANCISCO'!AL5*'[2]SF I'!$X$4</f>
        <v>4348.7889500939073</v>
      </c>
      <c r="AM5" s="37">
        <f t="shared" si="5"/>
        <v>1.6080704317782435</v>
      </c>
      <c r="AN5" s="36">
        <f>[1]SFI!$I5</f>
        <v>1667.4353948059604</v>
      </c>
      <c r="AO5" s="31">
        <f t="shared" ref="AO5:AO54" si="28">AN5-AP5</f>
        <v>1462.5075847843079</v>
      </c>
      <c r="AP5" s="31">
        <f t="shared" ref="AP5:AP54" si="29">+AN5*12.29%</f>
        <v>204.92781002165253</v>
      </c>
      <c r="AQ5" s="31">
        <f t="shared" ref="AQ5:AQ54" si="30">+AS5-AR5</f>
        <v>0</v>
      </c>
      <c r="AR5" s="31"/>
      <c r="AS5" s="33">
        <f>'[4]SÃO FRANCISCO'!AS5*'[3]SF I'!$X$4</f>
        <v>0</v>
      </c>
      <c r="AT5" s="37">
        <f t="shared" si="6"/>
        <v>-1</v>
      </c>
      <c r="AU5" s="36">
        <f>[1]SFI!$J5</f>
        <v>1667.4353948059604</v>
      </c>
      <c r="AV5" s="31">
        <f t="shared" ref="AV5:AV54" si="31">AU5-AW5</f>
        <v>1462.5075847843079</v>
      </c>
      <c r="AW5" s="31">
        <f t="shared" ref="AW5:AW54" si="32">+AU5*12.29%</f>
        <v>204.92781002165253</v>
      </c>
      <c r="AX5" s="31">
        <f t="shared" ref="AX5:AX54" si="33">+AZ5-AY5</f>
        <v>0</v>
      </c>
      <c r="AY5" s="31"/>
      <c r="AZ5" s="27">
        <f>'[4]SÃO FRANCISCO'!AZ5*'[3]SF I'!$X$4</f>
        <v>0</v>
      </c>
      <c r="BA5" s="37">
        <f t="shared" si="7"/>
        <v>-1</v>
      </c>
      <c r="BB5" s="36">
        <f>[1]SFI!$K5</f>
        <v>1667.4353948059604</v>
      </c>
      <c r="BC5" s="31">
        <f t="shared" ref="BC5:BC54" si="34">BB5-BD5</f>
        <v>1462.5075847843079</v>
      </c>
      <c r="BD5" s="31">
        <f t="shared" ref="BD5:BD54" si="35">+BB5*12.29%</f>
        <v>204.92781002165253</v>
      </c>
      <c r="BE5" s="31">
        <f t="shared" ref="BE5:BE54" si="36">+BG5-BF5</f>
        <v>0</v>
      </c>
      <c r="BF5" s="31"/>
      <c r="BG5" s="33">
        <f>'[4]SÃO FRANCISCO'!BG5*'[3]SF I'!$X$4</f>
        <v>0</v>
      </c>
      <c r="BH5" s="37">
        <f t="shared" si="8"/>
        <v>-1</v>
      </c>
      <c r="BI5" s="36">
        <f>[1]SFI!$L5</f>
        <v>1667.4353948059604</v>
      </c>
      <c r="BJ5" s="31">
        <f t="shared" ref="BJ5:BJ54" si="37">BI5-BK5</f>
        <v>1462.5075847843079</v>
      </c>
      <c r="BK5" s="31">
        <f t="shared" ref="BK5:BK54" si="38">+BI5*12.29%</f>
        <v>204.92781002165253</v>
      </c>
      <c r="BL5" s="31">
        <f t="shared" ref="BL5:BL54" si="39">+BN5-BM5</f>
        <v>0</v>
      </c>
      <c r="BM5" s="31"/>
      <c r="BN5" s="33">
        <f>'[4]SÃO FRANCISCO'!BN5*'[3]SF I'!$X$4</f>
        <v>0</v>
      </c>
      <c r="BO5" s="37">
        <f t="shared" si="9"/>
        <v>-1</v>
      </c>
      <c r="BP5" s="36">
        <f>[1]SFI!$M5</f>
        <v>1667.4353948059604</v>
      </c>
      <c r="BQ5" s="31">
        <f t="shared" ref="BQ5:BQ54" si="40">BP5-BR5</f>
        <v>1462.5075847843079</v>
      </c>
      <c r="BR5" s="31">
        <f t="shared" ref="BR5:BR54" si="41">+BP5*12.29%</f>
        <v>204.92781002165253</v>
      </c>
      <c r="BS5" s="31">
        <f t="shared" ref="BS5:BS54" si="42">+BU5-BT5</f>
        <v>0</v>
      </c>
      <c r="BT5" s="31"/>
      <c r="BU5" s="33">
        <f>'[4]SÃO FRANCISCO'!BU5*'[3]SF I'!$X$4</f>
        <v>0</v>
      </c>
      <c r="BV5" s="37">
        <f t="shared" si="10"/>
        <v>-1</v>
      </c>
      <c r="BW5" s="36">
        <f>[1]SFI!$N5</f>
        <v>1667.4353948059604</v>
      </c>
      <c r="BX5" s="31">
        <f t="shared" ref="BX5:BX54" si="43">BW5-BY5</f>
        <v>1462.5075847843079</v>
      </c>
      <c r="BY5" s="31">
        <f t="shared" ref="BY5:BY54" si="44">+BW5*12.29%</f>
        <v>204.92781002165253</v>
      </c>
      <c r="BZ5" s="31">
        <f t="shared" ref="BZ5:BZ54" si="45">+CB5-CA5</f>
        <v>0</v>
      </c>
      <c r="CA5" s="31"/>
      <c r="CB5" s="33">
        <f>'[4]SÃO FRANCISCO'!CB5*'[3]SF I'!$X$4</f>
        <v>0</v>
      </c>
      <c r="CC5" s="37">
        <f t="shared" si="11"/>
        <v>-1</v>
      </c>
      <c r="CD5" s="36">
        <f>[1]SFI!$O5</f>
        <v>1667.4353948059604</v>
      </c>
      <c r="CE5" s="31">
        <f t="shared" ref="CE5:CE54" si="46">CD5-CF5</f>
        <v>1462.5075847843079</v>
      </c>
      <c r="CF5" s="31">
        <f t="shared" ref="CF5:CF54" si="47">+CD5*12.29%</f>
        <v>204.92781002165253</v>
      </c>
      <c r="CG5" s="31">
        <f t="shared" ref="CG5:CG54" si="48">+CI5-CH5</f>
        <v>0</v>
      </c>
      <c r="CH5" s="31"/>
      <c r="CI5" s="33">
        <f>'[4]SÃO FRANCISCO'!CI5*'[3]SF I'!$X$4</f>
        <v>0</v>
      </c>
      <c r="CJ5" s="37">
        <f t="shared" si="12"/>
        <v>-1</v>
      </c>
      <c r="CK5" s="36">
        <f>[1]SFI!$P5</f>
        <v>1667.4353948059604</v>
      </c>
      <c r="CL5" s="31">
        <f t="shared" ref="CL5:CL54" si="49">CK5-CM5</f>
        <v>1462.5075847843079</v>
      </c>
      <c r="CM5" s="31">
        <f t="shared" ref="CM5:CM54" si="50">+CK5*12.29%</f>
        <v>204.92781002165253</v>
      </c>
      <c r="CN5" s="31">
        <f t="shared" ref="CN5:CN54" si="51">+CP5-CO5</f>
        <v>0</v>
      </c>
      <c r="CO5" s="31"/>
      <c r="CP5" s="33">
        <f>'[4]SÃO FRANCISCO'!CP5*'[3]SF I'!$X$4</f>
        <v>0</v>
      </c>
      <c r="CQ5" s="37">
        <f t="shared" si="13"/>
        <v>-1</v>
      </c>
    </row>
    <row r="6" spans="1:99" s="26" customFormat="1" ht="14.25" customHeight="1" x14ac:dyDescent="0.2">
      <c r="A6" s="29" t="s">
        <v>30</v>
      </c>
      <c r="B6" s="30">
        <f t="shared" si="0"/>
        <v>62319.747930563244</v>
      </c>
      <c r="C6" s="31">
        <f t="shared" si="0"/>
        <v>54660.65090989702</v>
      </c>
      <c r="D6" s="32">
        <f t="shared" si="0"/>
        <v>7659.0970206662241</v>
      </c>
      <c r="E6" s="30">
        <f t="shared" si="14"/>
        <v>20128.102236413626</v>
      </c>
      <c r="F6" s="33">
        <f t="shared" si="14"/>
        <v>17654.358471558393</v>
      </c>
      <c r="G6" s="34">
        <f t="shared" si="14"/>
        <v>2473.7437648552345</v>
      </c>
      <c r="H6" s="31">
        <f t="shared" si="1"/>
        <v>18990.259692314423</v>
      </c>
      <c r="I6" s="33">
        <f t="shared" si="1"/>
        <v>0</v>
      </c>
      <c r="J6" s="33">
        <f t="shared" si="1"/>
        <v>18990.259692314423</v>
      </c>
      <c r="K6" s="37">
        <f t="shared" si="15"/>
        <v>-5.6530045939489515E-2</v>
      </c>
      <c r="L6" s="36">
        <f>[1]SFI!$E6</f>
        <v>5032.0255591034065</v>
      </c>
      <c r="M6" s="31">
        <f t="shared" si="16"/>
        <v>4413.5896178895982</v>
      </c>
      <c r="N6" s="31">
        <f t="shared" si="17"/>
        <v>618.43594121380863</v>
      </c>
      <c r="O6" s="31">
        <f t="shared" si="18"/>
        <v>4944.8151849254446</v>
      </c>
      <c r="P6" s="31"/>
      <c r="Q6" s="33">
        <v>4944.8151849254446</v>
      </c>
      <c r="R6" s="37">
        <f t="shared" si="2"/>
        <v>-1.7331067410854106E-2</v>
      </c>
      <c r="S6" s="36">
        <f>[1]SFI!$F6</f>
        <v>5032.0255591034065</v>
      </c>
      <c r="T6" s="31">
        <f t="shared" si="19"/>
        <v>4413.5896178895982</v>
      </c>
      <c r="U6" s="31">
        <f t="shared" si="20"/>
        <v>618.43594121380863</v>
      </c>
      <c r="V6" s="31">
        <f t="shared" si="21"/>
        <v>4777.6996909162835</v>
      </c>
      <c r="W6" s="31"/>
      <c r="X6" s="148">
        <f>'[4]SÃO FRANCISCO'!X6*'[3]SF I'!$X$4</f>
        <v>4777.6996909162835</v>
      </c>
      <c r="Y6" s="37">
        <f t="shared" si="3"/>
        <v>-5.0541449998604215E-2</v>
      </c>
      <c r="Z6" s="36">
        <f>[1]SFI!$G6</f>
        <v>5032.0255591034065</v>
      </c>
      <c r="AA6" s="31">
        <f t="shared" si="22"/>
        <v>4413.5896178895982</v>
      </c>
      <c r="AB6" s="31">
        <f t="shared" si="23"/>
        <v>618.43594121380863</v>
      </c>
      <c r="AC6" s="31">
        <f t="shared" si="24"/>
        <v>4570.6732276421899</v>
      </c>
      <c r="AD6" s="31"/>
      <c r="AE6" s="27">
        <f>'[4]SÃO FRANCISCO'!AE6*'[2]SF I'!$X$4</f>
        <v>4570.6732276421899</v>
      </c>
      <c r="AF6" s="37">
        <f t="shared" si="4"/>
        <v>-9.1683224984139278E-2</v>
      </c>
      <c r="AG6" s="36">
        <f>[1]SFI!$H6</f>
        <v>5032.0255591034065</v>
      </c>
      <c r="AH6" s="31">
        <f t="shared" si="25"/>
        <v>4413.5896178895982</v>
      </c>
      <c r="AI6" s="31">
        <f t="shared" si="26"/>
        <v>618.43594121380863</v>
      </c>
      <c r="AJ6" s="31">
        <f t="shared" si="27"/>
        <v>4697.0715888305049</v>
      </c>
      <c r="AK6" s="31"/>
      <c r="AL6" s="33">
        <f>'[4]SÃO FRANCISCO'!AL6*'[2]SF I'!$X$4</f>
        <v>4697.0715888305049</v>
      </c>
      <c r="AM6" s="37">
        <f t="shared" si="5"/>
        <v>-6.656444136436046E-2</v>
      </c>
      <c r="AN6" s="36">
        <f>[1]SFI!$I6</f>
        <v>5032.0255591034065</v>
      </c>
      <c r="AO6" s="31">
        <f t="shared" si="28"/>
        <v>4413.5896178895982</v>
      </c>
      <c r="AP6" s="31">
        <f t="shared" si="29"/>
        <v>618.43594121380863</v>
      </c>
      <c r="AQ6" s="31">
        <f t="shared" si="30"/>
        <v>0</v>
      </c>
      <c r="AR6" s="31"/>
      <c r="AS6" s="33">
        <f>'[4]SÃO FRANCISCO'!AS6*'[3]SF I'!$X$4</f>
        <v>0</v>
      </c>
      <c r="AT6" s="37">
        <f t="shared" si="6"/>
        <v>-1</v>
      </c>
      <c r="AU6" s="36">
        <f>[1]SFI!$J6</f>
        <v>5032.0255591034065</v>
      </c>
      <c r="AV6" s="31">
        <f t="shared" si="31"/>
        <v>4413.5896178895982</v>
      </c>
      <c r="AW6" s="31">
        <f t="shared" si="32"/>
        <v>618.43594121380863</v>
      </c>
      <c r="AX6" s="31">
        <f t="shared" si="33"/>
        <v>0</v>
      </c>
      <c r="AY6" s="31"/>
      <c r="AZ6" s="27">
        <f>'[4]SÃO FRANCISCO'!AZ6*'[3]SF I'!$X$4</f>
        <v>0</v>
      </c>
      <c r="BA6" s="37">
        <f t="shared" si="7"/>
        <v>-1</v>
      </c>
      <c r="BB6" s="36">
        <f>[1]SFI!$K6</f>
        <v>5032.0255591034065</v>
      </c>
      <c r="BC6" s="31">
        <f t="shared" si="34"/>
        <v>4413.5896178895982</v>
      </c>
      <c r="BD6" s="31">
        <f t="shared" si="35"/>
        <v>618.43594121380863</v>
      </c>
      <c r="BE6" s="31">
        <f t="shared" si="36"/>
        <v>0</v>
      </c>
      <c r="BF6" s="31"/>
      <c r="BG6" s="33">
        <f>'[4]SÃO FRANCISCO'!BG6*'[3]SF I'!$X$4</f>
        <v>0</v>
      </c>
      <c r="BH6" s="37">
        <f t="shared" si="8"/>
        <v>-1</v>
      </c>
      <c r="BI6" s="36">
        <f>[1]SFI!$L6</f>
        <v>5419.1138033678808</v>
      </c>
      <c r="BJ6" s="31">
        <f t="shared" si="37"/>
        <v>4753.1047169339681</v>
      </c>
      <c r="BK6" s="31">
        <f t="shared" si="38"/>
        <v>666.00908643391256</v>
      </c>
      <c r="BL6" s="31">
        <f t="shared" si="39"/>
        <v>0</v>
      </c>
      <c r="BM6" s="31"/>
      <c r="BN6" s="33">
        <f>'[4]SÃO FRANCISCO'!BN6*'[3]SF I'!$X$4</f>
        <v>0</v>
      </c>
      <c r="BO6" s="37">
        <f t="shared" si="9"/>
        <v>-1</v>
      </c>
      <c r="BP6" s="36">
        <f>[1]SFI!$M6</f>
        <v>5419.1138033678808</v>
      </c>
      <c r="BQ6" s="31">
        <f t="shared" si="40"/>
        <v>4753.1047169339681</v>
      </c>
      <c r="BR6" s="31">
        <f t="shared" si="41"/>
        <v>666.00908643391256</v>
      </c>
      <c r="BS6" s="31">
        <f t="shared" si="42"/>
        <v>0</v>
      </c>
      <c r="BT6" s="31"/>
      <c r="BU6" s="33">
        <f>'[4]SÃO FRANCISCO'!BU6*'[3]SF I'!$X$4</f>
        <v>0</v>
      </c>
      <c r="BV6" s="37">
        <f t="shared" si="10"/>
        <v>-1</v>
      </c>
      <c r="BW6" s="36">
        <f>[1]SFI!$N6</f>
        <v>5419.1138033678808</v>
      </c>
      <c r="BX6" s="31">
        <f t="shared" si="43"/>
        <v>4753.1047169339681</v>
      </c>
      <c r="BY6" s="31">
        <f t="shared" si="44"/>
        <v>666.00908643391256</v>
      </c>
      <c r="BZ6" s="31">
        <f t="shared" si="45"/>
        <v>0</v>
      </c>
      <c r="CA6" s="31"/>
      <c r="CB6" s="33">
        <f>'[4]SÃO FRANCISCO'!CB6*'[3]SF I'!$X$4</f>
        <v>0</v>
      </c>
      <c r="CC6" s="37">
        <f t="shared" si="11"/>
        <v>-1</v>
      </c>
      <c r="CD6" s="36">
        <f>[1]SFI!$O6</f>
        <v>5419.1138033678808</v>
      </c>
      <c r="CE6" s="31">
        <f t="shared" si="46"/>
        <v>4753.1047169339681</v>
      </c>
      <c r="CF6" s="31">
        <f t="shared" si="47"/>
        <v>666.00908643391256</v>
      </c>
      <c r="CG6" s="31">
        <f t="shared" si="48"/>
        <v>0</v>
      </c>
      <c r="CH6" s="31"/>
      <c r="CI6" s="33">
        <f>'[4]SÃO FRANCISCO'!CI6*'[3]SF I'!$X$4</f>
        <v>0</v>
      </c>
      <c r="CJ6" s="37">
        <f t="shared" si="12"/>
        <v>-1</v>
      </c>
      <c r="CK6" s="36">
        <f>[1]SFI!$P6</f>
        <v>5419.1138033678808</v>
      </c>
      <c r="CL6" s="31">
        <f t="shared" si="49"/>
        <v>4753.1047169339681</v>
      </c>
      <c r="CM6" s="31">
        <f t="shared" si="50"/>
        <v>666.00908643391256</v>
      </c>
      <c r="CN6" s="31">
        <f t="shared" si="51"/>
        <v>0</v>
      </c>
      <c r="CO6" s="31"/>
      <c r="CP6" s="33">
        <f>'[4]SÃO FRANCISCO'!CP6*'[3]SF I'!$X$4</f>
        <v>0</v>
      </c>
      <c r="CQ6" s="37">
        <f t="shared" si="13"/>
        <v>-1</v>
      </c>
    </row>
    <row r="7" spans="1:99" s="26" customFormat="1" ht="14.25" customHeight="1" x14ac:dyDescent="0.2">
      <c r="A7" s="29" t="s">
        <v>31</v>
      </c>
      <c r="B7" s="30">
        <f t="shared" si="0"/>
        <v>42979.136503836715</v>
      </c>
      <c r="C7" s="31">
        <f t="shared" si="0"/>
        <v>37697.00062751519</v>
      </c>
      <c r="D7" s="32">
        <f t="shared" si="0"/>
        <v>5282.135876321533</v>
      </c>
      <c r="E7" s="30">
        <f t="shared" si="14"/>
        <v>13881.449818216293</v>
      </c>
      <c r="F7" s="33">
        <f t="shared" si="14"/>
        <v>12175.419635557511</v>
      </c>
      <c r="G7" s="34">
        <f t="shared" si="14"/>
        <v>1706.0301826587825</v>
      </c>
      <c r="H7" s="31">
        <f t="shared" si="1"/>
        <v>12734.554599691746</v>
      </c>
      <c r="I7" s="33">
        <f t="shared" si="1"/>
        <v>0</v>
      </c>
      <c r="J7" s="33">
        <f t="shared" si="1"/>
        <v>12734.554599691746</v>
      </c>
      <c r="K7" s="37">
        <f t="shared" si="15"/>
        <v>-8.2620708466597192E-2</v>
      </c>
      <c r="L7" s="36">
        <f>[1]SFI!$E7</f>
        <v>3470.3624545540733</v>
      </c>
      <c r="M7" s="31">
        <f t="shared" si="16"/>
        <v>3043.8549088893778</v>
      </c>
      <c r="N7" s="31">
        <f t="shared" si="17"/>
        <v>426.50754566469561</v>
      </c>
      <c r="O7" s="31">
        <f t="shared" si="18"/>
        <v>3319.5012668730333</v>
      </c>
      <c r="P7" s="31"/>
      <c r="Q7" s="33">
        <v>3319.5012668730333</v>
      </c>
      <c r="R7" s="37">
        <f t="shared" si="2"/>
        <v>-4.3471305852525122E-2</v>
      </c>
      <c r="S7" s="36">
        <f>[1]SFI!$F7</f>
        <v>3470.3624545540733</v>
      </c>
      <c r="T7" s="31">
        <f t="shared" si="19"/>
        <v>3043.8549088893778</v>
      </c>
      <c r="U7" s="31">
        <f t="shared" si="20"/>
        <v>426.50754566469561</v>
      </c>
      <c r="V7" s="31">
        <f t="shared" si="21"/>
        <v>3216.8783378063854</v>
      </c>
      <c r="W7" s="31"/>
      <c r="X7" s="148">
        <f>'[4]SÃO FRANCISCO'!X7*'[3]SF I'!$X$4</f>
        <v>3216.8783378063854</v>
      </c>
      <c r="Y7" s="37">
        <f t="shared" si="3"/>
        <v>-7.3042548168145038E-2</v>
      </c>
      <c r="Z7" s="36">
        <f>[1]SFI!$G7</f>
        <v>3470.3624545540733</v>
      </c>
      <c r="AA7" s="31">
        <f t="shared" si="22"/>
        <v>3043.8549088893778</v>
      </c>
      <c r="AB7" s="31">
        <f t="shared" si="23"/>
        <v>426.50754566469561</v>
      </c>
      <c r="AC7" s="31">
        <f t="shared" si="24"/>
        <v>3084.1545977999617</v>
      </c>
      <c r="AD7" s="31"/>
      <c r="AE7" s="27">
        <f>'[4]SÃO FRANCISCO'!AE7*'[2]SF I'!$X$4</f>
        <v>3084.1545977999617</v>
      </c>
      <c r="AF7" s="37">
        <f t="shared" si="4"/>
        <v>-0.11128746977057113</v>
      </c>
      <c r="AG7" s="36">
        <f>[1]SFI!$H7</f>
        <v>3470.3624545540733</v>
      </c>
      <c r="AH7" s="31">
        <f t="shared" si="25"/>
        <v>3043.8549088893778</v>
      </c>
      <c r="AI7" s="31">
        <f t="shared" si="26"/>
        <v>426.50754566469561</v>
      </c>
      <c r="AJ7" s="31">
        <f t="shared" si="27"/>
        <v>3114.0203972123654</v>
      </c>
      <c r="AK7" s="31"/>
      <c r="AL7" s="33">
        <f>'[4]SÃO FRANCISCO'!AL7*'[2]SF I'!$X$4</f>
        <v>3114.0203972123654</v>
      </c>
      <c r="AM7" s="37">
        <f t="shared" si="5"/>
        <v>-0.10268151007514759</v>
      </c>
      <c r="AN7" s="36">
        <f>[1]SFI!$I7</f>
        <v>3470.3624545540733</v>
      </c>
      <c r="AO7" s="31">
        <f t="shared" si="28"/>
        <v>3043.8549088893778</v>
      </c>
      <c r="AP7" s="31">
        <f t="shared" si="29"/>
        <v>426.50754566469561</v>
      </c>
      <c r="AQ7" s="31">
        <f t="shared" si="30"/>
        <v>0</v>
      </c>
      <c r="AR7" s="31"/>
      <c r="AS7" s="33">
        <f>'[4]SÃO FRANCISCO'!AS7*'[3]SF I'!$X$4</f>
        <v>0</v>
      </c>
      <c r="AT7" s="37">
        <f t="shared" si="6"/>
        <v>-1</v>
      </c>
      <c r="AU7" s="36">
        <f>[1]SFI!$J7</f>
        <v>3470.3624545540733</v>
      </c>
      <c r="AV7" s="31">
        <f t="shared" si="31"/>
        <v>3043.8549088893778</v>
      </c>
      <c r="AW7" s="31">
        <f t="shared" si="32"/>
        <v>426.50754566469561</v>
      </c>
      <c r="AX7" s="31">
        <f t="shared" si="33"/>
        <v>0</v>
      </c>
      <c r="AY7" s="31"/>
      <c r="AZ7" s="27">
        <f>'[4]SÃO FRANCISCO'!AZ7*'[3]SF I'!$X$4</f>
        <v>0</v>
      </c>
      <c r="BA7" s="37">
        <f t="shared" si="7"/>
        <v>-1</v>
      </c>
      <c r="BB7" s="36">
        <f>[1]SFI!$K7</f>
        <v>3470.3624545540733</v>
      </c>
      <c r="BC7" s="31">
        <f t="shared" si="34"/>
        <v>3043.8549088893778</v>
      </c>
      <c r="BD7" s="31">
        <f t="shared" si="35"/>
        <v>426.50754566469561</v>
      </c>
      <c r="BE7" s="31">
        <f t="shared" si="36"/>
        <v>0</v>
      </c>
      <c r="BF7" s="31"/>
      <c r="BG7" s="33">
        <f>'[4]SÃO FRANCISCO'!BG7*'[3]SF I'!$X$4</f>
        <v>0</v>
      </c>
      <c r="BH7" s="37">
        <f t="shared" si="8"/>
        <v>-1</v>
      </c>
      <c r="BI7" s="36">
        <f>[1]SFI!$L7</f>
        <v>3737.3198643916417</v>
      </c>
      <c r="BJ7" s="31">
        <f t="shared" si="37"/>
        <v>3278.0032530579088</v>
      </c>
      <c r="BK7" s="31">
        <f t="shared" si="38"/>
        <v>459.31661133373274</v>
      </c>
      <c r="BL7" s="31">
        <f t="shared" si="39"/>
        <v>0</v>
      </c>
      <c r="BM7" s="31"/>
      <c r="BN7" s="33">
        <f>'[4]SÃO FRANCISCO'!BN7*'[3]SF I'!$X$4</f>
        <v>0</v>
      </c>
      <c r="BO7" s="37">
        <f t="shared" si="9"/>
        <v>-1</v>
      </c>
      <c r="BP7" s="36">
        <f>[1]SFI!$M7</f>
        <v>3737.3198643916417</v>
      </c>
      <c r="BQ7" s="31">
        <f t="shared" si="40"/>
        <v>3278.0032530579088</v>
      </c>
      <c r="BR7" s="31">
        <f t="shared" si="41"/>
        <v>459.31661133373274</v>
      </c>
      <c r="BS7" s="31">
        <f t="shared" si="42"/>
        <v>0</v>
      </c>
      <c r="BT7" s="31"/>
      <c r="BU7" s="33">
        <f>'[4]SÃO FRANCISCO'!BU7*'[3]SF I'!$X$4</f>
        <v>0</v>
      </c>
      <c r="BV7" s="37">
        <f t="shared" si="10"/>
        <v>-1</v>
      </c>
      <c r="BW7" s="36">
        <f>[1]SFI!$N7</f>
        <v>3737.3198643916417</v>
      </c>
      <c r="BX7" s="31">
        <f t="shared" si="43"/>
        <v>3278.0032530579088</v>
      </c>
      <c r="BY7" s="31">
        <f t="shared" si="44"/>
        <v>459.31661133373274</v>
      </c>
      <c r="BZ7" s="31">
        <f t="shared" si="45"/>
        <v>0</v>
      </c>
      <c r="CA7" s="31"/>
      <c r="CB7" s="33">
        <f>'[4]SÃO FRANCISCO'!CB7*'[3]SF I'!$X$4</f>
        <v>0</v>
      </c>
      <c r="CC7" s="37">
        <f t="shared" si="11"/>
        <v>-1</v>
      </c>
      <c r="CD7" s="36">
        <f>[1]SFI!$O7</f>
        <v>3737.3198643916417</v>
      </c>
      <c r="CE7" s="31">
        <f t="shared" si="46"/>
        <v>3278.0032530579088</v>
      </c>
      <c r="CF7" s="31">
        <f t="shared" si="47"/>
        <v>459.31661133373274</v>
      </c>
      <c r="CG7" s="31">
        <f t="shared" si="48"/>
        <v>0</v>
      </c>
      <c r="CH7" s="31"/>
      <c r="CI7" s="33">
        <f>'[4]SÃO FRANCISCO'!CI7*'[3]SF I'!$X$4</f>
        <v>0</v>
      </c>
      <c r="CJ7" s="37">
        <f t="shared" si="12"/>
        <v>-1</v>
      </c>
      <c r="CK7" s="36">
        <f>[1]SFI!$P7</f>
        <v>3737.3198643916417</v>
      </c>
      <c r="CL7" s="31">
        <f t="shared" si="49"/>
        <v>3278.0032530579088</v>
      </c>
      <c r="CM7" s="31">
        <f t="shared" si="50"/>
        <v>459.31661133373274</v>
      </c>
      <c r="CN7" s="31">
        <f t="shared" si="51"/>
        <v>0</v>
      </c>
      <c r="CO7" s="31"/>
      <c r="CP7" s="33">
        <f>'[4]SÃO FRANCISCO'!CP7*'[3]SF I'!$X$4</f>
        <v>0</v>
      </c>
      <c r="CQ7" s="37">
        <f t="shared" si="13"/>
        <v>-1</v>
      </c>
    </row>
    <row r="8" spans="1:99" s="26" customFormat="1" ht="14.25" customHeight="1" x14ac:dyDescent="0.2">
      <c r="A8" s="38" t="s">
        <v>32</v>
      </c>
      <c r="B8" s="30">
        <f t="shared" si="0"/>
        <v>48544.951072613796</v>
      </c>
      <c r="C8" s="31">
        <f t="shared" si="0"/>
        <v>42578.776585789557</v>
      </c>
      <c r="D8" s="32">
        <f t="shared" si="0"/>
        <v>5966.1744868242349</v>
      </c>
      <c r="E8" s="30">
        <f t="shared" si="14"/>
        <v>0</v>
      </c>
      <c r="F8" s="33">
        <f t="shared" si="14"/>
        <v>0</v>
      </c>
      <c r="G8" s="34">
        <f t="shared" si="14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15"/>
        <v/>
      </c>
      <c r="L8" s="36">
        <f>[1]SFI!$E8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/>
      <c r="Q8" s="33">
        <v>0</v>
      </c>
      <c r="R8" s="37" t="str">
        <f t="shared" si="2"/>
        <v/>
      </c>
      <c r="S8" s="36">
        <f>[1]SFI!$F8</f>
        <v>0</v>
      </c>
      <c r="T8" s="31">
        <f t="shared" si="19"/>
        <v>0</v>
      </c>
      <c r="U8" s="31">
        <f t="shared" si="20"/>
        <v>0</v>
      </c>
      <c r="V8" s="31">
        <f t="shared" si="21"/>
        <v>0</v>
      </c>
      <c r="W8" s="31"/>
      <c r="X8" s="148">
        <f>'[4]SÃO FRANCISCO'!X8*'[3]SF I'!$X$4</f>
        <v>0</v>
      </c>
      <c r="Y8" s="37" t="str">
        <f t="shared" si="3"/>
        <v/>
      </c>
      <c r="Z8" s="36">
        <f>[1]SFI!$G8</f>
        <v>0</v>
      </c>
      <c r="AA8" s="31">
        <f t="shared" si="22"/>
        <v>0</v>
      </c>
      <c r="AB8" s="31">
        <f t="shared" si="23"/>
        <v>0</v>
      </c>
      <c r="AC8" s="31">
        <f t="shared" si="24"/>
        <v>0</v>
      </c>
      <c r="AD8" s="31"/>
      <c r="AE8" s="27">
        <f>'[4]SÃO FRANCISCO'!AE8*'[2]SF I'!$X$4</f>
        <v>0</v>
      </c>
      <c r="AF8" s="37" t="str">
        <f t="shared" si="4"/>
        <v/>
      </c>
      <c r="AG8" s="36">
        <f>[1]SFI!$H8</f>
        <v>0</v>
      </c>
      <c r="AH8" s="31">
        <f t="shared" si="25"/>
        <v>0</v>
      </c>
      <c r="AI8" s="31">
        <f t="shared" si="26"/>
        <v>0</v>
      </c>
      <c r="AJ8" s="31">
        <f t="shared" si="27"/>
        <v>0</v>
      </c>
      <c r="AK8" s="31"/>
      <c r="AL8" s="33">
        <f>'[4]SÃO FRANCISCO'!AL8*'[2]SF I'!$X$4</f>
        <v>0</v>
      </c>
      <c r="AM8" s="37" t="str">
        <f t="shared" si="5"/>
        <v/>
      </c>
      <c r="AN8" s="36">
        <f>[1]SFI!$I8</f>
        <v>0</v>
      </c>
      <c r="AO8" s="31">
        <f t="shared" si="28"/>
        <v>0</v>
      </c>
      <c r="AP8" s="31">
        <f t="shared" si="29"/>
        <v>0</v>
      </c>
      <c r="AQ8" s="31">
        <f t="shared" si="30"/>
        <v>0</v>
      </c>
      <c r="AR8" s="31"/>
      <c r="AS8" s="33">
        <f>'[4]SÃO FRANCISCO'!AS8*'[3]SF I'!$X$4</f>
        <v>0</v>
      </c>
      <c r="AT8" s="37" t="str">
        <f t="shared" si="6"/>
        <v/>
      </c>
      <c r="AU8" s="36">
        <f>[1]SFI!$J8</f>
        <v>0</v>
      </c>
      <c r="AV8" s="31">
        <f t="shared" si="31"/>
        <v>0</v>
      </c>
      <c r="AW8" s="31">
        <f t="shared" si="32"/>
        <v>0</v>
      </c>
      <c r="AX8" s="31">
        <f t="shared" si="33"/>
        <v>0</v>
      </c>
      <c r="AY8" s="31"/>
      <c r="AZ8" s="27">
        <f>'[4]SÃO FRANCISCO'!AZ8*'[3]SF I'!$X$4</f>
        <v>0</v>
      </c>
      <c r="BA8" s="37" t="str">
        <f t="shared" si="7"/>
        <v/>
      </c>
      <c r="BB8" s="36">
        <f>[1]SFI!$K8</f>
        <v>48544.951072613796</v>
      </c>
      <c r="BC8" s="31">
        <f t="shared" si="34"/>
        <v>42578.776585789557</v>
      </c>
      <c r="BD8" s="31">
        <f t="shared" si="35"/>
        <v>5966.1744868242349</v>
      </c>
      <c r="BE8" s="31">
        <f t="shared" si="36"/>
        <v>0</v>
      </c>
      <c r="BF8" s="31"/>
      <c r="BG8" s="33">
        <f>'[4]SÃO FRANCISCO'!BG8*'[3]SF I'!$X$4</f>
        <v>0</v>
      </c>
      <c r="BH8" s="37">
        <f t="shared" si="8"/>
        <v>-1</v>
      </c>
      <c r="BI8" s="36">
        <f>[1]SFI!$L8</f>
        <v>0</v>
      </c>
      <c r="BJ8" s="31">
        <f t="shared" si="37"/>
        <v>0</v>
      </c>
      <c r="BK8" s="31">
        <f t="shared" si="38"/>
        <v>0</v>
      </c>
      <c r="BL8" s="31">
        <f t="shared" si="39"/>
        <v>0</v>
      </c>
      <c r="BM8" s="31"/>
      <c r="BN8" s="33">
        <f>'[4]SÃO FRANCISCO'!BN8*'[3]SF I'!$X$4</f>
        <v>0</v>
      </c>
      <c r="BO8" s="37" t="str">
        <f t="shared" si="9"/>
        <v/>
      </c>
      <c r="BP8" s="36">
        <f>[1]SFI!$M8</f>
        <v>0</v>
      </c>
      <c r="BQ8" s="31">
        <f t="shared" si="40"/>
        <v>0</v>
      </c>
      <c r="BR8" s="31">
        <f t="shared" si="41"/>
        <v>0</v>
      </c>
      <c r="BS8" s="31">
        <f t="shared" si="42"/>
        <v>0</v>
      </c>
      <c r="BT8" s="31"/>
      <c r="BU8" s="33">
        <f>'[4]SÃO FRANCISCO'!BU8*'[3]SF I'!$X$4</f>
        <v>0</v>
      </c>
      <c r="BV8" s="37" t="str">
        <f t="shared" si="10"/>
        <v/>
      </c>
      <c r="BW8" s="36">
        <f>[1]SFI!$N8</f>
        <v>0</v>
      </c>
      <c r="BX8" s="31">
        <f t="shared" si="43"/>
        <v>0</v>
      </c>
      <c r="BY8" s="31">
        <f t="shared" si="44"/>
        <v>0</v>
      </c>
      <c r="BZ8" s="31">
        <f t="shared" si="45"/>
        <v>0</v>
      </c>
      <c r="CA8" s="31"/>
      <c r="CB8" s="33">
        <f>'[4]SÃO FRANCISCO'!CB8*'[3]SF I'!$X$4</f>
        <v>0</v>
      </c>
      <c r="CC8" s="37" t="str">
        <f t="shared" si="11"/>
        <v/>
      </c>
      <c r="CD8" s="36">
        <f>[1]SFI!$O8</f>
        <v>0</v>
      </c>
      <c r="CE8" s="31">
        <f t="shared" si="46"/>
        <v>0</v>
      </c>
      <c r="CF8" s="31">
        <f t="shared" si="47"/>
        <v>0</v>
      </c>
      <c r="CG8" s="31">
        <f t="shared" si="48"/>
        <v>0</v>
      </c>
      <c r="CH8" s="31"/>
      <c r="CI8" s="33">
        <f>'[4]SÃO FRANCISCO'!CI8*'[3]SF I'!$X$4</f>
        <v>0</v>
      </c>
      <c r="CJ8" s="37" t="str">
        <f t="shared" si="12"/>
        <v/>
      </c>
      <c r="CK8" s="36">
        <f>[1]SFI!$P8</f>
        <v>0</v>
      </c>
      <c r="CL8" s="31">
        <f t="shared" si="49"/>
        <v>0</v>
      </c>
      <c r="CM8" s="31">
        <f t="shared" si="50"/>
        <v>0</v>
      </c>
      <c r="CN8" s="31">
        <f t="shared" si="51"/>
        <v>0</v>
      </c>
      <c r="CO8" s="31"/>
      <c r="CP8" s="33">
        <f>'[4]SÃO FRANCISCO'!CP8*'[3]SF I'!$X$4</f>
        <v>0</v>
      </c>
      <c r="CQ8" s="37" t="str">
        <f t="shared" si="13"/>
        <v/>
      </c>
    </row>
    <row r="9" spans="1:99" s="26" customFormat="1" ht="14.25" customHeight="1" x14ac:dyDescent="0.2">
      <c r="A9" s="38" t="s">
        <v>33</v>
      </c>
      <c r="B9" s="30">
        <f t="shared" si="0"/>
        <v>71990.053643926512</v>
      </c>
      <c r="C9" s="31">
        <f t="shared" si="0"/>
        <v>63142.47605108795</v>
      </c>
      <c r="D9" s="32">
        <f t="shared" si="0"/>
        <v>8847.5775928385665</v>
      </c>
      <c r="E9" s="30">
        <f t="shared" si="14"/>
        <v>23251.428445512291</v>
      </c>
      <c r="F9" s="33">
        <f t="shared" si="14"/>
        <v>20393.82788955883</v>
      </c>
      <c r="G9" s="34">
        <f t="shared" si="14"/>
        <v>2857.6005559534606</v>
      </c>
      <c r="H9" s="31">
        <f t="shared" si="1"/>
        <v>5096.4077707040469</v>
      </c>
      <c r="I9" s="33">
        <f t="shared" si="1"/>
        <v>0</v>
      </c>
      <c r="J9" s="33">
        <f t="shared" si="1"/>
        <v>5096.4077707040469</v>
      </c>
      <c r="K9" s="37">
        <f t="shared" si="15"/>
        <v>-0.78081313229219285</v>
      </c>
      <c r="L9" s="36">
        <f>[1]SFI!$E9</f>
        <v>5812.8571113780727</v>
      </c>
      <c r="M9" s="31">
        <f t="shared" si="16"/>
        <v>5098.4569723897075</v>
      </c>
      <c r="N9" s="31">
        <f t="shared" si="17"/>
        <v>714.40013898836514</v>
      </c>
      <c r="O9" s="31">
        <f t="shared" si="18"/>
        <v>0</v>
      </c>
      <c r="P9" s="31"/>
      <c r="Q9" s="33">
        <v>0</v>
      </c>
      <c r="R9" s="37">
        <f t="shared" si="2"/>
        <v>-1</v>
      </c>
      <c r="S9" s="36">
        <f>[1]SFI!$F9</f>
        <v>5812.8571113780727</v>
      </c>
      <c r="T9" s="31">
        <f t="shared" si="19"/>
        <v>5098.4569723897075</v>
      </c>
      <c r="U9" s="31">
        <f t="shared" si="20"/>
        <v>714.40013898836514</v>
      </c>
      <c r="V9" s="31">
        <f t="shared" si="21"/>
        <v>4756.643915526799</v>
      </c>
      <c r="W9" s="31"/>
      <c r="X9" s="148">
        <f>'[4]SÃO FRANCISCO'!X9*'[3]SF I'!$X$4</f>
        <v>4756.643915526799</v>
      </c>
      <c r="Y9" s="37">
        <f t="shared" si="3"/>
        <v>-0.18170293465219445</v>
      </c>
      <c r="Z9" s="36">
        <f>[1]SFI!$G9</f>
        <v>5812.8571113780727</v>
      </c>
      <c r="AA9" s="31">
        <f t="shared" si="22"/>
        <v>5098.4569723897075</v>
      </c>
      <c r="AB9" s="31">
        <f t="shared" si="23"/>
        <v>714.40013898836514</v>
      </c>
      <c r="AC9" s="31">
        <f t="shared" si="24"/>
        <v>339.76385517724816</v>
      </c>
      <c r="AD9" s="31"/>
      <c r="AE9" s="27">
        <f>'[4]SÃO FRANCISCO'!AE9*'[2]SF I'!$X$4</f>
        <v>339.76385517724816</v>
      </c>
      <c r="AF9" s="37">
        <f t="shared" si="4"/>
        <v>-0.94154959451657683</v>
      </c>
      <c r="AG9" s="36">
        <f>[1]SFI!$H9</f>
        <v>5812.8571113780727</v>
      </c>
      <c r="AH9" s="31">
        <f t="shared" si="25"/>
        <v>5098.4569723897075</v>
      </c>
      <c r="AI9" s="31">
        <f t="shared" si="26"/>
        <v>714.40013898836514</v>
      </c>
      <c r="AJ9" s="31">
        <f t="shared" si="27"/>
        <v>0</v>
      </c>
      <c r="AK9" s="31"/>
      <c r="AL9" s="33">
        <f>'[4]SÃO FRANCISCO'!AL9*'[2]SF I'!$X$4</f>
        <v>0</v>
      </c>
      <c r="AM9" s="37">
        <f t="shared" si="5"/>
        <v>-1</v>
      </c>
      <c r="AN9" s="36">
        <f>[1]SFI!$I9</f>
        <v>5812.8571113780727</v>
      </c>
      <c r="AO9" s="31">
        <f t="shared" si="28"/>
        <v>5098.4569723897075</v>
      </c>
      <c r="AP9" s="31">
        <f t="shared" si="29"/>
        <v>714.40013898836514</v>
      </c>
      <c r="AQ9" s="31">
        <f t="shared" si="30"/>
        <v>0</v>
      </c>
      <c r="AR9" s="31"/>
      <c r="AS9" s="33">
        <f>'[4]SÃO FRANCISCO'!AS9*'[3]SF I'!$X$4</f>
        <v>0</v>
      </c>
      <c r="AT9" s="37">
        <f t="shared" si="6"/>
        <v>-1</v>
      </c>
      <c r="AU9" s="36">
        <f>[1]SFI!$J9</f>
        <v>5812.8571113780727</v>
      </c>
      <c r="AV9" s="31">
        <f t="shared" si="31"/>
        <v>5098.4569723897075</v>
      </c>
      <c r="AW9" s="31">
        <f t="shared" si="32"/>
        <v>714.40013898836514</v>
      </c>
      <c r="AX9" s="31">
        <f t="shared" si="33"/>
        <v>0</v>
      </c>
      <c r="AY9" s="31"/>
      <c r="AZ9" s="27">
        <f>'[4]SÃO FRANCISCO'!AZ9*'[3]SF I'!$X$4</f>
        <v>0</v>
      </c>
      <c r="BA9" s="37">
        <f t="shared" si="7"/>
        <v>-1</v>
      </c>
      <c r="BB9" s="36">
        <f>[1]SFI!$K9</f>
        <v>5812.8571113780727</v>
      </c>
      <c r="BC9" s="31">
        <f t="shared" si="34"/>
        <v>5098.4569723897075</v>
      </c>
      <c r="BD9" s="31">
        <f t="shared" si="35"/>
        <v>714.40013898836514</v>
      </c>
      <c r="BE9" s="31">
        <f t="shared" si="36"/>
        <v>0</v>
      </c>
      <c r="BF9" s="31"/>
      <c r="BG9" s="33">
        <f>'[4]SÃO FRANCISCO'!BG9*'[3]SF I'!$X$4</f>
        <v>0</v>
      </c>
      <c r="BH9" s="37">
        <f t="shared" si="8"/>
        <v>-1</v>
      </c>
      <c r="BI9" s="36">
        <f>[1]SFI!$L9</f>
        <v>6260.0107728560006</v>
      </c>
      <c r="BJ9" s="31">
        <f t="shared" si="37"/>
        <v>5490.6554488719985</v>
      </c>
      <c r="BK9" s="31">
        <f t="shared" si="38"/>
        <v>769.35532398400244</v>
      </c>
      <c r="BL9" s="31">
        <f t="shared" si="39"/>
        <v>0</v>
      </c>
      <c r="BM9" s="31"/>
      <c r="BN9" s="33">
        <f>'[4]SÃO FRANCISCO'!BN9*'[3]SF I'!$X$4</f>
        <v>0</v>
      </c>
      <c r="BO9" s="37">
        <f t="shared" si="9"/>
        <v>-1</v>
      </c>
      <c r="BP9" s="36">
        <f>[1]SFI!$M9</f>
        <v>6260.0107728560006</v>
      </c>
      <c r="BQ9" s="31">
        <f t="shared" si="40"/>
        <v>5490.6554488719985</v>
      </c>
      <c r="BR9" s="31">
        <f t="shared" si="41"/>
        <v>769.35532398400244</v>
      </c>
      <c r="BS9" s="31">
        <f t="shared" si="42"/>
        <v>0</v>
      </c>
      <c r="BT9" s="31"/>
      <c r="BU9" s="33">
        <f>'[4]SÃO FRANCISCO'!BU9*'[3]SF I'!$X$4</f>
        <v>0</v>
      </c>
      <c r="BV9" s="37">
        <f t="shared" si="10"/>
        <v>-1</v>
      </c>
      <c r="BW9" s="36">
        <f>[1]SFI!$N9</f>
        <v>6260.0107728560006</v>
      </c>
      <c r="BX9" s="31">
        <f t="shared" si="43"/>
        <v>5490.6554488719985</v>
      </c>
      <c r="BY9" s="31">
        <f t="shared" si="44"/>
        <v>769.35532398400244</v>
      </c>
      <c r="BZ9" s="31">
        <f t="shared" si="45"/>
        <v>0</v>
      </c>
      <c r="CA9" s="31"/>
      <c r="CB9" s="33">
        <f>'[4]SÃO FRANCISCO'!CB9*'[3]SF I'!$X$4</f>
        <v>0</v>
      </c>
      <c r="CC9" s="37">
        <f t="shared" si="11"/>
        <v>-1</v>
      </c>
      <c r="CD9" s="36">
        <f>[1]SFI!$O9</f>
        <v>6260.0107728560006</v>
      </c>
      <c r="CE9" s="31">
        <f t="shared" si="46"/>
        <v>5490.6554488719985</v>
      </c>
      <c r="CF9" s="31">
        <f t="shared" si="47"/>
        <v>769.35532398400244</v>
      </c>
      <c r="CG9" s="31">
        <f t="shared" si="48"/>
        <v>0</v>
      </c>
      <c r="CH9" s="31"/>
      <c r="CI9" s="33">
        <f>'[4]SÃO FRANCISCO'!CI9*'[3]SF I'!$X$4</f>
        <v>0</v>
      </c>
      <c r="CJ9" s="37">
        <f t="shared" si="12"/>
        <v>-1</v>
      </c>
      <c r="CK9" s="36">
        <f>[1]SFI!$P9</f>
        <v>6260.0107728560006</v>
      </c>
      <c r="CL9" s="31">
        <f t="shared" si="49"/>
        <v>5490.6554488719985</v>
      </c>
      <c r="CM9" s="31">
        <f t="shared" si="50"/>
        <v>769.35532398400244</v>
      </c>
      <c r="CN9" s="31">
        <f t="shared" si="51"/>
        <v>0</v>
      </c>
      <c r="CO9" s="31"/>
      <c r="CP9" s="33">
        <f>'[4]SÃO FRANCISCO'!CP9*'[3]SF I'!$X$4</f>
        <v>0</v>
      </c>
      <c r="CQ9" s="37">
        <f t="shared" si="13"/>
        <v>-1</v>
      </c>
    </row>
    <row r="10" spans="1:99" s="26" customFormat="1" ht="14.25" customHeight="1" x14ac:dyDescent="0.2">
      <c r="A10" s="38" t="s">
        <v>34</v>
      </c>
      <c r="B10" s="30">
        <f t="shared" si="0"/>
        <v>21009.685974555101</v>
      </c>
      <c r="C10" s="31">
        <f t="shared" si="0"/>
        <v>18427.595568282279</v>
      </c>
      <c r="D10" s="32">
        <f t="shared" si="0"/>
        <v>2582.0904062728218</v>
      </c>
      <c r="E10" s="30">
        <f t="shared" si="14"/>
        <v>7003.2286581850331</v>
      </c>
      <c r="F10" s="33">
        <f t="shared" si="14"/>
        <v>6142.5318560940923</v>
      </c>
      <c r="G10" s="34">
        <f t="shared" si="14"/>
        <v>860.69680209094054</v>
      </c>
      <c r="H10" s="31">
        <f t="shared" si="1"/>
        <v>1195.6877231765709</v>
      </c>
      <c r="I10" s="33">
        <f t="shared" si="1"/>
        <v>0</v>
      </c>
      <c r="J10" s="33">
        <f t="shared" si="1"/>
        <v>1195.6877231765709</v>
      </c>
      <c r="K10" s="37">
        <f t="shared" si="15"/>
        <v>-0.82926621683570056</v>
      </c>
      <c r="L10" s="36">
        <f>[1]SFI!$E10</f>
        <v>1750.8071645462583</v>
      </c>
      <c r="M10" s="31">
        <f t="shared" si="16"/>
        <v>1535.6329640235231</v>
      </c>
      <c r="N10" s="31">
        <f t="shared" si="17"/>
        <v>215.17420052273513</v>
      </c>
      <c r="O10" s="31">
        <f t="shared" si="18"/>
        <v>0</v>
      </c>
      <c r="P10" s="31"/>
      <c r="Q10" s="33">
        <v>0</v>
      </c>
      <c r="R10" s="37">
        <f t="shared" si="2"/>
        <v>-1</v>
      </c>
      <c r="S10" s="36">
        <f>[1]SFI!$F10</f>
        <v>1750.8071645462583</v>
      </c>
      <c r="T10" s="31">
        <f t="shared" si="19"/>
        <v>1535.6329640235231</v>
      </c>
      <c r="U10" s="31">
        <f t="shared" si="20"/>
        <v>215.17420052273513</v>
      </c>
      <c r="V10" s="31">
        <f t="shared" si="21"/>
        <v>0</v>
      </c>
      <c r="W10" s="31"/>
      <c r="X10" s="148">
        <f>'[4]SÃO FRANCISCO'!X10*'[3]SF I'!$X$4</f>
        <v>0</v>
      </c>
      <c r="Y10" s="37">
        <f t="shared" si="3"/>
        <v>-1</v>
      </c>
      <c r="Z10" s="36">
        <f>[1]SFI!$G10</f>
        <v>1750.8071645462583</v>
      </c>
      <c r="AA10" s="31">
        <f t="shared" si="22"/>
        <v>1535.6329640235231</v>
      </c>
      <c r="AB10" s="31">
        <f t="shared" si="23"/>
        <v>215.17420052273513</v>
      </c>
      <c r="AC10" s="31">
        <f t="shared" si="24"/>
        <v>0</v>
      </c>
      <c r="AD10" s="31"/>
      <c r="AE10" s="27">
        <f>'[4]SÃO FRANCISCO'!AE10*'[2]SF I'!$X$4</f>
        <v>0</v>
      </c>
      <c r="AF10" s="37">
        <f t="shared" si="4"/>
        <v>-1</v>
      </c>
      <c r="AG10" s="36">
        <f>[1]SFI!$H10</f>
        <v>1750.8071645462583</v>
      </c>
      <c r="AH10" s="31">
        <f t="shared" si="25"/>
        <v>1535.6329640235231</v>
      </c>
      <c r="AI10" s="31">
        <f t="shared" si="26"/>
        <v>215.17420052273513</v>
      </c>
      <c r="AJ10" s="31">
        <f t="shared" si="27"/>
        <v>1195.6877231765709</v>
      </c>
      <c r="AK10" s="31"/>
      <c r="AL10" s="33">
        <f>'[4]SÃO FRANCISCO'!AL10*'[3]SF I'!$X$4</f>
        <v>1195.6877231765709</v>
      </c>
      <c r="AM10" s="37">
        <f t="shared" si="5"/>
        <v>-0.31706486734280237</v>
      </c>
      <c r="AN10" s="36">
        <f>[1]SFI!$I10</f>
        <v>1750.8071645462583</v>
      </c>
      <c r="AO10" s="31">
        <f t="shared" si="28"/>
        <v>1535.6329640235231</v>
      </c>
      <c r="AP10" s="31">
        <f t="shared" si="29"/>
        <v>215.17420052273513</v>
      </c>
      <c r="AQ10" s="31">
        <f t="shared" si="30"/>
        <v>0</v>
      </c>
      <c r="AR10" s="31"/>
      <c r="AS10" s="33">
        <f>'[4]SÃO FRANCISCO'!AS10*'[3]SF I'!$X$4</f>
        <v>0</v>
      </c>
      <c r="AT10" s="37">
        <f t="shared" si="6"/>
        <v>-1</v>
      </c>
      <c r="AU10" s="36">
        <f>[1]SFI!$J10</f>
        <v>1750.8071645462583</v>
      </c>
      <c r="AV10" s="31">
        <f t="shared" si="31"/>
        <v>1535.6329640235231</v>
      </c>
      <c r="AW10" s="31">
        <f t="shared" si="32"/>
        <v>215.17420052273513</v>
      </c>
      <c r="AX10" s="31">
        <f t="shared" si="33"/>
        <v>0</v>
      </c>
      <c r="AY10" s="31"/>
      <c r="AZ10" s="27">
        <f>'[4]SÃO FRANCISCO'!AZ10*'[3]SF I'!$X$4</f>
        <v>0</v>
      </c>
      <c r="BA10" s="37">
        <f t="shared" si="7"/>
        <v>-1</v>
      </c>
      <c r="BB10" s="36">
        <f>[1]SFI!$K10</f>
        <v>1750.8071645462583</v>
      </c>
      <c r="BC10" s="31">
        <f t="shared" si="34"/>
        <v>1535.6329640235231</v>
      </c>
      <c r="BD10" s="31">
        <f t="shared" si="35"/>
        <v>215.17420052273513</v>
      </c>
      <c r="BE10" s="31">
        <f t="shared" si="36"/>
        <v>0</v>
      </c>
      <c r="BF10" s="31"/>
      <c r="BG10" s="27">
        <f>'[4]SÃO FRANCISCO'!BG10*'[3]SF I'!$X$4</f>
        <v>0</v>
      </c>
      <c r="BH10" s="37">
        <f t="shared" si="8"/>
        <v>-1</v>
      </c>
      <c r="BI10" s="36">
        <f>[1]SFI!$L10</f>
        <v>1750.8071645462583</v>
      </c>
      <c r="BJ10" s="31">
        <f t="shared" si="37"/>
        <v>1535.6329640235231</v>
      </c>
      <c r="BK10" s="31">
        <f t="shared" si="38"/>
        <v>215.17420052273513</v>
      </c>
      <c r="BL10" s="31">
        <f t="shared" si="39"/>
        <v>0</v>
      </c>
      <c r="BM10" s="31"/>
      <c r="BN10" s="33">
        <f>'[4]SÃO FRANCISCO'!BN10*'[3]SF I'!$X$4</f>
        <v>0</v>
      </c>
      <c r="BO10" s="37">
        <f t="shared" si="9"/>
        <v>-1</v>
      </c>
      <c r="BP10" s="36">
        <f>[1]SFI!$M10</f>
        <v>1750.8071645462583</v>
      </c>
      <c r="BQ10" s="31">
        <f t="shared" si="40"/>
        <v>1535.6329640235231</v>
      </c>
      <c r="BR10" s="31">
        <f t="shared" si="41"/>
        <v>215.17420052273513</v>
      </c>
      <c r="BS10" s="31">
        <f t="shared" si="42"/>
        <v>0</v>
      </c>
      <c r="BT10" s="31"/>
      <c r="BU10" s="33">
        <f>'[4]SÃO FRANCISCO'!BU10*'[3]SF I'!$X$4</f>
        <v>0</v>
      </c>
      <c r="BV10" s="37">
        <f t="shared" si="10"/>
        <v>-1</v>
      </c>
      <c r="BW10" s="36">
        <f>[1]SFI!$N10</f>
        <v>1750.8071645462583</v>
      </c>
      <c r="BX10" s="31">
        <f t="shared" si="43"/>
        <v>1535.6329640235231</v>
      </c>
      <c r="BY10" s="31">
        <f t="shared" si="44"/>
        <v>215.17420052273513</v>
      </c>
      <c r="BZ10" s="31">
        <f t="shared" si="45"/>
        <v>0</v>
      </c>
      <c r="CA10" s="31"/>
      <c r="CB10" s="33">
        <f>'[4]SÃO FRANCISCO'!CB10*'[3]SF I'!$X$4</f>
        <v>0</v>
      </c>
      <c r="CC10" s="37">
        <f t="shared" si="11"/>
        <v>-1</v>
      </c>
      <c r="CD10" s="36">
        <f>[1]SFI!$O10</f>
        <v>1750.8071645462583</v>
      </c>
      <c r="CE10" s="31">
        <f t="shared" si="46"/>
        <v>1535.6329640235231</v>
      </c>
      <c r="CF10" s="31">
        <f t="shared" si="47"/>
        <v>215.17420052273513</v>
      </c>
      <c r="CG10" s="31">
        <f t="shared" si="48"/>
        <v>0</v>
      </c>
      <c r="CH10" s="31"/>
      <c r="CI10" s="33">
        <f>'[4]SÃO FRANCISCO'!CI10*'[3]SF I'!$X$4</f>
        <v>0</v>
      </c>
      <c r="CJ10" s="37">
        <f t="shared" si="12"/>
        <v>-1</v>
      </c>
      <c r="CK10" s="36">
        <f>[1]SFI!$P10</f>
        <v>1750.8071645462583</v>
      </c>
      <c r="CL10" s="31">
        <f t="shared" si="49"/>
        <v>1535.6329640235231</v>
      </c>
      <c r="CM10" s="31">
        <f t="shared" si="50"/>
        <v>215.17420052273513</v>
      </c>
      <c r="CN10" s="31">
        <f t="shared" si="51"/>
        <v>0</v>
      </c>
      <c r="CO10" s="31"/>
      <c r="CP10" s="33">
        <f>'[4]SÃO FRANCISCO'!CP10*'[3]SF I'!$X$4</f>
        <v>0</v>
      </c>
      <c r="CQ10" s="37">
        <f t="shared" si="13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4"/>
        <v>0</v>
      </c>
      <c r="F11" s="33">
        <f t="shared" si="14"/>
        <v>0</v>
      </c>
      <c r="G11" s="34">
        <f t="shared" si="14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15"/>
        <v/>
      </c>
      <c r="L11" s="36">
        <f>[1]SFI!$E11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/>
      <c r="Q11" s="33">
        <v>0</v>
      </c>
      <c r="R11" s="37" t="str">
        <f t="shared" si="2"/>
        <v/>
      </c>
      <c r="S11" s="36">
        <f>[1]SFI!$F11</f>
        <v>0</v>
      </c>
      <c r="T11" s="31">
        <f t="shared" si="19"/>
        <v>0</v>
      </c>
      <c r="U11" s="31">
        <f t="shared" si="20"/>
        <v>0</v>
      </c>
      <c r="V11" s="31">
        <f t="shared" si="21"/>
        <v>0</v>
      </c>
      <c r="W11" s="31"/>
      <c r="X11" s="148">
        <f>'[4]SÃO FRANCISCO'!X11*'[3]SF I'!$X$4</f>
        <v>0</v>
      </c>
      <c r="Y11" s="37" t="str">
        <f t="shared" si="3"/>
        <v/>
      </c>
      <c r="Z11" s="36">
        <f>[1]SFI!$G11</f>
        <v>0</v>
      </c>
      <c r="AA11" s="31">
        <f t="shared" si="22"/>
        <v>0</v>
      </c>
      <c r="AB11" s="31">
        <f t="shared" si="23"/>
        <v>0</v>
      </c>
      <c r="AC11" s="31">
        <f t="shared" si="24"/>
        <v>0</v>
      </c>
      <c r="AD11" s="31"/>
      <c r="AE11" s="27">
        <f>'[4]SÃO FRANCISCO'!AE11*'[2]SF I'!$X$4</f>
        <v>0</v>
      </c>
      <c r="AF11" s="37" t="str">
        <f t="shared" si="4"/>
        <v/>
      </c>
      <c r="AG11" s="36">
        <f>[1]SFI!$H11</f>
        <v>0</v>
      </c>
      <c r="AH11" s="31">
        <f t="shared" si="25"/>
        <v>0</v>
      </c>
      <c r="AI11" s="31">
        <f t="shared" si="26"/>
        <v>0</v>
      </c>
      <c r="AJ11" s="31">
        <f t="shared" si="27"/>
        <v>0</v>
      </c>
      <c r="AK11" s="31"/>
      <c r="AL11" s="33">
        <f>'[4]SÃO FRANCISCO'!AL11*'[3]SF I'!$X$4</f>
        <v>0</v>
      </c>
      <c r="AM11" s="37" t="str">
        <f t="shared" si="5"/>
        <v/>
      </c>
      <c r="AN11" s="36">
        <f>[1]SFI!$I11</f>
        <v>0</v>
      </c>
      <c r="AO11" s="31">
        <f t="shared" si="28"/>
        <v>0</v>
      </c>
      <c r="AP11" s="31">
        <f t="shared" si="29"/>
        <v>0</v>
      </c>
      <c r="AQ11" s="31">
        <f t="shared" si="30"/>
        <v>0</v>
      </c>
      <c r="AR11" s="31"/>
      <c r="AS11" s="33">
        <f>'[4]SÃO FRANCISCO'!AS11*'[3]SF I'!$X$4</f>
        <v>0</v>
      </c>
      <c r="AT11" s="37" t="str">
        <f t="shared" si="6"/>
        <v/>
      </c>
      <c r="AU11" s="36">
        <f>[1]SFI!$J11</f>
        <v>0</v>
      </c>
      <c r="AV11" s="31">
        <f t="shared" si="31"/>
        <v>0</v>
      </c>
      <c r="AW11" s="31">
        <f t="shared" si="32"/>
        <v>0</v>
      </c>
      <c r="AX11" s="31">
        <f t="shared" si="33"/>
        <v>0</v>
      </c>
      <c r="AY11" s="31"/>
      <c r="AZ11" s="27">
        <f>'[4]SÃO FRANCISCO'!AZ11*'[3]SF I'!$X$4</f>
        <v>0</v>
      </c>
      <c r="BA11" s="37" t="str">
        <f t="shared" si="7"/>
        <v/>
      </c>
      <c r="BB11" s="36">
        <f>[1]SFI!$K11</f>
        <v>0</v>
      </c>
      <c r="BC11" s="31">
        <f t="shared" si="34"/>
        <v>0</v>
      </c>
      <c r="BD11" s="31">
        <f t="shared" si="35"/>
        <v>0</v>
      </c>
      <c r="BE11" s="31">
        <f t="shared" si="36"/>
        <v>0</v>
      </c>
      <c r="BF11" s="31"/>
      <c r="BG11" s="27">
        <f>'[4]SÃO FRANCISCO'!BG11*'[3]SF I'!$X$4</f>
        <v>0</v>
      </c>
      <c r="BH11" s="37" t="str">
        <f t="shared" si="8"/>
        <v/>
      </c>
      <c r="BI11" s="36">
        <f>[1]SFI!$L11</f>
        <v>0</v>
      </c>
      <c r="BJ11" s="31">
        <f t="shared" si="37"/>
        <v>0</v>
      </c>
      <c r="BK11" s="31">
        <f t="shared" si="38"/>
        <v>0</v>
      </c>
      <c r="BL11" s="31">
        <f t="shared" si="39"/>
        <v>0</v>
      </c>
      <c r="BM11" s="31"/>
      <c r="BN11" s="33">
        <f>'[4]SÃO FRANCISCO'!BN11*'[3]SF I'!$X$4</f>
        <v>0</v>
      </c>
      <c r="BO11" s="37" t="str">
        <f t="shared" si="9"/>
        <v/>
      </c>
      <c r="BP11" s="36">
        <f>[1]SFI!$M11</f>
        <v>0</v>
      </c>
      <c r="BQ11" s="31">
        <f t="shared" si="40"/>
        <v>0</v>
      </c>
      <c r="BR11" s="31">
        <f t="shared" si="41"/>
        <v>0</v>
      </c>
      <c r="BS11" s="31">
        <f t="shared" si="42"/>
        <v>0</v>
      </c>
      <c r="BT11" s="31"/>
      <c r="BU11" s="33">
        <f>'[4]SÃO FRANCISCO'!BU11*'[3]SF I'!$X$4</f>
        <v>0</v>
      </c>
      <c r="BV11" s="37" t="str">
        <f t="shared" si="10"/>
        <v/>
      </c>
      <c r="BW11" s="36">
        <f>[1]SFI!$N11</f>
        <v>0</v>
      </c>
      <c r="BX11" s="31">
        <f t="shared" si="43"/>
        <v>0</v>
      </c>
      <c r="BY11" s="31">
        <f t="shared" si="44"/>
        <v>0</v>
      </c>
      <c r="BZ11" s="31">
        <f t="shared" si="45"/>
        <v>0</v>
      </c>
      <c r="CA11" s="31"/>
      <c r="CB11" s="33">
        <f>'[4]SÃO FRANCISCO'!CB11*'[3]SF I'!$X$4</f>
        <v>0</v>
      </c>
      <c r="CC11" s="37" t="str">
        <f t="shared" si="11"/>
        <v/>
      </c>
      <c r="CD11" s="36">
        <f>[1]SFI!$O11</f>
        <v>0</v>
      </c>
      <c r="CE11" s="31">
        <f t="shared" si="46"/>
        <v>0</v>
      </c>
      <c r="CF11" s="31">
        <f t="shared" si="47"/>
        <v>0</v>
      </c>
      <c r="CG11" s="31">
        <f t="shared" si="48"/>
        <v>0</v>
      </c>
      <c r="CH11" s="31"/>
      <c r="CI11" s="33">
        <f>'[4]SÃO FRANCISCO'!CI11*'[3]SF I'!$X$4</f>
        <v>0</v>
      </c>
      <c r="CJ11" s="37" t="str">
        <f t="shared" si="12"/>
        <v/>
      </c>
      <c r="CK11" s="36">
        <f>[1]SFI!$P11</f>
        <v>0</v>
      </c>
      <c r="CL11" s="31">
        <f t="shared" si="49"/>
        <v>0</v>
      </c>
      <c r="CM11" s="31">
        <f t="shared" si="50"/>
        <v>0</v>
      </c>
      <c r="CN11" s="31">
        <f t="shared" si="51"/>
        <v>0</v>
      </c>
      <c r="CO11" s="31"/>
      <c r="CP11" s="33">
        <f>'[4]SÃO FRANCISCO'!CP11*'[3]SF I'!$X$4</f>
        <v>0</v>
      </c>
      <c r="CQ11" s="37" t="str">
        <f t="shared" si="13"/>
        <v/>
      </c>
    </row>
    <row r="12" spans="1:99" s="26" customFormat="1" ht="14.25" customHeight="1" x14ac:dyDescent="0.2">
      <c r="A12" s="29" t="s">
        <v>36</v>
      </c>
      <c r="B12" s="30">
        <f t="shared" si="0"/>
        <v>18638.592843141018</v>
      </c>
      <c r="C12" s="31">
        <f t="shared" si="0"/>
        <v>16347.909782718991</v>
      </c>
      <c r="D12" s="32">
        <f t="shared" si="0"/>
        <v>2290.6830604220318</v>
      </c>
      <c r="E12" s="30">
        <f t="shared" si="14"/>
        <v>6212.8642810470074</v>
      </c>
      <c r="F12" s="33">
        <f t="shared" si="14"/>
        <v>5449.3032609063303</v>
      </c>
      <c r="G12" s="34">
        <f t="shared" si="14"/>
        <v>763.56102014067721</v>
      </c>
      <c r="H12" s="31">
        <f t="shared" si="1"/>
        <v>9278.4957877075485</v>
      </c>
      <c r="I12" s="33">
        <f t="shared" si="1"/>
        <v>0</v>
      </c>
      <c r="J12" s="33">
        <f t="shared" si="1"/>
        <v>9278.4957877075485</v>
      </c>
      <c r="K12" s="37">
        <f t="shared" si="15"/>
        <v>0.49343287861809104</v>
      </c>
      <c r="L12" s="36">
        <f>[1]SFI!$E12</f>
        <v>1553.2160702617518</v>
      </c>
      <c r="M12" s="31">
        <f t="shared" si="16"/>
        <v>1362.3258152265826</v>
      </c>
      <c r="N12" s="31">
        <f t="shared" si="17"/>
        <v>190.8902550351693</v>
      </c>
      <c r="O12" s="31">
        <f t="shared" si="18"/>
        <v>749.51881213188722</v>
      </c>
      <c r="P12" s="31"/>
      <c r="Q12" s="33">
        <v>749.51881213188722</v>
      </c>
      <c r="R12" s="37">
        <f t="shared" si="2"/>
        <v>-0.51744073057036011</v>
      </c>
      <c r="S12" s="36">
        <f>[1]SFI!$F12</f>
        <v>1553.2160702617518</v>
      </c>
      <c r="T12" s="31">
        <f t="shared" si="19"/>
        <v>1362.3258152265826</v>
      </c>
      <c r="U12" s="31">
        <f t="shared" si="20"/>
        <v>190.8902550351693</v>
      </c>
      <c r="V12" s="31">
        <f t="shared" si="21"/>
        <v>4387.2645457105255</v>
      </c>
      <c r="W12" s="31"/>
      <c r="X12" s="148">
        <f>'[4]SÃO FRANCISCO'!X12*'[3]SF I'!$X$4</f>
        <v>4387.2645457105255</v>
      </c>
      <c r="Y12" s="37">
        <f t="shared" si="3"/>
        <v>1.8246324704657302</v>
      </c>
      <c r="Z12" s="36">
        <f>[1]SFI!$G12</f>
        <v>1553.2160702617518</v>
      </c>
      <c r="AA12" s="31">
        <f t="shared" si="22"/>
        <v>1362.3258152265826</v>
      </c>
      <c r="AB12" s="31">
        <f t="shared" si="23"/>
        <v>190.8902550351693</v>
      </c>
      <c r="AC12" s="31">
        <f t="shared" si="24"/>
        <v>2729.7650105929306</v>
      </c>
      <c r="AD12" s="31"/>
      <c r="AE12" s="33">
        <f>'[4]SÃO FRANCISCO'!AE12*'[2]SF I'!$X$4</f>
        <v>2729.7650105929306</v>
      </c>
      <c r="AF12" s="37">
        <f t="shared" si="4"/>
        <v>0.75749212415301881</v>
      </c>
      <c r="AG12" s="36">
        <f>[1]SFI!$H12</f>
        <v>1553.2160702617518</v>
      </c>
      <c r="AH12" s="31">
        <f t="shared" si="25"/>
        <v>1362.3258152265826</v>
      </c>
      <c r="AI12" s="31">
        <f t="shared" si="26"/>
        <v>190.8902550351693</v>
      </c>
      <c r="AJ12" s="31">
        <f t="shared" si="27"/>
        <v>1411.9474192722055</v>
      </c>
      <c r="AK12" s="31"/>
      <c r="AL12" s="33">
        <f>'[4]SÃO FRANCISCO'!AL12*'[3]SF I'!$X$4</f>
        <v>1411.9474192722055</v>
      </c>
      <c r="AM12" s="37">
        <f t="shared" si="5"/>
        <v>-9.0952349576024827E-2</v>
      </c>
      <c r="AN12" s="36">
        <f>[1]SFI!$I12</f>
        <v>1553.2160702617518</v>
      </c>
      <c r="AO12" s="31">
        <f t="shared" si="28"/>
        <v>1362.3258152265826</v>
      </c>
      <c r="AP12" s="31">
        <f t="shared" si="29"/>
        <v>190.8902550351693</v>
      </c>
      <c r="AQ12" s="31">
        <f t="shared" si="30"/>
        <v>0</v>
      </c>
      <c r="AR12" s="31"/>
      <c r="AS12" s="33">
        <f>'[4]SÃO FRANCISCO'!AS12*'[3]SF I'!$X$4</f>
        <v>0</v>
      </c>
      <c r="AT12" s="37">
        <f t="shared" si="6"/>
        <v>-1</v>
      </c>
      <c r="AU12" s="36">
        <f>[1]SFI!$J12</f>
        <v>1553.2160702617518</v>
      </c>
      <c r="AV12" s="31">
        <f t="shared" si="31"/>
        <v>1362.3258152265826</v>
      </c>
      <c r="AW12" s="31">
        <f t="shared" si="32"/>
        <v>190.8902550351693</v>
      </c>
      <c r="AX12" s="31">
        <f t="shared" si="33"/>
        <v>0</v>
      </c>
      <c r="AY12" s="31"/>
      <c r="AZ12" s="33">
        <f>'[4]SÃO FRANCISCO'!AZ12*'[3]SF I'!$X$4</f>
        <v>0</v>
      </c>
      <c r="BA12" s="37">
        <f t="shared" si="7"/>
        <v>-1</v>
      </c>
      <c r="BB12" s="36">
        <f>[1]SFI!$K12</f>
        <v>1553.2160702617518</v>
      </c>
      <c r="BC12" s="31">
        <f t="shared" si="34"/>
        <v>1362.3258152265826</v>
      </c>
      <c r="BD12" s="31">
        <f t="shared" si="35"/>
        <v>190.8902550351693</v>
      </c>
      <c r="BE12" s="31">
        <f t="shared" si="36"/>
        <v>0</v>
      </c>
      <c r="BF12" s="31"/>
      <c r="BG12" s="33">
        <f>'[4]SÃO FRANCISCO'!BG12*'[3]SF I'!$X$4</f>
        <v>0</v>
      </c>
      <c r="BH12" s="37">
        <f t="shared" si="8"/>
        <v>-1</v>
      </c>
      <c r="BI12" s="36">
        <f>[1]SFI!$L12</f>
        <v>1553.2160702617518</v>
      </c>
      <c r="BJ12" s="31">
        <f t="shared" si="37"/>
        <v>1362.3258152265826</v>
      </c>
      <c r="BK12" s="31">
        <f t="shared" si="38"/>
        <v>190.8902550351693</v>
      </c>
      <c r="BL12" s="31">
        <f t="shared" si="39"/>
        <v>0</v>
      </c>
      <c r="BM12" s="31"/>
      <c r="BN12" s="33">
        <f>'[4]SÃO FRANCISCO'!BN12*'[3]SF I'!$X$4</f>
        <v>0</v>
      </c>
      <c r="BO12" s="37">
        <f t="shared" si="9"/>
        <v>-1</v>
      </c>
      <c r="BP12" s="36">
        <f>[1]SFI!$M12</f>
        <v>1553.2160702617518</v>
      </c>
      <c r="BQ12" s="31">
        <f t="shared" si="40"/>
        <v>1362.3258152265826</v>
      </c>
      <c r="BR12" s="31">
        <f t="shared" si="41"/>
        <v>190.8902550351693</v>
      </c>
      <c r="BS12" s="31">
        <f t="shared" si="42"/>
        <v>0</v>
      </c>
      <c r="BT12" s="31"/>
      <c r="BU12" s="33">
        <f>'[4]SÃO FRANCISCO'!BU12*'[3]SF I'!$X$4</f>
        <v>0</v>
      </c>
      <c r="BV12" s="37">
        <f t="shared" si="10"/>
        <v>-1</v>
      </c>
      <c r="BW12" s="36">
        <f>[1]SFI!$N12</f>
        <v>1553.2160702617518</v>
      </c>
      <c r="BX12" s="31">
        <f t="shared" si="43"/>
        <v>1362.3258152265826</v>
      </c>
      <c r="BY12" s="31">
        <f t="shared" si="44"/>
        <v>190.8902550351693</v>
      </c>
      <c r="BZ12" s="31">
        <f t="shared" si="45"/>
        <v>0</v>
      </c>
      <c r="CA12" s="31"/>
      <c r="CB12" s="33">
        <f>'[4]SÃO FRANCISCO'!CB12*'[3]SF I'!$X$4</f>
        <v>0</v>
      </c>
      <c r="CC12" s="37">
        <f t="shared" si="11"/>
        <v>-1</v>
      </c>
      <c r="CD12" s="36">
        <f>[1]SFI!$O12</f>
        <v>1553.2160702617518</v>
      </c>
      <c r="CE12" s="31">
        <f t="shared" si="46"/>
        <v>1362.3258152265826</v>
      </c>
      <c r="CF12" s="31">
        <f t="shared" si="47"/>
        <v>190.8902550351693</v>
      </c>
      <c r="CG12" s="31">
        <f t="shared" si="48"/>
        <v>0</v>
      </c>
      <c r="CH12" s="31"/>
      <c r="CI12" s="33">
        <f>'[4]SÃO FRANCISCO'!CI12*'[3]SF I'!$X$4</f>
        <v>0</v>
      </c>
      <c r="CJ12" s="37">
        <f t="shared" si="12"/>
        <v>-1</v>
      </c>
      <c r="CK12" s="36">
        <f>[1]SFI!$P12</f>
        <v>1553.2160702617518</v>
      </c>
      <c r="CL12" s="31">
        <f t="shared" si="49"/>
        <v>1362.3258152265826</v>
      </c>
      <c r="CM12" s="31">
        <f t="shared" si="50"/>
        <v>190.8902550351693</v>
      </c>
      <c r="CN12" s="31">
        <f t="shared" si="51"/>
        <v>0</v>
      </c>
      <c r="CO12" s="31"/>
      <c r="CP12" s="33">
        <f>'[4]SÃO FRANCISCO'!CP12*'[3]SF I'!$X$4</f>
        <v>0</v>
      </c>
      <c r="CQ12" s="37">
        <f t="shared" si="13"/>
        <v>-1</v>
      </c>
    </row>
    <row r="13" spans="1:99" s="26" customFormat="1" ht="16" customHeight="1" x14ac:dyDescent="0.2">
      <c r="A13" s="38" t="s">
        <v>37</v>
      </c>
      <c r="B13" s="30">
        <f t="shared" si="0"/>
        <v>0</v>
      </c>
      <c r="C13" s="31">
        <f t="shared" si="0"/>
        <v>0</v>
      </c>
      <c r="D13" s="32">
        <f t="shared" si="0"/>
        <v>0</v>
      </c>
      <c r="E13" s="30">
        <f t="shared" si="14"/>
        <v>0</v>
      </c>
      <c r="F13" s="33">
        <f t="shared" si="14"/>
        <v>0</v>
      </c>
      <c r="G13" s="34">
        <f t="shared" si="14"/>
        <v>0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 t="str">
        <f t="shared" si="15"/>
        <v/>
      </c>
      <c r="L13" s="36">
        <f>[1]SFI!$E13</f>
        <v>0</v>
      </c>
      <c r="M13" s="31">
        <f t="shared" si="16"/>
        <v>0</v>
      </c>
      <c r="N13" s="31">
        <f t="shared" si="17"/>
        <v>0</v>
      </c>
      <c r="O13" s="31">
        <f t="shared" si="18"/>
        <v>0</v>
      </c>
      <c r="P13" s="31"/>
      <c r="Q13" s="33">
        <v>0</v>
      </c>
      <c r="R13" s="37" t="str">
        <f t="shared" si="2"/>
        <v/>
      </c>
      <c r="S13" s="36">
        <f>[1]SFI!$F13</f>
        <v>0</v>
      </c>
      <c r="T13" s="31">
        <f t="shared" si="19"/>
        <v>0</v>
      </c>
      <c r="U13" s="31">
        <f t="shared" si="20"/>
        <v>0</v>
      </c>
      <c r="V13" s="31">
        <f t="shared" si="21"/>
        <v>0</v>
      </c>
      <c r="W13" s="31"/>
      <c r="X13" s="148">
        <f>'[4]SÃO FRANCISCO'!X13*'[3]SF I'!$X$4</f>
        <v>0</v>
      </c>
      <c r="Y13" s="37" t="str">
        <f t="shared" si="3"/>
        <v/>
      </c>
      <c r="Z13" s="36">
        <f>[1]SFI!$G13</f>
        <v>0</v>
      </c>
      <c r="AA13" s="31">
        <f t="shared" si="22"/>
        <v>0</v>
      </c>
      <c r="AB13" s="31">
        <f t="shared" si="23"/>
        <v>0</v>
      </c>
      <c r="AC13" s="31">
        <f t="shared" si="24"/>
        <v>0</v>
      </c>
      <c r="AD13" s="31"/>
      <c r="AE13" s="27">
        <f>'[4]SÃO FRANCISCO'!AE13*'[2]SF I'!$X$4</f>
        <v>0</v>
      </c>
      <c r="AF13" s="37" t="str">
        <f t="shared" si="4"/>
        <v/>
      </c>
      <c r="AG13" s="36">
        <f>[1]SFI!$H13</f>
        <v>0</v>
      </c>
      <c r="AH13" s="31">
        <f t="shared" si="25"/>
        <v>0</v>
      </c>
      <c r="AI13" s="31">
        <f t="shared" si="26"/>
        <v>0</v>
      </c>
      <c r="AJ13" s="31">
        <f t="shared" si="27"/>
        <v>0</v>
      </c>
      <c r="AK13" s="31"/>
      <c r="AL13" s="33">
        <f>'[4]SÃO FRANCISCO'!AL13*'[3]SF I'!$X$4</f>
        <v>0</v>
      </c>
      <c r="AM13" s="37" t="str">
        <f t="shared" si="5"/>
        <v/>
      </c>
      <c r="AN13" s="36">
        <f>[1]SFI!$I13</f>
        <v>0</v>
      </c>
      <c r="AO13" s="31">
        <f t="shared" si="28"/>
        <v>0</v>
      </c>
      <c r="AP13" s="31">
        <f t="shared" si="29"/>
        <v>0</v>
      </c>
      <c r="AQ13" s="31">
        <f t="shared" si="30"/>
        <v>0</v>
      </c>
      <c r="AR13" s="31"/>
      <c r="AS13" s="33">
        <f>'[4]SÃO FRANCISCO'!AS13*'[3]SF I'!$X$4</f>
        <v>0</v>
      </c>
      <c r="AT13" s="37" t="str">
        <f t="shared" si="6"/>
        <v/>
      </c>
      <c r="AU13" s="36">
        <f>[1]SFI!$J13</f>
        <v>0</v>
      </c>
      <c r="AV13" s="31">
        <f t="shared" si="31"/>
        <v>0</v>
      </c>
      <c r="AW13" s="31">
        <f t="shared" si="32"/>
        <v>0</v>
      </c>
      <c r="AX13" s="31">
        <f t="shared" si="33"/>
        <v>0</v>
      </c>
      <c r="AY13" s="31"/>
      <c r="AZ13" s="27">
        <f>'[4]SÃO FRANCISCO'!AZ13*'[3]SF I'!$X$4</f>
        <v>0</v>
      </c>
      <c r="BA13" s="37" t="str">
        <f t="shared" si="7"/>
        <v/>
      </c>
      <c r="BB13" s="36">
        <f>[1]SFI!$K13</f>
        <v>0</v>
      </c>
      <c r="BC13" s="31">
        <f t="shared" si="34"/>
        <v>0</v>
      </c>
      <c r="BD13" s="31">
        <f t="shared" si="35"/>
        <v>0</v>
      </c>
      <c r="BE13" s="31">
        <f t="shared" si="36"/>
        <v>0</v>
      </c>
      <c r="BF13" s="31"/>
      <c r="BG13" s="27">
        <f>'[4]SÃO FRANCISCO'!BG13*'[3]SF I'!$X$4</f>
        <v>0</v>
      </c>
      <c r="BH13" s="37" t="str">
        <f t="shared" si="8"/>
        <v/>
      </c>
      <c r="BI13" s="36">
        <f>[1]SFI!$L13</f>
        <v>0</v>
      </c>
      <c r="BJ13" s="31">
        <f t="shared" si="37"/>
        <v>0</v>
      </c>
      <c r="BK13" s="31">
        <f t="shared" si="38"/>
        <v>0</v>
      </c>
      <c r="BL13" s="31">
        <f t="shared" si="39"/>
        <v>0</v>
      </c>
      <c r="BM13" s="31"/>
      <c r="BN13" s="33">
        <f>'[4]SÃO FRANCISCO'!BN13*'[3]SF I'!$X$4</f>
        <v>0</v>
      </c>
      <c r="BO13" s="37" t="str">
        <f t="shared" si="9"/>
        <v/>
      </c>
      <c r="BP13" s="36">
        <f>[1]SFI!$M13</f>
        <v>0</v>
      </c>
      <c r="BQ13" s="31">
        <f t="shared" si="40"/>
        <v>0</v>
      </c>
      <c r="BR13" s="31">
        <f t="shared" si="41"/>
        <v>0</v>
      </c>
      <c r="BS13" s="31">
        <f t="shared" si="42"/>
        <v>0</v>
      </c>
      <c r="BT13" s="31"/>
      <c r="BU13" s="33">
        <f>'[4]SÃO FRANCISCO'!BU13*'[3]SF I'!$X$4</f>
        <v>0</v>
      </c>
      <c r="BV13" s="37" t="str">
        <f t="shared" si="10"/>
        <v/>
      </c>
      <c r="BW13" s="36">
        <f>[1]SFI!$N13</f>
        <v>0</v>
      </c>
      <c r="BX13" s="31">
        <f t="shared" si="43"/>
        <v>0</v>
      </c>
      <c r="BY13" s="31">
        <f t="shared" si="44"/>
        <v>0</v>
      </c>
      <c r="BZ13" s="31">
        <f t="shared" si="45"/>
        <v>0</v>
      </c>
      <c r="CA13" s="31"/>
      <c r="CB13" s="33">
        <f>'[4]SÃO FRANCISCO'!CB13*'[3]SF I'!$X$4</f>
        <v>0</v>
      </c>
      <c r="CC13" s="37" t="str">
        <f t="shared" si="11"/>
        <v/>
      </c>
      <c r="CD13" s="36">
        <f>[1]SFI!$O13</f>
        <v>0</v>
      </c>
      <c r="CE13" s="31">
        <f t="shared" si="46"/>
        <v>0</v>
      </c>
      <c r="CF13" s="31">
        <f t="shared" si="47"/>
        <v>0</v>
      </c>
      <c r="CG13" s="31">
        <f t="shared" si="48"/>
        <v>0</v>
      </c>
      <c r="CH13" s="31"/>
      <c r="CI13" s="33">
        <f>'[4]SÃO FRANCISCO'!CI13*'[3]SF I'!$X$4</f>
        <v>0</v>
      </c>
      <c r="CJ13" s="37" t="str">
        <f t="shared" si="12"/>
        <v/>
      </c>
      <c r="CK13" s="36">
        <f>[1]SFI!$P13</f>
        <v>0</v>
      </c>
      <c r="CL13" s="31">
        <f t="shared" si="49"/>
        <v>0</v>
      </c>
      <c r="CM13" s="31">
        <f t="shared" si="50"/>
        <v>0</v>
      </c>
      <c r="CN13" s="31">
        <f t="shared" si="51"/>
        <v>0</v>
      </c>
      <c r="CO13" s="31"/>
      <c r="CP13" s="33">
        <f>'[4]SÃO FRANCISCO'!CP13*'[3]SF I'!$X$4</f>
        <v>0</v>
      </c>
      <c r="CQ13" s="37" t="str">
        <f t="shared" si="13"/>
        <v/>
      </c>
    </row>
    <row r="14" spans="1:99" s="26" customFormat="1" ht="16" customHeight="1" x14ac:dyDescent="0.2">
      <c r="A14" s="39" t="s">
        <v>38</v>
      </c>
      <c r="B14" s="30">
        <f t="shared" si="0"/>
        <v>39989.356062574479</v>
      </c>
      <c r="C14" s="31">
        <f t="shared" si="0"/>
        <v>35074.664202484069</v>
      </c>
      <c r="D14" s="32">
        <f t="shared" si="0"/>
        <v>4914.6918600904019</v>
      </c>
      <c r="E14" s="30">
        <f t="shared" si="14"/>
        <v>13329.78535419149</v>
      </c>
      <c r="F14" s="33">
        <f t="shared" si="14"/>
        <v>11691.554734161356</v>
      </c>
      <c r="G14" s="34">
        <f t="shared" si="14"/>
        <v>1638.2306200301341</v>
      </c>
      <c r="H14" s="31">
        <f t="shared" si="1"/>
        <v>2972.8186744928234</v>
      </c>
      <c r="I14" s="33">
        <f t="shared" si="1"/>
        <v>0</v>
      </c>
      <c r="J14" s="33">
        <f t="shared" si="1"/>
        <v>2972.8186744928234</v>
      </c>
      <c r="K14" s="37">
        <f t="shared" si="15"/>
        <v>-0.77697925394139711</v>
      </c>
      <c r="L14" s="36">
        <f>[1]SFI!$E14</f>
        <v>3332.4463385478725</v>
      </c>
      <c r="M14" s="31">
        <f t="shared" si="16"/>
        <v>2922.8886835403391</v>
      </c>
      <c r="N14" s="31">
        <f t="shared" si="17"/>
        <v>409.55765500753353</v>
      </c>
      <c r="O14" s="31">
        <f t="shared" si="18"/>
        <v>755.4867089147516</v>
      </c>
      <c r="P14" s="31"/>
      <c r="Q14" s="33">
        <v>755.4867089147516</v>
      </c>
      <c r="R14" s="37">
        <f t="shared" si="2"/>
        <v>-0.77329366112345022</v>
      </c>
      <c r="S14" s="36">
        <f>[1]SFI!$F14</f>
        <v>3332.4463385478725</v>
      </c>
      <c r="T14" s="31">
        <f t="shared" si="19"/>
        <v>2922.8886835403391</v>
      </c>
      <c r="U14" s="31">
        <f t="shared" si="20"/>
        <v>409.55765500753353</v>
      </c>
      <c r="V14" s="31">
        <f t="shared" si="21"/>
        <v>507.63212799823725</v>
      </c>
      <c r="W14" s="31"/>
      <c r="X14" s="148">
        <f>'[4]SÃO FRANCISCO'!X14*'[3]SF I'!$X$4</f>
        <v>507.63212799823725</v>
      </c>
      <c r="Y14" s="37">
        <f t="shared" si="3"/>
        <v>-0.84766982677973446</v>
      </c>
      <c r="Z14" s="87">
        <f>[1]SFI!$G14</f>
        <v>3332.4463385478725</v>
      </c>
      <c r="AA14" s="40">
        <f t="shared" si="22"/>
        <v>2922.8886835403391</v>
      </c>
      <c r="AB14" s="40">
        <f t="shared" si="23"/>
        <v>409.55765500753353</v>
      </c>
      <c r="AC14" s="31">
        <f t="shared" si="24"/>
        <v>763.05911581146393</v>
      </c>
      <c r="AD14" s="31"/>
      <c r="AE14" s="33">
        <f>'[4]SÃO FRANCISCO'!AE14*'[2]SF I'!$X$4</f>
        <v>763.05911581146393</v>
      </c>
      <c r="AF14" s="37">
        <f t="shared" si="4"/>
        <v>-0.77102133439184795</v>
      </c>
      <c r="AG14" s="36">
        <f>[1]SFI!$H14</f>
        <v>3332.4463385478725</v>
      </c>
      <c r="AH14" s="31">
        <f t="shared" si="25"/>
        <v>2922.8886835403391</v>
      </c>
      <c r="AI14" s="31">
        <f t="shared" si="26"/>
        <v>409.55765500753353</v>
      </c>
      <c r="AJ14" s="31">
        <f t="shared" si="27"/>
        <v>946.64072176837078</v>
      </c>
      <c r="AK14" s="31"/>
      <c r="AL14" s="33">
        <f>'[4]SÃO FRANCISCO'!AL14*'[3]SF I'!$X$4</f>
        <v>946.64072176837078</v>
      </c>
      <c r="AM14" s="37">
        <f t="shared" si="5"/>
        <v>-0.71593219347055603</v>
      </c>
      <c r="AN14" s="36">
        <f>[1]SFI!$I14</f>
        <v>3332.4463385478725</v>
      </c>
      <c r="AO14" s="31">
        <f t="shared" si="28"/>
        <v>2922.8886835403391</v>
      </c>
      <c r="AP14" s="31">
        <f t="shared" si="29"/>
        <v>409.55765500753353</v>
      </c>
      <c r="AQ14" s="31">
        <f t="shared" si="30"/>
        <v>0</v>
      </c>
      <c r="AR14" s="31"/>
      <c r="AS14" s="33">
        <f>'[4]SÃO FRANCISCO'!AS14*'[3]SF I'!$X$4</f>
        <v>0</v>
      </c>
      <c r="AT14" s="37">
        <f t="shared" si="6"/>
        <v>-1</v>
      </c>
      <c r="AU14" s="36">
        <f>[1]SFI!$J14</f>
        <v>3332.4463385478725</v>
      </c>
      <c r="AV14" s="31">
        <f t="shared" si="31"/>
        <v>2922.8886835403391</v>
      </c>
      <c r="AW14" s="31">
        <f t="shared" si="32"/>
        <v>409.55765500753353</v>
      </c>
      <c r="AX14" s="31">
        <f t="shared" si="33"/>
        <v>0</v>
      </c>
      <c r="AY14" s="31"/>
      <c r="AZ14" s="33">
        <f>'[4]SÃO FRANCISCO'!AZ14*'[3]SF I'!$X$4</f>
        <v>0</v>
      </c>
      <c r="BA14" s="37">
        <f t="shared" si="7"/>
        <v>-1</v>
      </c>
      <c r="BB14" s="36">
        <f>[1]SFI!$K14</f>
        <v>3332.4463385478725</v>
      </c>
      <c r="BC14" s="31">
        <f t="shared" si="34"/>
        <v>2922.8886835403391</v>
      </c>
      <c r="BD14" s="31">
        <f t="shared" si="35"/>
        <v>409.55765500753353</v>
      </c>
      <c r="BE14" s="31">
        <f t="shared" si="36"/>
        <v>0</v>
      </c>
      <c r="BF14" s="31"/>
      <c r="BG14" s="33">
        <f>'[4]SÃO FRANCISCO'!BG14*'[3]SF I'!$X$4</f>
        <v>0</v>
      </c>
      <c r="BH14" s="37">
        <f t="shared" si="8"/>
        <v>-1</v>
      </c>
      <c r="BI14" s="36">
        <f>[1]SFI!$L14</f>
        <v>3332.4463385478725</v>
      </c>
      <c r="BJ14" s="31">
        <f t="shared" si="37"/>
        <v>2922.8886835403391</v>
      </c>
      <c r="BK14" s="31">
        <f t="shared" si="38"/>
        <v>409.55765500753353</v>
      </c>
      <c r="BL14" s="31">
        <f t="shared" si="39"/>
        <v>0</v>
      </c>
      <c r="BM14" s="31"/>
      <c r="BN14" s="33">
        <f>'[4]SÃO FRANCISCO'!BN14*'[3]SF I'!$X$4</f>
        <v>0</v>
      </c>
      <c r="BO14" s="37">
        <f t="shared" si="9"/>
        <v>-1</v>
      </c>
      <c r="BP14" s="36">
        <f>[1]SFI!$M14</f>
        <v>3332.4463385478725</v>
      </c>
      <c r="BQ14" s="31">
        <f t="shared" si="40"/>
        <v>2922.8886835403391</v>
      </c>
      <c r="BR14" s="31">
        <f t="shared" si="41"/>
        <v>409.55765500753353</v>
      </c>
      <c r="BS14" s="31">
        <f t="shared" si="42"/>
        <v>0</v>
      </c>
      <c r="BT14" s="31"/>
      <c r="BU14" s="33">
        <f>'[4]SÃO FRANCISCO'!BU14*'[3]SF I'!$X$4</f>
        <v>0</v>
      </c>
      <c r="BV14" s="37">
        <f t="shared" si="10"/>
        <v>-1</v>
      </c>
      <c r="BW14" s="36">
        <f>[1]SFI!$N14</f>
        <v>3332.4463385478725</v>
      </c>
      <c r="BX14" s="31">
        <f t="shared" si="43"/>
        <v>2922.8886835403391</v>
      </c>
      <c r="BY14" s="31">
        <f t="shared" si="44"/>
        <v>409.55765500753353</v>
      </c>
      <c r="BZ14" s="31">
        <f t="shared" si="45"/>
        <v>0</v>
      </c>
      <c r="CA14" s="31"/>
      <c r="CB14" s="33">
        <f>'[4]SÃO FRANCISCO'!CB14*'[3]SF I'!$X$4</f>
        <v>0</v>
      </c>
      <c r="CC14" s="37">
        <f t="shared" si="11"/>
        <v>-1</v>
      </c>
      <c r="CD14" s="36">
        <f>[1]SFI!$O14</f>
        <v>3332.4463385478725</v>
      </c>
      <c r="CE14" s="31">
        <f t="shared" si="46"/>
        <v>2922.8886835403391</v>
      </c>
      <c r="CF14" s="31">
        <f t="shared" si="47"/>
        <v>409.55765500753353</v>
      </c>
      <c r="CG14" s="31">
        <f t="shared" si="48"/>
        <v>0</v>
      </c>
      <c r="CH14" s="31"/>
      <c r="CI14" s="33">
        <f>'[4]SÃO FRANCISCO'!CI14*'[3]SF I'!$X$4</f>
        <v>0</v>
      </c>
      <c r="CJ14" s="37">
        <f t="shared" si="12"/>
        <v>-1</v>
      </c>
      <c r="CK14" s="36">
        <f>[1]SFI!$P14</f>
        <v>3332.4463385478725</v>
      </c>
      <c r="CL14" s="31">
        <f t="shared" si="49"/>
        <v>2922.8886835403391</v>
      </c>
      <c r="CM14" s="31">
        <f t="shared" si="50"/>
        <v>409.55765500753353</v>
      </c>
      <c r="CN14" s="31">
        <f t="shared" si="51"/>
        <v>0</v>
      </c>
      <c r="CO14" s="31"/>
      <c r="CP14" s="33">
        <f>'[4]SÃO FRANCISCO'!CP14*'[3]SF I'!$X$4</f>
        <v>0</v>
      </c>
      <c r="CQ14" s="37">
        <f t="shared" si="13"/>
        <v>-1</v>
      </c>
    </row>
    <row r="15" spans="1:99" s="26" customFormat="1" ht="16" customHeight="1" x14ac:dyDescent="0.2">
      <c r="A15" s="38" t="s">
        <v>39</v>
      </c>
      <c r="B15" s="30">
        <f t="shared" si="0"/>
        <v>66106.876872813955</v>
      </c>
      <c r="C15" s="31">
        <f t="shared" si="0"/>
        <v>57982.341705145118</v>
      </c>
      <c r="D15" s="32">
        <f t="shared" si="0"/>
        <v>8124.5351676688315</v>
      </c>
      <c r="E15" s="30">
        <f t="shared" si="14"/>
        <v>21893.293338970674</v>
      </c>
      <c r="F15" s="33">
        <f t="shared" si="14"/>
        <v>19202.607587611179</v>
      </c>
      <c r="G15" s="34">
        <f t="shared" si="14"/>
        <v>2690.685751359496</v>
      </c>
      <c r="H15" s="31">
        <f t="shared" si="1"/>
        <v>24246.744623797334</v>
      </c>
      <c r="I15" s="33">
        <f t="shared" si="1"/>
        <v>0</v>
      </c>
      <c r="J15" s="33">
        <f t="shared" si="1"/>
        <v>24246.744623797334</v>
      </c>
      <c r="K15" s="37">
        <f t="shared" si="15"/>
        <v>0.1074964487246628</v>
      </c>
      <c r="L15" s="36">
        <f>[1]SFI!$E15</f>
        <v>5473.3233347426685</v>
      </c>
      <c r="M15" s="40">
        <f t="shared" si="16"/>
        <v>4800.6518969027948</v>
      </c>
      <c r="N15" s="40">
        <f t="shared" si="17"/>
        <v>672.67143783987399</v>
      </c>
      <c r="O15" s="40">
        <f t="shared" si="18"/>
        <v>8695.2456223458921</v>
      </c>
      <c r="P15" s="40"/>
      <c r="Q15" s="115">
        <v>8695.2456223458921</v>
      </c>
      <c r="R15" s="37">
        <f t="shared" si="2"/>
        <v>0.58865922777695801</v>
      </c>
      <c r="S15" s="36">
        <f>[1]SFI!$F15</f>
        <v>5473.3233347426685</v>
      </c>
      <c r="T15" s="40">
        <f t="shared" si="19"/>
        <v>4800.6518969027948</v>
      </c>
      <c r="U15" s="40">
        <f t="shared" si="20"/>
        <v>672.67143783987399</v>
      </c>
      <c r="V15" s="40">
        <f t="shared" si="21"/>
        <v>1049.871814206329</v>
      </c>
      <c r="W15" s="40"/>
      <c r="X15" s="149">
        <f>'[4]SÃO FRANCISCO'!X15*'[3]SF I'!$X$4</f>
        <v>1049.871814206329</v>
      </c>
      <c r="Y15" s="37">
        <f t="shared" si="3"/>
        <v>-0.80818384919046826</v>
      </c>
      <c r="Z15" s="36">
        <f>[1]SFI!$G15</f>
        <v>5473.3233347426685</v>
      </c>
      <c r="AA15" s="40">
        <f t="shared" si="22"/>
        <v>4800.6518969027948</v>
      </c>
      <c r="AB15" s="40">
        <f t="shared" si="23"/>
        <v>672.67143783987399</v>
      </c>
      <c r="AC15" s="40">
        <f t="shared" si="24"/>
        <v>6661.9617813469176</v>
      </c>
      <c r="AD15" s="40"/>
      <c r="AE15" s="115">
        <f>'[4]SÃO FRANCISCO'!AE15*'[2]SF I'!$X$4</f>
        <v>6661.9617813469176</v>
      </c>
      <c r="AF15" s="37">
        <f t="shared" si="4"/>
        <v>0.21716941863441619</v>
      </c>
      <c r="AG15" s="36">
        <f>[1]SFI!$H15</f>
        <v>5473.3233347426685</v>
      </c>
      <c r="AH15" s="40">
        <f t="shared" si="25"/>
        <v>4800.6518969027948</v>
      </c>
      <c r="AI15" s="40">
        <f t="shared" si="26"/>
        <v>672.67143783987399</v>
      </c>
      <c r="AJ15" s="40">
        <f t="shared" si="27"/>
        <v>7839.6654058981949</v>
      </c>
      <c r="AK15" s="40"/>
      <c r="AL15" s="115">
        <f>'[4]SÃO FRANCISCO'!AL15*'[3]SF I'!$X$4</f>
        <v>7839.6654058981949</v>
      </c>
      <c r="AM15" s="37">
        <f t="shared" si="5"/>
        <v>0.43234099767774481</v>
      </c>
      <c r="AN15" s="36">
        <f>[1]SFI!$I15</f>
        <v>5473.3233347426685</v>
      </c>
      <c r="AO15" s="40">
        <f t="shared" si="28"/>
        <v>4800.6518969027948</v>
      </c>
      <c r="AP15" s="40">
        <f t="shared" si="29"/>
        <v>672.67143783987399</v>
      </c>
      <c r="AQ15" s="40">
        <f t="shared" si="30"/>
        <v>0</v>
      </c>
      <c r="AR15" s="40"/>
      <c r="AS15" s="115">
        <f>'[4]SÃO FRANCISCO'!AS15*'[3]SF I'!$X$4</f>
        <v>0</v>
      </c>
      <c r="AT15" s="37">
        <f t="shared" si="6"/>
        <v>-1</v>
      </c>
      <c r="AU15" s="36">
        <f>[1]SFI!$J15</f>
        <v>5473.3233347426685</v>
      </c>
      <c r="AV15" s="40">
        <f t="shared" si="31"/>
        <v>4800.6518969027948</v>
      </c>
      <c r="AW15" s="40">
        <f t="shared" si="32"/>
        <v>672.67143783987399</v>
      </c>
      <c r="AX15" s="40">
        <f t="shared" si="33"/>
        <v>0</v>
      </c>
      <c r="AY15" s="40"/>
      <c r="AZ15" s="116">
        <f>'[4]SÃO FRANCISCO'!AZ15*'[3]SF I'!$X$4</f>
        <v>0</v>
      </c>
      <c r="BA15" s="37">
        <f t="shared" si="7"/>
        <v>-1</v>
      </c>
      <c r="BB15" s="36">
        <f>[1]SFI!$K15</f>
        <v>5900.3201906445793</v>
      </c>
      <c r="BC15" s="40">
        <f t="shared" si="34"/>
        <v>5175.170839214361</v>
      </c>
      <c r="BD15" s="40">
        <f t="shared" si="35"/>
        <v>725.14935143021876</v>
      </c>
      <c r="BE15" s="40">
        <f t="shared" si="36"/>
        <v>0</v>
      </c>
      <c r="BF15" s="40"/>
      <c r="BG15" s="116">
        <f>'[4]SÃO FRANCISCO'!BG15*'[3]SF I'!$X$4</f>
        <v>0</v>
      </c>
      <c r="BH15" s="37">
        <f t="shared" si="8"/>
        <v>-1</v>
      </c>
      <c r="BI15" s="36">
        <f>[1]SFI!$L15</f>
        <v>5473.3233347426685</v>
      </c>
      <c r="BJ15" s="40">
        <f t="shared" si="37"/>
        <v>4800.6518969027948</v>
      </c>
      <c r="BK15" s="40">
        <f t="shared" si="38"/>
        <v>672.67143783987399</v>
      </c>
      <c r="BL15" s="40">
        <f t="shared" si="39"/>
        <v>0</v>
      </c>
      <c r="BM15" s="40"/>
      <c r="BN15" s="115">
        <f>'[4]SÃO FRANCISCO'!BN15*'[3]SF I'!$X$4</f>
        <v>0</v>
      </c>
      <c r="BO15" s="37">
        <f t="shared" si="9"/>
        <v>-1</v>
      </c>
      <c r="BP15" s="36">
        <f>[1]SFI!$M15</f>
        <v>5473.3233347426685</v>
      </c>
      <c r="BQ15" s="40">
        <f t="shared" si="40"/>
        <v>4800.6518969027948</v>
      </c>
      <c r="BR15" s="40">
        <f t="shared" si="41"/>
        <v>672.67143783987399</v>
      </c>
      <c r="BS15" s="40">
        <f t="shared" si="42"/>
        <v>0</v>
      </c>
      <c r="BT15" s="40"/>
      <c r="BU15" s="115">
        <f>'[4]SÃO FRANCISCO'!BU15*'[3]SF I'!$X$4</f>
        <v>0</v>
      </c>
      <c r="BV15" s="37">
        <f t="shared" si="10"/>
        <v>-1</v>
      </c>
      <c r="BW15" s="36">
        <f>[1]SFI!$N15</f>
        <v>5473.3233347426685</v>
      </c>
      <c r="BX15" s="40">
        <f t="shared" si="43"/>
        <v>4800.6518969027948</v>
      </c>
      <c r="BY15" s="40">
        <f t="shared" si="44"/>
        <v>672.67143783987399</v>
      </c>
      <c r="BZ15" s="40">
        <f t="shared" si="45"/>
        <v>0</v>
      </c>
      <c r="CA15" s="40"/>
      <c r="CB15" s="115">
        <f>'[4]SÃO FRANCISCO'!CB15*'[3]SF I'!$X$4</f>
        <v>0</v>
      </c>
      <c r="CC15" s="37">
        <f t="shared" si="11"/>
        <v>-1</v>
      </c>
      <c r="CD15" s="36">
        <f>[1]SFI!$O15</f>
        <v>5473.3233347426685</v>
      </c>
      <c r="CE15" s="40">
        <f t="shared" si="46"/>
        <v>4800.6518969027948</v>
      </c>
      <c r="CF15" s="40">
        <f t="shared" si="47"/>
        <v>672.67143783987399</v>
      </c>
      <c r="CG15" s="40">
        <f t="shared" si="48"/>
        <v>0</v>
      </c>
      <c r="CH15" s="40"/>
      <c r="CI15" s="115">
        <f>'[4]SÃO FRANCISCO'!CI15*'[3]SF I'!$X$4</f>
        <v>0</v>
      </c>
      <c r="CJ15" s="37">
        <f t="shared" si="12"/>
        <v>-1</v>
      </c>
      <c r="CK15" s="36">
        <f>[1]SFI!$P15</f>
        <v>5473.3233347426685</v>
      </c>
      <c r="CL15" s="40">
        <f t="shared" si="49"/>
        <v>4800.6518969027948</v>
      </c>
      <c r="CM15" s="40">
        <f t="shared" si="50"/>
        <v>672.67143783987399</v>
      </c>
      <c r="CN15" s="40">
        <f t="shared" si="51"/>
        <v>0</v>
      </c>
      <c r="CO15" s="40"/>
      <c r="CP15" s="115">
        <f>'[4]SÃO FRANCISCO'!CP15*'[3]SF I'!$X$4</f>
        <v>0</v>
      </c>
      <c r="CQ15" s="37">
        <f t="shared" si="13"/>
        <v>-1</v>
      </c>
    </row>
    <row r="16" spans="1:99" s="26" customFormat="1" ht="16" customHeight="1" x14ac:dyDescent="0.2">
      <c r="A16" s="29" t="s">
        <v>40</v>
      </c>
      <c r="B16" s="30">
        <f t="shared" si="0"/>
        <v>16257.495099358117</v>
      </c>
      <c r="C16" s="31">
        <f t="shared" si="0"/>
        <v>14259.448951647</v>
      </c>
      <c r="D16" s="32">
        <f t="shared" si="0"/>
        <v>1998.0461477111128</v>
      </c>
      <c r="E16" s="30">
        <f t="shared" si="14"/>
        <v>5419.1650331193714</v>
      </c>
      <c r="F16" s="33">
        <f t="shared" si="14"/>
        <v>4753.1496505490004</v>
      </c>
      <c r="G16" s="34">
        <f t="shared" si="14"/>
        <v>666.01538257037078</v>
      </c>
      <c r="H16" s="31">
        <f t="shared" si="1"/>
        <v>2985.6537256080337</v>
      </c>
      <c r="I16" s="33">
        <f t="shared" si="1"/>
        <v>0</v>
      </c>
      <c r="J16" s="33">
        <f t="shared" si="1"/>
        <v>2985.6537256080337</v>
      </c>
      <c r="K16" s="37">
        <f t="shared" si="15"/>
        <v>-0.4490565045793713</v>
      </c>
      <c r="L16" s="36">
        <f>[1]SFI!$E16</f>
        <v>1354.7912582798429</v>
      </c>
      <c r="M16" s="31">
        <f t="shared" si="16"/>
        <v>1188.2874126372501</v>
      </c>
      <c r="N16" s="31">
        <f t="shared" si="17"/>
        <v>166.50384564259269</v>
      </c>
      <c r="O16" s="31">
        <f t="shared" si="18"/>
        <v>1611.7723450505557</v>
      </c>
      <c r="P16" s="31"/>
      <c r="Q16" s="33">
        <v>1611.7723450505557</v>
      </c>
      <c r="R16" s="37">
        <f t="shared" si="2"/>
        <v>0.18968315982271511</v>
      </c>
      <c r="S16" s="36">
        <f>[1]SFI!$F16</f>
        <v>1354.7912582798429</v>
      </c>
      <c r="T16" s="31">
        <f t="shared" si="19"/>
        <v>1188.2874126372501</v>
      </c>
      <c r="U16" s="31">
        <f t="shared" si="20"/>
        <v>166.50384564259269</v>
      </c>
      <c r="V16" s="31">
        <f t="shared" si="21"/>
        <v>0</v>
      </c>
      <c r="W16" s="31"/>
      <c r="X16" s="148">
        <f>'[4]SÃO FRANCISCO'!X16*'[3]SF I'!$X$4</f>
        <v>0</v>
      </c>
      <c r="Y16" s="37">
        <f t="shared" si="3"/>
        <v>-1</v>
      </c>
      <c r="Z16" s="36">
        <f>[1]SFI!$G16</f>
        <v>1354.7912582798429</v>
      </c>
      <c r="AA16" s="31">
        <f t="shared" si="22"/>
        <v>1188.2874126372501</v>
      </c>
      <c r="AB16" s="31">
        <f t="shared" si="23"/>
        <v>166.50384564259269</v>
      </c>
      <c r="AC16" s="31">
        <f t="shared" si="24"/>
        <v>373.69336918286763</v>
      </c>
      <c r="AD16" s="31"/>
      <c r="AE16" s="33">
        <f>'[4]SÃO FRANCISCO'!AE16*'[2]SF I'!$X$4</f>
        <v>373.69336918286763</v>
      </c>
      <c r="AF16" s="37">
        <f t="shared" si="4"/>
        <v>-0.72416904309130237</v>
      </c>
      <c r="AG16" s="36">
        <f>[1]SFI!$H16</f>
        <v>1354.7912582798429</v>
      </c>
      <c r="AH16" s="31">
        <f t="shared" si="25"/>
        <v>1188.2874126372501</v>
      </c>
      <c r="AI16" s="31">
        <f t="shared" si="26"/>
        <v>166.50384564259269</v>
      </c>
      <c r="AJ16" s="31">
        <f t="shared" si="27"/>
        <v>1000.1880113746106</v>
      </c>
      <c r="AK16" s="31"/>
      <c r="AL16" s="33">
        <f>'[4]SÃO FRANCISCO'!AL16*'[3]SF I'!$X$4</f>
        <v>1000.1880113746106</v>
      </c>
      <c r="AM16" s="37">
        <f t="shared" si="5"/>
        <v>-0.26174013504889782</v>
      </c>
      <c r="AN16" s="36">
        <f>[1]SFI!$I16</f>
        <v>1354.7912582798429</v>
      </c>
      <c r="AO16" s="31">
        <f t="shared" si="28"/>
        <v>1188.2874126372501</v>
      </c>
      <c r="AP16" s="31">
        <f t="shared" si="29"/>
        <v>166.50384564259269</v>
      </c>
      <c r="AQ16" s="31">
        <f t="shared" si="30"/>
        <v>0</v>
      </c>
      <c r="AR16" s="31"/>
      <c r="AS16" s="33">
        <f>'[4]SÃO FRANCISCO'!AS16*'[3]SF I'!$X$4</f>
        <v>0</v>
      </c>
      <c r="AT16" s="37">
        <f t="shared" si="6"/>
        <v>-1</v>
      </c>
      <c r="AU16" s="36">
        <f>[1]SFI!$J16</f>
        <v>1354.7912582798429</v>
      </c>
      <c r="AV16" s="31">
        <f t="shared" si="31"/>
        <v>1188.2874126372501</v>
      </c>
      <c r="AW16" s="31">
        <f t="shared" si="32"/>
        <v>166.50384564259269</v>
      </c>
      <c r="AX16" s="31">
        <f t="shared" si="33"/>
        <v>0</v>
      </c>
      <c r="AY16" s="31"/>
      <c r="AZ16" s="33">
        <f>'[4]SÃO FRANCISCO'!AZ16*'[3]SF I'!$X$4</f>
        <v>0</v>
      </c>
      <c r="BA16" s="37">
        <f t="shared" si="7"/>
        <v>-1</v>
      </c>
      <c r="BB16" s="36">
        <f>[1]SFI!$K16</f>
        <v>1354.7912582798429</v>
      </c>
      <c r="BC16" s="31">
        <f t="shared" si="34"/>
        <v>1188.2874126372501</v>
      </c>
      <c r="BD16" s="31">
        <f t="shared" si="35"/>
        <v>166.50384564259269</v>
      </c>
      <c r="BE16" s="31">
        <f t="shared" si="36"/>
        <v>0</v>
      </c>
      <c r="BF16" s="31"/>
      <c r="BG16" s="33">
        <f>'[4]SÃO FRANCISCO'!BG16*'[3]SF I'!$X$4</f>
        <v>0</v>
      </c>
      <c r="BH16" s="37">
        <f t="shared" si="8"/>
        <v>-1</v>
      </c>
      <c r="BI16" s="36">
        <f>[1]SFI!$L16</f>
        <v>1354.7912582798429</v>
      </c>
      <c r="BJ16" s="31">
        <f t="shared" si="37"/>
        <v>1188.2874126372501</v>
      </c>
      <c r="BK16" s="31">
        <f t="shared" si="38"/>
        <v>166.50384564259269</v>
      </c>
      <c r="BL16" s="31">
        <f t="shared" si="39"/>
        <v>0</v>
      </c>
      <c r="BM16" s="31"/>
      <c r="BN16" s="33">
        <f>'[4]SÃO FRANCISCO'!BN16*'[3]SF I'!$X$4</f>
        <v>0</v>
      </c>
      <c r="BO16" s="37">
        <f t="shared" si="9"/>
        <v>-1</v>
      </c>
      <c r="BP16" s="36">
        <f>[1]SFI!$M16</f>
        <v>1354.7912582798429</v>
      </c>
      <c r="BQ16" s="31">
        <f t="shared" si="40"/>
        <v>1188.2874126372501</v>
      </c>
      <c r="BR16" s="31">
        <f t="shared" si="41"/>
        <v>166.50384564259269</v>
      </c>
      <c r="BS16" s="31">
        <f t="shared" si="42"/>
        <v>0</v>
      </c>
      <c r="BT16" s="31"/>
      <c r="BU16" s="33">
        <f>'[4]SÃO FRANCISCO'!BU16*'[3]SF I'!$X$4</f>
        <v>0</v>
      </c>
      <c r="BV16" s="37">
        <f t="shared" si="10"/>
        <v>-1</v>
      </c>
      <c r="BW16" s="36">
        <f>[1]SFI!$N16</f>
        <v>1354.7912582798429</v>
      </c>
      <c r="BX16" s="31">
        <f t="shared" si="43"/>
        <v>1188.2874126372501</v>
      </c>
      <c r="BY16" s="31">
        <f t="shared" si="44"/>
        <v>166.50384564259269</v>
      </c>
      <c r="BZ16" s="31">
        <f t="shared" si="45"/>
        <v>0</v>
      </c>
      <c r="CA16" s="31"/>
      <c r="CB16" s="33">
        <f>'[4]SÃO FRANCISCO'!CB16*'[3]SF I'!$X$4</f>
        <v>0</v>
      </c>
      <c r="CC16" s="37">
        <f t="shared" si="11"/>
        <v>-1</v>
      </c>
      <c r="CD16" s="36">
        <f>[1]SFI!$O16</f>
        <v>1354.7912582798429</v>
      </c>
      <c r="CE16" s="31">
        <f t="shared" si="46"/>
        <v>1188.2874126372501</v>
      </c>
      <c r="CF16" s="31">
        <f t="shared" si="47"/>
        <v>166.50384564259269</v>
      </c>
      <c r="CG16" s="31">
        <f t="shared" si="48"/>
        <v>0</v>
      </c>
      <c r="CH16" s="31"/>
      <c r="CI16" s="33">
        <f>'[4]SÃO FRANCISCO'!CI16*'[3]SF I'!$X$4</f>
        <v>0</v>
      </c>
      <c r="CJ16" s="37">
        <f t="shared" si="12"/>
        <v>-1</v>
      </c>
      <c r="CK16" s="36">
        <f>[1]SFI!$P16</f>
        <v>1354.7912582798429</v>
      </c>
      <c r="CL16" s="31">
        <f t="shared" si="49"/>
        <v>1188.2874126372501</v>
      </c>
      <c r="CM16" s="31">
        <f t="shared" si="50"/>
        <v>166.50384564259269</v>
      </c>
      <c r="CN16" s="31">
        <f t="shared" si="51"/>
        <v>0</v>
      </c>
      <c r="CO16" s="31"/>
      <c r="CP16" s="33">
        <f>'[4]SÃO FRANCISCO'!CP16*'[3]SF I'!$X$4</f>
        <v>0</v>
      </c>
      <c r="CQ16" s="37">
        <f t="shared" si="13"/>
        <v>-1</v>
      </c>
    </row>
    <row r="17" spans="1:95" s="26" customFormat="1" ht="16" customHeight="1" x14ac:dyDescent="0.2">
      <c r="A17" s="38" t="s">
        <v>41</v>
      </c>
      <c r="B17" s="30">
        <f t="shared" si="0"/>
        <v>435656.84836837446</v>
      </c>
      <c r="C17" s="31">
        <f t="shared" si="0"/>
        <v>382114.62170390127</v>
      </c>
      <c r="D17" s="32">
        <f t="shared" si="0"/>
        <v>53542.226664473237</v>
      </c>
      <c r="E17" s="30">
        <f t="shared" si="14"/>
        <v>145218.94945612483</v>
      </c>
      <c r="F17" s="33">
        <f t="shared" si="14"/>
        <v>127371.54056796708</v>
      </c>
      <c r="G17" s="34">
        <f t="shared" si="14"/>
        <v>17847.408888157741</v>
      </c>
      <c r="H17" s="31">
        <f t="shared" si="1"/>
        <v>119307.09823289877</v>
      </c>
      <c r="I17" s="33">
        <f t="shared" si="1"/>
        <v>0</v>
      </c>
      <c r="J17" s="33">
        <f t="shared" si="1"/>
        <v>119307.09823289877</v>
      </c>
      <c r="K17" s="37">
        <f t="shared" si="15"/>
        <v>-0.17843298908490479</v>
      </c>
      <c r="L17" s="36">
        <f>[1]SFI!$E17</f>
        <v>36304.737364031207</v>
      </c>
      <c r="M17" s="31">
        <f t="shared" si="16"/>
        <v>31842.88514199177</v>
      </c>
      <c r="N17" s="31">
        <f t="shared" si="17"/>
        <v>4461.8522220394352</v>
      </c>
      <c r="O17" s="31">
        <f t="shared" si="18"/>
        <v>30879.45435916699</v>
      </c>
      <c r="P17" s="31"/>
      <c r="Q17" s="33">
        <v>30879.45435916699</v>
      </c>
      <c r="R17" s="37">
        <f t="shared" si="2"/>
        <v>-0.14943732963729683</v>
      </c>
      <c r="S17" s="36">
        <f>[1]SFI!$F17</f>
        <v>36304.737364031207</v>
      </c>
      <c r="T17" s="31">
        <f t="shared" si="19"/>
        <v>31842.88514199177</v>
      </c>
      <c r="U17" s="31">
        <f t="shared" si="20"/>
        <v>4461.8522220394352</v>
      </c>
      <c r="V17" s="31">
        <f t="shared" si="21"/>
        <v>30706.785232411876</v>
      </c>
      <c r="W17" s="31"/>
      <c r="X17" s="148">
        <v>30706.785232411876</v>
      </c>
      <c r="Y17" s="37">
        <f t="shared" si="3"/>
        <v>-0.15419343419257137</v>
      </c>
      <c r="Z17" s="36">
        <f>[1]SFI!$G17</f>
        <v>36304.737364031207</v>
      </c>
      <c r="AA17" s="31">
        <f t="shared" si="22"/>
        <v>31842.88514199177</v>
      </c>
      <c r="AB17" s="31">
        <f t="shared" si="23"/>
        <v>4461.8522220394352</v>
      </c>
      <c r="AC17" s="31">
        <f t="shared" si="24"/>
        <v>24743.689691945154</v>
      </c>
      <c r="AD17" s="31"/>
      <c r="AE17" s="27">
        <v>24743.689691945154</v>
      </c>
      <c r="AF17" s="37">
        <f t="shared" si="4"/>
        <v>-0.31844460286717624</v>
      </c>
      <c r="AG17" s="36">
        <f>[1]SFI!$H17</f>
        <v>36304.737364031207</v>
      </c>
      <c r="AH17" s="31">
        <f t="shared" si="25"/>
        <v>31842.88514199177</v>
      </c>
      <c r="AI17" s="31">
        <f t="shared" si="26"/>
        <v>4461.8522220394352</v>
      </c>
      <c r="AJ17" s="31">
        <f t="shared" si="27"/>
        <v>32977.168949374747</v>
      </c>
      <c r="AK17" s="31"/>
      <c r="AL17" s="33">
        <v>32977.168949374747</v>
      </c>
      <c r="AM17" s="37">
        <f t="shared" si="5"/>
        <v>-9.1656589642574726E-2</v>
      </c>
      <c r="AN17" s="36">
        <f>[1]SFI!$I17</f>
        <v>36304.737364031207</v>
      </c>
      <c r="AO17" s="31">
        <f t="shared" si="28"/>
        <v>31842.88514199177</v>
      </c>
      <c r="AP17" s="31">
        <f t="shared" si="29"/>
        <v>4461.8522220394352</v>
      </c>
      <c r="AQ17" s="31">
        <f t="shared" si="30"/>
        <v>0</v>
      </c>
      <c r="AR17" s="31"/>
      <c r="AS17" s="33"/>
      <c r="AT17" s="37">
        <f t="shared" si="6"/>
        <v>-1</v>
      </c>
      <c r="AU17" s="36">
        <f>[1]SFI!$J17</f>
        <v>36304.737364031207</v>
      </c>
      <c r="AV17" s="31">
        <f t="shared" si="31"/>
        <v>31842.88514199177</v>
      </c>
      <c r="AW17" s="31">
        <f t="shared" si="32"/>
        <v>4461.8522220394352</v>
      </c>
      <c r="AX17" s="31">
        <f t="shared" si="33"/>
        <v>0</v>
      </c>
      <c r="AY17" s="31"/>
      <c r="AZ17" s="27"/>
      <c r="BA17" s="37">
        <f t="shared" si="7"/>
        <v>-1</v>
      </c>
      <c r="BB17" s="36">
        <f>[1]SFI!$K17</f>
        <v>36304.737364031207</v>
      </c>
      <c r="BC17" s="31">
        <f t="shared" si="34"/>
        <v>31842.88514199177</v>
      </c>
      <c r="BD17" s="31">
        <f t="shared" si="35"/>
        <v>4461.8522220394352</v>
      </c>
      <c r="BE17" s="31">
        <f t="shared" si="36"/>
        <v>0</v>
      </c>
      <c r="BF17" s="31"/>
      <c r="BG17" s="27"/>
      <c r="BH17" s="37">
        <f t="shared" si="8"/>
        <v>-1</v>
      </c>
      <c r="BI17" s="36">
        <f>[1]SFI!$L17</f>
        <v>36304.737364031207</v>
      </c>
      <c r="BJ17" s="31">
        <f t="shared" si="37"/>
        <v>31842.88514199177</v>
      </c>
      <c r="BK17" s="31">
        <f t="shared" si="38"/>
        <v>4461.8522220394352</v>
      </c>
      <c r="BL17" s="31">
        <f t="shared" si="39"/>
        <v>0</v>
      </c>
      <c r="BM17" s="31"/>
      <c r="BN17" s="33"/>
      <c r="BO17" s="37">
        <f t="shared" si="9"/>
        <v>-1</v>
      </c>
      <c r="BP17" s="36">
        <f>[1]SFI!$M17</f>
        <v>36304.737364031207</v>
      </c>
      <c r="BQ17" s="31">
        <f t="shared" si="40"/>
        <v>31842.88514199177</v>
      </c>
      <c r="BR17" s="31">
        <f t="shared" si="41"/>
        <v>4461.8522220394352</v>
      </c>
      <c r="BS17" s="31">
        <f t="shared" si="42"/>
        <v>0</v>
      </c>
      <c r="BT17" s="31"/>
      <c r="BU17" s="33"/>
      <c r="BV17" s="37">
        <f t="shared" si="10"/>
        <v>-1</v>
      </c>
      <c r="BW17" s="36">
        <f>[1]SFI!$N17</f>
        <v>36304.737364031207</v>
      </c>
      <c r="BX17" s="31">
        <f t="shared" si="43"/>
        <v>31842.88514199177</v>
      </c>
      <c r="BY17" s="31">
        <f t="shared" si="44"/>
        <v>4461.8522220394352</v>
      </c>
      <c r="BZ17" s="31">
        <f t="shared" si="45"/>
        <v>0</v>
      </c>
      <c r="CA17" s="31"/>
      <c r="CB17" s="33"/>
      <c r="CC17" s="37">
        <f t="shared" si="11"/>
        <v>-1</v>
      </c>
      <c r="CD17" s="36">
        <f>[1]SFI!$O17</f>
        <v>36304.737364031207</v>
      </c>
      <c r="CE17" s="31">
        <f t="shared" si="46"/>
        <v>31842.88514199177</v>
      </c>
      <c r="CF17" s="31">
        <f t="shared" si="47"/>
        <v>4461.8522220394352</v>
      </c>
      <c r="CG17" s="31">
        <f t="shared" si="48"/>
        <v>0</v>
      </c>
      <c r="CH17" s="31"/>
      <c r="CI17" s="33"/>
      <c r="CJ17" s="37">
        <f t="shared" si="12"/>
        <v>-1</v>
      </c>
      <c r="CK17" s="36">
        <f>[1]SFI!$P17</f>
        <v>36304.737364031207</v>
      </c>
      <c r="CL17" s="31">
        <f t="shared" si="49"/>
        <v>31842.88514199177</v>
      </c>
      <c r="CM17" s="31">
        <f t="shared" si="50"/>
        <v>4461.8522220394352</v>
      </c>
      <c r="CN17" s="31">
        <f t="shared" si="51"/>
        <v>0</v>
      </c>
      <c r="CO17" s="31"/>
      <c r="CP17" s="33"/>
      <c r="CQ17" s="37">
        <f t="shared" si="13"/>
        <v>-1</v>
      </c>
    </row>
    <row r="18" spans="1:95" s="26" customFormat="1" ht="16" customHeight="1" x14ac:dyDescent="0.2">
      <c r="A18" s="38" t="s">
        <v>42</v>
      </c>
      <c r="B18" s="30">
        <f t="shared" si="0"/>
        <v>57669.787169927331</v>
      </c>
      <c r="C18" s="31">
        <f t="shared" si="0"/>
        <v>50582.170326743268</v>
      </c>
      <c r="D18" s="32">
        <f t="shared" si="0"/>
        <v>7087.6168431840697</v>
      </c>
      <c r="E18" s="30">
        <f t="shared" si="14"/>
        <v>19223.262389975782</v>
      </c>
      <c r="F18" s="33">
        <f t="shared" si="14"/>
        <v>16860.72344224776</v>
      </c>
      <c r="G18" s="34">
        <f t="shared" si="14"/>
        <v>2362.5389477280237</v>
      </c>
      <c r="H18" s="31">
        <f t="shared" si="1"/>
        <v>9880.7033494446114</v>
      </c>
      <c r="I18" s="33">
        <f t="shared" si="1"/>
        <v>0</v>
      </c>
      <c r="J18" s="33">
        <f t="shared" si="1"/>
        <v>9880.7033494446114</v>
      </c>
      <c r="K18" s="37">
        <f t="shared" si="15"/>
        <v>-0.48600278407493247</v>
      </c>
      <c r="L18" s="36">
        <f>[1]SFI!$E18</f>
        <v>4805.8155974939455</v>
      </c>
      <c r="M18" s="31">
        <f t="shared" si="16"/>
        <v>4215.1808605619399</v>
      </c>
      <c r="N18" s="31">
        <f t="shared" si="17"/>
        <v>590.63473693200592</v>
      </c>
      <c r="O18" s="31">
        <f t="shared" si="18"/>
        <v>0</v>
      </c>
      <c r="P18" s="31"/>
      <c r="Q18" s="33">
        <v>0</v>
      </c>
      <c r="R18" s="37">
        <f t="shared" si="2"/>
        <v>-1</v>
      </c>
      <c r="S18" s="36">
        <f>[1]SFI!$F18</f>
        <v>4805.8155974939455</v>
      </c>
      <c r="T18" s="31">
        <f t="shared" si="19"/>
        <v>4215.1808605619399</v>
      </c>
      <c r="U18" s="31">
        <f t="shared" si="20"/>
        <v>590.63473693200592</v>
      </c>
      <c r="V18" s="31">
        <f t="shared" si="21"/>
        <v>0</v>
      </c>
      <c r="W18" s="31"/>
      <c r="X18" s="148">
        <v>0</v>
      </c>
      <c r="Y18" s="37">
        <f t="shared" si="3"/>
        <v>-1</v>
      </c>
      <c r="Z18" s="36">
        <f>[1]SFI!$G18</f>
        <v>4805.8155974939455</v>
      </c>
      <c r="AA18" s="31">
        <f t="shared" si="22"/>
        <v>4215.1808605619399</v>
      </c>
      <c r="AB18" s="31">
        <f t="shared" si="23"/>
        <v>590.63473693200592</v>
      </c>
      <c r="AC18" s="31">
        <f t="shared" si="24"/>
        <v>7277.3434141083926</v>
      </c>
      <c r="AD18" s="31"/>
      <c r="AE18" s="27">
        <v>7277.3434141083926</v>
      </c>
      <c r="AF18" s="37">
        <f t="shared" si="4"/>
        <v>0.5142785374252099</v>
      </c>
      <c r="AG18" s="36">
        <f>[1]SFI!$H18</f>
        <v>4805.8155974939455</v>
      </c>
      <c r="AH18" s="31">
        <f t="shared" si="25"/>
        <v>4215.1808605619399</v>
      </c>
      <c r="AI18" s="31">
        <f t="shared" si="26"/>
        <v>590.63473693200592</v>
      </c>
      <c r="AJ18" s="31">
        <f t="shared" si="27"/>
        <v>2603.3599353362192</v>
      </c>
      <c r="AK18" s="31"/>
      <c r="AL18" s="33">
        <v>2603.3599353362192</v>
      </c>
      <c r="AM18" s="37">
        <f t="shared" si="5"/>
        <v>-0.45828967372493967</v>
      </c>
      <c r="AN18" s="36">
        <f>[1]SFI!$I18</f>
        <v>4805.8155974939455</v>
      </c>
      <c r="AO18" s="31">
        <f t="shared" si="28"/>
        <v>4215.1808605619399</v>
      </c>
      <c r="AP18" s="31">
        <f t="shared" si="29"/>
        <v>590.63473693200592</v>
      </c>
      <c r="AQ18" s="31">
        <f t="shared" si="30"/>
        <v>0</v>
      </c>
      <c r="AR18" s="31"/>
      <c r="AS18" s="33"/>
      <c r="AT18" s="37">
        <f t="shared" si="6"/>
        <v>-1</v>
      </c>
      <c r="AU18" s="36">
        <f>[1]SFI!$J18</f>
        <v>4805.8155974939455</v>
      </c>
      <c r="AV18" s="31">
        <f t="shared" si="31"/>
        <v>4215.1808605619399</v>
      </c>
      <c r="AW18" s="31">
        <f t="shared" si="32"/>
        <v>590.63473693200592</v>
      </c>
      <c r="AX18" s="31">
        <f t="shared" si="33"/>
        <v>0</v>
      </c>
      <c r="AY18" s="31"/>
      <c r="AZ18" s="27"/>
      <c r="BA18" s="37">
        <f t="shared" si="7"/>
        <v>-1</v>
      </c>
      <c r="BB18" s="36">
        <f>[1]SFI!$K18</f>
        <v>4805.8155974939455</v>
      </c>
      <c r="BC18" s="31">
        <f t="shared" si="34"/>
        <v>4215.1808605619399</v>
      </c>
      <c r="BD18" s="31">
        <f t="shared" si="35"/>
        <v>590.63473693200592</v>
      </c>
      <c r="BE18" s="31">
        <f t="shared" si="36"/>
        <v>0</v>
      </c>
      <c r="BF18" s="31"/>
      <c r="BG18" s="27"/>
      <c r="BH18" s="37">
        <f t="shared" si="8"/>
        <v>-1</v>
      </c>
      <c r="BI18" s="36">
        <f>[1]SFI!$L18</f>
        <v>4805.8155974939455</v>
      </c>
      <c r="BJ18" s="31">
        <f t="shared" si="37"/>
        <v>4215.1808605619399</v>
      </c>
      <c r="BK18" s="31">
        <f t="shared" si="38"/>
        <v>590.63473693200592</v>
      </c>
      <c r="BL18" s="31">
        <f t="shared" si="39"/>
        <v>0</v>
      </c>
      <c r="BM18" s="31"/>
      <c r="BN18" s="33"/>
      <c r="BO18" s="37">
        <f t="shared" si="9"/>
        <v>-1</v>
      </c>
      <c r="BP18" s="36">
        <f>[1]SFI!$M18</f>
        <v>4805.8155974939455</v>
      </c>
      <c r="BQ18" s="31">
        <f t="shared" si="40"/>
        <v>4215.1808605619399</v>
      </c>
      <c r="BR18" s="31">
        <f t="shared" si="41"/>
        <v>590.63473693200592</v>
      </c>
      <c r="BS18" s="31">
        <f t="shared" si="42"/>
        <v>0</v>
      </c>
      <c r="BT18" s="31"/>
      <c r="BU18" s="33"/>
      <c r="BV18" s="37">
        <f t="shared" si="10"/>
        <v>-1</v>
      </c>
      <c r="BW18" s="36">
        <f>[1]SFI!$N18</f>
        <v>4805.8155974939455</v>
      </c>
      <c r="BX18" s="31">
        <f t="shared" si="43"/>
        <v>4215.1808605619399</v>
      </c>
      <c r="BY18" s="31">
        <f t="shared" si="44"/>
        <v>590.63473693200592</v>
      </c>
      <c r="BZ18" s="31">
        <f t="shared" si="45"/>
        <v>0</v>
      </c>
      <c r="CA18" s="31"/>
      <c r="CB18" s="33"/>
      <c r="CC18" s="37">
        <f t="shared" si="11"/>
        <v>-1</v>
      </c>
      <c r="CD18" s="36">
        <f>[1]SFI!$O18</f>
        <v>4805.8155974939455</v>
      </c>
      <c r="CE18" s="31">
        <f t="shared" si="46"/>
        <v>4215.1808605619399</v>
      </c>
      <c r="CF18" s="31">
        <f t="shared" si="47"/>
        <v>590.63473693200592</v>
      </c>
      <c r="CG18" s="31">
        <f t="shared" si="48"/>
        <v>0</v>
      </c>
      <c r="CH18" s="31"/>
      <c r="CI18" s="33"/>
      <c r="CJ18" s="37">
        <f t="shared" si="12"/>
        <v>-1</v>
      </c>
      <c r="CK18" s="36">
        <f>[1]SFI!$P18</f>
        <v>4805.8155974939455</v>
      </c>
      <c r="CL18" s="31">
        <f t="shared" si="49"/>
        <v>4215.1808605619399</v>
      </c>
      <c r="CM18" s="31">
        <f t="shared" si="50"/>
        <v>590.63473693200592</v>
      </c>
      <c r="CN18" s="31">
        <f t="shared" si="51"/>
        <v>0</v>
      </c>
      <c r="CO18" s="31"/>
      <c r="CP18" s="33"/>
      <c r="CQ18" s="37">
        <f t="shared" si="13"/>
        <v>-1</v>
      </c>
    </row>
    <row r="19" spans="1:95" s="26" customFormat="1" ht="16" customHeight="1" x14ac:dyDescent="0.2">
      <c r="A19" s="38" t="s">
        <v>43</v>
      </c>
      <c r="B19" s="30">
        <f t="shared" si="0"/>
        <v>25011.530922089409</v>
      </c>
      <c r="C19" s="31">
        <f t="shared" si="0"/>
        <v>21937.613771764616</v>
      </c>
      <c r="D19" s="32">
        <f t="shared" si="0"/>
        <v>3073.9171503247871</v>
      </c>
      <c r="E19" s="30">
        <f t="shared" si="14"/>
        <v>8337.1769740298005</v>
      </c>
      <c r="F19" s="33">
        <f t="shared" si="14"/>
        <v>7312.5379239215381</v>
      </c>
      <c r="G19" s="34">
        <f t="shared" si="14"/>
        <v>1024.6390501082624</v>
      </c>
      <c r="H19" s="31">
        <f t="shared" si="1"/>
        <v>12645.3236555977</v>
      </c>
      <c r="I19" s="33">
        <f t="shared" si="1"/>
        <v>0</v>
      </c>
      <c r="J19" s="33">
        <f t="shared" si="1"/>
        <v>12645.3236555977</v>
      </c>
      <c r="K19" s="37">
        <f t="shared" si="15"/>
        <v>0.51673926258105363</v>
      </c>
      <c r="L19" s="36">
        <f>[1]SFI!$E19</f>
        <v>2084.2942435074501</v>
      </c>
      <c r="M19" s="31">
        <f t="shared" si="16"/>
        <v>1828.1344809803845</v>
      </c>
      <c r="N19" s="31">
        <f t="shared" si="17"/>
        <v>256.1597625270656</v>
      </c>
      <c r="O19" s="31">
        <f t="shared" si="18"/>
        <v>3000.7727338119785</v>
      </c>
      <c r="P19" s="31"/>
      <c r="Q19" s="33">
        <v>3000.7727338119785</v>
      </c>
      <c r="R19" s="37">
        <f t="shared" si="2"/>
        <v>0.4397068663214645</v>
      </c>
      <c r="S19" s="36">
        <f>[1]SFI!$F19</f>
        <v>2084.2942435074501</v>
      </c>
      <c r="T19" s="31">
        <f t="shared" si="19"/>
        <v>1828.1344809803845</v>
      </c>
      <c r="U19" s="31">
        <f t="shared" si="20"/>
        <v>256.1597625270656</v>
      </c>
      <c r="V19" s="31">
        <f t="shared" si="21"/>
        <v>3733.0360356808096</v>
      </c>
      <c r="W19" s="31"/>
      <c r="X19" s="148">
        <v>3733.0360356808096</v>
      </c>
      <c r="Y19" s="37">
        <f t="shared" si="3"/>
        <v>0.79103120747426581</v>
      </c>
      <c r="Z19" s="36">
        <f>[1]SFI!$G19</f>
        <v>2084.2942435074501</v>
      </c>
      <c r="AA19" s="31">
        <f t="shared" si="22"/>
        <v>1828.1344809803845</v>
      </c>
      <c r="AB19" s="31">
        <f t="shared" si="23"/>
        <v>256.1597625270656</v>
      </c>
      <c r="AC19" s="31">
        <f t="shared" si="24"/>
        <v>2504.9220032691246</v>
      </c>
      <c r="AD19" s="31"/>
      <c r="AE19" s="27">
        <v>2504.9220032691246</v>
      </c>
      <c r="AF19" s="37">
        <f t="shared" si="4"/>
        <v>0.20180824328039315</v>
      </c>
      <c r="AG19" s="36">
        <f>[1]SFI!$H19</f>
        <v>2084.2942435074501</v>
      </c>
      <c r="AH19" s="31">
        <f t="shared" si="25"/>
        <v>1828.1344809803845</v>
      </c>
      <c r="AI19" s="31">
        <f t="shared" si="26"/>
        <v>256.1597625270656</v>
      </c>
      <c r="AJ19" s="31">
        <f t="shared" si="27"/>
        <v>3406.5928828357887</v>
      </c>
      <c r="AK19" s="31"/>
      <c r="AL19" s="33">
        <v>3406.5928828357887</v>
      </c>
      <c r="AM19" s="37">
        <f t="shared" si="5"/>
        <v>0.63441073324809194</v>
      </c>
      <c r="AN19" s="36">
        <f>[1]SFI!$I19</f>
        <v>2084.2942435074501</v>
      </c>
      <c r="AO19" s="31">
        <f t="shared" si="28"/>
        <v>1828.1344809803845</v>
      </c>
      <c r="AP19" s="31">
        <f t="shared" si="29"/>
        <v>256.1597625270656</v>
      </c>
      <c r="AQ19" s="31">
        <f t="shared" si="30"/>
        <v>0</v>
      </c>
      <c r="AR19" s="31"/>
      <c r="AS19" s="33"/>
      <c r="AT19" s="37">
        <f t="shared" si="6"/>
        <v>-1</v>
      </c>
      <c r="AU19" s="36">
        <f>[1]SFI!$J19</f>
        <v>2084.2942435074501</v>
      </c>
      <c r="AV19" s="31">
        <f t="shared" si="31"/>
        <v>1828.1344809803845</v>
      </c>
      <c r="AW19" s="31">
        <f t="shared" si="32"/>
        <v>256.1597625270656</v>
      </c>
      <c r="AX19" s="31">
        <f t="shared" si="33"/>
        <v>0</v>
      </c>
      <c r="AY19" s="31"/>
      <c r="AZ19" s="27"/>
      <c r="BA19" s="37">
        <f t="shared" si="7"/>
        <v>-1</v>
      </c>
      <c r="BB19" s="36">
        <f>[1]SFI!$K19</f>
        <v>2084.2942435074501</v>
      </c>
      <c r="BC19" s="31">
        <f t="shared" si="34"/>
        <v>1828.1344809803845</v>
      </c>
      <c r="BD19" s="31">
        <f t="shared" si="35"/>
        <v>256.1597625270656</v>
      </c>
      <c r="BE19" s="31">
        <f t="shared" si="36"/>
        <v>0</v>
      </c>
      <c r="BF19" s="31"/>
      <c r="BG19" s="27"/>
      <c r="BH19" s="37">
        <f t="shared" si="8"/>
        <v>-1</v>
      </c>
      <c r="BI19" s="36">
        <f>[1]SFI!$L19</f>
        <v>2084.2942435074501</v>
      </c>
      <c r="BJ19" s="31">
        <f t="shared" si="37"/>
        <v>1828.1344809803845</v>
      </c>
      <c r="BK19" s="31">
        <f t="shared" si="38"/>
        <v>256.1597625270656</v>
      </c>
      <c r="BL19" s="31">
        <f t="shared" si="39"/>
        <v>0</v>
      </c>
      <c r="BM19" s="31"/>
      <c r="BN19" s="33"/>
      <c r="BO19" s="37">
        <f t="shared" si="9"/>
        <v>-1</v>
      </c>
      <c r="BP19" s="36">
        <f>[1]SFI!$M19</f>
        <v>2084.2942435074501</v>
      </c>
      <c r="BQ19" s="31">
        <f t="shared" si="40"/>
        <v>1828.1344809803845</v>
      </c>
      <c r="BR19" s="31">
        <f t="shared" si="41"/>
        <v>256.1597625270656</v>
      </c>
      <c r="BS19" s="31">
        <f t="shared" si="42"/>
        <v>0</v>
      </c>
      <c r="BT19" s="31"/>
      <c r="BU19" s="33"/>
      <c r="BV19" s="37">
        <f t="shared" si="10"/>
        <v>-1</v>
      </c>
      <c r="BW19" s="36">
        <f>[1]SFI!$N19</f>
        <v>2084.2942435074501</v>
      </c>
      <c r="BX19" s="31">
        <f t="shared" si="43"/>
        <v>1828.1344809803845</v>
      </c>
      <c r="BY19" s="31">
        <f t="shared" si="44"/>
        <v>256.1597625270656</v>
      </c>
      <c r="BZ19" s="31">
        <f t="shared" si="45"/>
        <v>0</v>
      </c>
      <c r="CA19" s="31"/>
      <c r="CB19" s="33"/>
      <c r="CC19" s="37">
        <f t="shared" si="11"/>
        <v>-1</v>
      </c>
      <c r="CD19" s="36">
        <f>[1]SFI!$O19</f>
        <v>2084.2942435074501</v>
      </c>
      <c r="CE19" s="31">
        <f t="shared" si="46"/>
        <v>1828.1344809803845</v>
      </c>
      <c r="CF19" s="31">
        <f t="shared" si="47"/>
        <v>256.1597625270656</v>
      </c>
      <c r="CG19" s="31">
        <f t="shared" si="48"/>
        <v>0</v>
      </c>
      <c r="CH19" s="31"/>
      <c r="CI19" s="33"/>
      <c r="CJ19" s="37">
        <f t="shared" si="12"/>
        <v>-1</v>
      </c>
      <c r="CK19" s="36">
        <f>[1]SFI!$P19</f>
        <v>2084.2942435074501</v>
      </c>
      <c r="CL19" s="31">
        <f t="shared" si="49"/>
        <v>1828.1344809803845</v>
      </c>
      <c r="CM19" s="31">
        <f t="shared" si="50"/>
        <v>256.1597625270656</v>
      </c>
      <c r="CN19" s="31">
        <f t="shared" si="51"/>
        <v>0</v>
      </c>
      <c r="CO19" s="31"/>
      <c r="CP19" s="33"/>
      <c r="CQ19" s="37">
        <f t="shared" si="13"/>
        <v>-1</v>
      </c>
    </row>
    <row r="20" spans="1:95" s="26" customFormat="1" ht="16" customHeight="1" x14ac:dyDescent="0.2">
      <c r="A20" s="29" t="s">
        <v>44</v>
      </c>
      <c r="B20" s="30">
        <f t="shared" si="0"/>
        <v>362881.02047999908</v>
      </c>
      <c r="C20" s="31">
        <f t="shared" si="0"/>
        <v>318282.94306300703</v>
      </c>
      <c r="D20" s="32">
        <f t="shared" si="0"/>
        <v>44598.077416991866</v>
      </c>
      <c r="E20" s="30">
        <f t="shared" si="14"/>
        <v>147644.26047999901</v>
      </c>
      <c r="F20" s="33">
        <f t="shared" si="14"/>
        <v>129498.78086700712</v>
      </c>
      <c r="G20" s="34">
        <f t="shared" si="14"/>
        <v>18145.479612991876</v>
      </c>
      <c r="H20" s="31">
        <f t="shared" si="1"/>
        <v>132182.41546476883</v>
      </c>
      <c r="I20" s="33">
        <f t="shared" si="1"/>
        <v>0</v>
      </c>
      <c r="J20" s="33">
        <f t="shared" si="1"/>
        <v>132182.41546476883</v>
      </c>
      <c r="K20" s="37">
        <f t="shared" si="15"/>
        <v>-0.10472364428500602</v>
      </c>
      <c r="L20" s="36">
        <f>[1]SFI!$E20</f>
        <v>0</v>
      </c>
      <c r="M20" s="31">
        <f t="shared" si="16"/>
        <v>0</v>
      </c>
      <c r="N20" s="31">
        <f t="shared" si="17"/>
        <v>0</v>
      </c>
      <c r="O20" s="31">
        <f t="shared" si="18"/>
        <v>16814.400000000001</v>
      </c>
      <c r="P20" s="31"/>
      <c r="Q20" s="33">
        <v>16814.400000000001</v>
      </c>
      <c r="R20" s="37" t="str">
        <f t="shared" si="2"/>
        <v/>
      </c>
      <c r="S20" s="36">
        <f>[1]SFI!$F20</f>
        <v>0</v>
      </c>
      <c r="T20" s="31">
        <f t="shared" si="19"/>
        <v>0</v>
      </c>
      <c r="U20" s="31">
        <f t="shared" si="20"/>
        <v>0</v>
      </c>
      <c r="V20" s="31">
        <f t="shared" si="21"/>
        <v>4308.99</v>
      </c>
      <c r="W20" s="31"/>
      <c r="X20" s="148">
        <v>4308.99</v>
      </c>
      <c r="Y20" s="37" t="str">
        <f t="shared" si="3"/>
        <v/>
      </c>
      <c r="Z20" s="36">
        <f>[1]SFI!$G20</f>
        <v>147644.26047999901</v>
      </c>
      <c r="AA20" s="31">
        <f t="shared" si="22"/>
        <v>129498.78086700712</v>
      </c>
      <c r="AB20" s="31">
        <f t="shared" si="23"/>
        <v>18145.479612991876</v>
      </c>
      <c r="AC20" s="31">
        <f t="shared" si="24"/>
        <v>46719.430000000008</v>
      </c>
      <c r="AD20" s="31"/>
      <c r="AE20" s="27">
        <v>46719.430000000008</v>
      </c>
      <c r="AF20" s="37">
        <f t="shared" si="4"/>
        <v>-0.68356758435368392</v>
      </c>
      <c r="AG20" s="36">
        <f>[1]SFI!$H20</f>
        <v>0</v>
      </c>
      <c r="AH20" s="31">
        <f t="shared" si="25"/>
        <v>0</v>
      </c>
      <c r="AI20" s="31">
        <f t="shared" si="26"/>
        <v>0</v>
      </c>
      <c r="AJ20" s="31">
        <f t="shared" si="27"/>
        <v>64339.595464768805</v>
      </c>
      <c r="AK20" s="31"/>
      <c r="AL20" s="33">
        <v>64339.595464768805</v>
      </c>
      <c r="AM20" s="37" t="str">
        <f t="shared" si="5"/>
        <v/>
      </c>
      <c r="AN20" s="36">
        <f>[1]SFI!$I20</f>
        <v>4984.0624399999997</v>
      </c>
      <c r="AO20" s="31">
        <f t="shared" si="28"/>
        <v>4371.521166124</v>
      </c>
      <c r="AP20" s="31">
        <f t="shared" si="29"/>
        <v>612.54127387599999</v>
      </c>
      <c r="AQ20" s="31">
        <f t="shared" si="30"/>
        <v>0</v>
      </c>
      <c r="AR20" s="31"/>
      <c r="AS20" s="33"/>
      <c r="AT20" s="37">
        <f t="shared" si="6"/>
        <v>-1</v>
      </c>
      <c r="AU20" s="36">
        <f>[1]SFI!$J20</f>
        <v>4984.0624399999997</v>
      </c>
      <c r="AV20" s="31">
        <f t="shared" si="31"/>
        <v>4371.521166124</v>
      </c>
      <c r="AW20" s="31">
        <f t="shared" si="32"/>
        <v>612.54127387599999</v>
      </c>
      <c r="AX20" s="31">
        <f t="shared" si="33"/>
        <v>0</v>
      </c>
      <c r="AY20" s="31"/>
      <c r="AZ20" s="27"/>
      <c r="BA20" s="37">
        <f t="shared" si="7"/>
        <v>-1</v>
      </c>
      <c r="BB20" s="36">
        <f>[1]SFI!$K20</f>
        <v>81896.062439999994</v>
      </c>
      <c r="BC20" s="31">
        <f t="shared" si="34"/>
        <v>71831.036366123997</v>
      </c>
      <c r="BD20" s="31">
        <f t="shared" si="35"/>
        <v>10065.026073875999</v>
      </c>
      <c r="BE20" s="31">
        <f t="shared" si="36"/>
        <v>0</v>
      </c>
      <c r="BF20" s="31"/>
      <c r="BG20" s="27"/>
      <c r="BH20" s="37">
        <f t="shared" si="8"/>
        <v>-1</v>
      </c>
      <c r="BI20" s="36">
        <f>[1]SFI!$L20</f>
        <v>12103.322920000001</v>
      </c>
      <c r="BJ20" s="31">
        <f t="shared" si="37"/>
        <v>10615.824533132001</v>
      </c>
      <c r="BK20" s="31">
        <f t="shared" si="38"/>
        <v>1487.4983868679999</v>
      </c>
      <c r="BL20" s="31">
        <f t="shared" si="39"/>
        <v>0</v>
      </c>
      <c r="BM20" s="31"/>
      <c r="BN20" s="33"/>
      <c r="BO20" s="37">
        <f t="shared" si="9"/>
        <v>-1</v>
      </c>
      <c r="BP20" s="36">
        <f>[1]SFI!$M20</f>
        <v>96317.062439999994</v>
      </c>
      <c r="BQ20" s="31">
        <f t="shared" si="40"/>
        <v>84479.695466124002</v>
      </c>
      <c r="BR20" s="31">
        <f t="shared" si="41"/>
        <v>11837.366973875998</v>
      </c>
      <c r="BS20" s="31">
        <f t="shared" si="42"/>
        <v>0</v>
      </c>
      <c r="BT20" s="31"/>
      <c r="BU20" s="33"/>
      <c r="BV20" s="37">
        <f t="shared" si="10"/>
        <v>-1</v>
      </c>
      <c r="BW20" s="36">
        <f>[1]SFI!$N20</f>
        <v>4984.0624399999997</v>
      </c>
      <c r="BX20" s="31">
        <f t="shared" si="43"/>
        <v>4371.521166124</v>
      </c>
      <c r="BY20" s="31">
        <f t="shared" si="44"/>
        <v>612.54127387599999</v>
      </c>
      <c r="BZ20" s="31">
        <f t="shared" si="45"/>
        <v>0</v>
      </c>
      <c r="CA20" s="31"/>
      <c r="CB20" s="33"/>
      <c r="CC20" s="37">
        <f t="shared" si="11"/>
        <v>-1</v>
      </c>
      <c r="CD20" s="36">
        <f>[1]SFI!$O20</f>
        <v>4984.0624399999997</v>
      </c>
      <c r="CE20" s="31">
        <f t="shared" si="46"/>
        <v>4371.521166124</v>
      </c>
      <c r="CF20" s="31">
        <f t="shared" si="47"/>
        <v>612.54127387599999</v>
      </c>
      <c r="CG20" s="31">
        <f t="shared" si="48"/>
        <v>0</v>
      </c>
      <c r="CH20" s="31"/>
      <c r="CI20" s="33"/>
      <c r="CJ20" s="37">
        <f t="shared" si="12"/>
        <v>-1</v>
      </c>
      <c r="CK20" s="36">
        <f>[1]SFI!$P20</f>
        <v>4984.0624399999997</v>
      </c>
      <c r="CL20" s="31">
        <f t="shared" si="49"/>
        <v>4371.521166124</v>
      </c>
      <c r="CM20" s="31">
        <f t="shared" si="50"/>
        <v>612.54127387599999</v>
      </c>
      <c r="CN20" s="31">
        <f t="shared" si="51"/>
        <v>0</v>
      </c>
      <c r="CO20" s="31"/>
      <c r="CP20" s="33"/>
      <c r="CQ20" s="37">
        <f t="shared" si="13"/>
        <v>-1</v>
      </c>
    </row>
    <row r="21" spans="1:95" s="26" customFormat="1" ht="16" customHeight="1" x14ac:dyDescent="0.2">
      <c r="A21" s="38" t="s">
        <v>45</v>
      </c>
      <c r="B21" s="30">
        <f t="shared" si="0"/>
        <v>0</v>
      </c>
      <c r="C21" s="31">
        <f t="shared" si="0"/>
        <v>0</v>
      </c>
      <c r="D21" s="32">
        <f t="shared" si="0"/>
        <v>0</v>
      </c>
      <c r="E21" s="30">
        <f t="shared" si="14"/>
        <v>0</v>
      </c>
      <c r="F21" s="33">
        <f t="shared" si="14"/>
        <v>0</v>
      </c>
      <c r="G21" s="34">
        <f t="shared" si="14"/>
        <v>0</v>
      </c>
      <c r="H21" s="31">
        <f t="shared" si="1"/>
        <v>53074.689999999995</v>
      </c>
      <c r="I21" s="33">
        <f t="shared" si="1"/>
        <v>0</v>
      </c>
      <c r="J21" s="33">
        <f t="shared" si="1"/>
        <v>53074.689999999995</v>
      </c>
      <c r="K21" s="37" t="str">
        <f t="shared" si="15"/>
        <v/>
      </c>
      <c r="L21" s="36">
        <f>[1]SFI!$E21</f>
        <v>0</v>
      </c>
      <c r="M21" s="31">
        <f t="shared" si="16"/>
        <v>0</v>
      </c>
      <c r="N21" s="31">
        <f t="shared" si="17"/>
        <v>0</v>
      </c>
      <c r="O21" s="31">
        <f t="shared" si="18"/>
        <v>23423.09</v>
      </c>
      <c r="P21" s="31"/>
      <c r="Q21" s="33">
        <v>23423.09</v>
      </c>
      <c r="R21" s="37" t="str">
        <f t="shared" si="2"/>
        <v/>
      </c>
      <c r="S21" s="36">
        <f>[1]SFI!$F21</f>
        <v>0</v>
      </c>
      <c r="T21" s="31">
        <f t="shared" si="19"/>
        <v>0</v>
      </c>
      <c r="U21" s="31">
        <f t="shared" si="20"/>
        <v>0</v>
      </c>
      <c r="V21" s="31">
        <f t="shared" si="21"/>
        <v>16870</v>
      </c>
      <c r="W21" s="31"/>
      <c r="X21" s="148">
        <v>16870</v>
      </c>
      <c r="Y21" s="37" t="str">
        <f t="shared" si="3"/>
        <v/>
      </c>
      <c r="Z21" s="36">
        <f>[1]SFI!$G21</f>
        <v>0</v>
      </c>
      <c r="AA21" s="31">
        <f t="shared" si="22"/>
        <v>0</v>
      </c>
      <c r="AB21" s="31">
        <f t="shared" si="23"/>
        <v>0</v>
      </c>
      <c r="AC21" s="31">
        <f t="shared" si="24"/>
        <v>12481.6</v>
      </c>
      <c r="AD21" s="31"/>
      <c r="AE21" s="27">
        <v>12481.6</v>
      </c>
      <c r="AF21" s="37" t="str">
        <f t="shared" si="4"/>
        <v/>
      </c>
      <c r="AG21" s="36">
        <f>[1]SFI!$H21</f>
        <v>0</v>
      </c>
      <c r="AH21" s="31">
        <f t="shared" si="25"/>
        <v>0</v>
      </c>
      <c r="AI21" s="31">
        <f t="shared" si="26"/>
        <v>0</v>
      </c>
      <c r="AJ21" s="31">
        <f t="shared" si="27"/>
        <v>300</v>
      </c>
      <c r="AK21" s="31"/>
      <c r="AL21" s="33">
        <v>300</v>
      </c>
      <c r="AM21" s="37" t="str">
        <f t="shared" si="5"/>
        <v/>
      </c>
      <c r="AN21" s="36">
        <f>[1]SFI!$I21</f>
        <v>0</v>
      </c>
      <c r="AO21" s="31">
        <f t="shared" si="28"/>
        <v>0</v>
      </c>
      <c r="AP21" s="31">
        <f t="shared" si="29"/>
        <v>0</v>
      </c>
      <c r="AQ21" s="31">
        <f t="shared" si="30"/>
        <v>0</v>
      </c>
      <c r="AR21" s="31"/>
      <c r="AS21" s="33"/>
      <c r="AT21" s="37" t="str">
        <f t="shared" si="6"/>
        <v/>
      </c>
      <c r="AU21" s="36">
        <f>[1]SFI!$J21</f>
        <v>0</v>
      </c>
      <c r="AV21" s="31">
        <f t="shared" si="31"/>
        <v>0</v>
      </c>
      <c r="AW21" s="31">
        <f t="shared" si="32"/>
        <v>0</v>
      </c>
      <c r="AX21" s="31">
        <f t="shared" si="33"/>
        <v>0</v>
      </c>
      <c r="AY21" s="31"/>
      <c r="AZ21" s="27"/>
      <c r="BA21" s="37" t="str">
        <f t="shared" si="7"/>
        <v/>
      </c>
      <c r="BB21" s="36">
        <f>[1]SFI!$K21</f>
        <v>0</v>
      </c>
      <c r="BC21" s="31">
        <f t="shared" si="34"/>
        <v>0</v>
      </c>
      <c r="BD21" s="31">
        <f t="shared" si="35"/>
        <v>0</v>
      </c>
      <c r="BE21" s="31">
        <f t="shared" si="36"/>
        <v>0</v>
      </c>
      <c r="BF21" s="31"/>
      <c r="BG21" s="27"/>
      <c r="BH21" s="37" t="str">
        <f t="shared" si="8"/>
        <v/>
      </c>
      <c r="BI21" s="36">
        <f>[1]SFI!$L21</f>
        <v>0</v>
      </c>
      <c r="BJ21" s="31">
        <f t="shared" si="37"/>
        <v>0</v>
      </c>
      <c r="BK21" s="31">
        <f t="shared" si="38"/>
        <v>0</v>
      </c>
      <c r="BL21" s="31">
        <f t="shared" si="39"/>
        <v>0</v>
      </c>
      <c r="BM21" s="31"/>
      <c r="BN21" s="33"/>
      <c r="BO21" s="37" t="str">
        <f t="shared" si="9"/>
        <v/>
      </c>
      <c r="BP21" s="36">
        <f>[1]SFI!$M21</f>
        <v>0</v>
      </c>
      <c r="BQ21" s="31">
        <f t="shared" si="40"/>
        <v>0</v>
      </c>
      <c r="BR21" s="31">
        <f t="shared" si="41"/>
        <v>0</v>
      </c>
      <c r="BS21" s="31">
        <f t="shared" si="42"/>
        <v>0</v>
      </c>
      <c r="BT21" s="31"/>
      <c r="BU21" s="33"/>
      <c r="BV21" s="37" t="str">
        <f t="shared" si="10"/>
        <v/>
      </c>
      <c r="BW21" s="36">
        <f>[1]SFI!$N21</f>
        <v>0</v>
      </c>
      <c r="BX21" s="31">
        <f t="shared" si="43"/>
        <v>0</v>
      </c>
      <c r="BY21" s="31">
        <f t="shared" si="44"/>
        <v>0</v>
      </c>
      <c r="BZ21" s="31">
        <f t="shared" si="45"/>
        <v>0</v>
      </c>
      <c r="CA21" s="31"/>
      <c r="CB21" s="33"/>
      <c r="CC21" s="37" t="str">
        <f t="shared" si="11"/>
        <v/>
      </c>
      <c r="CD21" s="36">
        <f>[1]SFI!$O21</f>
        <v>0</v>
      </c>
      <c r="CE21" s="31">
        <f t="shared" si="46"/>
        <v>0</v>
      </c>
      <c r="CF21" s="31">
        <f t="shared" si="47"/>
        <v>0</v>
      </c>
      <c r="CG21" s="31">
        <f t="shared" si="48"/>
        <v>0</v>
      </c>
      <c r="CH21" s="31"/>
      <c r="CI21" s="33"/>
      <c r="CJ21" s="37" t="str">
        <f t="shared" si="12"/>
        <v/>
      </c>
      <c r="CK21" s="36">
        <f>[1]SFI!$P21</f>
        <v>0</v>
      </c>
      <c r="CL21" s="31">
        <f t="shared" si="49"/>
        <v>0</v>
      </c>
      <c r="CM21" s="31">
        <f t="shared" si="50"/>
        <v>0</v>
      </c>
      <c r="CN21" s="31">
        <f t="shared" si="51"/>
        <v>0</v>
      </c>
      <c r="CO21" s="31"/>
      <c r="CP21" s="33"/>
      <c r="CQ21" s="37" t="str">
        <f t="shared" si="13"/>
        <v/>
      </c>
    </row>
    <row r="22" spans="1:95" s="26" customFormat="1" ht="16" customHeight="1" x14ac:dyDescent="0.2">
      <c r="A22" s="38" t="s">
        <v>46</v>
      </c>
      <c r="B22" s="30">
        <f t="shared" si="0"/>
        <v>169760.304</v>
      </c>
      <c r="C22" s="31">
        <f t="shared" si="0"/>
        <v>148896.76263839999</v>
      </c>
      <c r="D22" s="32">
        <f t="shared" si="0"/>
        <v>20863.541361600001</v>
      </c>
      <c r="E22" s="30">
        <f t="shared" si="14"/>
        <v>56586.767999999996</v>
      </c>
      <c r="F22" s="33">
        <f t="shared" si="14"/>
        <v>49632.254212799999</v>
      </c>
      <c r="G22" s="34">
        <f t="shared" si="14"/>
        <v>6954.5137871999996</v>
      </c>
      <c r="H22" s="31">
        <f t="shared" si="1"/>
        <v>104356.33597859618</v>
      </c>
      <c r="I22" s="33">
        <f t="shared" si="1"/>
        <v>0</v>
      </c>
      <c r="J22" s="33">
        <f t="shared" si="1"/>
        <v>104356.33597859618</v>
      </c>
      <c r="K22" s="37">
        <f t="shared" si="15"/>
        <v>0.84418265377157065</v>
      </c>
      <c r="L22" s="36">
        <f>[1]SFI!$E22</f>
        <v>14146.691999999999</v>
      </c>
      <c r="M22" s="31">
        <f t="shared" si="16"/>
        <v>12408.0635532</v>
      </c>
      <c r="N22" s="31">
        <f t="shared" si="17"/>
        <v>1738.6284467999999</v>
      </c>
      <c r="O22" s="31">
        <f t="shared" si="18"/>
        <v>0</v>
      </c>
      <c r="P22" s="31"/>
      <c r="Q22" s="33">
        <v>0</v>
      </c>
      <c r="R22" s="37">
        <f t="shared" si="2"/>
        <v>-1</v>
      </c>
      <c r="S22" s="36">
        <f>[1]SFI!$F22</f>
        <v>14146.691999999999</v>
      </c>
      <c r="T22" s="31">
        <f t="shared" si="19"/>
        <v>12408.0635532</v>
      </c>
      <c r="U22" s="31">
        <f t="shared" si="20"/>
        <v>1738.6284467999999</v>
      </c>
      <c r="V22" s="31">
        <f t="shared" si="21"/>
        <v>83188.222531953827</v>
      </c>
      <c r="W22" s="31"/>
      <c r="X22" s="148">
        <v>83188.222531953827</v>
      </c>
      <c r="Y22" s="37">
        <f t="shared" si="3"/>
        <v>4.8804010529071977</v>
      </c>
      <c r="Z22" s="36">
        <f>[1]SFI!$G22</f>
        <v>14146.691999999999</v>
      </c>
      <c r="AA22" s="31">
        <f t="shared" si="22"/>
        <v>12408.0635532</v>
      </c>
      <c r="AB22" s="31">
        <f t="shared" si="23"/>
        <v>1738.6284467999999</v>
      </c>
      <c r="AC22" s="31">
        <f t="shared" si="24"/>
        <v>21168.113446642361</v>
      </c>
      <c r="AD22" s="31"/>
      <c r="AE22" s="27">
        <v>21168.113446642361</v>
      </c>
      <c r="AF22" s="37">
        <f t="shared" si="4"/>
        <v>0.49632956217908486</v>
      </c>
      <c r="AG22" s="36">
        <f>[1]SFI!$H22</f>
        <v>14146.691999999999</v>
      </c>
      <c r="AH22" s="31">
        <f t="shared" si="25"/>
        <v>12408.0635532</v>
      </c>
      <c r="AI22" s="31">
        <f t="shared" si="26"/>
        <v>1738.6284467999999</v>
      </c>
      <c r="AJ22" s="31">
        <f t="shared" si="27"/>
        <v>0</v>
      </c>
      <c r="AK22" s="31"/>
      <c r="AL22" s="33">
        <v>0</v>
      </c>
      <c r="AM22" s="37">
        <f t="shared" si="5"/>
        <v>-1</v>
      </c>
      <c r="AN22" s="36">
        <f>[1]SFI!$I22</f>
        <v>14146.691999999999</v>
      </c>
      <c r="AO22" s="31">
        <f t="shared" si="28"/>
        <v>12408.0635532</v>
      </c>
      <c r="AP22" s="31">
        <f t="shared" si="29"/>
        <v>1738.6284467999999</v>
      </c>
      <c r="AQ22" s="31">
        <f t="shared" si="30"/>
        <v>0</v>
      </c>
      <c r="AR22" s="31"/>
      <c r="AS22" s="33"/>
      <c r="AT22" s="37">
        <f t="shared" si="6"/>
        <v>-1</v>
      </c>
      <c r="AU22" s="36">
        <f>[1]SFI!$J22</f>
        <v>14146.691999999999</v>
      </c>
      <c r="AV22" s="31">
        <f t="shared" si="31"/>
        <v>12408.0635532</v>
      </c>
      <c r="AW22" s="31">
        <f t="shared" si="32"/>
        <v>1738.6284467999999</v>
      </c>
      <c r="AX22" s="31">
        <f t="shared" si="33"/>
        <v>0</v>
      </c>
      <c r="AY22" s="31"/>
      <c r="AZ22" s="27"/>
      <c r="BA22" s="37">
        <f t="shared" si="7"/>
        <v>-1</v>
      </c>
      <c r="BB22" s="36">
        <f>[1]SFI!$K22</f>
        <v>14146.691999999999</v>
      </c>
      <c r="BC22" s="31">
        <f t="shared" si="34"/>
        <v>12408.0635532</v>
      </c>
      <c r="BD22" s="31">
        <f t="shared" si="35"/>
        <v>1738.6284467999999</v>
      </c>
      <c r="BE22" s="31">
        <f t="shared" si="36"/>
        <v>0</v>
      </c>
      <c r="BF22" s="31"/>
      <c r="BG22" s="27"/>
      <c r="BH22" s="37">
        <f t="shared" si="8"/>
        <v>-1</v>
      </c>
      <c r="BI22" s="36">
        <f>[1]SFI!$L22</f>
        <v>14146.691999999999</v>
      </c>
      <c r="BJ22" s="31">
        <f t="shared" si="37"/>
        <v>12408.0635532</v>
      </c>
      <c r="BK22" s="31">
        <f t="shared" si="38"/>
        <v>1738.6284467999999</v>
      </c>
      <c r="BL22" s="31">
        <f t="shared" si="39"/>
        <v>0</v>
      </c>
      <c r="BM22" s="31"/>
      <c r="BN22" s="33"/>
      <c r="BO22" s="37">
        <f t="shared" si="9"/>
        <v>-1</v>
      </c>
      <c r="BP22" s="36">
        <f>[1]SFI!$M22</f>
        <v>14146.691999999999</v>
      </c>
      <c r="BQ22" s="31">
        <f t="shared" si="40"/>
        <v>12408.0635532</v>
      </c>
      <c r="BR22" s="31">
        <f t="shared" si="41"/>
        <v>1738.6284467999999</v>
      </c>
      <c r="BS22" s="31">
        <f t="shared" si="42"/>
        <v>0</v>
      </c>
      <c r="BT22" s="31"/>
      <c r="BU22" s="33"/>
      <c r="BV22" s="37">
        <f t="shared" si="10"/>
        <v>-1</v>
      </c>
      <c r="BW22" s="36">
        <f>[1]SFI!$N22</f>
        <v>14146.691999999999</v>
      </c>
      <c r="BX22" s="31">
        <f t="shared" si="43"/>
        <v>12408.0635532</v>
      </c>
      <c r="BY22" s="31">
        <f t="shared" si="44"/>
        <v>1738.6284467999999</v>
      </c>
      <c r="BZ22" s="31">
        <f t="shared" si="45"/>
        <v>0</v>
      </c>
      <c r="CA22" s="31"/>
      <c r="CB22" s="33"/>
      <c r="CC22" s="37">
        <f t="shared" si="11"/>
        <v>-1</v>
      </c>
      <c r="CD22" s="36">
        <f>[1]SFI!$O22</f>
        <v>14146.691999999999</v>
      </c>
      <c r="CE22" s="31">
        <f t="shared" si="46"/>
        <v>12408.0635532</v>
      </c>
      <c r="CF22" s="31">
        <f t="shared" si="47"/>
        <v>1738.6284467999999</v>
      </c>
      <c r="CG22" s="31">
        <f t="shared" si="48"/>
        <v>0</v>
      </c>
      <c r="CH22" s="31"/>
      <c r="CI22" s="33"/>
      <c r="CJ22" s="37">
        <f t="shared" si="12"/>
        <v>-1</v>
      </c>
      <c r="CK22" s="36">
        <f>[1]SFI!$P22</f>
        <v>14146.691999999999</v>
      </c>
      <c r="CL22" s="31">
        <f t="shared" si="49"/>
        <v>12408.0635532</v>
      </c>
      <c r="CM22" s="31">
        <f t="shared" si="50"/>
        <v>1738.6284467999999</v>
      </c>
      <c r="CN22" s="31">
        <f t="shared" si="51"/>
        <v>0</v>
      </c>
      <c r="CO22" s="31"/>
      <c r="CP22" s="33"/>
      <c r="CQ22" s="37">
        <f t="shared" si="13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4"/>
        <v>0</v>
      </c>
      <c r="F23" s="33">
        <f t="shared" si="14"/>
        <v>0</v>
      </c>
      <c r="G23" s="34">
        <f t="shared" si="14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15"/>
        <v/>
      </c>
      <c r="L23" s="36">
        <f>[1]SFI!$E23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/>
      <c r="Q23" s="33"/>
      <c r="R23" s="37" t="str">
        <f t="shared" si="2"/>
        <v/>
      </c>
      <c r="S23" s="36">
        <f>[1]SFI!$F23</f>
        <v>0</v>
      </c>
      <c r="T23" s="31">
        <f t="shared" si="19"/>
        <v>0</v>
      </c>
      <c r="U23" s="31">
        <f t="shared" si="20"/>
        <v>0</v>
      </c>
      <c r="V23" s="31">
        <f t="shared" si="21"/>
        <v>0</v>
      </c>
      <c r="W23" s="31"/>
      <c r="X23" s="148"/>
      <c r="Y23" s="37" t="str">
        <f t="shared" si="3"/>
        <v/>
      </c>
      <c r="Z23" s="36">
        <f>[1]SFI!$G23</f>
        <v>0</v>
      </c>
      <c r="AA23" s="31">
        <f t="shared" si="22"/>
        <v>0</v>
      </c>
      <c r="AB23" s="31">
        <f t="shared" si="23"/>
        <v>0</v>
      </c>
      <c r="AC23" s="31">
        <f t="shared" si="24"/>
        <v>0</v>
      </c>
      <c r="AD23" s="31"/>
      <c r="AE23" s="27"/>
      <c r="AF23" s="37" t="str">
        <f t="shared" si="4"/>
        <v/>
      </c>
      <c r="AG23" s="36">
        <f>[1]SFI!$H23</f>
        <v>0</v>
      </c>
      <c r="AH23" s="31">
        <f t="shared" si="25"/>
        <v>0</v>
      </c>
      <c r="AI23" s="31">
        <f t="shared" si="26"/>
        <v>0</v>
      </c>
      <c r="AJ23" s="31">
        <f t="shared" si="27"/>
        <v>0</v>
      </c>
      <c r="AK23" s="31"/>
      <c r="AL23" s="33"/>
      <c r="AM23" s="37" t="str">
        <f t="shared" si="5"/>
        <v/>
      </c>
      <c r="AN23" s="36">
        <f>[1]SFI!$I23</f>
        <v>0</v>
      </c>
      <c r="AO23" s="31">
        <f t="shared" si="28"/>
        <v>0</v>
      </c>
      <c r="AP23" s="31">
        <f t="shared" si="29"/>
        <v>0</v>
      </c>
      <c r="AQ23" s="31">
        <f t="shared" si="30"/>
        <v>0</v>
      </c>
      <c r="AR23" s="31"/>
      <c r="AS23" s="33"/>
      <c r="AT23" s="37" t="str">
        <f t="shared" si="6"/>
        <v/>
      </c>
      <c r="AU23" s="36">
        <f>[1]SFI!$J23</f>
        <v>0</v>
      </c>
      <c r="AV23" s="31">
        <f t="shared" si="31"/>
        <v>0</v>
      </c>
      <c r="AW23" s="31">
        <f t="shared" si="32"/>
        <v>0</v>
      </c>
      <c r="AX23" s="31">
        <f t="shared" si="33"/>
        <v>0</v>
      </c>
      <c r="AY23" s="31"/>
      <c r="AZ23" s="27"/>
      <c r="BA23" s="37" t="str">
        <f t="shared" si="7"/>
        <v/>
      </c>
      <c r="BB23" s="36">
        <f>[1]SFI!$K23</f>
        <v>0</v>
      </c>
      <c r="BC23" s="31">
        <f t="shared" si="34"/>
        <v>0</v>
      </c>
      <c r="BD23" s="31">
        <f t="shared" si="35"/>
        <v>0</v>
      </c>
      <c r="BE23" s="31">
        <f t="shared" si="36"/>
        <v>0</v>
      </c>
      <c r="BF23" s="31"/>
      <c r="BG23" s="27"/>
      <c r="BH23" s="37" t="str">
        <f t="shared" si="8"/>
        <v/>
      </c>
      <c r="BI23" s="36">
        <f>[1]SFI!$L23</f>
        <v>0</v>
      </c>
      <c r="BJ23" s="31">
        <f t="shared" si="37"/>
        <v>0</v>
      </c>
      <c r="BK23" s="31">
        <f t="shared" si="38"/>
        <v>0</v>
      </c>
      <c r="BL23" s="31">
        <f t="shared" si="39"/>
        <v>0</v>
      </c>
      <c r="BM23" s="31"/>
      <c r="BN23" s="33"/>
      <c r="BO23" s="37" t="str">
        <f t="shared" si="9"/>
        <v/>
      </c>
      <c r="BP23" s="36">
        <f>[1]SFI!$M23</f>
        <v>0</v>
      </c>
      <c r="BQ23" s="31">
        <f t="shared" si="40"/>
        <v>0</v>
      </c>
      <c r="BR23" s="31">
        <f t="shared" si="41"/>
        <v>0</v>
      </c>
      <c r="BS23" s="31">
        <f t="shared" si="42"/>
        <v>0</v>
      </c>
      <c r="BT23" s="31"/>
      <c r="BU23" s="33"/>
      <c r="BV23" s="37" t="str">
        <f t="shared" si="10"/>
        <v/>
      </c>
      <c r="BW23" s="36">
        <f>[1]SFI!$N23</f>
        <v>0</v>
      </c>
      <c r="BX23" s="31">
        <f t="shared" si="43"/>
        <v>0</v>
      </c>
      <c r="BY23" s="31">
        <f t="shared" si="44"/>
        <v>0</v>
      </c>
      <c r="BZ23" s="31">
        <f t="shared" si="45"/>
        <v>0</v>
      </c>
      <c r="CA23" s="31"/>
      <c r="CB23" s="33"/>
      <c r="CC23" s="37" t="str">
        <f t="shared" si="11"/>
        <v/>
      </c>
      <c r="CD23" s="36">
        <f>[1]SFI!$O23</f>
        <v>0</v>
      </c>
      <c r="CE23" s="31">
        <f t="shared" si="46"/>
        <v>0</v>
      </c>
      <c r="CF23" s="31">
        <f t="shared" si="47"/>
        <v>0</v>
      </c>
      <c r="CG23" s="31">
        <f t="shared" si="48"/>
        <v>0</v>
      </c>
      <c r="CH23" s="31"/>
      <c r="CI23" s="33"/>
      <c r="CJ23" s="37" t="str">
        <f t="shared" si="12"/>
        <v/>
      </c>
      <c r="CK23" s="36">
        <f>[1]SFI!$P23</f>
        <v>0</v>
      </c>
      <c r="CL23" s="31">
        <f t="shared" si="49"/>
        <v>0</v>
      </c>
      <c r="CM23" s="31">
        <f t="shared" si="50"/>
        <v>0</v>
      </c>
      <c r="CN23" s="31">
        <f t="shared" si="51"/>
        <v>0</v>
      </c>
      <c r="CO23" s="31"/>
      <c r="CP23" s="33"/>
      <c r="CQ23" s="37" t="str">
        <f t="shared" si="13"/>
        <v/>
      </c>
    </row>
    <row r="24" spans="1:95" s="26" customFormat="1" ht="16" customHeight="1" x14ac:dyDescent="0.2">
      <c r="A24" s="29" t="s">
        <v>48</v>
      </c>
      <c r="B24" s="30">
        <f t="shared" si="0"/>
        <v>133657.43903263443</v>
      </c>
      <c r="C24" s="31">
        <f t="shared" si="0"/>
        <v>117230.93977552361</v>
      </c>
      <c r="D24" s="32">
        <f t="shared" si="0"/>
        <v>16426.499257110769</v>
      </c>
      <c r="E24" s="30">
        <f t="shared" si="14"/>
        <v>45019.3261057048</v>
      </c>
      <c r="F24" s="33">
        <f t="shared" si="14"/>
        <v>39486.450927313679</v>
      </c>
      <c r="G24" s="34">
        <f t="shared" si="14"/>
        <v>5532.8751783911193</v>
      </c>
      <c r="H24" s="31">
        <f t="shared" si="1"/>
        <v>0</v>
      </c>
      <c r="I24" s="33">
        <f t="shared" si="1"/>
        <v>0</v>
      </c>
      <c r="J24" s="33">
        <f t="shared" si="1"/>
        <v>0</v>
      </c>
      <c r="K24" s="37">
        <f t="shared" si="15"/>
        <v>-1</v>
      </c>
      <c r="L24" s="36">
        <f>[1]SFI!$E24</f>
        <v>11254.8315264262</v>
      </c>
      <c r="M24" s="31">
        <f t="shared" si="16"/>
        <v>9871.6127318284198</v>
      </c>
      <c r="N24" s="31">
        <f t="shared" si="17"/>
        <v>1383.2187945977798</v>
      </c>
      <c r="O24" s="31">
        <f t="shared" si="18"/>
        <v>0</v>
      </c>
      <c r="P24" s="31"/>
      <c r="Q24" s="33">
        <v>0</v>
      </c>
      <c r="R24" s="37">
        <f t="shared" si="2"/>
        <v>-1</v>
      </c>
      <c r="S24" s="36">
        <f>[1]SFI!$F24</f>
        <v>11254.8315264262</v>
      </c>
      <c r="T24" s="31">
        <f t="shared" si="19"/>
        <v>9871.6127318284198</v>
      </c>
      <c r="U24" s="31">
        <f t="shared" si="20"/>
        <v>1383.2187945977798</v>
      </c>
      <c r="V24" s="31">
        <f t="shared" si="21"/>
        <v>0</v>
      </c>
      <c r="W24" s="31"/>
      <c r="X24" s="148">
        <v>0</v>
      </c>
      <c r="Y24" s="37">
        <f t="shared" si="3"/>
        <v>-1</v>
      </c>
      <c r="Z24" s="36">
        <f>[1]SFI!$G24</f>
        <v>11254.8315264262</v>
      </c>
      <c r="AA24" s="31">
        <f t="shared" si="22"/>
        <v>9871.6127318284198</v>
      </c>
      <c r="AB24" s="31">
        <f t="shared" si="23"/>
        <v>1383.2187945977798</v>
      </c>
      <c r="AC24" s="31">
        <f t="shared" si="24"/>
        <v>0</v>
      </c>
      <c r="AD24" s="31"/>
      <c r="AE24" s="27">
        <v>0</v>
      </c>
      <c r="AF24" s="37">
        <f t="shared" si="4"/>
        <v>-1</v>
      </c>
      <c r="AG24" s="36">
        <f>[1]SFI!$H24</f>
        <v>11254.8315264262</v>
      </c>
      <c r="AH24" s="31">
        <f t="shared" si="25"/>
        <v>9871.6127318284198</v>
      </c>
      <c r="AI24" s="31">
        <f t="shared" si="26"/>
        <v>1383.2187945977798</v>
      </c>
      <c r="AJ24" s="31">
        <f t="shared" si="27"/>
        <v>0</v>
      </c>
      <c r="AK24" s="31"/>
      <c r="AL24" s="33">
        <v>0</v>
      </c>
      <c r="AM24" s="37">
        <f t="shared" si="5"/>
        <v>-1</v>
      </c>
      <c r="AN24" s="36">
        <f>[1]SFI!$I24</f>
        <v>11254.8315264262</v>
      </c>
      <c r="AO24" s="31">
        <f t="shared" si="28"/>
        <v>9871.6127318284198</v>
      </c>
      <c r="AP24" s="31">
        <f t="shared" si="29"/>
        <v>1383.2187945977798</v>
      </c>
      <c r="AQ24" s="31">
        <f t="shared" si="30"/>
        <v>0</v>
      </c>
      <c r="AR24" s="31"/>
      <c r="AS24" s="33"/>
      <c r="AT24" s="37">
        <f t="shared" si="6"/>
        <v>-1</v>
      </c>
      <c r="AU24" s="36">
        <f>[1]SFI!$J24</f>
        <v>11254.8315264262</v>
      </c>
      <c r="AV24" s="31">
        <f t="shared" si="31"/>
        <v>9871.6127318284198</v>
      </c>
      <c r="AW24" s="31">
        <f t="shared" si="32"/>
        <v>1383.2187945977798</v>
      </c>
      <c r="AX24" s="31">
        <f t="shared" si="33"/>
        <v>0</v>
      </c>
      <c r="AY24" s="31"/>
      <c r="AZ24" s="27"/>
      <c r="BA24" s="37">
        <f t="shared" si="7"/>
        <v>-1</v>
      </c>
      <c r="BB24" s="36">
        <f>[1]SFI!$K24</f>
        <v>9854.2922419461993</v>
      </c>
      <c r="BC24" s="31">
        <f t="shared" si="34"/>
        <v>8643.199725411012</v>
      </c>
      <c r="BD24" s="31">
        <f t="shared" si="35"/>
        <v>1211.0925165351878</v>
      </c>
      <c r="BE24" s="31">
        <f t="shared" si="36"/>
        <v>0</v>
      </c>
      <c r="BF24" s="31"/>
      <c r="BG24" s="27"/>
      <c r="BH24" s="37">
        <f t="shared" si="8"/>
        <v>-1</v>
      </c>
      <c r="BI24" s="36">
        <f>[1]SFI!$L24</f>
        <v>11254.8315264262</v>
      </c>
      <c r="BJ24" s="31">
        <f t="shared" si="37"/>
        <v>9871.6127318284198</v>
      </c>
      <c r="BK24" s="31">
        <f t="shared" si="38"/>
        <v>1383.2187945977798</v>
      </c>
      <c r="BL24" s="31">
        <f t="shared" si="39"/>
        <v>0</v>
      </c>
      <c r="BM24" s="31"/>
      <c r="BN24" s="33"/>
      <c r="BO24" s="37">
        <f t="shared" si="9"/>
        <v>-1</v>
      </c>
      <c r="BP24" s="36">
        <f>[1]SFI!$M24</f>
        <v>11254.8315264262</v>
      </c>
      <c r="BQ24" s="31">
        <f t="shared" si="40"/>
        <v>9871.6127318284198</v>
      </c>
      <c r="BR24" s="31">
        <f t="shared" si="41"/>
        <v>1383.2187945977798</v>
      </c>
      <c r="BS24" s="31">
        <f t="shared" si="42"/>
        <v>0</v>
      </c>
      <c r="BT24" s="31"/>
      <c r="BU24" s="33"/>
      <c r="BV24" s="37">
        <f t="shared" si="10"/>
        <v>-1</v>
      </c>
      <c r="BW24" s="36">
        <f>[1]SFI!$N24</f>
        <v>11254.8315264262</v>
      </c>
      <c r="BX24" s="31">
        <f t="shared" si="43"/>
        <v>9871.6127318284198</v>
      </c>
      <c r="BY24" s="31">
        <f t="shared" si="44"/>
        <v>1383.2187945977798</v>
      </c>
      <c r="BZ24" s="31">
        <f t="shared" si="45"/>
        <v>0</v>
      </c>
      <c r="CA24" s="31"/>
      <c r="CB24" s="33"/>
      <c r="CC24" s="37">
        <f t="shared" si="11"/>
        <v>-1</v>
      </c>
      <c r="CD24" s="36">
        <f>[1]SFI!$O24</f>
        <v>11254.8315264262</v>
      </c>
      <c r="CE24" s="31">
        <f t="shared" si="46"/>
        <v>9871.6127318284198</v>
      </c>
      <c r="CF24" s="31">
        <f t="shared" si="47"/>
        <v>1383.2187945977798</v>
      </c>
      <c r="CG24" s="31">
        <f t="shared" si="48"/>
        <v>0</v>
      </c>
      <c r="CH24" s="31"/>
      <c r="CI24" s="33"/>
      <c r="CJ24" s="37">
        <f t="shared" si="12"/>
        <v>-1</v>
      </c>
      <c r="CK24" s="36">
        <f>[1]SFI!$P24</f>
        <v>11254.8315264262</v>
      </c>
      <c r="CL24" s="31">
        <f t="shared" si="49"/>
        <v>9871.6127318284198</v>
      </c>
      <c r="CM24" s="31">
        <f t="shared" si="50"/>
        <v>1383.2187945977798</v>
      </c>
      <c r="CN24" s="31">
        <f t="shared" si="51"/>
        <v>0</v>
      </c>
      <c r="CO24" s="31"/>
      <c r="CP24" s="33"/>
      <c r="CQ24" s="37">
        <f t="shared" si="13"/>
        <v>-1</v>
      </c>
    </row>
    <row r="25" spans="1:95" s="26" customFormat="1" ht="16" customHeight="1" x14ac:dyDescent="0.2">
      <c r="A25" s="29" t="s">
        <v>49</v>
      </c>
      <c r="B25" s="30">
        <f t="shared" si="0"/>
        <v>63880.807206999896</v>
      </c>
      <c r="C25" s="31">
        <f t="shared" si="0"/>
        <v>56029.856001259614</v>
      </c>
      <c r="D25" s="32">
        <f t="shared" si="0"/>
        <v>7850.9512057402862</v>
      </c>
      <c r="E25" s="30">
        <f t="shared" si="14"/>
        <v>63880.807206999896</v>
      </c>
      <c r="F25" s="33">
        <f t="shared" si="14"/>
        <v>56029.856001259614</v>
      </c>
      <c r="G25" s="34">
        <f t="shared" si="14"/>
        <v>7850.9512057402862</v>
      </c>
      <c r="H25" s="31">
        <f t="shared" si="1"/>
        <v>5215.1200000000008</v>
      </c>
      <c r="I25" s="33">
        <f t="shared" si="1"/>
        <v>0</v>
      </c>
      <c r="J25" s="33">
        <f t="shared" si="1"/>
        <v>5215.1200000000008</v>
      </c>
      <c r="K25" s="37">
        <f t="shared" si="15"/>
        <v>-0.9183617078741525</v>
      </c>
      <c r="L25" s="36">
        <f>[1]SFI!$E25</f>
        <v>0</v>
      </c>
      <c r="M25" s="31">
        <f t="shared" si="16"/>
        <v>0</v>
      </c>
      <c r="N25" s="31">
        <f t="shared" si="17"/>
        <v>0</v>
      </c>
      <c r="O25" s="31">
        <f t="shared" si="18"/>
        <v>4444.4800000000005</v>
      </c>
      <c r="P25" s="31"/>
      <c r="Q25" s="33">
        <v>4444.4800000000005</v>
      </c>
      <c r="R25" s="37" t="str">
        <f t="shared" si="2"/>
        <v/>
      </c>
      <c r="S25" s="36">
        <f>[1]SFI!$F25</f>
        <v>0</v>
      </c>
      <c r="T25" s="31">
        <f t="shared" si="19"/>
        <v>0</v>
      </c>
      <c r="U25" s="31">
        <f t="shared" si="20"/>
        <v>0</v>
      </c>
      <c r="V25" s="31">
        <f t="shared" si="21"/>
        <v>516.79999999999995</v>
      </c>
      <c r="W25" s="31"/>
      <c r="X25" s="148">
        <v>516.79999999999995</v>
      </c>
      <c r="Y25" s="37" t="str">
        <f t="shared" si="3"/>
        <v/>
      </c>
      <c r="Z25" s="36">
        <f>[1]SFI!$G25</f>
        <v>33933.535369999998</v>
      </c>
      <c r="AA25" s="31">
        <f t="shared" si="22"/>
        <v>29763.103873026997</v>
      </c>
      <c r="AB25" s="31">
        <f t="shared" si="23"/>
        <v>4170.4314969729994</v>
      </c>
      <c r="AC25" s="31">
        <f t="shared" si="24"/>
        <v>253.84</v>
      </c>
      <c r="AD25" s="31"/>
      <c r="AE25" s="27">
        <v>253.84</v>
      </c>
      <c r="AF25" s="37">
        <f t="shared" si="4"/>
        <v>-0.99251949444016918</v>
      </c>
      <c r="AG25" s="36">
        <f>[1]SFI!$H25</f>
        <v>29947.271836999898</v>
      </c>
      <c r="AH25" s="31">
        <f t="shared" si="25"/>
        <v>26266.752128232612</v>
      </c>
      <c r="AI25" s="31">
        <f t="shared" si="26"/>
        <v>3680.5197087672873</v>
      </c>
      <c r="AJ25" s="31">
        <f t="shared" si="27"/>
        <v>0</v>
      </c>
      <c r="AK25" s="31"/>
      <c r="AL25" s="33">
        <v>0</v>
      </c>
      <c r="AM25" s="37">
        <f t="shared" si="5"/>
        <v>-1</v>
      </c>
      <c r="AN25" s="36">
        <f>[1]SFI!$I25</f>
        <v>0</v>
      </c>
      <c r="AO25" s="31">
        <f t="shared" si="28"/>
        <v>0</v>
      </c>
      <c r="AP25" s="31">
        <f t="shared" si="29"/>
        <v>0</v>
      </c>
      <c r="AQ25" s="31">
        <f t="shared" si="30"/>
        <v>0</v>
      </c>
      <c r="AR25" s="31"/>
      <c r="AS25" s="33"/>
      <c r="AT25" s="37" t="str">
        <f t="shared" si="6"/>
        <v/>
      </c>
      <c r="AU25" s="36">
        <f>[1]SFI!$J25</f>
        <v>0</v>
      </c>
      <c r="AV25" s="31">
        <f t="shared" si="31"/>
        <v>0</v>
      </c>
      <c r="AW25" s="31">
        <f t="shared" si="32"/>
        <v>0</v>
      </c>
      <c r="AX25" s="31">
        <f t="shared" si="33"/>
        <v>0</v>
      </c>
      <c r="AY25" s="31"/>
      <c r="AZ25" s="27"/>
      <c r="BA25" s="37" t="str">
        <f t="shared" si="7"/>
        <v/>
      </c>
      <c r="BB25" s="36">
        <f>[1]SFI!$K25</f>
        <v>0</v>
      </c>
      <c r="BC25" s="31">
        <f t="shared" si="34"/>
        <v>0</v>
      </c>
      <c r="BD25" s="31">
        <f t="shared" si="35"/>
        <v>0</v>
      </c>
      <c r="BE25" s="31">
        <f t="shared" si="36"/>
        <v>0</v>
      </c>
      <c r="BF25" s="31"/>
      <c r="BG25" s="27"/>
      <c r="BH25" s="37" t="str">
        <f t="shared" si="8"/>
        <v/>
      </c>
      <c r="BI25" s="36">
        <f>[1]SFI!$L25</f>
        <v>0</v>
      </c>
      <c r="BJ25" s="31">
        <f t="shared" si="37"/>
        <v>0</v>
      </c>
      <c r="BK25" s="31">
        <f t="shared" si="38"/>
        <v>0</v>
      </c>
      <c r="BL25" s="31">
        <f t="shared" si="39"/>
        <v>0</v>
      </c>
      <c r="BM25" s="31"/>
      <c r="BN25" s="33"/>
      <c r="BO25" s="37" t="str">
        <f t="shared" si="9"/>
        <v/>
      </c>
      <c r="BP25" s="36">
        <f>[1]SFI!$M25</f>
        <v>0</v>
      </c>
      <c r="BQ25" s="31">
        <f t="shared" si="40"/>
        <v>0</v>
      </c>
      <c r="BR25" s="31">
        <f t="shared" si="41"/>
        <v>0</v>
      </c>
      <c r="BS25" s="31">
        <f t="shared" si="42"/>
        <v>0</v>
      </c>
      <c r="BT25" s="31"/>
      <c r="BU25" s="33"/>
      <c r="BV25" s="37" t="str">
        <f t="shared" si="10"/>
        <v/>
      </c>
      <c r="BW25" s="36">
        <f>[1]SFI!$N25</f>
        <v>0</v>
      </c>
      <c r="BX25" s="31">
        <f t="shared" si="43"/>
        <v>0</v>
      </c>
      <c r="BY25" s="31">
        <f t="shared" si="44"/>
        <v>0</v>
      </c>
      <c r="BZ25" s="31">
        <f t="shared" si="45"/>
        <v>0</v>
      </c>
      <c r="CA25" s="31"/>
      <c r="CB25" s="33"/>
      <c r="CC25" s="37" t="str">
        <f t="shared" si="11"/>
        <v/>
      </c>
      <c r="CD25" s="36">
        <f>[1]SFI!$O25</f>
        <v>0</v>
      </c>
      <c r="CE25" s="31">
        <f t="shared" si="46"/>
        <v>0</v>
      </c>
      <c r="CF25" s="31">
        <f t="shared" si="47"/>
        <v>0</v>
      </c>
      <c r="CG25" s="31">
        <f t="shared" si="48"/>
        <v>0</v>
      </c>
      <c r="CH25" s="31"/>
      <c r="CI25" s="33"/>
      <c r="CJ25" s="37" t="str">
        <f t="shared" si="12"/>
        <v/>
      </c>
      <c r="CK25" s="36">
        <f>[1]SFI!$P25</f>
        <v>0</v>
      </c>
      <c r="CL25" s="31">
        <f t="shared" si="49"/>
        <v>0</v>
      </c>
      <c r="CM25" s="31">
        <f t="shared" si="50"/>
        <v>0</v>
      </c>
      <c r="CN25" s="31">
        <f t="shared" si="51"/>
        <v>0</v>
      </c>
      <c r="CO25" s="31"/>
      <c r="CP25" s="33"/>
      <c r="CQ25" s="37" t="str">
        <f t="shared" si="13"/>
        <v/>
      </c>
    </row>
    <row r="26" spans="1:95" s="26" customFormat="1" ht="16" customHeight="1" x14ac:dyDescent="0.2">
      <c r="A26" s="29" t="s">
        <v>50</v>
      </c>
      <c r="B26" s="30">
        <f t="shared" si="0"/>
        <v>886788.6562349773</v>
      </c>
      <c r="C26" s="31">
        <f t="shared" si="0"/>
        <v>777802.33038369846</v>
      </c>
      <c r="D26" s="32">
        <f t="shared" si="0"/>
        <v>108986.32585127873</v>
      </c>
      <c r="E26" s="30">
        <f t="shared" si="14"/>
        <v>280922.3939986293</v>
      </c>
      <c r="F26" s="33">
        <f t="shared" si="14"/>
        <v>246397.03177619778</v>
      </c>
      <c r="G26" s="34">
        <f t="shared" si="14"/>
        <v>34525.362222431548</v>
      </c>
      <c r="H26" s="31">
        <f t="shared" si="1"/>
        <v>146230.82380140355</v>
      </c>
      <c r="I26" s="33">
        <f t="shared" si="1"/>
        <v>0</v>
      </c>
      <c r="J26" s="33">
        <f t="shared" si="1"/>
        <v>146230.82380140355</v>
      </c>
      <c r="K26" s="37">
        <f t="shared" si="15"/>
        <v>-0.47946184809276171</v>
      </c>
      <c r="L26" s="36">
        <f>[1]SFI!$E26</f>
        <v>50081.897095985994</v>
      </c>
      <c r="M26" s="31">
        <f t="shared" si="16"/>
        <v>43926.831942889316</v>
      </c>
      <c r="N26" s="31">
        <f t="shared" si="17"/>
        <v>6155.0651530966788</v>
      </c>
      <c r="O26" s="31">
        <f t="shared" si="18"/>
        <v>23964.419707129066</v>
      </c>
      <c r="P26" s="31"/>
      <c r="Q26" s="33">
        <v>23964.419707129066</v>
      </c>
      <c r="R26" s="37">
        <f t="shared" si="2"/>
        <v>-0.52149536865188395</v>
      </c>
      <c r="S26" s="36">
        <f>[1]SFI!$F26</f>
        <v>68142.461602319905</v>
      </c>
      <c r="T26" s="31">
        <f t="shared" si="19"/>
        <v>59767.753071394793</v>
      </c>
      <c r="U26" s="31">
        <f t="shared" si="20"/>
        <v>8374.7085309251161</v>
      </c>
      <c r="V26" s="31">
        <f t="shared" si="21"/>
        <v>28078.697239775316</v>
      </c>
      <c r="W26" s="31"/>
      <c r="X26" s="148">
        <v>28078.697239775316</v>
      </c>
      <c r="Y26" s="37">
        <f t="shared" si="3"/>
        <v>-0.58794125454928703</v>
      </c>
      <c r="Z26" s="36">
        <f>[1]SFI!$G26</f>
        <v>83737.055448703904</v>
      </c>
      <c r="AA26" s="31">
        <f t="shared" si="22"/>
        <v>73445.771334058198</v>
      </c>
      <c r="AB26" s="31">
        <f t="shared" si="23"/>
        <v>10291.28411464571</v>
      </c>
      <c r="AC26" s="31">
        <f t="shared" si="24"/>
        <v>43999.859539210818</v>
      </c>
      <c r="AD26" s="31"/>
      <c r="AE26" s="27">
        <v>43999.859539210818</v>
      </c>
      <c r="AF26" s="37">
        <f t="shared" si="4"/>
        <v>-0.47454732790115262</v>
      </c>
      <c r="AG26" s="36">
        <f>[1]SFI!$H26</f>
        <v>78960.979851619515</v>
      </c>
      <c r="AH26" s="31">
        <f t="shared" si="25"/>
        <v>69256.675427855473</v>
      </c>
      <c r="AI26" s="31">
        <f t="shared" si="26"/>
        <v>9704.3044237640388</v>
      </c>
      <c r="AJ26" s="31">
        <f t="shared" si="27"/>
        <v>50187.84731528836</v>
      </c>
      <c r="AK26" s="31"/>
      <c r="AL26" s="33">
        <v>50187.84731528836</v>
      </c>
      <c r="AM26" s="37">
        <f t="shared" si="5"/>
        <v>-0.36439685260239341</v>
      </c>
      <c r="AN26" s="36">
        <f>[1]SFI!$I26</f>
        <v>86448.636890355512</v>
      </c>
      <c r="AO26" s="31">
        <f t="shared" si="28"/>
        <v>75824.099416530822</v>
      </c>
      <c r="AP26" s="31">
        <f t="shared" si="29"/>
        <v>10624.537473824692</v>
      </c>
      <c r="AQ26" s="31">
        <f t="shared" si="30"/>
        <v>0</v>
      </c>
      <c r="AR26" s="31"/>
      <c r="AS26" s="33"/>
      <c r="AT26" s="37">
        <f t="shared" si="6"/>
        <v>-1</v>
      </c>
      <c r="AU26" s="36">
        <f>[1]SFI!$J26</f>
        <v>78896.938296609995</v>
      </c>
      <c r="AV26" s="31">
        <f t="shared" si="31"/>
        <v>69200.504579956629</v>
      </c>
      <c r="AW26" s="31">
        <f t="shared" si="32"/>
        <v>9696.4337166533678</v>
      </c>
      <c r="AX26" s="31">
        <f t="shared" si="33"/>
        <v>0</v>
      </c>
      <c r="AY26" s="31"/>
      <c r="AZ26" s="27"/>
      <c r="BA26" s="37">
        <f t="shared" si="7"/>
        <v>-1</v>
      </c>
      <c r="BB26" s="36">
        <f>[1]SFI!$K26</f>
        <v>80807.539222143911</v>
      </c>
      <c r="BC26" s="31">
        <f t="shared" si="34"/>
        <v>70876.29265174242</v>
      </c>
      <c r="BD26" s="31">
        <f t="shared" si="35"/>
        <v>9931.2465704014867</v>
      </c>
      <c r="BE26" s="31">
        <f t="shared" si="36"/>
        <v>0</v>
      </c>
      <c r="BF26" s="31"/>
      <c r="BG26" s="27"/>
      <c r="BH26" s="37">
        <f t="shared" si="8"/>
        <v>-1</v>
      </c>
      <c r="BI26" s="36">
        <f>[1]SFI!$L26</f>
        <v>78960.979851619515</v>
      </c>
      <c r="BJ26" s="31">
        <f t="shared" si="37"/>
        <v>69256.675427855473</v>
      </c>
      <c r="BK26" s="31">
        <f t="shared" si="38"/>
        <v>9704.3044237640388</v>
      </c>
      <c r="BL26" s="31">
        <f t="shared" si="39"/>
        <v>0</v>
      </c>
      <c r="BM26" s="31"/>
      <c r="BN26" s="33"/>
      <c r="BO26" s="37">
        <f t="shared" si="9"/>
        <v>-1</v>
      </c>
      <c r="BP26" s="36">
        <f>[1]SFI!$M26</f>
        <v>103074.44585726313</v>
      </c>
      <c r="BQ26" s="31">
        <f t="shared" si="40"/>
        <v>90406.596461405483</v>
      </c>
      <c r="BR26" s="31">
        <f t="shared" si="41"/>
        <v>12667.849395857638</v>
      </c>
      <c r="BS26" s="31">
        <f t="shared" si="42"/>
        <v>0</v>
      </c>
      <c r="BT26" s="31"/>
      <c r="BU26" s="33"/>
      <c r="BV26" s="37">
        <f t="shared" si="10"/>
        <v>-1</v>
      </c>
      <c r="BW26" s="36">
        <f>[1]SFI!$N26</f>
        <v>86431.122682289919</v>
      </c>
      <c r="BX26" s="31">
        <f t="shared" si="43"/>
        <v>75808.737704636485</v>
      </c>
      <c r="BY26" s="31">
        <f t="shared" si="44"/>
        <v>10622.38497765343</v>
      </c>
      <c r="BZ26" s="31">
        <f t="shared" si="45"/>
        <v>0</v>
      </c>
      <c r="CA26" s="31"/>
      <c r="CB26" s="33"/>
      <c r="CC26" s="37">
        <f t="shared" si="11"/>
        <v>-1</v>
      </c>
      <c r="CD26" s="36">
        <f>[1]SFI!$O26</f>
        <v>24485.962751266001</v>
      </c>
      <c r="CE26" s="31">
        <f t="shared" si="46"/>
        <v>21476.63792913541</v>
      </c>
      <c r="CF26" s="31">
        <f t="shared" si="47"/>
        <v>3009.3248221305912</v>
      </c>
      <c r="CG26" s="31">
        <f t="shared" si="48"/>
        <v>0</v>
      </c>
      <c r="CH26" s="31"/>
      <c r="CI26" s="33"/>
      <c r="CJ26" s="37">
        <f t="shared" si="12"/>
        <v>-1</v>
      </c>
      <c r="CK26" s="36">
        <f>[1]SFI!$P26</f>
        <v>66760.636684799931</v>
      </c>
      <c r="CL26" s="31">
        <f t="shared" si="49"/>
        <v>58555.754436238021</v>
      </c>
      <c r="CM26" s="31">
        <f t="shared" si="50"/>
        <v>8204.8822485619112</v>
      </c>
      <c r="CN26" s="31">
        <f t="shared" si="51"/>
        <v>0</v>
      </c>
      <c r="CO26" s="31"/>
      <c r="CP26" s="33"/>
      <c r="CQ26" s="37">
        <f t="shared" si="13"/>
        <v>-1</v>
      </c>
    </row>
    <row r="27" spans="1:95" s="26" customFormat="1" ht="16" customHeight="1" x14ac:dyDescent="0.2">
      <c r="A27" s="29" t="s">
        <v>51</v>
      </c>
      <c r="B27" s="30">
        <f t="shared" si="0"/>
        <v>64116.242007919973</v>
      </c>
      <c r="C27" s="31">
        <f t="shared" si="0"/>
        <v>56236.355865146601</v>
      </c>
      <c r="D27" s="32">
        <f t="shared" si="0"/>
        <v>7879.8861427733636</v>
      </c>
      <c r="E27" s="30">
        <f t="shared" si="14"/>
        <v>23349.758964839992</v>
      </c>
      <c r="F27" s="33">
        <f t="shared" si="14"/>
        <v>20480.073588061154</v>
      </c>
      <c r="G27" s="34">
        <f t="shared" si="14"/>
        <v>2869.6853767788343</v>
      </c>
      <c r="H27" s="31">
        <f t="shared" si="1"/>
        <v>41800.694578272582</v>
      </c>
      <c r="I27" s="33">
        <f t="shared" si="1"/>
        <v>0</v>
      </c>
      <c r="J27" s="33">
        <f t="shared" si="1"/>
        <v>41800.694578272582</v>
      </c>
      <c r="K27" s="37">
        <f t="shared" si="15"/>
        <v>0.79019811901338954</v>
      </c>
      <c r="L27" s="36">
        <f>[1]SFI!$E27</f>
        <v>2021.61232952</v>
      </c>
      <c r="M27" s="31">
        <f t="shared" si="16"/>
        <v>1773.1561742219919</v>
      </c>
      <c r="N27" s="31">
        <f t="shared" si="17"/>
        <v>248.45615529800799</v>
      </c>
      <c r="O27" s="31">
        <f t="shared" si="18"/>
        <v>7765.0151146103899</v>
      </c>
      <c r="P27" s="31"/>
      <c r="Q27" s="33">
        <v>7765.0151146103899</v>
      </c>
      <c r="R27" s="37">
        <f t="shared" si="2"/>
        <v>2.8410010669325856</v>
      </c>
      <c r="S27" s="36">
        <f>[1]SFI!$F27</f>
        <v>7298.1590701599998</v>
      </c>
      <c r="T27" s="31">
        <f t="shared" si="19"/>
        <v>6401.2153204373362</v>
      </c>
      <c r="U27" s="31">
        <f t="shared" si="20"/>
        <v>896.94374972266394</v>
      </c>
      <c r="V27" s="31">
        <f t="shared" si="21"/>
        <v>6158.56</v>
      </c>
      <c r="W27" s="31"/>
      <c r="X27" s="148">
        <v>6158.56</v>
      </c>
      <c r="Y27" s="37">
        <f t="shared" si="3"/>
        <v>-0.1561488396189501</v>
      </c>
      <c r="Z27" s="36">
        <f>[1]SFI!$G27</f>
        <v>7298.1590701599998</v>
      </c>
      <c r="AA27" s="31">
        <f t="shared" si="22"/>
        <v>6401.2153204373362</v>
      </c>
      <c r="AB27" s="31">
        <f t="shared" si="23"/>
        <v>896.94374972266394</v>
      </c>
      <c r="AC27" s="31">
        <f t="shared" si="24"/>
        <v>19926.380000000008</v>
      </c>
      <c r="AD27" s="31"/>
      <c r="AE27" s="27">
        <v>19926.380000000008</v>
      </c>
      <c r="AF27" s="37">
        <f t="shared" si="4"/>
        <v>1.7303296363425464</v>
      </c>
      <c r="AG27" s="36">
        <f>[1]SFI!$H27</f>
        <v>6731.8284949999897</v>
      </c>
      <c r="AH27" s="31">
        <f t="shared" si="25"/>
        <v>5904.4867729644911</v>
      </c>
      <c r="AI27" s="31">
        <f t="shared" si="26"/>
        <v>827.34172203549872</v>
      </c>
      <c r="AJ27" s="31">
        <f t="shared" si="27"/>
        <v>7950.7394636621802</v>
      </c>
      <c r="AK27" s="31"/>
      <c r="AL27" s="33">
        <v>7950.7394636621802</v>
      </c>
      <c r="AM27" s="37">
        <f t="shared" si="5"/>
        <v>0.1810668482667861</v>
      </c>
      <c r="AN27" s="36">
        <f>[1]SFI!$I27</f>
        <v>2636.98669499999</v>
      </c>
      <c r="AO27" s="31">
        <f t="shared" si="28"/>
        <v>2312.9010301844914</v>
      </c>
      <c r="AP27" s="31">
        <f t="shared" si="29"/>
        <v>324.08566481549877</v>
      </c>
      <c r="AQ27" s="31">
        <f t="shared" si="30"/>
        <v>0</v>
      </c>
      <c r="AR27" s="31"/>
      <c r="AS27" s="33"/>
      <c r="AT27" s="37">
        <f t="shared" si="6"/>
        <v>-1</v>
      </c>
      <c r="AU27" s="36">
        <f>[1]SFI!$J27</f>
        <v>8753.4408245199993</v>
      </c>
      <c r="AV27" s="31">
        <f t="shared" si="31"/>
        <v>7677.6429471864913</v>
      </c>
      <c r="AW27" s="31">
        <f t="shared" si="32"/>
        <v>1075.7978773335078</v>
      </c>
      <c r="AX27" s="31">
        <f t="shared" si="33"/>
        <v>0</v>
      </c>
      <c r="AY27" s="31"/>
      <c r="AZ27" s="27"/>
      <c r="BA27" s="37">
        <f t="shared" si="7"/>
        <v>-1</v>
      </c>
      <c r="BB27" s="36">
        <f>[1]SFI!$K27</f>
        <v>4658.5990245199901</v>
      </c>
      <c r="BC27" s="31">
        <f t="shared" si="34"/>
        <v>4086.0572044064834</v>
      </c>
      <c r="BD27" s="31">
        <f t="shared" si="35"/>
        <v>572.54182011350679</v>
      </c>
      <c r="BE27" s="31">
        <f t="shared" si="36"/>
        <v>0</v>
      </c>
      <c r="BF27" s="31"/>
      <c r="BG27" s="27"/>
      <c r="BH27" s="37">
        <f t="shared" si="8"/>
        <v>-1</v>
      </c>
      <c r="BI27" s="36">
        <f>[1]SFI!$L27</f>
        <v>8753.4408245199993</v>
      </c>
      <c r="BJ27" s="31">
        <f t="shared" si="37"/>
        <v>7677.6429471864913</v>
      </c>
      <c r="BK27" s="31">
        <f t="shared" si="38"/>
        <v>1075.7978773335078</v>
      </c>
      <c r="BL27" s="31">
        <f t="shared" si="39"/>
        <v>0</v>
      </c>
      <c r="BM27" s="31"/>
      <c r="BN27" s="33"/>
      <c r="BO27" s="37">
        <f t="shared" si="9"/>
        <v>-1</v>
      </c>
      <c r="BP27" s="36">
        <f>[1]SFI!$M27</f>
        <v>8753.4408245199993</v>
      </c>
      <c r="BQ27" s="31">
        <f t="shared" si="40"/>
        <v>7677.6429471864913</v>
      </c>
      <c r="BR27" s="31">
        <f t="shared" si="41"/>
        <v>1075.7978773335078</v>
      </c>
      <c r="BS27" s="31">
        <f t="shared" si="42"/>
        <v>0</v>
      </c>
      <c r="BT27" s="31"/>
      <c r="BU27" s="33"/>
      <c r="BV27" s="37">
        <f t="shared" si="10"/>
        <v>-1</v>
      </c>
      <c r="BW27" s="36">
        <f>[1]SFI!$N27</f>
        <v>2403.52495</v>
      </c>
      <c r="BX27" s="31">
        <f t="shared" si="43"/>
        <v>2108.1317336450002</v>
      </c>
      <c r="BY27" s="31">
        <f t="shared" si="44"/>
        <v>295.39321635499999</v>
      </c>
      <c r="BZ27" s="31">
        <f t="shared" si="45"/>
        <v>0</v>
      </c>
      <c r="CA27" s="31"/>
      <c r="CB27" s="33"/>
      <c r="CC27" s="37">
        <f t="shared" si="11"/>
        <v>-1</v>
      </c>
      <c r="CD27" s="36">
        <f>[1]SFI!$O27</f>
        <v>2403.52495</v>
      </c>
      <c r="CE27" s="31">
        <f t="shared" si="46"/>
        <v>2108.1317336450002</v>
      </c>
      <c r="CF27" s="31">
        <f t="shared" si="47"/>
        <v>295.39321635499999</v>
      </c>
      <c r="CG27" s="31">
        <f t="shared" si="48"/>
        <v>0</v>
      </c>
      <c r="CH27" s="31"/>
      <c r="CI27" s="33"/>
      <c r="CJ27" s="37">
        <f t="shared" si="12"/>
        <v>-1</v>
      </c>
      <c r="CK27" s="36">
        <f>[1]SFI!$P27</f>
        <v>2403.52495</v>
      </c>
      <c r="CL27" s="31">
        <f t="shared" si="49"/>
        <v>2108.1317336450002</v>
      </c>
      <c r="CM27" s="31">
        <f t="shared" si="50"/>
        <v>295.39321635499999</v>
      </c>
      <c r="CN27" s="31">
        <f t="shared" si="51"/>
        <v>0</v>
      </c>
      <c r="CO27" s="31"/>
      <c r="CP27" s="33"/>
      <c r="CQ27" s="37">
        <f t="shared" si="13"/>
        <v>-1</v>
      </c>
    </row>
    <row r="28" spans="1:95" s="26" customFormat="1" ht="16" customHeight="1" x14ac:dyDescent="0.2">
      <c r="A28" s="29" t="s">
        <v>52</v>
      </c>
      <c r="B28" s="30">
        <f t="shared" si="0"/>
        <v>11028.886189999957</v>
      </c>
      <c r="C28" s="31">
        <f t="shared" si="0"/>
        <v>9673.4360772489636</v>
      </c>
      <c r="D28" s="32">
        <f t="shared" si="0"/>
        <v>1355.4501127509948</v>
      </c>
      <c r="E28" s="30">
        <f t="shared" si="14"/>
        <v>2020.5951149999901</v>
      </c>
      <c r="F28" s="33">
        <f t="shared" si="14"/>
        <v>1772.2639753664912</v>
      </c>
      <c r="G28" s="34">
        <f t="shared" si="14"/>
        <v>248.33113963349876</v>
      </c>
      <c r="H28" s="31">
        <f t="shared" si="1"/>
        <v>7020.0831095361045</v>
      </c>
      <c r="I28" s="33">
        <f t="shared" si="1"/>
        <v>0</v>
      </c>
      <c r="J28" s="33">
        <f t="shared" si="1"/>
        <v>7020.0831095361045</v>
      </c>
      <c r="K28" s="37">
        <f t="shared" si="15"/>
        <v>2.4742651100273192</v>
      </c>
      <c r="L28" s="36">
        <f>[1]SFI!$E28</f>
        <v>0</v>
      </c>
      <c r="M28" s="31">
        <f t="shared" si="16"/>
        <v>0</v>
      </c>
      <c r="N28" s="31">
        <f t="shared" si="17"/>
        <v>0</v>
      </c>
      <c r="O28" s="31">
        <f t="shared" si="18"/>
        <v>10.28</v>
      </c>
      <c r="P28" s="31"/>
      <c r="Q28" s="33">
        <v>10.28</v>
      </c>
      <c r="R28" s="37" t="str">
        <f t="shared" si="2"/>
        <v/>
      </c>
      <c r="S28" s="36">
        <f>[1]SFI!$F28</f>
        <v>0</v>
      </c>
      <c r="T28" s="31">
        <f t="shared" si="19"/>
        <v>0</v>
      </c>
      <c r="U28" s="31">
        <f t="shared" si="20"/>
        <v>0</v>
      </c>
      <c r="V28" s="31">
        <f t="shared" si="21"/>
        <v>1220.3736182439097</v>
      </c>
      <c r="W28" s="31"/>
      <c r="X28" s="148">
        <v>1220.3736182439097</v>
      </c>
      <c r="Y28" s="37" t="str">
        <f t="shared" si="3"/>
        <v/>
      </c>
      <c r="Z28" s="36">
        <f>[1]SFI!$G28</f>
        <v>0</v>
      </c>
      <c r="AA28" s="31">
        <f t="shared" si="22"/>
        <v>0</v>
      </c>
      <c r="AB28" s="31">
        <f t="shared" si="23"/>
        <v>0</v>
      </c>
      <c r="AC28" s="31">
        <f t="shared" si="24"/>
        <v>2936.1900000000014</v>
      </c>
      <c r="AD28" s="31"/>
      <c r="AE28" s="27">
        <v>2936.1900000000014</v>
      </c>
      <c r="AF28" s="37" t="str">
        <f t="shared" si="4"/>
        <v/>
      </c>
      <c r="AG28" s="36">
        <f>[1]SFI!$H28</f>
        <v>2020.5951149999901</v>
      </c>
      <c r="AH28" s="31">
        <f t="shared" si="25"/>
        <v>1772.2639753664912</v>
      </c>
      <c r="AI28" s="31">
        <f t="shared" si="26"/>
        <v>248.33113963349876</v>
      </c>
      <c r="AJ28" s="31">
        <f t="shared" si="27"/>
        <v>2853.2394912921936</v>
      </c>
      <c r="AK28" s="31"/>
      <c r="AL28" s="33">
        <v>2853.2394912921936</v>
      </c>
      <c r="AM28" s="37">
        <f t="shared" si="5"/>
        <v>0.41207878318175961</v>
      </c>
      <c r="AN28" s="36">
        <f>[1]SFI!$I28</f>
        <v>462.95530749999898</v>
      </c>
      <c r="AO28" s="31">
        <f t="shared" si="28"/>
        <v>406.05810020824913</v>
      </c>
      <c r="AP28" s="31">
        <f t="shared" si="29"/>
        <v>56.897207291749872</v>
      </c>
      <c r="AQ28" s="31">
        <f t="shared" si="30"/>
        <v>0</v>
      </c>
      <c r="AR28" s="31"/>
      <c r="AS28" s="33"/>
      <c r="AT28" s="37">
        <f t="shared" si="6"/>
        <v>-1</v>
      </c>
      <c r="AU28" s="36">
        <f>[1]SFI!$J28</f>
        <v>2020.5951149999901</v>
      </c>
      <c r="AV28" s="31">
        <f t="shared" si="31"/>
        <v>1772.2639753664912</v>
      </c>
      <c r="AW28" s="31">
        <f t="shared" si="32"/>
        <v>248.33113963349876</v>
      </c>
      <c r="AX28" s="31">
        <f t="shared" si="33"/>
        <v>0</v>
      </c>
      <c r="AY28" s="31"/>
      <c r="AZ28" s="27"/>
      <c r="BA28" s="37">
        <f t="shared" si="7"/>
        <v>-1</v>
      </c>
      <c r="BB28" s="36">
        <f>[1]SFI!$K28</f>
        <v>2483.5504225</v>
      </c>
      <c r="BC28" s="31">
        <f t="shared" si="34"/>
        <v>2178.3220755747498</v>
      </c>
      <c r="BD28" s="31">
        <f t="shared" si="35"/>
        <v>305.22834692524998</v>
      </c>
      <c r="BE28" s="31">
        <f t="shared" si="36"/>
        <v>0</v>
      </c>
      <c r="BF28" s="31"/>
      <c r="BG28" s="27"/>
      <c r="BH28" s="37">
        <f t="shared" si="8"/>
        <v>-1</v>
      </c>
      <c r="BI28" s="36">
        <f>[1]SFI!$L28</f>
        <v>2020.5951149999901</v>
      </c>
      <c r="BJ28" s="31">
        <f t="shared" si="37"/>
        <v>1772.2639753664912</v>
      </c>
      <c r="BK28" s="31">
        <f t="shared" si="38"/>
        <v>248.33113963349876</v>
      </c>
      <c r="BL28" s="31">
        <f t="shared" si="39"/>
        <v>0</v>
      </c>
      <c r="BM28" s="31"/>
      <c r="BN28" s="33"/>
      <c r="BO28" s="37">
        <f t="shared" si="9"/>
        <v>-1</v>
      </c>
      <c r="BP28" s="36">
        <f>[1]SFI!$M28</f>
        <v>2020.5951149999901</v>
      </c>
      <c r="BQ28" s="31">
        <f t="shared" si="40"/>
        <v>1772.2639753664912</v>
      </c>
      <c r="BR28" s="31">
        <f t="shared" si="41"/>
        <v>248.33113963349876</v>
      </c>
      <c r="BS28" s="31">
        <f t="shared" si="42"/>
        <v>0</v>
      </c>
      <c r="BT28" s="31"/>
      <c r="BU28" s="33"/>
      <c r="BV28" s="37">
        <f t="shared" si="10"/>
        <v>-1</v>
      </c>
      <c r="BW28" s="36">
        <f>[1]SFI!$N28</f>
        <v>0</v>
      </c>
      <c r="BX28" s="31">
        <f t="shared" si="43"/>
        <v>0</v>
      </c>
      <c r="BY28" s="31">
        <f t="shared" si="44"/>
        <v>0</v>
      </c>
      <c r="BZ28" s="31">
        <f t="shared" si="45"/>
        <v>0</v>
      </c>
      <c r="CA28" s="31"/>
      <c r="CB28" s="33"/>
      <c r="CC28" s="37" t="str">
        <f t="shared" si="11"/>
        <v/>
      </c>
      <c r="CD28" s="36">
        <f>[1]SFI!$O28</f>
        <v>0</v>
      </c>
      <c r="CE28" s="31">
        <f t="shared" si="46"/>
        <v>0</v>
      </c>
      <c r="CF28" s="31">
        <f t="shared" si="47"/>
        <v>0</v>
      </c>
      <c r="CG28" s="31">
        <f t="shared" si="48"/>
        <v>0</v>
      </c>
      <c r="CH28" s="31"/>
      <c r="CI28" s="33"/>
      <c r="CJ28" s="37" t="str">
        <f t="shared" si="12"/>
        <v/>
      </c>
      <c r="CK28" s="36">
        <f>[1]SFI!$P28</f>
        <v>0</v>
      </c>
      <c r="CL28" s="31">
        <f t="shared" si="49"/>
        <v>0</v>
      </c>
      <c r="CM28" s="31">
        <f t="shared" si="50"/>
        <v>0</v>
      </c>
      <c r="CN28" s="31">
        <f t="shared" si="51"/>
        <v>0</v>
      </c>
      <c r="CO28" s="31"/>
      <c r="CP28" s="33"/>
      <c r="CQ28" s="37" t="str">
        <f t="shared" si="13"/>
        <v/>
      </c>
    </row>
    <row r="29" spans="1:95" s="26" customFormat="1" ht="16" customHeight="1" x14ac:dyDescent="0.2">
      <c r="A29" s="29" t="s">
        <v>53</v>
      </c>
      <c r="B29" s="30">
        <f t="shared" si="0"/>
        <v>0</v>
      </c>
      <c r="C29" s="31">
        <f t="shared" si="0"/>
        <v>0</v>
      </c>
      <c r="D29" s="32">
        <f t="shared" si="0"/>
        <v>0</v>
      </c>
      <c r="E29" s="30">
        <f t="shared" si="14"/>
        <v>0</v>
      </c>
      <c r="F29" s="33">
        <f t="shared" si="14"/>
        <v>0</v>
      </c>
      <c r="G29" s="34">
        <f t="shared" si="14"/>
        <v>0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37" t="str">
        <f t="shared" si="15"/>
        <v/>
      </c>
      <c r="L29" s="36">
        <f>[1]SFI!$E29</f>
        <v>0</v>
      </c>
      <c r="M29" s="31">
        <f t="shared" si="16"/>
        <v>0</v>
      </c>
      <c r="N29" s="31">
        <f t="shared" si="17"/>
        <v>0</v>
      </c>
      <c r="O29" s="31">
        <f t="shared" si="18"/>
        <v>0</v>
      </c>
      <c r="P29" s="31"/>
      <c r="Q29" s="33"/>
      <c r="R29" s="37" t="str">
        <f t="shared" si="2"/>
        <v/>
      </c>
      <c r="S29" s="36">
        <f>[1]SFI!$F29</f>
        <v>0</v>
      </c>
      <c r="T29" s="31">
        <f t="shared" si="19"/>
        <v>0</v>
      </c>
      <c r="U29" s="31">
        <f t="shared" si="20"/>
        <v>0</v>
      </c>
      <c r="V29" s="31">
        <f t="shared" si="21"/>
        <v>0</v>
      </c>
      <c r="W29" s="31"/>
      <c r="X29" s="148"/>
      <c r="Y29" s="37" t="str">
        <f t="shared" si="3"/>
        <v/>
      </c>
      <c r="Z29" s="36">
        <f>[1]SFI!$G29</f>
        <v>0</v>
      </c>
      <c r="AA29" s="31">
        <f t="shared" si="22"/>
        <v>0</v>
      </c>
      <c r="AB29" s="31">
        <f t="shared" si="23"/>
        <v>0</v>
      </c>
      <c r="AC29" s="31">
        <f t="shared" si="24"/>
        <v>0</v>
      </c>
      <c r="AD29" s="31"/>
      <c r="AE29" s="27"/>
      <c r="AF29" s="37" t="str">
        <f t="shared" si="4"/>
        <v/>
      </c>
      <c r="AG29" s="36">
        <f>[1]SFI!$H29</f>
        <v>0</v>
      </c>
      <c r="AH29" s="31">
        <f t="shared" si="25"/>
        <v>0</v>
      </c>
      <c r="AI29" s="31">
        <f t="shared" si="26"/>
        <v>0</v>
      </c>
      <c r="AJ29" s="31">
        <f t="shared" si="27"/>
        <v>0</v>
      </c>
      <c r="AK29" s="31"/>
      <c r="AL29" s="33"/>
      <c r="AM29" s="37" t="str">
        <f t="shared" si="5"/>
        <v/>
      </c>
      <c r="AN29" s="36">
        <f>[1]SFI!$I29</f>
        <v>0</v>
      </c>
      <c r="AO29" s="31">
        <f t="shared" si="28"/>
        <v>0</v>
      </c>
      <c r="AP29" s="31">
        <f t="shared" si="29"/>
        <v>0</v>
      </c>
      <c r="AQ29" s="31">
        <f t="shared" si="30"/>
        <v>0</v>
      </c>
      <c r="AR29" s="31"/>
      <c r="AS29" s="33"/>
      <c r="AT29" s="37" t="str">
        <f t="shared" si="6"/>
        <v/>
      </c>
      <c r="AU29" s="36">
        <f>[1]SFI!$J29</f>
        <v>0</v>
      </c>
      <c r="AV29" s="31">
        <f t="shared" si="31"/>
        <v>0</v>
      </c>
      <c r="AW29" s="31">
        <f t="shared" si="32"/>
        <v>0</v>
      </c>
      <c r="AX29" s="31">
        <f t="shared" si="33"/>
        <v>0</v>
      </c>
      <c r="AY29" s="31"/>
      <c r="AZ29" s="27"/>
      <c r="BA29" s="37" t="str">
        <f t="shared" si="7"/>
        <v/>
      </c>
      <c r="BB29" s="36">
        <f>[1]SFI!$K29</f>
        <v>0</v>
      </c>
      <c r="BC29" s="31">
        <f t="shared" si="34"/>
        <v>0</v>
      </c>
      <c r="BD29" s="31">
        <f t="shared" si="35"/>
        <v>0</v>
      </c>
      <c r="BE29" s="31">
        <f t="shared" si="36"/>
        <v>0</v>
      </c>
      <c r="BF29" s="31"/>
      <c r="BG29" s="27"/>
      <c r="BH29" s="37" t="str">
        <f t="shared" si="8"/>
        <v/>
      </c>
      <c r="BI29" s="36">
        <f>[1]SFI!$L29</f>
        <v>0</v>
      </c>
      <c r="BJ29" s="31">
        <f t="shared" si="37"/>
        <v>0</v>
      </c>
      <c r="BK29" s="31">
        <f t="shared" si="38"/>
        <v>0</v>
      </c>
      <c r="BL29" s="31">
        <f t="shared" si="39"/>
        <v>0</v>
      </c>
      <c r="BM29" s="31"/>
      <c r="BN29" s="33"/>
      <c r="BO29" s="37" t="str">
        <f t="shared" si="9"/>
        <v/>
      </c>
      <c r="BP29" s="36">
        <f>[1]SFI!$M29</f>
        <v>0</v>
      </c>
      <c r="BQ29" s="31">
        <f t="shared" si="40"/>
        <v>0</v>
      </c>
      <c r="BR29" s="31">
        <f t="shared" si="41"/>
        <v>0</v>
      </c>
      <c r="BS29" s="31">
        <f t="shared" si="42"/>
        <v>0</v>
      </c>
      <c r="BT29" s="31"/>
      <c r="BU29" s="33"/>
      <c r="BV29" s="37" t="str">
        <f t="shared" si="10"/>
        <v/>
      </c>
      <c r="BW29" s="36">
        <f>[1]SFI!$N29</f>
        <v>0</v>
      </c>
      <c r="BX29" s="31">
        <f t="shared" si="43"/>
        <v>0</v>
      </c>
      <c r="BY29" s="31">
        <f t="shared" si="44"/>
        <v>0</v>
      </c>
      <c r="BZ29" s="31">
        <f t="shared" si="45"/>
        <v>0</v>
      </c>
      <c r="CA29" s="31"/>
      <c r="CB29" s="33"/>
      <c r="CC29" s="37" t="str">
        <f t="shared" si="11"/>
        <v/>
      </c>
      <c r="CD29" s="36">
        <f>[1]SFI!$O29</f>
        <v>0</v>
      </c>
      <c r="CE29" s="31">
        <f t="shared" si="46"/>
        <v>0</v>
      </c>
      <c r="CF29" s="31">
        <f t="shared" si="47"/>
        <v>0</v>
      </c>
      <c r="CG29" s="31">
        <f t="shared" si="48"/>
        <v>0</v>
      </c>
      <c r="CH29" s="31"/>
      <c r="CI29" s="33"/>
      <c r="CJ29" s="37" t="str">
        <f t="shared" si="12"/>
        <v/>
      </c>
      <c r="CK29" s="36">
        <f>[1]SFI!$P29</f>
        <v>0</v>
      </c>
      <c r="CL29" s="31">
        <f t="shared" si="49"/>
        <v>0</v>
      </c>
      <c r="CM29" s="31">
        <f t="shared" si="50"/>
        <v>0</v>
      </c>
      <c r="CN29" s="31">
        <f t="shared" si="51"/>
        <v>0</v>
      </c>
      <c r="CO29" s="31"/>
      <c r="CP29" s="33"/>
      <c r="CQ29" s="37" t="str">
        <f t="shared" si="13"/>
        <v/>
      </c>
    </row>
    <row r="30" spans="1:95" s="26" customFormat="1" ht="16" customHeight="1" x14ac:dyDescent="0.2">
      <c r="A30" s="29" t="s">
        <v>54</v>
      </c>
      <c r="B30" s="30">
        <f t="shared" si="0"/>
        <v>30013.837106507286</v>
      </c>
      <c r="C30" s="31">
        <f t="shared" si="0"/>
        <v>26325.136526117549</v>
      </c>
      <c r="D30" s="32">
        <f t="shared" si="0"/>
        <v>3688.700580389745</v>
      </c>
      <c r="E30" s="30">
        <f t="shared" si="14"/>
        <v>10004.612368835762</v>
      </c>
      <c r="F30" s="33">
        <f t="shared" si="14"/>
        <v>8775.0455087058472</v>
      </c>
      <c r="G30" s="34">
        <f t="shared" si="14"/>
        <v>1229.5668601299151</v>
      </c>
      <c r="H30" s="31">
        <f t="shared" si="1"/>
        <v>6481.1006682467951</v>
      </c>
      <c r="I30" s="33">
        <f t="shared" si="1"/>
        <v>0</v>
      </c>
      <c r="J30" s="33">
        <f t="shared" si="1"/>
        <v>6481.1006682467951</v>
      </c>
      <c r="K30" s="37">
        <f t="shared" si="15"/>
        <v>-0.35218872762773501</v>
      </c>
      <c r="L30" s="36">
        <f>[1]SFI!$E30</f>
        <v>2501.1530922089405</v>
      </c>
      <c r="M30" s="31">
        <f t="shared" si="16"/>
        <v>2193.7613771764618</v>
      </c>
      <c r="N30" s="31">
        <f t="shared" si="17"/>
        <v>307.39171503247877</v>
      </c>
      <c r="O30" s="31">
        <f t="shared" si="18"/>
        <v>2161.0489607689683</v>
      </c>
      <c r="P30" s="31"/>
      <c r="Q30" s="33">
        <v>2161.0489607689683</v>
      </c>
      <c r="R30" s="37">
        <f t="shared" si="2"/>
        <v>-0.13597893407620354</v>
      </c>
      <c r="S30" s="36">
        <f>[1]SFI!$F30</f>
        <v>2501.1530922089405</v>
      </c>
      <c r="T30" s="31">
        <f t="shared" si="19"/>
        <v>2193.7613771764618</v>
      </c>
      <c r="U30" s="31">
        <f t="shared" si="20"/>
        <v>307.39171503247877</v>
      </c>
      <c r="V30" s="31">
        <f t="shared" si="21"/>
        <v>2083.0519093444591</v>
      </c>
      <c r="W30" s="31"/>
      <c r="X30" s="148">
        <f>'[4]SÃO FRANCISCO'!X30*'[3]SF I'!$X$4</f>
        <v>2083.0519093444591</v>
      </c>
      <c r="Y30" s="37">
        <f t="shared" si="3"/>
        <v>-0.16716337123339675</v>
      </c>
      <c r="Z30" s="36">
        <f>[1]SFI!$G30</f>
        <v>2501.1530922089405</v>
      </c>
      <c r="AA30" s="31">
        <f t="shared" si="22"/>
        <v>2193.7613771764618</v>
      </c>
      <c r="AB30" s="31">
        <f t="shared" si="23"/>
        <v>307.39171503247877</v>
      </c>
      <c r="AC30" s="31">
        <f t="shared" si="24"/>
        <v>1137.658060810737</v>
      </c>
      <c r="AD30" s="31"/>
      <c r="AE30" s="33">
        <f>'[4]SÃO FRANCISCO'!AE30*'[2]SF I'!$X$4</f>
        <v>1137.658060810737</v>
      </c>
      <c r="AF30" s="37">
        <f t="shared" si="4"/>
        <v>-0.54514657085384854</v>
      </c>
      <c r="AG30" s="36">
        <f>[1]SFI!$H30</f>
        <v>2501.1530922089405</v>
      </c>
      <c r="AH30" s="31">
        <f t="shared" si="25"/>
        <v>2193.7613771764618</v>
      </c>
      <c r="AI30" s="31">
        <f t="shared" si="26"/>
        <v>307.39171503247877</v>
      </c>
      <c r="AJ30" s="31">
        <f t="shared" si="27"/>
        <v>1099.3417373226314</v>
      </c>
      <c r="AK30" s="31"/>
      <c r="AL30" s="33">
        <f>'[4]SÃO FRANCISCO'!AL30*'[3]SF I'!$X$4</f>
        <v>1099.3417373226314</v>
      </c>
      <c r="AM30" s="37">
        <f t="shared" si="5"/>
        <v>-0.56046603434749087</v>
      </c>
      <c r="AN30" s="36">
        <f>[1]SFI!$I30</f>
        <v>2501.1530922089405</v>
      </c>
      <c r="AO30" s="31">
        <f t="shared" si="28"/>
        <v>2193.7613771764618</v>
      </c>
      <c r="AP30" s="31">
        <f t="shared" si="29"/>
        <v>307.39171503247877</v>
      </c>
      <c r="AQ30" s="31">
        <f t="shared" si="30"/>
        <v>0</v>
      </c>
      <c r="AR30" s="31"/>
      <c r="AS30" s="33">
        <f>'[4]SÃO FRANCISCO'!AS30*'[3]SF I'!$X$4</f>
        <v>0</v>
      </c>
      <c r="AT30" s="37">
        <f t="shared" si="6"/>
        <v>-1</v>
      </c>
      <c r="AU30" s="36">
        <f>[1]SFI!$J30</f>
        <v>2501.1530922089405</v>
      </c>
      <c r="AV30" s="31">
        <f t="shared" si="31"/>
        <v>2193.7613771764618</v>
      </c>
      <c r="AW30" s="31">
        <f t="shared" si="32"/>
        <v>307.39171503247877</v>
      </c>
      <c r="AX30" s="31">
        <f t="shared" si="33"/>
        <v>0</v>
      </c>
      <c r="AY30" s="31"/>
      <c r="AZ30" s="33">
        <f>'[4]SÃO FRANCISCO'!AZ30*'[3]SF I'!$X$4</f>
        <v>0</v>
      </c>
      <c r="BA30" s="37">
        <f t="shared" si="7"/>
        <v>-1</v>
      </c>
      <c r="BB30" s="36">
        <f>[1]SFI!$K30</f>
        <v>2501.1530922089405</v>
      </c>
      <c r="BC30" s="31">
        <f t="shared" si="34"/>
        <v>2193.7613771764618</v>
      </c>
      <c r="BD30" s="31">
        <f t="shared" si="35"/>
        <v>307.39171503247877</v>
      </c>
      <c r="BE30" s="31">
        <f t="shared" si="36"/>
        <v>0</v>
      </c>
      <c r="BF30" s="31"/>
      <c r="BG30" s="33">
        <f>'[4]SÃO FRANCISCO'!BG30*'[3]SF I'!$X$4</f>
        <v>0</v>
      </c>
      <c r="BH30" s="37">
        <f t="shared" si="8"/>
        <v>-1</v>
      </c>
      <c r="BI30" s="36">
        <f>[1]SFI!$L30</f>
        <v>2501.1530922089405</v>
      </c>
      <c r="BJ30" s="31">
        <f t="shared" si="37"/>
        <v>2193.7613771764618</v>
      </c>
      <c r="BK30" s="31">
        <f t="shared" si="38"/>
        <v>307.39171503247877</v>
      </c>
      <c r="BL30" s="31">
        <f t="shared" si="39"/>
        <v>0</v>
      </c>
      <c r="BM30" s="31"/>
      <c r="BN30" s="33">
        <f>'[4]SÃO FRANCISCO'!BN30*'[3]SF I'!$X$4</f>
        <v>0</v>
      </c>
      <c r="BO30" s="37">
        <f t="shared" si="9"/>
        <v>-1</v>
      </c>
      <c r="BP30" s="36">
        <f>[1]SFI!$M30</f>
        <v>2501.1530922089405</v>
      </c>
      <c r="BQ30" s="31">
        <f t="shared" si="40"/>
        <v>2193.7613771764618</v>
      </c>
      <c r="BR30" s="31">
        <f t="shared" si="41"/>
        <v>307.39171503247877</v>
      </c>
      <c r="BS30" s="31">
        <f t="shared" si="42"/>
        <v>0</v>
      </c>
      <c r="BT30" s="31"/>
      <c r="BU30" s="33">
        <f>'[4]SÃO FRANCISCO'!BU30*'[3]SF I'!$X$4</f>
        <v>0</v>
      </c>
      <c r="BV30" s="37">
        <f t="shared" si="10"/>
        <v>-1</v>
      </c>
      <c r="BW30" s="36">
        <f>[1]SFI!$N30</f>
        <v>2501.1530922089405</v>
      </c>
      <c r="BX30" s="31">
        <f t="shared" si="43"/>
        <v>2193.7613771764618</v>
      </c>
      <c r="BY30" s="31">
        <f t="shared" si="44"/>
        <v>307.39171503247877</v>
      </c>
      <c r="BZ30" s="31">
        <f t="shared" si="45"/>
        <v>0</v>
      </c>
      <c r="CA30" s="31"/>
      <c r="CB30" s="33">
        <f>'[4]SÃO FRANCISCO'!CB30*'[3]SF I'!$X$4</f>
        <v>0</v>
      </c>
      <c r="CC30" s="37">
        <f t="shared" si="11"/>
        <v>-1</v>
      </c>
      <c r="CD30" s="36">
        <f>[1]SFI!$O30</f>
        <v>2501.1530922089405</v>
      </c>
      <c r="CE30" s="31">
        <f t="shared" si="46"/>
        <v>2193.7613771764618</v>
      </c>
      <c r="CF30" s="31">
        <f t="shared" si="47"/>
        <v>307.39171503247877</v>
      </c>
      <c r="CG30" s="31">
        <f t="shared" si="48"/>
        <v>0</v>
      </c>
      <c r="CH30" s="31"/>
      <c r="CI30" s="33">
        <f>'[4]SÃO FRANCISCO'!CI30*'[3]SF I'!$X$4</f>
        <v>0</v>
      </c>
      <c r="CJ30" s="37">
        <f t="shared" si="12"/>
        <v>-1</v>
      </c>
      <c r="CK30" s="36">
        <f>[1]SFI!$P30</f>
        <v>2501.1530922089405</v>
      </c>
      <c r="CL30" s="31">
        <f t="shared" si="49"/>
        <v>2193.7613771764618</v>
      </c>
      <c r="CM30" s="31">
        <f t="shared" si="50"/>
        <v>307.39171503247877</v>
      </c>
      <c r="CN30" s="31">
        <f t="shared" si="51"/>
        <v>0</v>
      </c>
      <c r="CO30" s="31"/>
      <c r="CP30" s="33">
        <f>'[4]SÃO FRANCISCO'!CP30*'[3]SF I'!$X$4</f>
        <v>0</v>
      </c>
      <c r="CQ30" s="37">
        <f t="shared" si="13"/>
        <v>-1</v>
      </c>
    </row>
    <row r="31" spans="1:95" s="26" customFormat="1" ht="16" customHeight="1" x14ac:dyDescent="0.2">
      <c r="A31" s="38" t="s">
        <v>55</v>
      </c>
      <c r="B31" s="30">
        <f t="shared" si="0"/>
        <v>5002.306184417881</v>
      </c>
      <c r="C31" s="31">
        <f t="shared" si="0"/>
        <v>4387.5227543529227</v>
      </c>
      <c r="D31" s="32">
        <f t="shared" si="0"/>
        <v>614.78343006495754</v>
      </c>
      <c r="E31" s="30">
        <f t="shared" si="14"/>
        <v>1667.4353948059604</v>
      </c>
      <c r="F31" s="33">
        <f t="shared" si="14"/>
        <v>1462.5075847843079</v>
      </c>
      <c r="G31" s="34">
        <f t="shared" si="14"/>
        <v>204.92781002165253</v>
      </c>
      <c r="H31" s="31">
        <f t="shared" si="1"/>
        <v>50638.859572650988</v>
      </c>
      <c r="I31" s="33">
        <f t="shared" si="1"/>
        <v>0</v>
      </c>
      <c r="J31" s="33">
        <f t="shared" si="1"/>
        <v>50638.859572650988</v>
      </c>
      <c r="K31" s="37">
        <f t="shared" si="15"/>
        <v>29.369308298474639</v>
      </c>
      <c r="L31" s="36">
        <f>[1]SFI!$E31</f>
        <v>416.8588487014901</v>
      </c>
      <c r="M31" s="31">
        <f t="shared" si="16"/>
        <v>365.62689619607698</v>
      </c>
      <c r="N31" s="31">
        <f t="shared" si="17"/>
        <v>51.231952505413133</v>
      </c>
      <c r="O31" s="31">
        <f t="shared" si="18"/>
        <v>11005.341929841969</v>
      </c>
      <c r="P31" s="31"/>
      <c r="Q31" s="33">
        <v>11005.341929841969</v>
      </c>
      <c r="R31" s="37">
        <f t="shared" si="2"/>
        <v>25.40064368100489</v>
      </c>
      <c r="S31" s="36">
        <f>[1]SFI!$F31</f>
        <v>416.8588487014901</v>
      </c>
      <c r="T31" s="31">
        <f t="shared" si="19"/>
        <v>365.62689619607698</v>
      </c>
      <c r="U31" s="31">
        <f t="shared" si="20"/>
        <v>51.231952505413133</v>
      </c>
      <c r="V31" s="31">
        <f t="shared" si="21"/>
        <v>33492.653310268091</v>
      </c>
      <c r="W31" s="31"/>
      <c r="X31" s="148">
        <f>'[4]SÃO FRANCISCO'!X31*'[3]SF I'!$X$4</f>
        <v>33492.653310268091</v>
      </c>
      <c r="Y31" s="37">
        <f t="shared" si="3"/>
        <v>79.345309724376179</v>
      </c>
      <c r="Z31" s="36">
        <f>[1]SFI!$G31</f>
        <v>416.8588487014901</v>
      </c>
      <c r="AA31" s="31">
        <f t="shared" si="22"/>
        <v>365.62689619607698</v>
      </c>
      <c r="AB31" s="31">
        <f t="shared" si="23"/>
        <v>51.231952505413133</v>
      </c>
      <c r="AC31" s="31">
        <f t="shared" si="24"/>
        <v>0</v>
      </c>
      <c r="AD31" s="31"/>
      <c r="AE31" s="33">
        <f>'[4]SÃO FRANCISCO'!AE31*'[2]SF I'!$X$4</f>
        <v>0</v>
      </c>
      <c r="AF31" s="37">
        <f t="shared" si="4"/>
        <v>-1</v>
      </c>
      <c r="AG31" s="36">
        <f>[1]SFI!$H31</f>
        <v>416.8588487014901</v>
      </c>
      <c r="AH31" s="31">
        <f t="shared" si="25"/>
        <v>365.62689619607698</v>
      </c>
      <c r="AI31" s="31">
        <f t="shared" si="26"/>
        <v>51.231952505413133</v>
      </c>
      <c r="AJ31" s="31">
        <f t="shared" si="27"/>
        <v>6140.8643325409257</v>
      </c>
      <c r="AK31" s="31"/>
      <c r="AL31" s="33">
        <f>'[4]SÃO FRANCISCO'!AL31*'[3]SF I'!$X$4</f>
        <v>6140.8643325409257</v>
      </c>
      <c r="AM31" s="37">
        <f t="shared" si="5"/>
        <v>13.731279788517476</v>
      </c>
      <c r="AN31" s="36">
        <f>[1]SFI!$I31</f>
        <v>416.8588487014901</v>
      </c>
      <c r="AO31" s="31">
        <f t="shared" si="28"/>
        <v>365.62689619607698</v>
      </c>
      <c r="AP31" s="31">
        <f t="shared" si="29"/>
        <v>51.231952505413133</v>
      </c>
      <c r="AQ31" s="31">
        <f t="shared" si="30"/>
        <v>0</v>
      </c>
      <c r="AR31" s="31"/>
      <c r="AS31" s="33">
        <f>'[4]SÃO FRANCISCO'!AS31*'[3]SF I'!$X$4</f>
        <v>0</v>
      </c>
      <c r="AT31" s="37">
        <f t="shared" si="6"/>
        <v>-1</v>
      </c>
      <c r="AU31" s="36">
        <f>[1]SFI!$J31</f>
        <v>416.8588487014901</v>
      </c>
      <c r="AV31" s="31">
        <f t="shared" si="31"/>
        <v>365.62689619607698</v>
      </c>
      <c r="AW31" s="31">
        <f t="shared" si="32"/>
        <v>51.231952505413133</v>
      </c>
      <c r="AX31" s="31">
        <f t="shared" si="33"/>
        <v>0</v>
      </c>
      <c r="AY31" s="31"/>
      <c r="AZ31" s="27">
        <f>'[4]SÃO FRANCISCO'!AZ31*'[3]SF I'!$X$4</f>
        <v>0</v>
      </c>
      <c r="BA31" s="37">
        <f t="shared" si="7"/>
        <v>-1</v>
      </c>
      <c r="BB31" s="36">
        <f>[1]SFI!$K31</f>
        <v>416.8588487014901</v>
      </c>
      <c r="BC31" s="31">
        <f t="shared" si="34"/>
        <v>365.62689619607698</v>
      </c>
      <c r="BD31" s="31">
        <f t="shared" si="35"/>
        <v>51.231952505413133</v>
      </c>
      <c r="BE31" s="31">
        <f t="shared" si="36"/>
        <v>0</v>
      </c>
      <c r="BF31" s="31"/>
      <c r="BG31" s="27">
        <f>'[4]SÃO FRANCISCO'!BG31*'[3]SF I'!$X$4</f>
        <v>0</v>
      </c>
      <c r="BH31" s="37">
        <f t="shared" si="8"/>
        <v>-1</v>
      </c>
      <c r="BI31" s="36">
        <f>[1]SFI!$L31</f>
        <v>416.8588487014901</v>
      </c>
      <c r="BJ31" s="31">
        <f t="shared" si="37"/>
        <v>365.62689619607698</v>
      </c>
      <c r="BK31" s="31">
        <f t="shared" si="38"/>
        <v>51.231952505413133</v>
      </c>
      <c r="BL31" s="31">
        <f t="shared" si="39"/>
        <v>0</v>
      </c>
      <c r="BM31" s="31"/>
      <c r="BN31" s="33">
        <f>'[4]SÃO FRANCISCO'!BN31*'[3]SF I'!$X$4</f>
        <v>0</v>
      </c>
      <c r="BO31" s="37">
        <f t="shared" si="9"/>
        <v>-1</v>
      </c>
      <c r="BP31" s="36">
        <f>[1]SFI!$M31</f>
        <v>416.8588487014901</v>
      </c>
      <c r="BQ31" s="31">
        <f t="shared" si="40"/>
        <v>365.62689619607698</v>
      </c>
      <c r="BR31" s="31">
        <f t="shared" si="41"/>
        <v>51.231952505413133</v>
      </c>
      <c r="BS31" s="31">
        <f t="shared" si="42"/>
        <v>0</v>
      </c>
      <c r="BT31" s="31"/>
      <c r="BU31" s="33">
        <f>'[4]SÃO FRANCISCO'!BU31*'[3]SF I'!$X$4</f>
        <v>0</v>
      </c>
      <c r="BV31" s="37">
        <f t="shared" si="10"/>
        <v>-1</v>
      </c>
      <c r="BW31" s="36">
        <f>[1]SFI!$N31</f>
        <v>416.8588487014901</v>
      </c>
      <c r="BX31" s="31">
        <f t="shared" si="43"/>
        <v>365.62689619607698</v>
      </c>
      <c r="BY31" s="31">
        <f t="shared" si="44"/>
        <v>51.231952505413133</v>
      </c>
      <c r="BZ31" s="31">
        <f t="shared" si="45"/>
        <v>0</v>
      </c>
      <c r="CA31" s="31"/>
      <c r="CB31" s="33">
        <f>'[4]SÃO FRANCISCO'!CB31*'[3]SF I'!$X$4</f>
        <v>0</v>
      </c>
      <c r="CC31" s="37">
        <f t="shared" si="11"/>
        <v>-1</v>
      </c>
      <c r="CD31" s="36">
        <f>[1]SFI!$O31</f>
        <v>416.8588487014901</v>
      </c>
      <c r="CE31" s="31">
        <f t="shared" si="46"/>
        <v>365.62689619607698</v>
      </c>
      <c r="CF31" s="31">
        <f t="shared" si="47"/>
        <v>51.231952505413133</v>
      </c>
      <c r="CG31" s="31">
        <f t="shared" si="48"/>
        <v>0</v>
      </c>
      <c r="CH31" s="31"/>
      <c r="CI31" s="33">
        <f>'[4]SÃO FRANCISCO'!CI31*'[3]SF I'!$X$4</f>
        <v>0</v>
      </c>
      <c r="CJ31" s="37">
        <f t="shared" si="12"/>
        <v>-1</v>
      </c>
      <c r="CK31" s="36">
        <f>[1]SFI!$P31</f>
        <v>416.8588487014901</v>
      </c>
      <c r="CL31" s="31">
        <f t="shared" si="49"/>
        <v>365.62689619607698</v>
      </c>
      <c r="CM31" s="31">
        <f t="shared" si="50"/>
        <v>51.231952505413133</v>
      </c>
      <c r="CN31" s="31">
        <f t="shared" si="51"/>
        <v>0</v>
      </c>
      <c r="CO31" s="31"/>
      <c r="CP31" s="33">
        <f>'[4]SÃO FRANCISCO'!CP31*'[3]SF I'!$X$4</f>
        <v>0</v>
      </c>
      <c r="CQ31" s="37">
        <f t="shared" si="13"/>
        <v>-1</v>
      </c>
    </row>
    <row r="32" spans="1:95" s="26" customFormat="1" ht="16" customHeight="1" x14ac:dyDescent="0.2">
      <c r="A32" s="29" t="s">
        <v>202</v>
      </c>
      <c r="B32" s="30">
        <f t="shared" si="0"/>
        <v>927973.71475092927</v>
      </c>
      <c r="C32" s="31">
        <f t="shared" si="0"/>
        <v>813925.74520804011</v>
      </c>
      <c r="D32" s="32">
        <f t="shared" si="0"/>
        <v>114047.96954288922</v>
      </c>
      <c r="E32" s="30">
        <f t="shared" si="14"/>
        <v>927973.71475092927</v>
      </c>
      <c r="F32" s="33">
        <f t="shared" si="14"/>
        <v>813925.74520804011</v>
      </c>
      <c r="G32" s="34">
        <f t="shared" si="14"/>
        <v>114047.96954288922</v>
      </c>
      <c r="H32" s="31">
        <f t="shared" si="1"/>
        <v>726095.97</v>
      </c>
      <c r="I32" s="33">
        <f t="shared" si="1"/>
        <v>0</v>
      </c>
      <c r="J32" s="33">
        <f t="shared" si="1"/>
        <v>726095.97</v>
      </c>
      <c r="K32" s="37">
        <f t="shared" si="15"/>
        <v>-0.2175468351548232</v>
      </c>
      <c r="L32" s="36">
        <f>[1]SFI!$E32</f>
        <v>214147.78032713759</v>
      </c>
      <c r="M32" s="31">
        <f t="shared" si="16"/>
        <v>187829.01812493237</v>
      </c>
      <c r="N32" s="31">
        <f t="shared" si="17"/>
        <v>26318.762202205209</v>
      </c>
      <c r="O32" s="31">
        <f t="shared" si="18"/>
        <v>95204.19</v>
      </c>
      <c r="P32" s="31"/>
      <c r="Q32" s="33">
        <v>95204.19</v>
      </c>
      <c r="R32" s="37">
        <f t="shared" si="2"/>
        <v>-0.55542761239661853</v>
      </c>
      <c r="S32" s="36">
        <f>[1]SFI!$F32</f>
        <v>285530.37376951671</v>
      </c>
      <c r="T32" s="31">
        <f t="shared" si="19"/>
        <v>250438.6908332431</v>
      </c>
      <c r="U32" s="31">
        <f t="shared" si="20"/>
        <v>35091.682936273603</v>
      </c>
      <c r="V32" s="31">
        <f t="shared" si="21"/>
        <v>195841.72</v>
      </c>
      <c r="W32" s="31"/>
      <c r="X32" s="148">
        <f>182888.32+2114.84+10838.56</f>
        <v>195841.72</v>
      </c>
      <c r="Y32" s="37">
        <f t="shared" si="3"/>
        <v>-0.3141124798229501</v>
      </c>
      <c r="Z32" s="36">
        <f>[1]SFI!$G32</f>
        <v>285530.37376951671</v>
      </c>
      <c r="AA32" s="31">
        <f t="shared" si="22"/>
        <v>250438.6908332431</v>
      </c>
      <c r="AB32" s="31">
        <f t="shared" si="23"/>
        <v>35091.682936273603</v>
      </c>
      <c r="AC32" s="31">
        <f t="shared" si="24"/>
        <v>256295.34</v>
      </c>
      <c r="AD32" s="31"/>
      <c r="AE32" s="27">
        <f>246706.64+8444.84+1143.86</f>
        <v>256295.34</v>
      </c>
      <c r="AF32" s="37">
        <f t="shared" si="4"/>
        <v>-0.10238852484785232</v>
      </c>
      <c r="AG32" s="36">
        <f>[1]SFI!$H32</f>
        <v>142765.18688475835</v>
      </c>
      <c r="AH32" s="31">
        <f t="shared" si="25"/>
        <v>125219.34541662155</v>
      </c>
      <c r="AI32" s="31">
        <f t="shared" si="26"/>
        <v>17545.841468136801</v>
      </c>
      <c r="AJ32" s="31">
        <f t="shared" si="27"/>
        <v>178754.72</v>
      </c>
      <c r="AK32" s="31"/>
      <c r="AL32" s="33">
        <v>178754.72</v>
      </c>
      <c r="AM32" s="37">
        <f t="shared" si="5"/>
        <v>0.25208899943018181</v>
      </c>
      <c r="AN32" s="36">
        <f>[1]SFI!$I32</f>
        <v>0</v>
      </c>
      <c r="AO32" s="31">
        <f t="shared" si="28"/>
        <v>0</v>
      </c>
      <c r="AP32" s="31">
        <f t="shared" si="29"/>
        <v>0</v>
      </c>
      <c r="AQ32" s="31">
        <f t="shared" si="30"/>
        <v>0</v>
      </c>
      <c r="AR32" s="31"/>
      <c r="AS32" s="33">
        <f>'[4]SÃO FRANCISCO'!AS32*'[3]SF I'!$X$4</f>
        <v>0</v>
      </c>
      <c r="AT32" s="37" t="str">
        <f t="shared" si="6"/>
        <v/>
      </c>
      <c r="AU32" s="36">
        <f>[1]SFI!$J32</f>
        <v>0</v>
      </c>
      <c r="AV32" s="31">
        <f t="shared" si="31"/>
        <v>0</v>
      </c>
      <c r="AW32" s="31">
        <f t="shared" si="32"/>
        <v>0</v>
      </c>
      <c r="AX32" s="31">
        <f t="shared" si="33"/>
        <v>0</v>
      </c>
      <c r="AY32" s="31"/>
      <c r="AZ32" s="27">
        <f>'[4]SÃO FRANCISCO'!AZ32*'[3]SF I'!$X$4</f>
        <v>0</v>
      </c>
      <c r="BA32" s="37" t="str">
        <f t="shared" si="7"/>
        <v/>
      </c>
      <c r="BB32" s="36">
        <f>[1]SFI!$K32</f>
        <v>0</v>
      </c>
      <c r="BC32" s="31">
        <f t="shared" si="34"/>
        <v>0</v>
      </c>
      <c r="BD32" s="31">
        <f t="shared" si="35"/>
        <v>0</v>
      </c>
      <c r="BE32" s="31">
        <f t="shared" si="36"/>
        <v>0</v>
      </c>
      <c r="BF32" s="31"/>
      <c r="BG32" s="33">
        <f>'[4]SÃO FRANCISCO'!BG32*'[3]SF I'!$X$4</f>
        <v>0</v>
      </c>
      <c r="BH32" s="37" t="str">
        <f t="shared" si="8"/>
        <v/>
      </c>
      <c r="BI32" s="36">
        <f>[1]SFI!$L32</f>
        <v>0</v>
      </c>
      <c r="BJ32" s="31">
        <f t="shared" si="37"/>
        <v>0</v>
      </c>
      <c r="BK32" s="31">
        <f t="shared" si="38"/>
        <v>0</v>
      </c>
      <c r="BL32" s="31">
        <f t="shared" si="39"/>
        <v>0</v>
      </c>
      <c r="BM32" s="31"/>
      <c r="BN32" s="33">
        <f>'[4]SÃO FRANCISCO'!BN32*'[3]SF I'!$X$4</f>
        <v>0</v>
      </c>
      <c r="BO32" s="37" t="str">
        <f t="shared" si="9"/>
        <v/>
      </c>
      <c r="BP32" s="36">
        <f>[1]SFI!$M32</f>
        <v>0</v>
      </c>
      <c r="BQ32" s="31">
        <f t="shared" si="40"/>
        <v>0</v>
      </c>
      <c r="BR32" s="31">
        <f t="shared" si="41"/>
        <v>0</v>
      </c>
      <c r="BS32" s="31">
        <f t="shared" si="42"/>
        <v>0</v>
      </c>
      <c r="BT32" s="31"/>
      <c r="BU32" s="33">
        <f>'[4]SÃO FRANCISCO'!BU32*'[3]SF I'!$X$4</f>
        <v>0</v>
      </c>
      <c r="BV32" s="37" t="str">
        <f t="shared" si="10"/>
        <v/>
      </c>
      <c r="BW32" s="36">
        <f>[1]SFI!$N32</f>
        <v>0</v>
      </c>
      <c r="BX32" s="31">
        <f t="shared" si="43"/>
        <v>0</v>
      </c>
      <c r="BY32" s="31">
        <f t="shared" si="44"/>
        <v>0</v>
      </c>
      <c r="BZ32" s="31">
        <f t="shared" si="45"/>
        <v>0</v>
      </c>
      <c r="CA32" s="31"/>
      <c r="CB32" s="33">
        <f>'[4]SÃO FRANCISCO'!CB32*'[3]SF I'!$X$4</f>
        <v>0</v>
      </c>
      <c r="CC32" s="37" t="str">
        <f t="shared" si="11"/>
        <v/>
      </c>
      <c r="CD32" s="36">
        <f>[1]SFI!$O32</f>
        <v>0</v>
      </c>
      <c r="CE32" s="31">
        <f t="shared" si="46"/>
        <v>0</v>
      </c>
      <c r="CF32" s="31">
        <f t="shared" si="47"/>
        <v>0</v>
      </c>
      <c r="CG32" s="31">
        <f t="shared" si="48"/>
        <v>0</v>
      </c>
      <c r="CH32" s="31"/>
      <c r="CI32" s="33">
        <f>'[4]SÃO FRANCISCO'!CI32*'[3]SF I'!$X$4</f>
        <v>0</v>
      </c>
      <c r="CJ32" s="37" t="str">
        <f t="shared" si="12"/>
        <v/>
      </c>
      <c r="CK32" s="36">
        <f>[1]SFI!$P32</f>
        <v>0</v>
      </c>
      <c r="CL32" s="31">
        <f t="shared" si="49"/>
        <v>0</v>
      </c>
      <c r="CM32" s="31">
        <f t="shared" si="50"/>
        <v>0</v>
      </c>
      <c r="CN32" s="31">
        <f t="shared" si="51"/>
        <v>0</v>
      </c>
      <c r="CO32" s="31"/>
      <c r="CP32" s="33">
        <f>'[4]SÃO FRANCISCO'!CP32*'[3]SF I'!$X$4</f>
        <v>0</v>
      </c>
      <c r="CQ32" s="37" t="str">
        <f t="shared" si="13"/>
        <v/>
      </c>
    </row>
    <row r="33" spans="1:95" s="26" customFormat="1" ht="16" customHeight="1" x14ac:dyDescent="0.2">
      <c r="A33" s="29" t="s">
        <v>57</v>
      </c>
      <c r="B33" s="30">
        <f t="shared" si="0"/>
        <v>530612.24489795929</v>
      </c>
      <c r="C33" s="31">
        <f t="shared" si="0"/>
        <v>465400</v>
      </c>
      <c r="D33" s="32">
        <f t="shared" si="0"/>
        <v>65212.244897959179</v>
      </c>
      <c r="E33" s="30">
        <f t="shared" si="14"/>
        <v>530612.24489795929</v>
      </c>
      <c r="F33" s="33">
        <f t="shared" si="14"/>
        <v>465400</v>
      </c>
      <c r="G33" s="34">
        <f t="shared" si="14"/>
        <v>65212.244897959179</v>
      </c>
      <c r="H33" s="31">
        <f t="shared" si="1"/>
        <v>708835.63</v>
      </c>
      <c r="I33" s="33">
        <f t="shared" si="1"/>
        <v>0</v>
      </c>
      <c r="J33" s="33">
        <f t="shared" si="1"/>
        <v>708835.63</v>
      </c>
      <c r="K33" s="37">
        <f t="shared" si="15"/>
        <v>0.33588253346153829</v>
      </c>
      <c r="L33" s="36">
        <f>[1]SFI!$E33</f>
        <v>122448.97959183673</v>
      </c>
      <c r="M33" s="31">
        <f t="shared" si="16"/>
        <v>107400</v>
      </c>
      <c r="N33" s="31">
        <f t="shared" si="17"/>
        <v>15048.979591836734</v>
      </c>
      <c r="O33" s="31">
        <f t="shared" si="18"/>
        <v>36031.39</v>
      </c>
      <c r="P33" s="31"/>
      <c r="Q33" s="33">
        <v>36031.39</v>
      </c>
      <c r="R33" s="37">
        <f t="shared" si="2"/>
        <v>-0.70574364833333325</v>
      </c>
      <c r="S33" s="36">
        <f>[1]SFI!$F33</f>
        <v>163265.30612244899</v>
      </c>
      <c r="T33" s="31">
        <f t="shared" si="19"/>
        <v>143200</v>
      </c>
      <c r="U33" s="31">
        <f t="shared" si="20"/>
        <v>20065.306122448979</v>
      </c>
      <c r="V33" s="31">
        <f t="shared" si="21"/>
        <v>190707.63</v>
      </c>
      <c r="W33" s="31"/>
      <c r="X33" s="148">
        <v>190707.63</v>
      </c>
      <c r="Y33" s="37">
        <f t="shared" si="3"/>
        <v>0.16808423374999992</v>
      </c>
      <c r="Z33" s="36">
        <f>[1]SFI!$G33</f>
        <v>163265.30612244899</v>
      </c>
      <c r="AA33" s="31">
        <f t="shared" si="22"/>
        <v>143200</v>
      </c>
      <c r="AB33" s="31">
        <f t="shared" si="23"/>
        <v>20065.306122448979</v>
      </c>
      <c r="AC33" s="31">
        <f t="shared" si="24"/>
        <v>294717.03999999998</v>
      </c>
      <c r="AD33" s="31"/>
      <c r="AE33" s="27">
        <v>294717.03999999998</v>
      </c>
      <c r="AF33" s="37">
        <f t="shared" si="4"/>
        <v>0.8051418699999997</v>
      </c>
      <c r="AG33" s="36">
        <f>[1]SFI!$H33</f>
        <v>81632.653061224497</v>
      </c>
      <c r="AH33" s="31">
        <f t="shared" si="25"/>
        <v>71600</v>
      </c>
      <c r="AI33" s="31">
        <f t="shared" si="26"/>
        <v>10032.65306122449</v>
      </c>
      <c r="AJ33" s="31">
        <f t="shared" si="27"/>
        <v>187379.57</v>
      </c>
      <c r="AK33" s="31"/>
      <c r="AL33" s="33">
        <v>187379.57</v>
      </c>
      <c r="AM33" s="37">
        <f t="shared" si="5"/>
        <v>1.2953997325</v>
      </c>
      <c r="AN33" s="36">
        <f>[1]SFI!$I33</f>
        <v>0</v>
      </c>
      <c r="AO33" s="31">
        <f t="shared" si="28"/>
        <v>0</v>
      </c>
      <c r="AP33" s="31">
        <f t="shared" si="29"/>
        <v>0</v>
      </c>
      <c r="AQ33" s="31">
        <f t="shared" si="30"/>
        <v>0</v>
      </c>
      <c r="AR33" s="31"/>
      <c r="AS33" s="33">
        <f>'[4]SÃO FRANCISCO'!AS33*'[3]SF I'!$X$4</f>
        <v>0</v>
      </c>
      <c r="AT33" s="37" t="str">
        <f t="shared" si="6"/>
        <v/>
      </c>
      <c r="AU33" s="36">
        <f>[1]SFI!$J33</f>
        <v>0</v>
      </c>
      <c r="AV33" s="31">
        <f t="shared" si="31"/>
        <v>0</v>
      </c>
      <c r="AW33" s="31">
        <f t="shared" si="32"/>
        <v>0</v>
      </c>
      <c r="AX33" s="31">
        <f t="shared" si="33"/>
        <v>0</v>
      </c>
      <c r="AY33" s="31"/>
      <c r="AZ33" s="27">
        <f>'[4]SÃO FRANCISCO'!AZ33*'[3]SF I'!$X$4</f>
        <v>0</v>
      </c>
      <c r="BA33" s="37" t="str">
        <f t="shared" si="7"/>
        <v/>
      </c>
      <c r="BB33" s="36">
        <f>[1]SFI!$K33</f>
        <v>0</v>
      </c>
      <c r="BC33" s="31">
        <f t="shared" si="34"/>
        <v>0</v>
      </c>
      <c r="BD33" s="31">
        <f t="shared" si="35"/>
        <v>0</v>
      </c>
      <c r="BE33" s="31">
        <f t="shared" si="36"/>
        <v>0</v>
      </c>
      <c r="BF33" s="31"/>
      <c r="BG33" s="33">
        <f>'[4]SÃO FRANCISCO'!BG33*'[3]SF I'!$X$4</f>
        <v>0</v>
      </c>
      <c r="BH33" s="37" t="str">
        <f t="shared" si="8"/>
        <v/>
      </c>
      <c r="BI33" s="36">
        <f>[1]SFI!$L33</f>
        <v>0</v>
      </c>
      <c r="BJ33" s="31">
        <f t="shared" si="37"/>
        <v>0</v>
      </c>
      <c r="BK33" s="31">
        <f t="shared" si="38"/>
        <v>0</v>
      </c>
      <c r="BL33" s="31">
        <f t="shared" si="39"/>
        <v>0</v>
      </c>
      <c r="BM33" s="31"/>
      <c r="BN33" s="33">
        <f>'[4]SÃO FRANCISCO'!BN33*'[3]SF I'!$X$4</f>
        <v>0</v>
      </c>
      <c r="BO33" s="37" t="str">
        <f t="shared" si="9"/>
        <v/>
      </c>
      <c r="BP33" s="36">
        <f>[1]SFI!$M33</f>
        <v>0</v>
      </c>
      <c r="BQ33" s="31">
        <f t="shared" si="40"/>
        <v>0</v>
      </c>
      <c r="BR33" s="31">
        <f t="shared" si="41"/>
        <v>0</v>
      </c>
      <c r="BS33" s="31">
        <f t="shared" si="42"/>
        <v>0</v>
      </c>
      <c r="BT33" s="31"/>
      <c r="BU33" s="33">
        <f>'[4]SÃO FRANCISCO'!BU33*'[3]SF I'!$X$4</f>
        <v>0</v>
      </c>
      <c r="BV33" s="37" t="str">
        <f t="shared" si="10"/>
        <v/>
      </c>
      <c r="BW33" s="36">
        <f>[1]SFI!$N33</f>
        <v>0</v>
      </c>
      <c r="BX33" s="31">
        <f t="shared" si="43"/>
        <v>0</v>
      </c>
      <c r="BY33" s="31">
        <f t="shared" si="44"/>
        <v>0</v>
      </c>
      <c r="BZ33" s="31">
        <f t="shared" si="45"/>
        <v>0</v>
      </c>
      <c r="CA33" s="31"/>
      <c r="CB33" s="33">
        <f>'[4]SÃO FRANCISCO'!CB33*'[3]SF I'!$X$4</f>
        <v>0</v>
      </c>
      <c r="CC33" s="37" t="str">
        <f t="shared" si="11"/>
        <v/>
      </c>
      <c r="CD33" s="36">
        <f>[1]SFI!$O33</f>
        <v>0</v>
      </c>
      <c r="CE33" s="31">
        <f t="shared" si="46"/>
        <v>0</v>
      </c>
      <c r="CF33" s="31">
        <f t="shared" si="47"/>
        <v>0</v>
      </c>
      <c r="CG33" s="31">
        <f t="shared" si="48"/>
        <v>0</v>
      </c>
      <c r="CH33" s="31"/>
      <c r="CI33" s="33">
        <f>'[4]SÃO FRANCISCO'!CI33*'[3]SF I'!$X$4</f>
        <v>0</v>
      </c>
      <c r="CJ33" s="37" t="str">
        <f t="shared" si="12"/>
        <v/>
      </c>
      <c r="CK33" s="36">
        <f>[1]SFI!$P33</f>
        <v>0</v>
      </c>
      <c r="CL33" s="31">
        <f t="shared" si="49"/>
        <v>0</v>
      </c>
      <c r="CM33" s="31">
        <f t="shared" si="50"/>
        <v>0</v>
      </c>
      <c r="CN33" s="31">
        <f t="shared" si="51"/>
        <v>0</v>
      </c>
      <c r="CO33" s="31"/>
      <c r="CP33" s="33">
        <f>'[4]SÃO FRANCISCO'!CP33*'[3]SF I'!$X$4</f>
        <v>0</v>
      </c>
      <c r="CQ33" s="37" t="str">
        <f t="shared" si="13"/>
        <v/>
      </c>
    </row>
    <row r="34" spans="1:95" s="26" customFormat="1" ht="16" customHeight="1" x14ac:dyDescent="0.2">
      <c r="A34" s="29" t="s">
        <v>108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4"/>
        <v>0</v>
      </c>
      <c r="F34" s="33">
        <f t="shared" si="14"/>
        <v>0</v>
      </c>
      <c r="G34" s="34">
        <f t="shared" si="14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15"/>
        <v/>
      </c>
      <c r="L34" s="36">
        <f>[1]SFI!$E34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/>
      <c r="Q34" s="33"/>
      <c r="R34" s="37" t="str">
        <f t="shared" si="2"/>
        <v/>
      </c>
      <c r="S34" s="36">
        <f>[1]SFI!$F34</f>
        <v>0</v>
      </c>
      <c r="T34" s="31">
        <f t="shared" si="19"/>
        <v>0</v>
      </c>
      <c r="U34" s="31">
        <f t="shared" si="20"/>
        <v>0</v>
      </c>
      <c r="V34" s="31">
        <f t="shared" si="21"/>
        <v>0</v>
      </c>
      <c r="W34" s="31"/>
      <c r="X34" s="148">
        <f>'[4]SÃO FRANCISCO'!X34*'[3]SF I'!$X$4</f>
        <v>0</v>
      </c>
      <c r="Y34" s="37" t="str">
        <f t="shared" si="3"/>
        <v/>
      </c>
      <c r="Z34" s="36">
        <f>[1]SFI!$G34</f>
        <v>0</v>
      </c>
      <c r="AA34" s="31">
        <f t="shared" si="22"/>
        <v>0</v>
      </c>
      <c r="AB34" s="31">
        <f t="shared" si="23"/>
        <v>0</v>
      </c>
      <c r="AC34" s="31">
        <f t="shared" si="24"/>
        <v>0</v>
      </c>
      <c r="AD34" s="31"/>
      <c r="AE34" s="27">
        <f>'[4]SÃO FRANCISCO'!AE34*'[2]SF I'!$X$4</f>
        <v>0</v>
      </c>
      <c r="AF34" s="37" t="str">
        <f t="shared" si="4"/>
        <v/>
      </c>
      <c r="AG34" s="36">
        <f>[1]SFI!$H34</f>
        <v>0</v>
      </c>
      <c r="AH34" s="31">
        <f t="shared" si="25"/>
        <v>0</v>
      </c>
      <c r="AI34" s="31">
        <f t="shared" si="26"/>
        <v>0</v>
      </c>
      <c r="AJ34" s="31">
        <f t="shared" si="27"/>
        <v>0</v>
      </c>
      <c r="AK34" s="31"/>
      <c r="AL34" s="33">
        <f>'[4]SÃO FRANCISCO'!AL34*'[3]SF I'!$X$4</f>
        <v>0</v>
      </c>
      <c r="AM34" s="37" t="str">
        <f t="shared" si="5"/>
        <v/>
      </c>
      <c r="AN34" s="36">
        <f>[1]SFI!$I34</f>
        <v>0</v>
      </c>
      <c r="AO34" s="31">
        <f t="shared" si="28"/>
        <v>0</v>
      </c>
      <c r="AP34" s="31">
        <f t="shared" si="29"/>
        <v>0</v>
      </c>
      <c r="AQ34" s="31">
        <f t="shared" si="30"/>
        <v>0</v>
      </c>
      <c r="AR34" s="31"/>
      <c r="AS34" s="33">
        <f>'[4]SÃO FRANCISCO'!AS34*'[3]SF I'!$X$4</f>
        <v>0</v>
      </c>
      <c r="AT34" s="37" t="str">
        <f t="shared" si="6"/>
        <v/>
      </c>
      <c r="AU34" s="36">
        <f>[1]SFI!$J34</f>
        <v>0</v>
      </c>
      <c r="AV34" s="31">
        <f t="shared" si="31"/>
        <v>0</v>
      </c>
      <c r="AW34" s="31">
        <f t="shared" si="32"/>
        <v>0</v>
      </c>
      <c r="AX34" s="31">
        <f t="shared" si="33"/>
        <v>0</v>
      </c>
      <c r="AY34" s="31"/>
      <c r="AZ34" s="27">
        <f>'[4]SÃO FRANCISCO'!AZ34*'[3]SF I'!$X$4</f>
        <v>0</v>
      </c>
      <c r="BA34" s="37" t="str">
        <f t="shared" si="7"/>
        <v/>
      </c>
      <c r="BB34" s="36">
        <f>[1]SFI!$K34</f>
        <v>0</v>
      </c>
      <c r="BC34" s="31">
        <f t="shared" si="34"/>
        <v>0</v>
      </c>
      <c r="BD34" s="31">
        <f t="shared" si="35"/>
        <v>0</v>
      </c>
      <c r="BE34" s="31">
        <f t="shared" si="36"/>
        <v>0</v>
      </c>
      <c r="BF34" s="31"/>
      <c r="BG34" s="27">
        <f>'[4]SÃO FRANCISCO'!BG34*'[3]SF I'!$X$4</f>
        <v>0</v>
      </c>
      <c r="BH34" s="37" t="str">
        <f t="shared" si="8"/>
        <v/>
      </c>
      <c r="BI34" s="36">
        <f>[1]SFI!$L34</f>
        <v>0</v>
      </c>
      <c r="BJ34" s="31">
        <f t="shared" si="37"/>
        <v>0</v>
      </c>
      <c r="BK34" s="31">
        <f t="shared" si="38"/>
        <v>0</v>
      </c>
      <c r="BL34" s="31">
        <f t="shared" si="39"/>
        <v>0</v>
      </c>
      <c r="BM34" s="31"/>
      <c r="BN34" s="33">
        <f>'[4]SÃO FRANCISCO'!BN34*'[3]SF I'!$X$4</f>
        <v>0</v>
      </c>
      <c r="BO34" s="37" t="str">
        <f t="shared" si="9"/>
        <v/>
      </c>
      <c r="BP34" s="36">
        <f>[1]SFI!$M34</f>
        <v>0</v>
      </c>
      <c r="BQ34" s="31">
        <f t="shared" si="40"/>
        <v>0</v>
      </c>
      <c r="BR34" s="31">
        <f t="shared" si="41"/>
        <v>0</v>
      </c>
      <c r="BS34" s="31">
        <f t="shared" si="42"/>
        <v>0</v>
      </c>
      <c r="BT34" s="31"/>
      <c r="BU34" s="33">
        <f>'[4]SÃO FRANCISCO'!BU34*'[3]SF I'!$X$4</f>
        <v>0</v>
      </c>
      <c r="BV34" s="37" t="str">
        <f t="shared" si="10"/>
        <v/>
      </c>
      <c r="BW34" s="36">
        <f>[1]SFI!$N34</f>
        <v>0</v>
      </c>
      <c r="BX34" s="31">
        <f t="shared" si="43"/>
        <v>0</v>
      </c>
      <c r="BY34" s="31">
        <f t="shared" si="44"/>
        <v>0</v>
      </c>
      <c r="BZ34" s="31">
        <f t="shared" si="45"/>
        <v>0</v>
      </c>
      <c r="CA34" s="31"/>
      <c r="CB34" s="33">
        <f>'[4]SÃO FRANCISCO'!CB34*'[3]SF I'!$X$4</f>
        <v>0</v>
      </c>
      <c r="CC34" s="37" t="str">
        <f t="shared" si="11"/>
        <v/>
      </c>
      <c r="CD34" s="36">
        <f>[1]SFI!$O34</f>
        <v>0</v>
      </c>
      <c r="CE34" s="31">
        <f t="shared" si="46"/>
        <v>0</v>
      </c>
      <c r="CF34" s="31">
        <f t="shared" si="47"/>
        <v>0</v>
      </c>
      <c r="CG34" s="31">
        <f t="shared" si="48"/>
        <v>0</v>
      </c>
      <c r="CH34" s="31"/>
      <c r="CI34" s="33">
        <f>'[4]SÃO FRANCISCO'!CI34*'[3]SF I'!$X$4</f>
        <v>0</v>
      </c>
      <c r="CJ34" s="37" t="str">
        <f t="shared" si="12"/>
        <v/>
      </c>
      <c r="CK34" s="36">
        <f>[1]SFI!$P34</f>
        <v>0</v>
      </c>
      <c r="CL34" s="31">
        <f t="shared" si="49"/>
        <v>0</v>
      </c>
      <c r="CM34" s="31">
        <f t="shared" si="50"/>
        <v>0</v>
      </c>
      <c r="CN34" s="31">
        <f t="shared" si="51"/>
        <v>0</v>
      </c>
      <c r="CO34" s="31"/>
      <c r="CP34" s="33">
        <f>'[4]SÃO FRANCISCO'!CP34*'[3]SF I'!$X$4</f>
        <v>0</v>
      </c>
      <c r="CQ34" s="37" t="str">
        <f t="shared" si="13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4"/>
        <v>0</v>
      </c>
      <c r="F35" s="33">
        <f t="shared" si="14"/>
        <v>0</v>
      </c>
      <c r="G35" s="34">
        <f t="shared" si="14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15"/>
        <v/>
      </c>
      <c r="L35" s="36">
        <f>[1]SFI!$E35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/>
      <c r="Q35" s="33"/>
      <c r="R35" s="37" t="str">
        <f t="shared" si="2"/>
        <v/>
      </c>
      <c r="S35" s="36">
        <f>[1]SFI!$F35</f>
        <v>0</v>
      </c>
      <c r="T35" s="31">
        <f t="shared" si="19"/>
        <v>0</v>
      </c>
      <c r="U35" s="31">
        <f t="shared" si="20"/>
        <v>0</v>
      </c>
      <c r="V35" s="31">
        <f t="shared" si="21"/>
        <v>0</v>
      </c>
      <c r="W35" s="31"/>
      <c r="X35" s="148">
        <f>'[4]SÃO FRANCISCO'!X35*'[3]SF I'!$X$4</f>
        <v>0</v>
      </c>
      <c r="Y35" s="37" t="str">
        <f t="shared" si="3"/>
        <v/>
      </c>
      <c r="Z35" s="36">
        <f>[1]SFI!$G35</f>
        <v>0</v>
      </c>
      <c r="AA35" s="31">
        <f t="shared" si="22"/>
        <v>0</v>
      </c>
      <c r="AB35" s="31">
        <f t="shared" si="23"/>
        <v>0</v>
      </c>
      <c r="AC35" s="31">
        <f t="shared" si="24"/>
        <v>0</v>
      </c>
      <c r="AD35" s="31"/>
      <c r="AE35" s="27">
        <f>'[4]SÃO FRANCISCO'!AE35*'[2]SF I'!$X$4</f>
        <v>0</v>
      </c>
      <c r="AF35" s="37" t="str">
        <f t="shared" si="4"/>
        <v/>
      </c>
      <c r="AG35" s="36">
        <f>[1]SFI!$H35</f>
        <v>0</v>
      </c>
      <c r="AH35" s="31">
        <f t="shared" si="25"/>
        <v>0</v>
      </c>
      <c r="AI35" s="31">
        <f t="shared" si="26"/>
        <v>0</v>
      </c>
      <c r="AJ35" s="31">
        <f t="shared" si="27"/>
        <v>0</v>
      </c>
      <c r="AK35" s="31"/>
      <c r="AL35" s="33">
        <f>'[4]SÃO FRANCISCO'!AL35*'[3]SF I'!$X$4</f>
        <v>0</v>
      </c>
      <c r="AM35" s="37" t="str">
        <f t="shared" si="5"/>
        <v/>
      </c>
      <c r="AN35" s="36">
        <f>[1]SFI!$I35</f>
        <v>0</v>
      </c>
      <c r="AO35" s="31">
        <f t="shared" si="28"/>
        <v>0</v>
      </c>
      <c r="AP35" s="31">
        <f t="shared" si="29"/>
        <v>0</v>
      </c>
      <c r="AQ35" s="31">
        <f t="shared" si="30"/>
        <v>0</v>
      </c>
      <c r="AR35" s="31"/>
      <c r="AS35" s="33">
        <f>'[4]SÃO FRANCISCO'!AS35*'[3]SF I'!$X$4</f>
        <v>0</v>
      </c>
      <c r="AT35" s="37" t="str">
        <f t="shared" si="6"/>
        <v/>
      </c>
      <c r="AU35" s="36">
        <f>[1]SFI!$J35</f>
        <v>0</v>
      </c>
      <c r="AV35" s="31">
        <f t="shared" si="31"/>
        <v>0</v>
      </c>
      <c r="AW35" s="31">
        <f t="shared" si="32"/>
        <v>0</v>
      </c>
      <c r="AX35" s="31">
        <f t="shared" si="33"/>
        <v>0</v>
      </c>
      <c r="AY35" s="31"/>
      <c r="AZ35" s="27">
        <f>'[4]SÃO FRANCISCO'!AZ35*'[3]SF I'!$X$4</f>
        <v>0</v>
      </c>
      <c r="BA35" s="37" t="str">
        <f t="shared" si="7"/>
        <v/>
      </c>
      <c r="BB35" s="36">
        <f>[1]SFI!$K35</f>
        <v>0</v>
      </c>
      <c r="BC35" s="31">
        <f t="shared" si="34"/>
        <v>0</v>
      </c>
      <c r="BD35" s="31">
        <f t="shared" si="35"/>
        <v>0</v>
      </c>
      <c r="BE35" s="31">
        <f t="shared" si="36"/>
        <v>0</v>
      </c>
      <c r="BF35" s="31"/>
      <c r="BG35" s="27">
        <f>'[4]SÃO FRANCISCO'!BG35*'[3]SF I'!$X$4</f>
        <v>0</v>
      </c>
      <c r="BH35" s="37" t="str">
        <f t="shared" si="8"/>
        <v/>
      </c>
      <c r="BI35" s="36">
        <f>[1]SFI!$L35</f>
        <v>0</v>
      </c>
      <c r="BJ35" s="31">
        <f t="shared" si="37"/>
        <v>0</v>
      </c>
      <c r="BK35" s="31">
        <f t="shared" si="38"/>
        <v>0</v>
      </c>
      <c r="BL35" s="31">
        <f t="shared" si="39"/>
        <v>0</v>
      </c>
      <c r="BM35" s="31"/>
      <c r="BN35" s="33">
        <f>'[4]SÃO FRANCISCO'!BN35*'[3]SF I'!$X$4</f>
        <v>0</v>
      </c>
      <c r="BO35" s="37" t="str">
        <f t="shared" si="9"/>
        <v/>
      </c>
      <c r="BP35" s="36">
        <f>[1]SFI!$M35</f>
        <v>0</v>
      </c>
      <c r="BQ35" s="31">
        <f t="shared" si="40"/>
        <v>0</v>
      </c>
      <c r="BR35" s="31">
        <f t="shared" si="41"/>
        <v>0</v>
      </c>
      <c r="BS35" s="31">
        <f t="shared" si="42"/>
        <v>0</v>
      </c>
      <c r="BT35" s="31"/>
      <c r="BU35" s="33">
        <f>'[4]SÃO FRANCISCO'!BU35*'[3]SF I'!$X$4</f>
        <v>0</v>
      </c>
      <c r="BV35" s="37" t="str">
        <f t="shared" si="10"/>
        <v/>
      </c>
      <c r="BW35" s="36">
        <f>[1]SFI!$N35</f>
        <v>0</v>
      </c>
      <c r="BX35" s="31">
        <f t="shared" si="43"/>
        <v>0</v>
      </c>
      <c r="BY35" s="31">
        <f t="shared" si="44"/>
        <v>0</v>
      </c>
      <c r="BZ35" s="31">
        <f t="shared" si="45"/>
        <v>0</v>
      </c>
      <c r="CA35" s="31"/>
      <c r="CB35" s="33">
        <f>'[4]SÃO FRANCISCO'!CB35*'[3]SF I'!$X$4</f>
        <v>0</v>
      </c>
      <c r="CC35" s="37" t="str">
        <f t="shared" si="11"/>
        <v/>
      </c>
      <c r="CD35" s="36">
        <f>[1]SFI!$O35</f>
        <v>0</v>
      </c>
      <c r="CE35" s="31">
        <f t="shared" si="46"/>
        <v>0</v>
      </c>
      <c r="CF35" s="31">
        <f t="shared" si="47"/>
        <v>0</v>
      </c>
      <c r="CG35" s="31">
        <f t="shared" si="48"/>
        <v>0</v>
      </c>
      <c r="CH35" s="31"/>
      <c r="CI35" s="33">
        <f>'[4]SÃO FRANCISCO'!CI35*'[3]SF I'!$X$4</f>
        <v>0</v>
      </c>
      <c r="CJ35" s="37" t="str">
        <f t="shared" si="12"/>
        <v/>
      </c>
      <c r="CK35" s="36">
        <f>[1]SFI!$P35</f>
        <v>0</v>
      </c>
      <c r="CL35" s="31">
        <f t="shared" si="49"/>
        <v>0</v>
      </c>
      <c r="CM35" s="31">
        <f t="shared" si="50"/>
        <v>0</v>
      </c>
      <c r="CN35" s="31">
        <f t="shared" si="51"/>
        <v>0</v>
      </c>
      <c r="CO35" s="31"/>
      <c r="CP35" s="33">
        <f>'[4]SÃO FRANCISCO'!CP35*'[3]SF I'!$X$4</f>
        <v>0</v>
      </c>
      <c r="CQ35" s="37" t="str">
        <f t="shared" si="13"/>
        <v/>
      </c>
    </row>
    <row r="36" spans="1:95" s="26" customFormat="1" ht="16" customHeight="1" x14ac:dyDescent="0.2">
      <c r="A36" s="38" t="s">
        <v>60</v>
      </c>
      <c r="B36" s="30">
        <f t="shared" ref="B36:D54" si="52">+L36+S36+Z36+AG36+AN36+AU36+BB36+BI36+BP36+BW36+CD36+CK36</f>
        <v>100046.12368835763</v>
      </c>
      <c r="C36" s="31">
        <f t="shared" si="52"/>
        <v>87750.455087058464</v>
      </c>
      <c r="D36" s="32">
        <f t="shared" si="52"/>
        <v>12295.668601299149</v>
      </c>
      <c r="E36" s="30">
        <f t="shared" si="14"/>
        <v>33348.707896119202</v>
      </c>
      <c r="F36" s="33">
        <f t="shared" si="14"/>
        <v>29250.151695686152</v>
      </c>
      <c r="G36" s="34">
        <f t="shared" si="14"/>
        <v>4098.5562004330495</v>
      </c>
      <c r="H36" s="31">
        <f t="shared" ref="H36:J54" si="53">+O36+V36+AC36+AJ36+AQ36+AX36+BE36+BL36+BS36+BZ36+CG36+CN36</f>
        <v>71384.511388849118</v>
      </c>
      <c r="I36" s="33">
        <f t="shared" si="53"/>
        <v>0</v>
      </c>
      <c r="J36" s="33">
        <f t="shared" si="53"/>
        <v>71384.511388849118</v>
      </c>
      <c r="K36" s="37">
        <f t="shared" si="15"/>
        <v>1.1405480419574561</v>
      </c>
      <c r="L36" s="36">
        <f>[1]SFI!$E36</f>
        <v>8337.1769740298005</v>
      </c>
      <c r="M36" s="31">
        <f t="shared" si="16"/>
        <v>7312.5379239215381</v>
      </c>
      <c r="N36" s="31">
        <f t="shared" si="17"/>
        <v>1024.6390501082624</v>
      </c>
      <c r="O36" s="31">
        <f t="shared" si="18"/>
        <v>12601.2415703728</v>
      </c>
      <c r="P36" s="31"/>
      <c r="Q36" s="33">
        <v>12601.2415703728</v>
      </c>
      <c r="R36" s="37">
        <f t="shared" si="2"/>
        <v>0.51145185110325797</v>
      </c>
      <c r="S36" s="36">
        <f>[1]SFI!$F36</f>
        <v>8337.1769740298005</v>
      </c>
      <c r="T36" s="31">
        <f t="shared" si="19"/>
        <v>7312.5379239215381</v>
      </c>
      <c r="U36" s="31">
        <f t="shared" si="20"/>
        <v>1024.6390501082624</v>
      </c>
      <c r="V36" s="31">
        <f t="shared" si="21"/>
        <v>21597.082196083353</v>
      </c>
      <c r="W36" s="31"/>
      <c r="X36" s="148">
        <f>'[4]SÃO FRANCISCO'!X36*'[3]SF I'!$X$4</f>
        <v>21597.082196083353</v>
      </c>
      <c r="Y36" s="37">
        <f t="shared" si="3"/>
        <v>1.5904550501156431</v>
      </c>
      <c r="Z36" s="36">
        <f>[1]SFI!$G36</f>
        <v>8337.1769740298005</v>
      </c>
      <c r="AA36" s="31">
        <f t="shared" si="22"/>
        <v>7312.5379239215381</v>
      </c>
      <c r="AB36" s="31">
        <f t="shared" si="23"/>
        <v>1024.6390501082624</v>
      </c>
      <c r="AC36" s="31">
        <f t="shared" si="24"/>
        <v>21718.169969443807</v>
      </c>
      <c r="AD36" s="31"/>
      <c r="AE36" s="33">
        <f>'[4]SÃO FRANCISCO'!AE36*'[2]SF I'!$X$4</f>
        <v>21718.169969443807</v>
      </c>
      <c r="AF36" s="37">
        <f t="shared" si="4"/>
        <v>1.6049788839910235</v>
      </c>
      <c r="AG36" s="36">
        <f>[1]SFI!$H36</f>
        <v>8337.1769740298005</v>
      </c>
      <c r="AH36" s="31">
        <f t="shared" si="25"/>
        <v>7312.5379239215381</v>
      </c>
      <c r="AI36" s="31">
        <f t="shared" si="26"/>
        <v>1024.6390501082624</v>
      </c>
      <c r="AJ36" s="31">
        <f t="shared" si="27"/>
        <v>15468.017652949156</v>
      </c>
      <c r="AK36" s="31"/>
      <c r="AL36" s="33">
        <f>'[4]SÃO FRANCISCO'!AL36*'[3]SF I'!$X$4</f>
        <v>15468.017652949156</v>
      </c>
      <c r="AM36" s="37">
        <f t="shared" si="5"/>
        <v>0.85530638261990033</v>
      </c>
      <c r="AN36" s="36">
        <f>[1]SFI!$I36</f>
        <v>8337.1769740298005</v>
      </c>
      <c r="AO36" s="31">
        <f t="shared" si="28"/>
        <v>7312.5379239215381</v>
      </c>
      <c r="AP36" s="31">
        <f t="shared" si="29"/>
        <v>1024.6390501082624</v>
      </c>
      <c r="AQ36" s="31">
        <f t="shared" si="30"/>
        <v>0</v>
      </c>
      <c r="AR36" s="31"/>
      <c r="AS36" s="33">
        <f>'[4]SÃO FRANCISCO'!AS36*'[3]SF I'!$X$4</f>
        <v>0</v>
      </c>
      <c r="AT36" s="37">
        <f t="shared" si="6"/>
        <v>-1</v>
      </c>
      <c r="AU36" s="36">
        <f>[1]SFI!$J36</f>
        <v>8337.1769740298005</v>
      </c>
      <c r="AV36" s="31">
        <f t="shared" si="31"/>
        <v>7312.5379239215381</v>
      </c>
      <c r="AW36" s="31">
        <f t="shared" si="32"/>
        <v>1024.6390501082624</v>
      </c>
      <c r="AX36" s="31">
        <f t="shared" si="33"/>
        <v>0</v>
      </c>
      <c r="AY36" s="31"/>
      <c r="AZ36" s="27">
        <f>'[4]SÃO FRANCISCO'!AZ36*'[3]SF I'!$X$4</f>
        <v>0</v>
      </c>
      <c r="BA36" s="37">
        <f t="shared" si="7"/>
        <v>-1</v>
      </c>
      <c r="BB36" s="36">
        <f>[1]SFI!$K36</f>
        <v>8337.1769740298005</v>
      </c>
      <c r="BC36" s="31">
        <f t="shared" si="34"/>
        <v>7312.5379239215381</v>
      </c>
      <c r="BD36" s="31">
        <f t="shared" si="35"/>
        <v>1024.6390501082624</v>
      </c>
      <c r="BE36" s="31">
        <f t="shared" si="36"/>
        <v>0</v>
      </c>
      <c r="BF36" s="31"/>
      <c r="BG36" s="33">
        <f>'[4]SÃO FRANCISCO'!BG36*'[3]SF I'!$X$4</f>
        <v>0</v>
      </c>
      <c r="BH36" s="37">
        <f t="shared" si="8"/>
        <v>-1</v>
      </c>
      <c r="BI36" s="36">
        <f>[1]SFI!$L36</f>
        <v>8337.1769740298005</v>
      </c>
      <c r="BJ36" s="31">
        <f t="shared" si="37"/>
        <v>7312.5379239215381</v>
      </c>
      <c r="BK36" s="31">
        <f t="shared" si="38"/>
        <v>1024.6390501082624</v>
      </c>
      <c r="BL36" s="31">
        <f t="shared" si="39"/>
        <v>0</v>
      </c>
      <c r="BM36" s="31"/>
      <c r="BN36" s="33">
        <f>'[4]SÃO FRANCISCO'!BN36*'[3]SF I'!$X$4</f>
        <v>0</v>
      </c>
      <c r="BO36" s="37">
        <f t="shared" si="9"/>
        <v>-1</v>
      </c>
      <c r="BP36" s="36">
        <f>[1]SFI!$M36</f>
        <v>8337.1769740298005</v>
      </c>
      <c r="BQ36" s="31">
        <f t="shared" si="40"/>
        <v>7312.5379239215381</v>
      </c>
      <c r="BR36" s="31">
        <f t="shared" si="41"/>
        <v>1024.6390501082624</v>
      </c>
      <c r="BS36" s="31">
        <f t="shared" si="42"/>
        <v>0</v>
      </c>
      <c r="BT36" s="31"/>
      <c r="BU36" s="33">
        <f>'[4]SÃO FRANCISCO'!BU36*'[3]SF I'!$X$4</f>
        <v>0</v>
      </c>
      <c r="BV36" s="37">
        <f t="shared" si="10"/>
        <v>-1</v>
      </c>
      <c r="BW36" s="36">
        <f>[1]SFI!$N36</f>
        <v>8337.1769740298005</v>
      </c>
      <c r="BX36" s="31">
        <f t="shared" si="43"/>
        <v>7312.5379239215381</v>
      </c>
      <c r="BY36" s="31">
        <f t="shared" si="44"/>
        <v>1024.6390501082624</v>
      </c>
      <c r="BZ36" s="31">
        <f t="shared" si="45"/>
        <v>0</v>
      </c>
      <c r="CA36" s="31"/>
      <c r="CB36" s="33">
        <f>'[4]SÃO FRANCISCO'!CB36*'[3]SF I'!$X$4</f>
        <v>0</v>
      </c>
      <c r="CC36" s="37">
        <f t="shared" si="11"/>
        <v>-1</v>
      </c>
      <c r="CD36" s="36">
        <f>[1]SFI!$O36</f>
        <v>8337.1769740298005</v>
      </c>
      <c r="CE36" s="31">
        <f t="shared" si="46"/>
        <v>7312.5379239215381</v>
      </c>
      <c r="CF36" s="31">
        <f t="shared" si="47"/>
        <v>1024.6390501082624</v>
      </c>
      <c r="CG36" s="31">
        <f t="shared" si="48"/>
        <v>0</v>
      </c>
      <c r="CH36" s="31"/>
      <c r="CI36" s="33">
        <f>'[4]SÃO FRANCISCO'!CI36*'[3]SF I'!$X$4</f>
        <v>0</v>
      </c>
      <c r="CJ36" s="37">
        <f t="shared" si="12"/>
        <v>-1</v>
      </c>
      <c r="CK36" s="36">
        <f>[1]SFI!$P36</f>
        <v>8337.1769740298005</v>
      </c>
      <c r="CL36" s="31">
        <f t="shared" si="49"/>
        <v>7312.5379239215381</v>
      </c>
      <c r="CM36" s="31">
        <f t="shared" si="50"/>
        <v>1024.6390501082624</v>
      </c>
      <c r="CN36" s="31">
        <f t="shared" si="51"/>
        <v>0</v>
      </c>
      <c r="CO36" s="31"/>
      <c r="CP36" s="33">
        <f>'[4]SÃO FRANCISCO'!CP36*'[3]SF I'!$X$4</f>
        <v>0</v>
      </c>
      <c r="CQ36" s="37">
        <f t="shared" si="13"/>
        <v>-1</v>
      </c>
    </row>
    <row r="37" spans="1:95" s="26" customFormat="1" ht="16" customHeight="1" x14ac:dyDescent="0.2">
      <c r="A37" s="38" t="s">
        <v>61</v>
      </c>
      <c r="B37" s="30">
        <f t="shared" si="52"/>
        <v>100046.12368835763</v>
      </c>
      <c r="C37" s="31">
        <f t="shared" si="52"/>
        <v>87750.455087058464</v>
      </c>
      <c r="D37" s="32">
        <f t="shared" si="52"/>
        <v>12295.668601299149</v>
      </c>
      <c r="E37" s="30">
        <f t="shared" ref="E37:G54" si="54">+L37+S37+Z37+AG37</f>
        <v>33348.707896119202</v>
      </c>
      <c r="F37" s="33">
        <f t="shared" si="54"/>
        <v>29250.151695686152</v>
      </c>
      <c r="G37" s="34">
        <f t="shared" si="54"/>
        <v>4098.5562004330495</v>
      </c>
      <c r="H37" s="31">
        <f t="shared" si="53"/>
        <v>39331.68205890878</v>
      </c>
      <c r="I37" s="33">
        <f t="shared" si="53"/>
        <v>0</v>
      </c>
      <c r="J37" s="33">
        <f t="shared" si="53"/>
        <v>39331.68205890878</v>
      </c>
      <c r="K37" s="37">
        <f t="shared" si="15"/>
        <v>0.17940647599980375</v>
      </c>
      <c r="L37" s="36">
        <f>[1]SFI!$E37</f>
        <v>8337.1769740298005</v>
      </c>
      <c r="M37" s="31">
        <f t="shared" si="16"/>
        <v>7312.5379239215381</v>
      </c>
      <c r="N37" s="31">
        <f t="shared" si="17"/>
        <v>1024.6390501082624</v>
      </c>
      <c r="O37" s="31">
        <f t="shared" si="18"/>
        <v>8091.582607781459</v>
      </c>
      <c r="P37" s="31"/>
      <c r="Q37" s="33">
        <v>8091.582607781459</v>
      </c>
      <c r="R37" s="37">
        <f t="shared" si="2"/>
        <v>-2.9457736955010638E-2</v>
      </c>
      <c r="S37" s="36">
        <f>[1]SFI!$F37</f>
        <v>8337.1769740298005</v>
      </c>
      <c r="T37" s="31">
        <f t="shared" si="19"/>
        <v>7312.5379239215381</v>
      </c>
      <c r="U37" s="31">
        <f t="shared" si="20"/>
        <v>1024.6390501082624</v>
      </c>
      <c r="V37" s="31">
        <f t="shared" si="21"/>
        <v>11110.664412973467</v>
      </c>
      <c r="W37" s="31"/>
      <c r="X37" s="148">
        <f>'[4]SÃO FRANCISCO'!X37*'[3]SF I'!$X$4</f>
        <v>11110.664412973467</v>
      </c>
      <c r="Y37" s="37">
        <f t="shared" si="3"/>
        <v>0.332665055279868</v>
      </c>
      <c r="Z37" s="36">
        <f>[1]SFI!$G37</f>
        <v>8337.1769740298005</v>
      </c>
      <c r="AA37" s="31">
        <f t="shared" si="22"/>
        <v>7312.5379239215381</v>
      </c>
      <c r="AB37" s="31">
        <f t="shared" si="23"/>
        <v>1024.6390501082624</v>
      </c>
      <c r="AC37" s="31">
        <f t="shared" si="24"/>
        <v>5612.0126063924445</v>
      </c>
      <c r="AD37" s="31"/>
      <c r="AE37" s="33">
        <f>'[4]SÃO FRANCISCO'!AE37*'[2]SF I'!$X$4</f>
        <v>5612.0126063924445</v>
      </c>
      <c r="AF37" s="37">
        <f t="shared" si="4"/>
        <v>-0.32686896009599031</v>
      </c>
      <c r="AG37" s="36">
        <f>[1]SFI!$H37</f>
        <v>8337.1769740298005</v>
      </c>
      <c r="AH37" s="31">
        <f t="shared" si="25"/>
        <v>7312.5379239215381</v>
      </c>
      <c r="AI37" s="31">
        <f t="shared" si="26"/>
        <v>1024.6390501082624</v>
      </c>
      <c r="AJ37" s="31">
        <f t="shared" si="27"/>
        <v>14517.42243176141</v>
      </c>
      <c r="AK37" s="31"/>
      <c r="AL37" s="33">
        <f>'[4]SÃO FRANCISCO'!AL37*'[3]SF I'!$X$4</f>
        <v>14517.42243176141</v>
      </c>
      <c r="AM37" s="37">
        <f t="shared" si="5"/>
        <v>0.74128754577034828</v>
      </c>
      <c r="AN37" s="36">
        <f>[1]SFI!$I37</f>
        <v>8337.1769740298005</v>
      </c>
      <c r="AO37" s="31">
        <f t="shared" si="28"/>
        <v>7312.5379239215381</v>
      </c>
      <c r="AP37" s="31">
        <f t="shared" si="29"/>
        <v>1024.6390501082624</v>
      </c>
      <c r="AQ37" s="31">
        <f t="shared" si="30"/>
        <v>0</v>
      </c>
      <c r="AR37" s="31"/>
      <c r="AS37" s="33">
        <f>'[4]SÃO FRANCISCO'!AS37*'[3]SF I'!$X$4</f>
        <v>0</v>
      </c>
      <c r="AT37" s="37">
        <f t="shared" si="6"/>
        <v>-1</v>
      </c>
      <c r="AU37" s="36">
        <f>[1]SFI!$J37</f>
        <v>8337.1769740298005</v>
      </c>
      <c r="AV37" s="31">
        <f t="shared" si="31"/>
        <v>7312.5379239215381</v>
      </c>
      <c r="AW37" s="31">
        <f t="shared" si="32"/>
        <v>1024.6390501082624</v>
      </c>
      <c r="AX37" s="31">
        <f t="shared" si="33"/>
        <v>0</v>
      </c>
      <c r="AY37" s="31"/>
      <c r="AZ37" s="33">
        <f>'[4]SÃO FRANCISCO'!AZ37*'[3]SF I'!$X$4</f>
        <v>0</v>
      </c>
      <c r="BA37" s="37">
        <f t="shared" si="7"/>
        <v>-1</v>
      </c>
      <c r="BB37" s="36">
        <f>[1]SFI!$K37</f>
        <v>8337.1769740298005</v>
      </c>
      <c r="BC37" s="31">
        <f t="shared" si="34"/>
        <v>7312.5379239215381</v>
      </c>
      <c r="BD37" s="31">
        <f t="shared" si="35"/>
        <v>1024.6390501082624</v>
      </c>
      <c r="BE37" s="31">
        <f t="shared" si="36"/>
        <v>0</v>
      </c>
      <c r="BF37" s="31"/>
      <c r="BG37" s="33">
        <f>'[4]SÃO FRANCISCO'!BG37*'[3]SF I'!$X$4</f>
        <v>0</v>
      </c>
      <c r="BH37" s="37">
        <f t="shared" si="8"/>
        <v>-1</v>
      </c>
      <c r="BI37" s="36">
        <f>[1]SFI!$L37</f>
        <v>8337.1769740298005</v>
      </c>
      <c r="BJ37" s="31">
        <f t="shared" si="37"/>
        <v>7312.5379239215381</v>
      </c>
      <c r="BK37" s="31">
        <f t="shared" si="38"/>
        <v>1024.6390501082624</v>
      </c>
      <c r="BL37" s="31">
        <f t="shared" si="39"/>
        <v>0</v>
      </c>
      <c r="BM37" s="31"/>
      <c r="BN37" s="33">
        <f>'[4]SÃO FRANCISCO'!BN37*'[3]SF I'!$X$4</f>
        <v>0</v>
      </c>
      <c r="BO37" s="37">
        <f t="shared" si="9"/>
        <v>-1</v>
      </c>
      <c r="BP37" s="36">
        <f>[1]SFI!$M37</f>
        <v>8337.1769740298005</v>
      </c>
      <c r="BQ37" s="31">
        <f t="shared" si="40"/>
        <v>7312.5379239215381</v>
      </c>
      <c r="BR37" s="31">
        <f t="shared" si="41"/>
        <v>1024.6390501082624</v>
      </c>
      <c r="BS37" s="31">
        <f t="shared" si="42"/>
        <v>0</v>
      </c>
      <c r="BT37" s="31"/>
      <c r="BU37" s="33">
        <f>'[4]SÃO FRANCISCO'!BU37*'[3]SF I'!$X$4</f>
        <v>0</v>
      </c>
      <c r="BV37" s="37">
        <f t="shared" si="10"/>
        <v>-1</v>
      </c>
      <c r="BW37" s="36">
        <f>[1]SFI!$N37</f>
        <v>8337.1769740298005</v>
      </c>
      <c r="BX37" s="31">
        <f t="shared" si="43"/>
        <v>7312.5379239215381</v>
      </c>
      <c r="BY37" s="31">
        <f t="shared" si="44"/>
        <v>1024.6390501082624</v>
      </c>
      <c r="BZ37" s="31">
        <f t="shared" si="45"/>
        <v>0</v>
      </c>
      <c r="CA37" s="31"/>
      <c r="CB37" s="33">
        <f>'[4]SÃO FRANCISCO'!CB37*'[3]SF I'!$X$4</f>
        <v>0</v>
      </c>
      <c r="CC37" s="37">
        <f t="shared" si="11"/>
        <v>-1</v>
      </c>
      <c r="CD37" s="36">
        <f>[1]SFI!$O37</f>
        <v>8337.1769740298005</v>
      </c>
      <c r="CE37" s="31">
        <f t="shared" si="46"/>
        <v>7312.5379239215381</v>
      </c>
      <c r="CF37" s="31">
        <f t="shared" si="47"/>
        <v>1024.6390501082624</v>
      </c>
      <c r="CG37" s="31">
        <f t="shared" si="48"/>
        <v>0</v>
      </c>
      <c r="CH37" s="31"/>
      <c r="CI37" s="33">
        <f>'[4]SÃO FRANCISCO'!CI37*'[3]SF I'!$X$4</f>
        <v>0</v>
      </c>
      <c r="CJ37" s="37">
        <f t="shared" si="12"/>
        <v>-1</v>
      </c>
      <c r="CK37" s="36">
        <f>[1]SFI!$P37</f>
        <v>8337.1769740298005</v>
      </c>
      <c r="CL37" s="31">
        <f t="shared" si="49"/>
        <v>7312.5379239215381</v>
      </c>
      <c r="CM37" s="31">
        <f t="shared" si="50"/>
        <v>1024.6390501082624</v>
      </c>
      <c r="CN37" s="31">
        <f t="shared" si="51"/>
        <v>0</v>
      </c>
      <c r="CO37" s="31"/>
      <c r="CP37" s="33">
        <f>'[4]SÃO FRANCISCO'!CP37*'[3]SF I'!$X$4</f>
        <v>0</v>
      </c>
      <c r="CQ37" s="37">
        <f t="shared" si="13"/>
        <v>-1</v>
      </c>
    </row>
    <row r="38" spans="1:95" s="26" customFormat="1" ht="16" customHeight="1" x14ac:dyDescent="0.2">
      <c r="A38" s="38" t="s">
        <v>62</v>
      </c>
      <c r="B38" s="30">
        <f t="shared" si="52"/>
        <v>20009.224737671524</v>
      </c>
      <c r="C38" s="31">
        <f t="shared" si="52"/>
        <v>17550.091017411691</v>
      </c>
      <c r="D38" s="32">
        <f t="shared" si="52"/>
        <v>2459.1337202598302</v>
      </c>
      <c r="E38" s="30">
        <f t="shared" si="54"/>
        <v>6669.7415792238417</v>
      </c>
      <c r="F38" s="33">
        <f t="shared" si="54"/>
        <v>5850.0303391372317</v>
      </c>
      <c r="G38" s="34">
        <f t="shared" si="54"/>
        <v>819.71124008661013</v>
      </c>
      <c r="H38" s="31">
        <f t="shared" si="53"/>
        <v>6848.1867588224331</v>
      </c>
      <c r="I38" s="33">
        <f t="shared" si="53"/>
        <v>0</v>
      </c>
      <c r="J38" s="33">
        <f t="shared" si="53"/>
        <v>6848.1867588224331</v>
      </c>
      <c r="K38" s="37">
        <f t="shared" si="15"/>
        <v>2.6754436806734061E-2</v>
      </c>
      <c r="L38" s="36">
        <f>[1]SFI!$E38</f>
        <v>1667.4353948059604</v>
      </c>
      <c r="M38" s="31">
        <f t="shared" si="16"/>
        <v>1462.5075847843079</v>
      </c>
      <c r="N38" s="31">
        <f t="shared" si="17"/>
        <v>204.92781002165253</v>
      </c>
      <c r="O38" s="31">
        <f t="shared" si="18"/>
        <v>1415.1869236146786</v>
      </c>
      <c r="P38" s="31"/>
      <c r="Q38" s="33">
        <v>1415.1869236146786</v>
      </c>
      <c r="R38" s="37">
        <f t="shared" si="2"/>
        <v>-0.15127930711860416</v>
      </c>
      <c r="S38" s="36">
        <f>[1]SFI!$F38</f>
        <v>1667.4353948059604</v>
      </c>
      <c r="T38" s="31">
        <f t="shared" si="19"/>
        <v>1462.5075847843079</v>
      </c>
      <c r="U38" s="31">
        <f t="shared" si="20"/>
        <v>204.92781002165253</v>
      </c>
      <c r="V38" s="31">
        <f t="shared" si="21"/>
        <v>593.40244451888032</v>
      </c>
      <c r="W38" s="31"/>
      <c r="X38" s="148">
        <f>'[4]SÃO FRANCISCO'!X38*'[3]SF I'!$X$4</f>
        <v>593.40244451888032</v>
      </c>
      <c r="Y38" s="37">
        <f t="shared" si="3"/>
        <v>-0.64412267703605108</v>
      </c>
      <c r="Z38" s="36">
        <f>[1]SFI!$G38</f>
        <v>1667.4353948059604</v>
      </c>
      <c r="AA38" s="31">
        <f t="shared" si="22"/>
        <v>1462.5075847843079</v>
      </c>
      <c r="AB38" s="31">
        <f t="shared" si="23"/>
        <v>204.92781002165253</v>
      </c>
      <c r="AC38" s="31">
        <f t="shared" si="24"/>
        <v>2434.588250134977</v>
      </c>
      <c r="AD38" s="31"/>
      <c r="AE38" s="33">
        <f>'[4]SÃO FRANCISCO'!AE38*'[2]SF I'!$X$4</f>
        <v>2434.588250134977</v>
      </c>
      <c r="AF38" s="37">
        <f t="shared" si="4"/>
        <v>0.46007950755914617</v>
      </c>
      <c r="AG38" s="36">
        <f>[1]SFI!$H38</f>
        <v>1667.4353948059604</v>
      </c>
      <c r="AH38" s="31">
        <f t="shared" si="25"/>
        <v>1462.5075847843079</v>
      </c>
      <c r="AI38" s="31">
        <f t="shared" si="26"/>
        <v>204.92781002165253</v>
      </c>
      <c r="AJ38" s="31">
        <f t="shared" si="27"/>
        <v>2405.0091405538979</v>
      </c>
      <c r="AK38" s="31"/>
      <c r="AL38" s="33">
        <f>'[4]SÃO FRANCISCO'!AL38*'[3]SF I'!$X$4</f>
        <v>2405.0091405538979</v>
      </c>
      <c r="AM38" s="37">
        <f t="shared" si="5"/>
        <v>0.44234022382244609</v>
      </c>
      <c r="AN38" s="36">
        <f>[1]SFI!$I38</f>
        <v>1667.4353948059604</v>
      </c>
      <c r="AO38" s="31">
        <f t="shared" si="28"/>
        <v>1462.5075847843079</v>
      </c>
      <c r="AP38" s="31">
        <f t="shared" si="29"/>
        <v>204.92781002165253</v>
      </c>
      <c r="AQ38" s="31">
        <f t="shared" si="30"/>
        <v>0</v>
      </c>
      <c r="AR38" s="31"/>
      <c r="AS38" s="33">
        <f>'[4]SÃO FRANCISCO'!AS38*'[3]SF I'!$X$4</f>
        <v>0</v>
      </c>
      <c r="AT38" s="37">
        <f t="shared" si="6"/>
        <v>-1</v>
      </c>
      <c r="AU38" s="36">
        <f>[1]SFI!$J38</f>
        <v>1667.4353948059604</v>
      </c>
      <c r="AV38" s="31">
        <f t="shared" si="31"/>
        <v>1462.5075847843079</v>
      </c>
      <c r="AW38" s="31">
        <f t="shared" si="32"/>
        <v>204.92781002165253</v>
      </c>
      <c r="AX38" s="31">
        <f t="shared" si="33"/>
        <v>0</v>
      </c>
      <c r="AY38" s="31"/>
      <c r="AZ38" s="33">
        <f>'[4]SÃO FRANCISCO'!AZ38*'[3]SF I'!$X$4</f>
        <v>0</v>
      </c>
      <c r="BA38" s="37">
        <f t="shared" si="7"/>
        <v>-1</v>
      </c>
      <c r="BB38" s="36">
        <f>[1]SFI!$K38</f>
        <v>1667.4353948059604</v>
      </c>
      <c r="BC38" s="31">
        <f t="shared" si="34"/>
        <v>1462.5075847843079</v>
      </c>
      <c r="BD38" s="31">
        <f t="shared" si="35"/>
        <v>204.92781002165253</v>
      </c>
      <c r="BE38" s="31">
        <f t="shared" si="36"/>
        <v>0</v>
      </c>
      <c r="BF38" s="31"/>
      <c r="BG38" s="27">
        <f>'[4]SÃO FRANCISCO'!BG38*'[3]SF I'!$X$4</f>
        <v>0</v>
      </c>
      <c r="BH38" s="37">
        <f t="shared" si="8"/>
        <v>-1</v>
      </c>
      <c r="BI38" s="36">
        <f>[1]SFI!$L38</f>
        <v>1667.4353948059604</v>
      </c>
      <c r="BJ38" s="31">
        <f t="shared" si="37"/>
        <v>1462.5075847843079</v>
      </c>
      <c r="BK38" s="31">
        <f t="shared" si="38"/>
        <v>204.92781002165253</v>
      </c>
      <c r="BL38" s="31">
        <f t="shared" si="39"/>
        <v>0</v>
      </c>
      <c r="BM38" s="31"/>
      <c r="BN38" s="33">
        <f>'[4]SÃO FRANCISCO'!BN38*'[3]SF I'!$X$4</f>
        <v>0</v>
      </c>
      <c r="BO38" s="37">
        <f t="shared" si="9"/>
        <v>-1</v>
      </c>
      <c r="BP38" s="36">
        <f>[1]SFI!$M38</f>
        <v>1667.4353948059604</v>
      </c>
      <c r="BQ38" s="31">
        <f t="shared" si="40"/>
        <v>1462.5075847843079</v>
      </c>
      <c r="BR38" s="31">
        <f t="shared" si="41"/>
        <v>204.92781002165253</v>
      </c>
      <c r="BS38" s="31">
        <f t="shared" si="42"/>
        <v>0</v>
      </c>
      <c r="BT38" s="31"/>
      <c r="BU38" s="33">
        <f>'[4]SÃO FRANCISCO'!BU38*'[3]SF I'!$X$4</f>
        <v>0</v>
      </c>
      <c r="BV38" s="37">
        <f t="shared" si="10"/>
        <v>-1</v>
      </c>
      <c r="BW38" s="36">
        <f>[1]SFI!$N38</f>
        <v>1667.4353948059604</v>
      </c>
      <c r="BX38" s="31">
        <f t="shared" si="43"/>
        <v>1462.5075847843079</v>
      </c>
      <c r="BY38" s="31">
        <f t="shared" si="44"/>
        <v>204.92781002165253</v>
      </c>
      <c r="BZ38" s="31">
        <f t="shared" si="45"/>
        <v>0</v>
      </c>
      <c r="CA38" s="31"/>
      <c r="CB38" s="33">
        <f>'[4]SÃO FRANCISCO'!CB38*'[3]SF I'!$X$4</f>
        <v>0</v>
      </c>
      <c r="CC38" s="37">
        <f t="shared" si="11"/>
        <v>-1</v>
      </c>
      <c r="CD38" s="36">
        <f>[1]SFI!$O38</f>
        <v>1667.4353948059604</v>
      </c>
      <c r="CE38" s="31">
        <f t="shared" si="46"/>
        <v>1462.5075847843079</v>
      </c>
      <c r="CF38" s="31">
        <f t="shared" si="47"/>
        <v>204.92781002165253</v>
      </c>
      <c r="CG38" s="31">
        <f t="shared" si="48"/>
        <v>0</v>
      </c>
      <c r="CH38" s="31"/>
      <c r="CI38" s="33">
        <f>'[4]SÃO FRANCISCO'!CI38*'[3]SF I'!$X$4</f>
        <v>0</v>
      </c>
      <c r="CJ38" s="37">
        <f t="shared" si="12"/>
        <v>-1</v>
      </c>
      <c r="CK38" s="36">
        <f>[1]SFI!$P38</f>
        <v>1667.4353948059604</v>
      </c>
      <c r="CL38" s="31">
        <f t="shared" si="49"/>
        <v>1462.5075847843079</v>
      </c>
      <c r="CM38" s="31">
        <f t="shared" si="50"/>
        <v>204.92781002165253</v>
      </c>
      <c r="CN38" s="31">
        <f t="shared" si="51"/>
        <v>0</v>
      </c>
      <c r="CO38" s="31"/>
      <c r="CP38" s="33">
        <f>'[4]SÃO FRANCISCO'!CP38*'[3]SF I'!$X$4</f>
        <v>0</v>
      </c>
      <c r="CQ38" s="37">
        <f t="shared" si="13"/>
        <v>-1</v>
      </c>
    </row>
    <row r="39" spans="1:95" s="26" customFormat="1" ht="16" customHeight="1" x14ac:dyDescent="0.2">
      <c r="A39" s="38" t="s">
        <v>63</v>
      </c>
      <c r="B39" s="30">
        <f t="shared" si="52"/>
        <v>2501.1530922089405</v>
      </c>
      <c r="C39" s="31">
        <f t="shared" si="52"/>
        <v>2193.7613771764613</v>
      </c>
      <c r="D39" s="32">
        <f t="shared" si="52"/>
        <v>307.39171503247877</v>
      </c>
      <c r="E39" s="30">
        <f t="shared" si="54"/>
        <v>833.71769740298021</v>
      </c>
      <c r="F39" s="33">
        <f t="shared" si="54"/>
        <v>731.25379239215397</v>
      </c>
      <c r="G39" s="34">
        <f t="shared" si="54"/>
        <v>102.46390501082627</v>
      </c>
      <c r="H39" s="31">
        <f t="shared" si="53"/>
        <v>2754.210290944975</v>
      </c>
      <c r="I39" s="33">
        <f t="shared" si="53"/>
        <v>0</v>
      </c>
      <c r="J39" s="33">
        <f t="shared" si="53"/>
        <v>2754.210290944975</v>
      </c>
      <c r="K39" s="37">
        <f t="shared" si="15"/>
        <v>2.3035286398793073</v>
      </c>
      <c r="L39" s="36">
        <f>[1]SFI!$E39</f>
        <v>208.42942435074505</v>
      </c>
      <c r="M39" s="31">
        <f t="shared" si="16"/>
        <v>182.81344809803849</v>
      </c>
      <c r="N39" s="31">
        <f t="shared" si="17"/>
        <v>25.615976252706567</v>
      </c>
      <c r="O39" s="31">
        <f t="shared" si="18"/>
        <v>405.19668014418158</v>
      </c>
      <c r="P39" s="31"/>
      <c r="Q39" s="33">
        <v>405.19668014418158</v>
      </c>
      <c r="R39" s="37">
        <f t="shared" si="2"/>
        <v>0.94404739832854201</v>
      </c>
      <c r="S39" s="36">
        <f>[1]SFI!$F39</f>
        <v>208.42942435074505</v>
      </c>
      <c r="T39" s="31">
        <f t="shared" si="19"/>
        <v>182.81344809803849</v>
      </c>
      <c r="U39" s="31">
        <f t="shared" si="20"/>
        <v>25.615976252706567</v>
      </c>
      <c r="V39" s="31">
        <f t="shared" si="21"/>
        <v>145.62023178377433</v>
      </c>
      <c r="W39" s="31"/>
      <c r="X39" s="148">
        <f>'[4]SÃO FRANCISCO'!X39*'[3]SF I'!$X$4</f>
        <v>145.62023178377433</v>
      </c>
      <c r="Y39" s="37">
        <f t="shared" si="3"/>
        <v>-0.30134513283151143</v>
      </c>
      <c r="Z39" s="36">
        <f>[1]SFI!$G39</f>
        <v>208.42942435074505</v>
      </c>
      <c r="AA39" s="31">
        <f t="shared" si="22"/>
        <v>182.81344809803849</v>
      </c>
      <c r="AB39" s="31">
        <f t="shared" si="23"/>
        <v>25.615976252706567</v>
      </c>
      <c r="AC39" s="31">
        <f t="shared" si="24"/>
        <v>1379.8654619573426</v>
      </c>
      <c r="AD39" s="31"/>
      <c r="AE39" s="33">
        <f>'[4]SÃO FRANCISCO'!AE39*'[2]SF I'!$X$4</f>
        <v>1379.8654619573426</v>
      </c>
      <c r="AF39" s="37">
        <f t="shared" si="4"/>
        <v>5.6203006905364044</v>
      </c>
      <c r="AG39" s="36">
        <f>[1]SFI!$H39</f>
        <v>208.42942435074505</v>
      </c>
      <c r="AH39" s="31">
        <f t="shared" si="25"/>
        <v>182.81344809803849</v>
      </c>
      <c r="AI39" s="31">
        <f t="shared" si="26"/>
        <v>25.615976252706567</v>
      </c>
      <c r="AJ39" s="31">
        <f t="shared" si="27"/>
        <v>823.52791705967627</v>
      </c>
      <c r="AK39" s="31"/>
      <c r="AL39" s="33">
        <f>'[4]SÃO FRANCISCO'!AL39*'[3]SF I'!$X$4</f>
        <v>823.52791705967627</v>
      </c>
      <c r="AM39" s="37">
        <f t="shared" si="5"/>
        <v>2.9511116034837932</v>
      </c>
      <c r="AN39" s="36">
        <f>[1]SFI!$I39</f>
        <v>208.42942435074505</v>
      </c>
      <c r="AO39" s="31">
        <f t="shared" si="28"/>
        <v>182.81344809803849</v>
      </c>
      <c r="AP39" s="31">
        <f t="shared" si="29"/>
        <v>25.615976252706567</v>
      </c>
      <c r="AQ39" s="31">
        <f t="shared" si="30"/>
        <v>0</v>
      </c>
      <c r="AR39" s="31"/>
      <c r="AS39" s="33">
        <f>'[4]SÃO FRANCISCO'!AS39*'[3]SF I'!$X$4</f>
        <v>0</v>
      </c>
      <c r="AT39" s="37">
        <f t="shared" si="6"/>
        <v>-1</v>
      </c>
      <c r="AU39" s="36">
        <f>[1]SFI!$J39</f>
        <v>208.42942435074505</v>
      </c>
      <c r="AV39" s="31">
        <f t="shared" si="31"/>
        <v>182.81344809803849</v>
      </c>
      <c r="AW39" s="31">
        <f t="shared" si="32"/>
        <v>25.615976252706567</v>
      </c>
      <c r="AX39" s="31">
        <f t="shared" si="33"/>
        <v>0</v>
      </c>
      <c r="AY39" s="31"/>
      <c r="AZ39" s="27">
        <f>'[4]SÃO FRANCISCO'!AZ39*'[3]SF I'!$X$4</f>
        <v>0</v>
      </c>
      <c r="BA39" s="37">
        <f t="shared" si="7"/>
        <v>-1</v>
      </c>
      <c r="BB39" s="36">
        <f>[1]SFI!$K39</f>
        <v>208.42942435074505</v>
      </c>
      <c r="BC39" s="31">
        <f t="shared" si="34"/>
        <v>182.81344809803849</v>
      </c>
      <c r="BD39" s="31">
        <f t="shared" si="35"/>
        <v>25.615976252706567</v>
      </c>
      <c r="BE39" s="31">
        <f t="shared" si="36"/>
        <v>0</v>
      </c>
      <c r="BF39" s="31"/>
      <c r="BG39" s="27">
        <f>'[4]SÃO FRANCISCO'!BG39*'[3]SF I'!$X$4</f>
        <v>0</v>
      </c>
      <c r="BH39" s="37">
        <f t="shared" si="8"/>
        <v>-1</v>
      </c>
      <c r="BI39" s="36">
        <f>[1]SFI!$L39</f>
        <v>208.42942435074505</v>
      </c>
      <c r="BJ39" s="31">
        <f t="shared" si="37"/>
        <v>182.81344809803849</v>
      </c>
      <c r="BK39" s="31">
        <f t="shared" si="38"/>
        <v>25.615976252706567</v>
      </c>
      <c r="BL39" s="31">
        <f t="shared" si="39"/>
        <v>0</v>
      </c>
      <c r="BM39" s="31"/>
      <c r="BN39" s="33">
        <f>'[4]SÃO FRANCISCO'!BN39*'[3]SF I'!$X$4</f>
        <v>0</v>
      </c>
      <c r="BO39" s="37">
        <f t="shared" si="9"/>
        <v>-1</v>
      </c>
      <c r="BP39" s="36">
        <f>[1]SFI!$M39</f>
        <v>208.42942435074505</v>
      </c>
      <c r="BQ39" s="31">
        <f t="shared" si="40"/>
        <v>182.81344809803849</v>
      </c>
      <c r="BR39" s="31">
        <f t="shared" si="41"/>
        <v>25.615976252706567</v>
      </c>
      <c r="BS39" s="31">
        <f t="shared" si="42"/>
        <v>0</v>
      </c>
      <c r="BT39" s="31"/>
      <c r="BU39" s="33">
        <f>'[4]SÃO FRANCISCO'!BU39*'[3]SF I'!$X$4</f>
        <v>0</v>
      </c>
      <c r="BV39" s="37">
        <f t="shared" si="10"/>
        <v>-1</v>
      </c>
      <c r="BW39" s="36">
        <f>[1]SFI!$N39</f>
        <v>208.42942435074505</v>
      </c>
      <c r="BX39" s="31">
        <f t="shared" si="43"/>
        <v>182.81344809803849</v>
      </c>
      <c r="BY39" s="31">
        <f t="shared" si="44"/>
        <v>25.615976252706567</v>
      </c>
      <c r="BZ39" s="31">
        <f t="shared" si="45"/>
        <v>0</v>
      </c>
      <c r="CA39" s="31"/>
      <c r="CB39" s="33">
        <f>'[4]SÃO FRANCISCO'!CB39*'[3]SF I'!$X$4</f>
        <v>0</v>
      </c>
      <c r="CC39" s="37">
        <f t="shared" si="11"/>
        <v>-1</v>
      </c>
      <c r="CD39" s="36">
        <f>[1]SFI!$O39</f>
        <v>208.42942435074505</v>
      </c>
      <c r="CE39" s="31">
        <f t="shared" si="46"/>
        <v>182.81344809803849</v>
      </c>
      <c r="CF39" s="31">
        <f t="shared" si="47"/>
        <v>25.615976252706567</v>
      </c>
      <c r="CG39" s="31">
        <f t="shared" si="48"/>
        <v>0</v>
      </c>
      <c r="CH39" s="31"/>
      <c r="CI39" s="33">
        <f>'[4]SÃO FRANCISCO'!CI39*'[3]SF I'!$X$4</f>
        <v>0</v>
      </c>
      <c r="CJ39" s="37">
        <f t="shared" si="12"/>
        <v>-1</v>
      </c>
      <c r="CK39" s="36">
        <f>[1]SFI!$P39</f>
        <v>208.42942435074505</v>
      </c>
      <c r="CL39" s="31">
        <f t="shared" si="49"/>
        <v>182.81344809803849</v>
      </c>
      <c r="CM39" s="31">
        <f t="shared" si="50"/>
        <v>25.615976252706567</v>
      </c>
      <c r="CN39" s="31">
        <f t="shared" si="51"/>
        <v>0</v>
      </c>
      <c r="CO39" s="31"/>
      <c r="CP39" s="33">
        <f>'[4]SÃO FRANCISCO'!CP39*'[3]SF I'!$X$4</f>
        <v>0</v>
      </c>
      <c r="CQ39" s="37">
        <f t="shared" si="13"/>
        <v>-1</v>
      </c>
    </row>
    <row r="40" spans="1:95" s="26" customFormat="1" ht="16" customHeight="1" x14ac:dyDescent="0.2">
      <c r="A40" s="38" t="s">
        <v>64</v>
      </c>
      <c r="B40" s="30">
        <f t="shared" si="52"/>
        <v>10004.612368835762</v>
      </c>
      <c r="C40" s="31">
        <f t="shared" si="52"/>
        <v>8775.0455087058454</v>
      </c>
      <c r="D40" s="32">
        <f t="shared" si="52"/>
        <v>1229.5668601299151</v>
      </c>
      <c r="E40" s="30">
        <f t="shared" si="54"/>
        <v>3334.8707896119208</v>
      </c>
      <c r="F40" s="33">
        <f t="shared" si="54"/>
        <v>2925.0151695686159</v>
      </c>
      <c r="G40" s="34">
        <f t="shared" si="54"/>
        <v>409.85562004330507</v>
      </c>
      <c r="H40" s="31">
        <f t="shared" si="53"/>
        <v>19135.669788454616</v>
      </c>
      <c r="I40" s="33">
        <f t="shared" si="53"/>
        <v>0</v>
      </c>
      <c r="J40" s="33">
        <f t="shared" si="53"/>
        <v>19135.669788454616</v>
      </c>
      <c r="K40" s="37">
        <f t="shared" si="15"/>
        <v>4.7380543342374697</v>
      </c>
      <c r="L40" s="36">
        <f>[1]SFI!$E40</f>
        <v>833.71769740298021</v>
      </c>
      <c r="M40" s="31">
        <f t="shared" si="16"/>
        <v>731.25379239215397</v>
      </c>
      <c r="N40" s="31">
        <f t="shared" si="17"/>
        <v>102.46390501082627</v>
      </c>
      <c r="O40" s="31">
        <f t="shared" si="18"/>
        <v>2979.19608468972</v>
      </c>
      <c r="P40" s="31"/>
      <c r="Q40" s="33">
        <v>2979.19608468972</v>
      </c>
      <c r="R40" s="37">
        <f t="shared" si="2"/>
        <v>2.5733871236869232</v>
      </c>
      <c r="S40" s="36">
        <f>[1]SFI!$F40</f>
        <v>833.71769740298021</v>
      </c>
      <c r="T40" s="31">
        <f t="shared" si="19"/>
        <v>731.25379239215397</v>
      </c>
      <c r="U40" s="31">
        <f t="shared" si="20"/>
        <v>102.46390501082627</v>
      </c>
      <c r="V40" s="31">
        <f t="shared" si="21"/>
        <v>1385.4399864553154</v>
      </c>
      <c r="W40" s="31"/>
      <c r="X40" s="148">
        <f>'[4]SÃO FRANCISCO'!X40*'[3]SF I'!$X$4</f>
        <v>1385.4399864553154</v>
      </c>
      <c r="Y40" s="37">
        <f t="shared" si="3"/>
        <v>0.66176151804254957</v>
      </c>
      <c r="Z40" s="36">
        <f>[1]SFI!$G40</f>
        <v>833.71769740298021</v>
      </c>
      <c r="AA40" s="31">
        <f t="shared" si="22"/>
        <v>731.25379239215397</v>
      </c>
      <c r="AB40" s="31">
        <f t="shared" si="23"/>
        <v>102.46390501082627</v>
      </c>
      <c r="AC40" s="31">
        <f t="shared" si="24"/>
        <v>5506.8019889286688</v>
      </c>
      <c r="AD40" s="31"/>
      <c r="AE40" s="33">
        <f>'[4]SÃO FRANCISCO'!AE40*'[2]SF I'!$X$4</f>
        <v>5506.8019889286688</v>
      </c>
      <c r="AF40" s="37">
        <f t="shared" si="4"/>
        <v>5.6051158636577894</v>
      </c>
      <c r="AG40" s="36">
        <f>[1]SFI!$H40</f>
        <v>833.71769740298021</v>
      </c>
      <c r="AH40" s="31">
        <f t="shared" si="25"/>
        <v>731.25379239215397</v>
      </c>
      <c r="AI40" s="31">
        <f t="shared" si="26"/>
        <v>102.46390501082627</v>
      </c>
      <c r="AJ40" s="31">
        <f t="shared" si="27"/>
        <v>9264.2317283809116</v>
      </c>
      <c r="AK40" s="31"/>
      <c r="AL40" s="33">
        <f>'[4]SÃO FRANCISCO'!AL40*'[3]SF I'!$X$4</f>
        <v>9264.2317283809116</v>
      </c>
      <c r="AM40" s="37">
        <f t="shared" si="5"/>
        <v>10.111952831562618</v>
      </c>
      <c r="AN40" s="36">
        <f>[1]SFI!$I40</f>
        <v>833.71769740298021</v>
      </c>
      <c r="AO40" s="31">
        <f t="shared" si="28"/>
        <v>731.25379239215397</v>
      </c>
      <c r="AP40" s="31">
        <f t="shared" si="29"/>
        <v>102.46390501082627</v>
      </c>
      <c r="AQ40" s="31">
        <f t="shared" si="30"/>
        <v>0</v>
      </c>
      <c r="AR40" s="31"/>
      <c r="AS40" s="33">
        <f>'[4]SÃO FRANCISCO'!AS40*'[3]SF I'!$X$4</f>
        <v>0</v>
      </c>
      <c r="AT40" s="37">
        <f t="shared" si="6"/>
        <v>-1</v>
      </c>
      <c r="AU40" s="36">
        <f>[1]SFI!$J40</f>
        <v>833.71769740298021</v>
      </c>
      <c r="AV40" s="31">
        <f t="shared" si="31"/>
        <v>731.25379239215397</v>
      </c>
      <c r="AW40" s="31">
        <f t="shared" si="32"/>
        <v>102.46390501082627</v>
      </c>
      <c r="AX40" s="31">
        <f t="shared" si="33"/>
        <v>0</v>
      </c>
      <c r="AY40" s="31"/>
      <c r="AZ40" s="27">
        <f>'[4]SÃO FRANCISCO'!AZ40*'[3]SF I'!$X$4</f>
        <v>0</v>
      </c>
      <c r="BA40" s="37">
        <f t="shared" si="7"/>
        <v>-1</v>
      </c>
      <c r="BB40" s="36">
        <f>[1]SFI!$K40</f>
        <v>833.71769740298021</v>
      </c>
      <c r="BC40" s="31">
        <f t="shared" si="34"/>
        <v>731.25379239215397</v>
      </c>
      <c r="BD40" s="31">
        <f t="shared" si="35"/>
        <v>102.46390501082627</v>
      </c>
      <c r="BE40" s="31">
        <f t="shared" si="36"/>
        <v>0</v>
      </c>
      <c r="BF40" s="31"/>
      <c r="BG40" s="27">
        <f>'[4]SÃO FRANCISCO'!BG40*'[3]SF I'!$X$4</f>
        <v>0</v>
      </c>
      <c r="BH40" s="37">
        <f t="shared" si="8"/>
        <v>-1</v>
      </c>
      <c r="BI40" s="36">
        <f>[1]SFI!$L40</f>
        <v>833.71769740298021</v>
      </c>
      <c r="BJ40" s="31">
        <f t="shared" si="37"/>
        <v>731.25379239215397</v>
      </c>
      <c r="BK40" s="31">
        <f t="shared" si="38"/>
        <v>102.46390501082627</v>
      </c>
      <c r="BL40" s="31">
        <f t="shared" si="39"/>
        <v>0</v>
      </c>
      <c r="BM40" s="31"/>
      <c r="BN40" s="33">
        <f>'[4]SÃO FRANCISCO'!BN40*'[3]SF I'!$X$4</f>
        <v>0</v>
      </c>
      <c r="BO40" s="37">
        <f t="shared" si="9"/>
        <v>-1</v>
      </c>
      <c r="BP40" s="36">
        <f>[1]SFI!$M40</f>
        <v>833.71769740298021</v>
      </c>
      <c r="BQ40" s="31">
        <f t="shared" si="40"/>
        <v>731.25379239215397</v>
      </c>
      <c r="BR40" s="31">
        <f t="shared" si="41"/>
        <v>102.46390501082627</v>
      </c>
      <c r="BS40" s="31">
        <f t="shared" si="42"/>
        <v>0</v>
      </c>
      <c r="BT40" s="31"/>
      <c r="BU40" s="33">
        <f>'[4]SÃO FRANCISCO'!BU40*'[3]SF I'!$X$4</f>
        <v>0</v>
      </c>
      <c r="BV40" s="37">
        <f t="shared" si="10"/>
        <v>-1</v>
      </c>
      <c r="BW40" s="36">
        <f>[1]SFI!$N40</f>
        <v>833.71769740298021</v>
      </c>
      <c r="BX40" s="31">
        <f t="shared" si="43"/>
        <v>731.25379239215397</v>
      </c>
      <c r="BY40" s="31">
        <f t="shared" si="44"/>
        <v>102.46390501082627</v>
      </c>
      <c r="BZ40" s="31">
        <f t="shared" si="45"/>
        <v>0</v>
      </c>
      <c r="CA40" s="31"/>
      <c r="CB40" s="33">
        <f>'[4]SÃO FRANCISCO'!CB40*'[3]SF I'!$X$4</f>
        <v>0</v>
      </c>
      <c r="CC40" s="37">
        <f t="shared" si="11"/>
        <v>-1</v>
      </c>
      <c r="CD40" s="36">
        <f>[1]SFI!$O40</f>
        <v>833.71769740298021</v>
      </c>
      <c r="CE40" s="31">
        <f t="shared" si="46"/>
        <v>731.25379239215397</v>
      </c>
      <c r="CF40" s="31">
        <f t="shared" si="47"/>
        <v>102.46390501082627</v>
      </c>
      <c r="CG40" s="31">
        <f t="shared" si="48"/>
        <v>0</v>
      </c>
      <c r="CH40" s="31"/>
      <c r="CI40" s="33">
        <f>'[4]SÃO FRANCISCO'!CI40*'[3]SF I'!$X$4</f>
        <v>0</v>
      </c>
      <c r="CJ40" s="37">
        <f t="shared" si="12"/>
        <v>-1</v>
      </c>
      <c r="CK40" s="36">
        <f>[1]SFI!$P40</f>
        <v>833.71769740298021</v>
      </c>
      <c r="CL40" s="31">
        <f t="shared" si="49"/>
        <v>731.25379239215397</v>
      </c>
      <c r="CM40" s="31">
        <f t="shared" si="50"/>
        <v>102.46390501082627</v>
      </c>
      <c r="CN40" s="31">
        <f t="shared" si="51"/>
        <v>0</v>
      </c>
      <c r="CO40" s="31"/>
      <c r="CP40" s="33">
        <f>'[4]SÃO FRANCISCO'!CP40*'[3]SF I'!$X$4</f>
        <v>0</v>
      </c>
      <c r="CQ40" s="37">
        <f t="shared" si="13"/>
        <v>-1</v>
      </c>
    </row>
    <row r="41" spans="1:95" s="26" customFormat="1" ht="16" customHeight="1" x14ac:dyDescent="0.2">
      <c r="A41" s="29" t="s">
        <v>65</v>
      </c>
      <c r="B41" s="30">
        <f t="shared" si="52"/>
        <v>62028.596686781711</v>
      </c>
      <c r="C41" s="31">
        <f t="shared" si="52"/>
        <v>54405.282153976237</v>
      </c>
      <c r="D41" s="32">
        <f t="shared" si="52"/>
        <v>7623.3145328054743</v>
      </c>
      <c r="E41" s="30">
        <f t="shared" si="54"/>
        <v>20676.198895593909</v>
      </c>
      <c r="F41" s="33">
        <f t="shared" si="54"/>
        <v>18135.094051325417</v>
      </c>
      <c r="G41" s="34">
        <f t="shared" si="54"/>
        <v>2541.1048442684914</v>
      </c>
      <c r="H41" s="31">
        <f t="shared" si="53"/>
        <v>20676.198895593909</v>
      </c>
      <c r="I41" s="33">
        <f t="shared" si="53"/>
        <v>0</v>
      </c>
      <c r="J41" s="33">
        <f t="shared" si="53"/>
        <v>20676.198895593909</v>
      </c>
      <c r="K41" s="37">
        <f t="shared" si="15"/>
        <v>0</v>
      </c>
      <c r="L41" s="46">
        <f>[1]SFI!$E41</f>
        <v>5169.0497238984772</v>
      </c>
      <c r="M41" s="47">
        <f t="shared" si="16"/>
        <v>4533.7735128313543</v>
      </c>
      <c r="N41" s="47">
        <f t="shared" si="17"/>
        <v>635.27621106712286</v>
      </c>
      <c r="O41" s="47">
        <f t="shared" si="18"/>
        <v>5169.0497238984772</v>
      </c>
      <c r="P41" s="47"/>
      <c r="Q41" s="45">
        <v>5169.0497238984772</v>
      </c>
      <c r="R41" s="37">
        <f t="shared" si="2"/>
        <v>0</v>
      </c>
      <c r="S41" s="46">
        <f>[1]SFI!$F41</f>
        <v>5169.0497238984772</v>
      </c>
      <c r="T41" s="47">
        <f t="shared" si="19"/>
        <v>4533.7735128313543</v>
      </c>
      <c r="U41" s="47">
        <f t="shared" si="20"/>
        <v>635.27621106712286</v>
      </c>
      <c r="V41" s="47">
        <f t="shared" si="21"/>
        <v>5169.0497238984772</v>
      </c>
      <c r="W41" s="47"/>
      <c r="X41" s="150">
        <v>5169.0497238984772</v>
      </c>
      <c r="Y41" s="37">
        <f t="shared" si="3"/>
        <v>0</v>
      </c>
      <c r="Z41" s="46">
        <f>[1]SFI!$G41</f>
        <v>5169.0497238984772</v>
      </c>
      <c r="AA41" s="47">
        <f t="shared" si="22"/>
        <v>4533.7735128313543</v>
      </c>
      <c r="AB41" s="47">
        <f t="shared" si="23"/>
        <v>635.27621106712286</v>
      </c>
      <c r="AC41" s="47">
        <f t="shared" si="24"/>
        <v>5169.0497238984772</v>
      </c>
      <c r="AD41" s="47"/>
      <c r="AE41" s="48">
        <v>5169.0497238984772</v>
      </c>
      <c r="AF41" s="37">
        <f t="shared" si="4"/>
        <v>0</v>
      </c>
      <c r="AG41" s="46">
        <f>[1]SFI!$H41</f>
        <v>5169.0497238984772</v>
      </c>
      <c r="AH41" s="47">
        <f t="shared" si="25"/>
        <v>4533.7735128313543</v>
      </c>
      <c r="AI41" s="47">
        <f t="shared" si="26"/>
        <v>635.27621106712286</v>
      </c>
      <c r="AJ41" s="47">
        <f t="shared" si="27"/>
        <v>5169.0497238984772</v>
      </c>
      <c r="AK41" s="47"/>
      <c r="AL41" s="45">
        <v>5169.0497238984772</v>
      </c>
      <c r="AM41" s="37">
        <f t="shared" si="5"/>
        <v>0</v>
      </c>
      <c r="AN41" s="46">
        <f>[1]SFI!$I41</f>
        <v>5169.0497238984772</v>
      </c>
      <c r="AO41" s="47">
        <f t="shared" si="28"/>
        <v>4533.7735128313543</v>
      </c>
      <c r="AP41" s="47">
        <f t="shared" si="29"/>
        <v>635.27621106712286</v>
      </c>
      <c r="AQ41" s="47">
        <f t="shared" si="30"/>
        <v>0</v>
      </c>
      <c r="AR41" s="47"/>
      <c r="AS41" s="45"/>
      <c r="AT41" s="37">
        <f t="shared" si="6"/>
        <v>-1</v>
      </c>
      <c r="AU41" s="46">
        <f>[1]SFI!$J41</f>
        <v>5169.0497238984772</v>
      </c>
      <c r="AV41" s="47">
        <f t="shared" si="31"/>
        <v>4533.7735128313543</v>
      </c>
      <c r="AW41" s="47">
        <f t="shared" si="32"/>
        <v>635.27621106712286</v>
      </c>
      <c r="AX41" s="47">
        <f t="shared" si="33"/>
        <v>0</v>
      </c>
      <c r="AY41" s="47"/>
      <c r="AZ41" s="48"/>
      <c r="BA41" s="37">
        <f t="shared" si="7"/>
        <v>-1</v>
      </c>
      <c r="BB41" s="46">
        <f>[1]SFI!$K41</f>
        <v>5169.0497238984772</v>
      </c>
      <c r="BC41" s="47">
        <f t="shared" si="34"/>
        <v>4533.7735128313543</v>
      </c>
      <c r="BD41" s="47">
        <f t="shared" si="35"/>
        <v>635.27621106712286</v>
      </c>
      <c r="BE41" s="47">
        <f t="shared" si="36"/>
        <v>0</v>
      </c>
      <c r="BF41" s="47"/>
      <c r="BG41" s="48"/>
      <c r="BH41" s="37">
        <f t="shared" si="8"/>
        <v>-1</v>
      </c>
      <c r="BI41" s="46">
        <f>[1]SFI!$L41</f>
        <v>5169.0497238984772</v>
      </c>
      <c r="BJ41" s="47">
        <f t="shared" si="37"/>
        <v>4533.7735128313543</v>
      </c>
      <c r="BK41" s="47">
        <f t="shared" si="38"/>
        <v>635.27621106712286</v>
      </c>
      <c r="BL41" s="47">
        <f t="shared" si="39"/>
        <v>0</v>
      </c>
      <c r="BM41" s="47"/>
      <c r="BN41" s="45"/>
      <c r="BO41" s="37">
        <f t="shared" si="9"/>
        <v>-1</v>
      </c>
      <c r="BP41" s="46">
        <f>[1]SFI!$M41</f>
        <v>5169.0497238984772</v>
      </c>
      <c r="BQ41" s="47">
        <f t="shared" si="40"/>
        <v>4533.7735128313543</v>
      </c>
      <c r="BR41" s="47">
        <f t="shared" si="41"/>
        <v>635.27621106712286</v>
      </c>
      <c r="BS41" s="47">
        <f t="shared" si="42"/>
        <v>0</v>
      </c>
      <c r="BT41" s="47"/>
      <c r="BU41" s="45"/>
      <c r="BV41" s="37">
        <f t="shared" si="10"/>
        <v>-1</v>
      </c>
      <c r="BW41" s="46">
        <f>[1]SFI!$N41</f>
        <v>5169.0497238984772</v>
      </c>
      <c r="BX41" s="47">
        <f t="shared" si="43"/>
        <v>4533.7735128313543</v>
      </c>
      <c r="BY41" s="47">
        <f t="shared" si="44"/>
        <v>635.27621106712286</v>
      </c>
      <c r="BZ41" s="47">
        <f t="shared" si="45"/>
        <v>0</v>
      </c>
      <c r="CA41" s="47"/>
      <c r="CB41" s="45"/>
      <c r="CC41" s="37">
        <f t="shared" si="11"/>
        <v>-1</v>
      </c>
      <c r="CD41" s="46">
        <f>[1]SFI!$O41</f>
        <v>5169.0497238984772</v>
      </c>
      <c r="CE41" s="47">
        <f t="shared" si="46"/>
        <v>4533.7735128313543</v>
      </c>
      <c r="CF41" s="47">
        <f t="shared" si="47"/>
        <v>635.27621106712286</v>
      </c>
      <c r="CG41" s="47">
        <f t="shared" si="48"/>
        <v>0</v>
      </c>
      <c r="CH41" s="47"/>
      <c r="CI41" s="45"/>
      <c r="CJ41" s="37">
        <f t="shared" si="12"/>
        <v>-1</v>
      </c>
      <c r="CK41" s="46">
        <f>[1]SFI!$P41</f>
        <v>5169.0497238984772</v>
      </c>
      <c r="CL41" s="47">
        <f t="shared" si="49"/>
        <v>4533.7735128313543</v>
      </c>
      <c r="CM41" s="47">
        <f t="shared" si="50"/>
        <v>635.27621106712286</v>
      </c>
      <c r="CN41" s="47">
        <f t="shared" si="51"/>
        <v>0</v>
      </c>
      <c r="CO41" s="47"/>
      <c r="CP41" s="45"/>
      <c r="CQ41" s="37">
        <f t="shared" si="13"/>
        <v>-1</v>
      </c>
    </row>
    <row r="42" spans="1:95" s="26" customFormat="1" ht="16" customHeight="1" x14ac:dyDescent="0.2">
      <c r="A42" s="29" t="s">
        <v>66</v>
      </c>
      <c r="B42" s="30">
        <f t="shared" si="52"/>
        <v>70489.483199999988</v>
      </c>
      <c r="C42" s="31">
        <f t="shared" si="52"/>
        <v>61826.325714719984</v>
      </c>
      <c r="D42" s="32">
        <f t="shared" si="52"/>
        <v>8663.1574852799986</v>
      </c>
      <c r="E42" s="30">
        <f t="shared" si="54"/>
        <v>23496.494399999996</v>
      </c>
      <c r="F42" s="33">
        <f t="shared" si="54"/>
        <v>20608.775238239996</v>
      </c>
      <c r="G42" s="34">
        <f t="shared" si="54"/>
        <v>2887.7191617599992</v>
      </c>
      <c r="H42" s="31">
        <f t="shared" si="53"/>
        <v>22013.08</v>
      </c>
      <c r="I42" s="33">
        <f t="shared" si="53"/>
        <v>0</v>
      </c>
      <c r="J42" s="33">
        <f t="shared" si="53"/>
        <v>22013.08</v>
      </c>
      <c r="K42" s="37">
        <f t="shared" si="15"/>
        <v>-6.3133434917848619E-2</v>
      </c>
      <c r="L42" s="36">
        <f>[1]SFI!$E42</f>
        <v>5874.123599999999</v>
      </c>
      <c r="M42" s="31">
        <f t="shared" si="16"/>
        <v>5152.193809559999</v>
      </c>
      <c r="N42" s="31">
        <f t="shared" si="17"/>
        <v>721.92979043999981</v>
      </c>
      <c r="O42" s="31">
        <f t="shared" si="18"/>
        <v>5069.08</v>
      </c>
      <c r="P42" s="31"/>
      <c r="Q42" s="33">
        <v>5069.08</v>
      </c>
      <c r="R42" s="37">
        <f t="shared" si="2"/>
        <v>-0.13704914210521535</v>
      </c>
      <c r="S42" s="36">
        <f>[1]SFI!$F42</f>
        <v>5874.123599999999</v>
      </c>
      <c r="T42" s="31">
        <f t="shared" si="19"/>
        <v>5152.193809559999</v>
      </c>
      <c r="U42" s="31">
        <f t="shared" si="20"/>
        <v>721.92979043999981</v>
      </c>
      <c r="V42" s="31">
        <f t="shared" si="21"/>
        <v>5648</v>
      </c>
      <c r="W42" s="31"/>
      <c r="X42" s="148">
        <v>5648</v>
      </c>
      <c r="Y42" s="37">
        <f t="shared" si="3"/>
        <v>-3.849486585539319E-2</v>
      </c>
      <c r="Z42" s="36">
        <f>[1]SFI!$G42</f>
        <v>5874.123599999999</v>
      </c>
      <c r="AA42" s="31">
        <f t="shared" si="22"/>
        <v>5152.193809559999</v>
      </c>
      <c r="AB42" s="31">
        <f t="shared" si="23"/>
        <v>721.92979043999981</v>
      </c>
      <c r="AC42" s="31">
        <f t="shared" si="24"/>
        <v>5648</v>
      </c>
      <c r="AD42" s="31"/>
      <c r="AE42" s="33">
        <v>5648</v>
      </c>
      <c r="AF42" s="37">
        <f t="shared" si="4"/>
        <v>-3.849486585539319E-2</v>
      </c>
      <c r="AG42" s="36">
        <f>[1]SFI!$H42</f>
        <v>5874.123599999999</v>
      </c>
      <c r="AH42" s="31">
        <f t="shared" si="25"/>
        <v>5152.193809559999</v>
      </c>
      <c r="AI42" s="31">
        <f t="shared" si="26"/>
        <v>721.92979043999981</v>
      </c>
      <c r="AJ42" s="31">
        <f t="shared" si="27"/>
        <v>5648</v>
      </c>
      <c r="AK42" s="31"/>
      <c r="AL42" s="33">
        <v>5648</v>
      </c>
      <c r="AM42" s="37">
        <f t="shared" si="5"/>
        <v>-3.849486585539319E-2</v>
      </c>
      <c r="AN42" s="36">
        <f>[1]SFI!$I42</f>
        <v>5874.123599999999</v>
      </c>
      <c r="AO42" s="31">
        <f t="shared" si="28"/>
        <v>5152.193809559999</v>
      </c>
      <c r="AP42" s="31">
        <f t="shared" si="29"/>
        <v>721.92979043999981</v>
      </c>
      <c r="AQ42" s="31">
        <f t="shared" si="30"/>
        <v>0</v>
      </c>
      <c r="AR42" s="31"/>
      <c r="AS42" s="33"/>
      <c r="AT42" s="37">
        <f t="shared" si="6"/>
        <v>-1</v>
      </c>
      <c r="AU42" s="36">
        <f>[1]SFI!$J42</f>
        <v>5874.123599999999</v>
      </c>
      <c r="AV42" s="31">
        <f t="shared" si="31"/>
        <v>5152.193809559999</v>
      </c>
      <c r="AW42" s="31">
        <f t="shared" si="32"/>
        <v>721.92979043999981</v>
      </c>
      <c r="AX42" s="31">
        <f t="shared" si="33"/>
        <v>0</v>
      </c>
      <c r="AY42" s="31"/>
      <c r="AZ42" s="33"/>
      <c r="BA42" s="37">
        <f t="shared" si="7"/>
        <v>-1</v>
      </c>
      <c r="BB42" s="36">
        <f>[1]SFI!$K42</f>
        <v>5874.123599999999</v>
      </c>
      <c r="BC42" s="31">
        <f t="shared" si="34"/>
        <v>5152.193809559999</v>
      </c>
      <c r="BD42" s="31">
        <f t="shared" si="35"/>
        <v>721.92979043999981</v>
      </c>
      <c r="BE42" s="31">
        <f t="shared" si="36"/>
        <v>0</v>
      </c>
      <c r="BF42" s="31"/>
      <c r="BG42" s="33"/>
      <c r="BH42" s="37">
        <f t="shared" si="8"/>
        <v>-1</v>
      </c>
      <c r="BI42" s="36">
        <f>[1]SFI!$L42</f>
        <v>5874.123599999999</v>
      </c>
      <c r="BJ42" s="31">
        <f t="shared" si="37"/>
        <v>5152.193809559999</v>
      </c>
      <c r="BK42" s="31">
        <f t="shared" si="38"/>
        <v>721.92979043999981</v>
      </c>
      <c r="BL42" s="31">
        <f t="shared" si="39"/>
        <v>0</v>
      </c>
      <c r="BM42" s="31"/>
      <c r="BN42" s="33"/>
      <c r="BO42" s="37">
        <f t="shared" si="9"/>
        <v>-1</v>
      </c>
      <c r="BP42" s="36">
        <f>[1]SFI!$M42</f>
        <v>5874.123599999999</v>
      </c>
      <c r="BQ42" s="31">
        <f t="shared" si="40"/>
        <v>5152.193809559999</v>
      </c>
      <c r="BR42" s="31">
        <f t="shared" si="41"/>
        <v>721.92979043999981</v>
      </c>
      <c r="BS42" s="31">
        <f t="shared" si="42"/>
        <v>0</v>
      </c>
      <c r="BT42" s="31"/>
      <c r="BU42" s="33"/>
      <c r="BV42" s="37">
        <f t="shared" si="10"/>
        <v>-1</v>
      </c>
      <c r="BW42" s="36">
        <f>[1]SFI!$N42</f>
        <v>5874.123599999999</v>
      </c>
      <c r="BX42" s="31">
        <f t="shared" si="43"/>
        <v>5152.193809559999</v>
      </c>
      <c r="BY42" s="31">
        <f t="shared" si="44"/>
        <v>721.92979043999981</v>
      </c>
      <c r="BZ42" s="31">
        <f t="shared" si="45"/>
        <v>0</v>
      </c>
      <c r="CA42" s="31"/>
      <c r="CB42" s="33"/>
      <c r="CC42" s="37">
        <f t="shared" si="11"/>
        <v>-1</v>
      </c>
      <c r="CD42" s="36">
        <f>[1]SFI!$O42</f>
        <v>5874.123599999999</v>
      </c>
      <c r="CE42" s="31">
        <f t="shared" si="46"/>
        <v>5152.193809559999</v>
      </c>
      <c r="CF42" s="31">
        <f t="shared" si="47"/>
        <v>721.92979043999981</v>
      </c>
      <c r="CG42" s="31">
        <f t="shared" si="48"/>
        <v>0</v>
      </c>
      <c r="CH42" s="31"/>
      <c r="CI42" s="33"/>
      <c r="CJ42" s="37">
        <f t="shared" si="12"/>
        <v>-1</v>
      </c>
      <c r="CK42" s="36">
        <f>[1]SFI!$P42</f>
        <v>5874.123599999999</v>
      </c>
      <c r="CL42" s="31">
        <f t="shared" si="49"/>
        <v>5152.193809559999</v>
      </c>
      <c r="CM42" s="31">
        <f t="shared" si="50"/>
        <v>721.92979043999981</v>
      </c>
      <c r="CN42" s="31">
        <f t="shared" si="51"/>
        <v>0</v>
      </c>
      <c r="CO42" s="31"/>
      <c r="CP42" s="33"/>
      <c r="CQ42" s="37">
        <f t="shared" si="13"/>
        <v>-1</v>
      </c>
    </row>
    <row r="43" spans="1:95" s="26" customFormat="1" ht="16" customHeight="1" x14ac:dyDescent="0.2">
      <c r="A43" s="38" t="s">
        <v>67</v>
      </c>
      <c r="B43" s="30">
        <f t="shared" si="52"/>
        <v>41171.481050851376</v>
      </c>
      <c r="C43" s="31">
        <f t="shared" si="52"/>
        <v>36111.506029701741</v>
      </c>
      <c r="D43" s="32">
        <f t="shared" si="52"/>
        <v>5059.9750211496348</v>
      </c>
      <c r="E43" s="30">
        <f t="shared" si="54"/>
        <v>13723.827016950456</v>
      </c>
      <c r="F43" s="33">
        <f t="shared" si="54"/>
        <v>12037.168676567246</v>
      </c>
      <c r="G43" s="34">
        <f t="shared" si="54"/>
        <v>1686.658340383211</v>
      </c>
      <c r="H43" s="31">
        <f t="shared" si="53"/>
        <v>23004.444623377647</v>
      </c>
      <c r="I43" s="33">
        <f t="shared" si="53"/>
        <v>0</v>
      </c>
      <c r="J43" s="33">
        <f t="shared" si="53"/>
        <v>23004.444623377647</v>
      </c>
      <c r="K43" s="37">
        <f t="shared" si="15"/>
        <v>0.67624122593243086</v>
      </c>
      <c r="L43" s="36">
        <f>[1]SFI!$E43</f>
        <v>3430.9567542376139</v>
      </c>
      <c r="M43" s="31">
        <f t="shared" si="16"/>
        <v>3009.2921691418114</v>
      </c>
      <c r="N43" s="31">
        <f t="shared" si="17"/>
        <v>421.66458509580275</v>
      </c>
      <c r="O43" s="31">
        <f t="shared" si="18"/>
        <v>6679.8523620183805</v>
      </c>
      <c r="P43" s="31"/>
      <c r="Q43" s="33">
        <v>6679.8523620183805</v>
      </c>
      <c r="R43" s="37">
        <f t="shared" si="2"/>
        <v>0.94693575014258591</v>
      </c>
      <c r="S43" s="36">
        <f>[1]SFI!$F43</f>
        <v>3430.9567542376139</v>
      </c>
      <c r="T43" s="31">
        <f t="shared" si="19"/>
        <v>3009.2921691418114</v>
      </c>
      <c r="U43" s="31">
        <f t="shared" si="20"/>
        <v>421.66458509580275</v>
      </c>
      <c r="V43" s="31">
        <f t="shared" si="21"/>
        <v>6609.9526054388953</v>
      </c>
      <c r="W43" s="31"/>
      <c r="X43" s="148">
        <f>'[4]SÃO FRANCISCO'!X43*'[3]SF I'!$X$4</f>
        <v>6609.9526054388953</v>
      </c>
      <c r="Y43" s="37">
        <f t="shared" si="3"/>
        <v>0.92656249522086442</v>
      </c>
      <c r="Z43" s="36">
        <f>[1]SFI!$G43</f>
        <v>3430.9567542376139</v>
      </c>
      <c r="AA43" s="31">
        <f t="shared" si="22"/>
        <v>3009.2921691418114</v>
      </c>
      <c r="AB43" s="31">
        <f t="shared" si="23"/>
        <v>421.66458509580275</v>
      </c>
      <c r="AC43" s="31">
        <f t="shared" si="24"/>
        <v>4386.0358750048499</v>
      </c>
      <c r="AD43" s="31"/>
      <c r="AE43" s="33">
        <f>'[4]SÃO FRANCISCO'!AE43*'[2]SF I'!$X$4</f>
        <v>4386.0358750048499</v>
      </c>
      <c r="AF43" s="37">
        <f t="shared" si="4"/>
        <v>0.27837107523655225</v>
      </c>
      <c r="AG43" s="36">
        <f>[1]SFI!$H43</f>
        <v>3430.9567542376139</v>
      </c>
      <c r="AH43" s="31">
        <f t="shared" si="25"/>
        <v>3009.2921691418114</v>
      </c>
      <c r="AI43" s="31">
        <f t="shared" si="26"/>
        <v>421.66458509580275</v>
      </c>
      <c r="AJ43" s="31">
        <f t="shared" si="27"/>
        <v>5328.6037809155187</v>
      </c>
      <c r="AK43" s="31"/>
      <c r="AL43" s="33">
        <f>'[4]SÃO FRANCISCO'!AL43*'[3]SF I'!$X$4</f>
        <v>5328.6037809155187</v>
      </c>
      <c r="AM43" s="37">
        <f t="shared" si="5"/>
        <v>0.55309558312971996</v>
      </c>
      <c r="AN43" s="36">
        <f>[1]SFI!$I43</f>
        <v>3430.9567542376139</v>
      </c>
      <c r="AO43" s="31">
        <f t="shared" si="28"/>
        <v>3009.2921691418114</v>
      </c>
      <c r="AP43" s="31">
        <f t="shared" si="29"/>
        <v>421.66458509580275</v>
      </c>
      <c r="AQ43" s="31">
        <f t="shared" si="30"/>
        <v>0</v>
      </c>
      <c r="AR43" s="31"/>
      <c r="AS43" s="33">
        <f>'[4]SÃO FRANCISCO'!AS43*'[3]SF I'!$X$4</f>
        <v>0</v>
      </c>
      <c r="AT43" s="37">
        <f t="shared" si="6"/>
        <v>-1</v>
      </c>
      <c r="AU43" s="36">
        <f>[1]SFI!$J43</f>
        <v>3430.9567542376139</v>
      </c>
      <c r="AV43" s="31">
        <f t="shared" si="31"/>
        <v>3009.2921691418114</v>
      </c>
      <c r="AW43" s="31">
        <f t="shared" si="32"/>
        <v>421.66458509580275</v>
      </c>
      <c r="AX43" s="31">
        <f t="shared" si="33"/>
        <v>0</v>
      </c>
      <c r="AY43" s="31"/>
      <c r="AZ43" s="27">
        <f>'[4]SÃO FRANCISCO'!AZ43*'[3]SF I'!$X$4</f>
        <v>0</v>
      </c>
      <c r="BA43" s="37">
        <f t="shared" si="7"/>
        <v>-1</v>
      </c>
      <c r="BB43" s="36">
        <f>[1]SFI!$K43</f>
        <v>3430.9567542376139</v>
      </c>
      <c r="BC43" s="31">
        <f t="shared" si="34"/>
        <v>3009.2921691418114</v>
      </c>
      <c r="BD43" s="31">
        <f t="shared" si="35"/>
        <v>421.66458509580275</v>
      </c>
      <c r="BE43" s="31">
        <f t="shared" si="36"/>
        <v>0</v>
      </c>
      <c r="BF43" s="31"/>
      <c r="BG43" s="27">
        <f>'[4]SÃO FRANCISCO'!BG43*'[3]SF I'!$X$4</f>
        <v>0</v>
      </c>
      <c r="BH43" s="37">
        <f t="shared" si="8"/>
        <v>-1</v>
      </c>
      <c r="BI43" s="36">
        <f>[1]SFI!$L43</f>
        <v>3430.9567542376139</v>
      </c>
      <c r="BJ43" s="31">
        <f t="shared" si="37"/>
        <v>3009.2921691418114</v>
      </c>
      <c r="BK43" s="31">
        <f t="shared" si="38"/>
        <v>421.66458509580275</v>
      </c>
      <c r="BL43" s="31">
        <f t="shared" si="39"/>
        <v>0</v>
      </c>
      <c r="BM43" s="31"/>
      <c r="BN43" s="33">
        <f>'[4]SÃO FRANCISCO'!BN43*'[3]SF I'!$X$4</f>
        <v>0</v>
      </c>
      <c r="BO43" s="37">
        <f t="shared" si="9"/>
        <v>-1</v>
      </c>
      <c r="BP43" s="36">
        <f>[1]SFI!$M43</f>
        <v>3430.9567542376139</v>
      </c>
      <c r="BQ43" s="31">
        <f t="shared" si="40"/>
        <v>3009.2921691418114</v>
      </c>
      <c r="BR43" s="31">
        <f t="shared" si="41"/>
        <v>421.66458509580275</v>
      </c>
      <c r="BS43" s="31">
        <f t="shared" si="42"/>
        <v>0</v>
      </c>
      <c r="BT43" s="31"/>
      <c r="BU43" s="33">
        <f>'[4]SÃO FRANCISCO'!BU43*'[3]SF I'!$X$4</f>
        <v>0</v>
      </c>
      <c r="BV43" s="37">
        <f t="shared" si="10"/>
        <v>-1</v>
      </c>
      <c r="BW43" s="36">
        <f>[1]SFI!$N43</f>
        <v>3430.9567542376139</v>
      </c>
      <c r="BX43" s="31">
        <f t="shared" si="43"/>
        <v>3009.2921691418114</v>
      </c>
      <c r="BY43" s="31">
        <f t="shared" si="44"/>
        <v>421.66458509580275</v>
      </c>
      <c r="BZ43" s="31">
        <f t="shared" si="45"/>
        <v>0</v>
      </c>
      <c r="CA43" s="31"/>
      <c r="CB43" s="33">
        <f>'[4]SÃO FRANCISCO'!CB43*'[3]SF I'!$X$4</f>
        <v>0</v>
      </c>
      <c r="CC43" s="37">
        <f t="shared" si="11"/>
        <v>-1</v>
      </c>
      <c r="CD43" s="36">
        <f>[1]SFI!$O43</f>
        <v>3430.9567542376139</v>
      </c>
      <c r="CE43" s="31">
        <f t="shared" si="46"/>
        <v>3009.2921691418114</v>
      </c>
      <c r="CF43" s="31">
        <f t="shared" si="47"/>
        <v>421.66458509580275</v>
      </c>
      <c r="CG43" s="31">
        <f t="shared" si="48"/>
        <v>0</v>
      </c>
      <c r="CH43" s="31"/>
      <c r="CI43" s="33">
        <f>'[4]SÃO FRANCISCO'!CI43*'[3]SF I'!$X$4</f>
        <v>0</v>
      </c>
      <c r="CJ43" s="37">
        <f t="shared" si="12"/>
        <v>-1</v>
      </c>
      <c r="CK43" s="36">
        <f>[1]SFI!$P43</f>
        <v>3430.9567542376139</v>
      </c>
      <c r="CL43" s="31">
        <f t="shared" si="49"/>
        <v>3009.2921691418114</v>
      </c>
      <c r="CM43" s="31">
        <f t="shared" si="50"/>
        <v>421.66458509580275</v>
      </c>
      <c r="CN43" s="31">
        <f t="shared" si="51"/>
        <v>0</v>
      </c>
      <c r="CO43" s="31"/>
      <c r="CP43" s="33">
        <f>'[4]SÃO FRANCISCO'!CP43*'[3]SF I'!$X$4</f>
        <v>0</v>
      </c>
      <c r="CQ43" s="37">
        <f t="shared" si="13"/>
        <v>-1</v>
      </c>
    </row>
    <row r="44" spans="1:95" s="26" customFormat="1" ht="16" customHeight="1" x14ac:dyDescent="0.2">
      <c r="A44" s="29" t="s">
        <v>68</v>
      </c>
      <c r="B44" s="30">
        <f t="shared" si="52"/>
        <v>0</v>
      </c>
      <c r="C44" s="31">
        <f t="shared" si="52"/>
        <v>0</v>
      </c>
      <c r="D44" s="32">
        <f t="shared" si="52"/>
        <v>0</v>
      </c>
      <c r="E44" s="30">
        <f t="shared" si="54"/>
        <v>0</v>
      </c>
      <c r="F44" s="33">
        <f t="shared" si="54"/>
        <v>0</v>
      </c>
      <c r="G44" s="34">
        <f t="shared" si="54"/>
        <v>0</v>
      </c>
      <c r="H44" s="31">
        <f t="shared" si="53"/>
        <v>0</v>
      </c>
      <c r="I44" s="33">
        <f t="shared" si="53"/>
        <v>0</v>
      </c>
      <c r="J44" s="33">
        <f t="shared" si="53"/>
        <v>0</v>
      </c>
      <c r="K44" s="37" t="str">
        <f t="shared" si="15"/>
        <v/>
      </c>
      <c r="L44" s="36">
        <f>[1]SFI!$E44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/>
      <c r="Q44" s="33">
        <v>0</v>
      </c>
      <c r="R44" s="37" t="str">
        <f t="shared" si="2"/>
        <v/>
      </c>
      <c r="S44" s="36">
        <f>[1]SFI!$F44</f>
        <v>0</v>
      </c>
      <c r="T44" s="31">
        <f t="shared" si="19"/>
        <v>0</v>
      </c>
      <c r="U44" s="31">
        <f t="shared" si="20"/>
        <v>0</v>
      </c>
      <c r="V44" s="31">
        <f t="shared" si="21"/>
        <v>0</v>
      </c>
      <c r="W44" s="31"/>
      <c r="X44" s="148">
        <f>'[4]SÃO FRANCISCO'!X44*'[3]SF I'!$X$4</f>
        <v>0</v>
      </c>
      <c r="Y44" s="37" t="str">
        <f t="shared" si="3"/>
        <v/>
      </c>
      <c r="Z44" s="36">
        <f>[1]SFI!$G44</f>
        <v>0</v>
      </c>
      <c r="AA44" s="31">
        <f t="shared" si="22"/>
        <v>0</v>
      </c>
      <c r="AB44" s="31">
        <f t="shared" si="23"/>
        <v>0</v>
      </c>
      <c r="AC44" s="31">
        <f t="shared" si="24"/>
        <v>0</v>
      </c>
      <c r="AD44" s="31"/>
      <c r="AE44" s="27">
        <f>'[4]SÃO FRANCISCO'!AE44*'[2]SF I'!$X$4</f>
        <v>0</v>
      </c>
      <c r="AF44" s="37" t="str">
        <f t="shared" si="4"/>
        <v/>
      </c>
      <c r="AG44" s="36">
        <f>[1]SFI!$H44</f>
        <v>0</v>
      </c>
      <c r="AH44" s="31">
        <f t="shared" si="25"/>
        <v>0</v>
      </c>
      <c r="AI44" s="31">
        <f t="shared" si="26"/>
        <v>0</v>
      </c>
      <c r="AJ44" s="31">
        <f t="shared" si="27"/>
        <v>0</v>
      </c>
      <c r="AK44" s="31"/>
      <c r="AL44" s="33">
        <f>'[4]SÃO FRANCISCO'!AL44*'[3]SF I'!$X$4</f>
        <v>0</v>
      </c>
      <c r="AM44" s="37" t="str">
        <f t="shared" si="5"/>
        <v/>
      </c>
      <c r="AN44" s="36">
        <f>[1]SFI!$I44</f>
        <v>0</v>
      </c>
      <c r="AO44" s="31">
        <f t="shared" si="28"/>
        <v>0</v>
      </c>
      <c r="AP44" s="31">
        <f t="shared" si="29"/>
        <v>0</v>
      </c>
      <c r="AQ44" s="31">
        <f t="shared" si="30"/>
        <v>0</v>
      </c>
      <c r="AR44" s="31"/>
      <c r="AS44" s="33">
        <f>'[4]SÃO FRANCISCO'!AS44*'[3]SF I'!$X$4</f>
        <v>0</v>
      </c>
      <c r="AT44" s="37" t="str">
        <f t="shared" si="6"/>
        <v/>
      </c>
      <c r="AU44" s="36">
        <f>[1]SFI!$J44</f>
        <v>0</v>
      </c>
      <c r="AV44" s="31">
        <f t="shared" si="31"/>
        <v>0</v>
      </c>
      <c r="AW44" s="31">
        <f t="shared" si="32"/>
        <v>0</v>
      </c>
      <c r="AX44" s="31">
        <f t="shared" si="33"/>
        <v>0</v>
      </c>
      <c r="AY44" s="31"/>
      <c r="AZ44" s="27">
        <f>'[4]SÃO FRANCISCO'!AZ44*'[3]SF I'!$X$4</f>
        <v>0</v>
      </c>
      <c r="BA44" s="37" t="str">
        <f t="shared" si="7"/>
        <v/>
      </c>
      <c r="BB44" s="36">
        <f>[1]SFI!$K44</f>
        <v>0</v>
      </c>
      <c r="BC44" s="31">
        <f t="shared" si="34"/>
        <v>0</v>
      </c>
      <c r="BD44" s="31">
        <f t="shared" si="35"/>
        <v>0</v>
      </c>
      <c r="BE44" s="31">
        <f t="shared" si="36"/>
        <v>0</v>
      </c>
      <c r="BF44" s="31"/>
      <c r="BG44" s="27">
        <f>'[4]SÃO FRANCISCO'!BG44*'[3]SF I'!$X$4</f>
        <v>0</v>
      </c>
      <c r="BH44" s="37" t="str">
        <f t="shared" si="8"/>
        <v/>
      </c>
      <c r="BI44" s="36">
        <f>[1]SFI!$L44</f>
        <v>0</v>
      </c>
      <c r="BJ44" s="31">
        <f t="shared" si="37"/>
        <v>0</v>
      </c>
      <c r="BK44" s="31">
        <f t="shared" si="38"/>
        <v>0</v>
      </c>
      <c r="BL44" s="31">
        <f t="shared" si="39"/>
        <v>0</v>
      </c>
      <c r="BM44" s="31"/>
      <c r="BN44" s="33">
        <f>'[4]SÃO FRANCISCO'!BN44*'[3]SF I'!$X$4</f>
        <v>0</v>
      </c>
      <c r="BO44" s="37" t="str">
        <f t="shared" si="9"/>
        <v/>
      </c>
      <c r="BP44" s="36">
        <f>[1]SFI!$M44</f>
        <v>0</v>
      </c>
      <c r="BQ44" s="31">
        <f t="shared" si="40"/>
        <v>0</v>
      </c>
      <c r="BR44" s="31">
        <f t="shared" si="41"/>
        <v>0</v>
      </c>
      <c r="BS44" s="31">
        <f t="shared" si="42"/>
        <v>0</v>
      </c>
      <c r="BT44" s="31"/>
      <c r="BU44" s="33">
        <f>'[4]SÃO FRANCISCO'!BU44*'[3]SF I'!$X$4</f>
        <v>0</v>
      </c>
      <c r="BV44" s="37" t="str">
        <f t="shared" si="10"/>
        <v/>
      </c>
      <c r="BW44" s="36">
        <f>[1]SFI!$N44</f>
        <v>0</v>
      </c>
      <c r="BX44" s="31">
        <f t="shared" si="43"/>
        <v>0</v>
      </c>
      <c r="BY44" s="31">
        <f t="shared" si="44"/>
        <v>0</v>
      </c>
      <c r="BZ44" s="31">
        <f t="shared" si="45"/>
        <v>0</v>
      </c>
      <c r="CA44" s="31"/>
      <c r="CB44" s="33">
        <f>'[4]SÃO FRANCISCO'!CB44*'[3]SF I'!$X$4</f>
        <v>0</v>
      </c>
      <c r="CC44" s="37" t="str">
        <f t="shared" si="11"/>
        <v/>
      </c>
      <c r="CD44" s="36">
        <f>[1]SFI!$O44</f>
        <v>0</v>
      </c>
      <c r="CE44" s="31">
        <f t="shared" si="46"/>
        <v>0</v>
      </c>
      <c r="CF44" s="31">
        <f t="shared" si="47"/>
        <v>0</v>
      </c>
      <c r="CG44" s="31">
        <f t="shared" si="48"/>
        <v>0</v>
      </c>
      <c r="CH44" s="31"/>
      <c r="CI44" s="33">
        <f>'[4]SÃO FRANCISCO'!CI44*'[3]SF I'!$X$4</f>
        <v>0</v>
      </c>
      <c r="CJ44" s="37" t="str">
        <f t="shared" si="12"/>
        <v/>
      </c>
      <c r="CK44" s="36">
        <f>[1]SFI!$P44</f>
        <v>0</v>
      </c>
      <c r="CL44" s="31">
        <f t="shared" si="49"/>
        <v>0</v>
      </c>
      <c r="CM44" s="31">
        <f t="shared" si="50"/>
        <v>0</v>
      </c>
      <c r="CN44" s="31">
        <f t="shared" si="51"/>
        <v>0</v>
      </c>
      <c r="CO44" s="31"/>
      <c r="CP44" s="33">
        <f>'[4]SÃO FRANCISCO'!CP44*'[3]SF I'!$X$4</f>
        <v>0</v>
      </c>
      <c r="CQ44" s="37" t="str">
        <f t="shared" si="13"/>
        <v/>
      </c>
    </row>
    <row r="45" spans="1:95" s="26" customFormat="1" ht="16" customHeight="1" x14ac:dyDescent="0.2">
      <c r="A45" s="39" t="s">
        <v>69</v>
      </c>
      <c r="B45" s="30">
        <f t="shared" si="52"/>
        <v>0</v>
      </c>
      <c r="C45" s="31">
        <f t="shared" si="52"/>
        <v>0</v>
      </c>
      <c r="D45" s="32">
        <f t="shared" si="52"/>
        <v>0</v>
      </c>
      <c r="E45" s="30">
        <f t="shared" si="54"/>
        <v>0</v>
      </c>
      <c r="F45" s="33">
        <f t="shared" si="54"/>
        <v>0</v>
      </c>
      <c r="G45" s="34">
        <f t="shared" si="54"/>
        <v>0</v>
      </c>
      <c r="H45" s="31">
        <f t="shared" si="53"/>
        <v>0</v>
      </c>
      <c r="I45" s="33">
        <f t="shared" si="53"/>
        <v>0</v>
      </c>
      <c r="J45" s="33">
        <f t="shared" si="53"/>
        <v>0</v>
      </c>
      <c r="K45" s="37" t="str">
        <f t="shared" si="15"/>
        <v/>
      </c>
      <c r="L45" s="36">
        <f>[1]SFI!$E45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/>
      <c r="Q45" s="33">
        <v>0</v>
      </c>
      <c r="R45" s="37" t="str">
        <f t="shared" si="2"/>
        <v/>
      </c>
      <c r="S45" s="36">
        <f>[1]SFI!$F45</f>
        <v>0</v>
      </c>
      <c r="T45" s="31">
        <f t="shared" si="19"/>
        <v>0</v>
      </c>
      <c r="U45" s="31">
        <f t="shared" si="20"/>
        <v>0</v>
      </c>
      <c r="V45" s="31">
        <f t="shared" si="21"/>
        <v>0</v>
      </c>
      <c r="W45" s="31"/>
      <c r="X45" s="148">
        <f>'[4]SÃO FRANCISCO'!X45*'[3]SF I'!$X$4</f>
        <v>0</v>
      </c>
      <c r="Y45" s="37" t="str">
        <f t="shared" si="3"/>
        <v/>
      </c>
      <c r="Z45" s="36">
        <f>[1]SFI!$G45</f>
        <v>0</v>
      </c>
      <c r="AA45" s="31">
        <f t="shared" si="22"/>
        <v>0</v>
      </c>
      <c r="AB45" s="31">
        <f t="shared" si="23"/>
        <v>0</v>
      </c>
      <c r="AC45" s="31">
        <f t="shared" si="24"/>
        <v>0</v>
      </c>
      <c r="AD45" s="31"/>
      <c r="AE45" s="27">
        <f>'[4]SÃO FRANCISCO'!AE45*'[2]SF I'!$X$4</f>
        <v>0</v>
      </c>
      <c r="AF45" s="37" t="str">
        <f t="shared" si="4"/>
        <v/>
      </c>
      <c r="AG45" s="36">
        <f>[1]SFI!$H45</f>
        <v>0</v>
      </c>
      <c r="AH45" s="31">
        <f t="shared" si="25"/>
        <v>0</v>
      </c>
      <c r="AI45" s="31">
        <f t="shared" si="26"/>
        <v>0</v>
      </c>
      <c r="AJ45" s="31">
        <f t="shared" si="27"/>
        <v>0</v>
      </c>
      <c r="AK45" s="31"/>
      <c r="AL45" s="33">
        <f>'[4]SÃO FRANCISCO'!AL45*'[3]SF I'!$X$4</f>
        <v>0</v>
      </c>
      <c r="AM45" s="37" t="str">
        <f t="shared" si="5"/>
        <v/>
      </c>
      <c r="AN45" s="36">
        <f>[1]SFI!$I45</f>
        <v>0</v>
      </c>
      <c r="AO45" s="31">
        <f t="shared" si="28"/>
        <v>0</v>
      </c>
      <c r="AP45" s="31">
        <f t="shared" si="29"/>
        <v>0</v>
      </c>
      <c r="AQ45" s="31">
        <f t="shared" si="30"/>
        <v>0</v>
      </c>
      <c r="AR45" s="31"/>
      <c r="AS45" s="33">
        <f>'[4]SÃO FRANCISCO'!AS45*'[3]SF I'!$X$4</f>
        <v>0</v>
      </c>
      <c r="AT45" s="37" t="str">
        <f t="shared" si="6"/>
        <v/>
      </c>
      <c r="AU45" s="36">
        <f>[1]SFI!$J45</f>
        <v>0</v>
      </c>
      <c r="AV45" s="31">
        <f t="shared" si="31"/>
        <v>0</v>
      </c>
      <c r="AW45" s="31">
        <f t="shared" si="32"/>
        <v>0</v>
      </c>
      <c r="AX45" s="31">
        <f t="shared" si="33"/>
        <v>0</v>
      </c>
      <c r="AY45" s="31"/>
      <c r="AZ45" s="27">
        <f>'[4]SÃO FRANCISCO'!AZ45*'[3]SF I'!$X$4</f>
        <v>0</v>
      </c>
      <c r="BA45" s="37" t="str">
        <f t="shared" si="7"/>
        <v/>
      </c>
      <c r="BB45" s="36">
        <f>[1]SFI!$K45</f>
        <v>0</v>
      </c>
      <c r="BC45" s="31">
        <f t="shared" si="34"/>
        <v>0</v>
      </c>
      <c r="BD45" s="31">
        <f t="shared" si="35"/>
        <v>0</v>
      </c>
      <c r="BE45" s="31">
        <f t="shared" si="36"/>
        <v>0</v>
      </c>
      <c r="BF45" s="31"/>
      <c r="BG45" s="27">
        <f>'[4]SÃO FRANCISCO'!BG45*'[3]SF I'!$X$4</f>
        <v>0</v>
      </c>
      <c r="BH45" s="37" t="str">
        <f t="shared" si="8"/>
        <v/>
      </c>
      <c r="BI45" s="36">
        <f>[1]SFI!$L45</f>
        <v>0</v>
      </c>
      <c r="BJ45" s="31">
        <f t="shared" si="37"/>
        <v>0</v>
      </c>
      <c r="BK45" s="31">
        <f t="shared" si="38"/>
        <v>0</v>
      </c>
      <c r="BL45" s="31">
        <f t="shared" si="39"/>
        <v>0</v>
      </c>
      <c r="BM45" s="31"/>
      <c r="BN45" s="33">
        <f>'[4]SÃO FRANCISCO'!BN45*'[3]SF I'!$X$4</f>
        <v>0</v>
      </c>
      <c r="BO45" s="37" t="str">
        <f t="shared" si="9"/>
        <v/>
      </c>
      <c r="BP45" s="36">
        <f>[1]SFI!$M45</f>
        <v>0</v>
      </c>
      <c r="BQ45" s="31">
        <f t="shared" si="40"/>
        <v>0</v>
      </c>
      <c r="BR45" s="31">
        <f t="shared" si="41"/>
        <v>0</v>
      </c>
      <c r="BS45" s="31">
        <f t="shared" si="42"/>
        <v>0</v>
      </c>
      <c r="BT45" s="31"/>
      <c r="BU45" s="33">
        <f>'[4]SÃO FRANCISCO'!BU45*'[3]SF I'!$X$4</f>
        <v>0</v>
      </c>
      <c r="BV45" s="37" t="str">
        <f t="shared" si="10"/>
        <v/>
      </c>
      <c r="BW45" s="36">
        <f>[1]SFI!$N45</f>
        <v>0</v>
      </c>
      <c r="BX45" s="31">
        <f t="shared" si="43"/>
        <v>0</v>
      </c>
      <c r="BY45" s="31">
        <f t="shared" si="44"/>
        <v>0</v>
      </c>
      <c r="BZ45" s="31">
        <f t="shared" si="45"/>
        <v>0</v>
      </c>
      <c r="CA45" s="31"/>
      <c r="CB45" s="33">
        <f>'[4]SÃO FRANCISCO'!CB45*'[3]SF I'!$X$4</f>
        <v>0</v>
      </c>
      <c r="CC45" s="37" t="str">
        <f t="shared" si="11"/>
        <v/>
      </c>
      <c r="CD45" s="36">
        <f>[1]SFI!$O45</f>
        <v>0</v>
      </c>
      <c r="CE45" s="31">
        <f t="shared" si="46"/>
        <v>0</v>
      </c>
      <c r="CF45" s="31">
        <f t="shared" si="47"/>
        <v>0</v>
      </c>
      <c r="CG45" s="31">
        <f t="shared" si="48"/>
        <v>0</v>
      </c>
      <c r="CH45" s="31"/>
      <c r="CI45" s="33">
        <f>'[4]SÃO FRANCISCO'!CI45*'[3]SF I'!$X$4</f>
        <v>0</v>
      </c>
      <c r="CJ45" s="37" t="str">
        <f t="shared" si="12"/>
        <v/>
      </c>
      <c r="CK45" s="36">
        <f>[1]SFI!$P45</f>
        <v>0</v>
      </c>
      <c r="CL45" s="31">
        <f t="shared" si="49"/>
        <v>0</v>
      </c>
      <c r="CM45" s="31">
        <f t="shared" si="50"/>
        <v>0</v>
      </c>
      <c r="CN45" s="31">
        <f t="shared" si="51"/>
        <v>0</v>
      </c>
      <c r="CO45" s="31"/>
      <c r="CP45" s="33">
        <f>'[4]SÃO FRANCISCO'!CP45*'[3]SF I'!$X$4</f>
        <v>0</v>
      </c>
      <c r="CQ45" s="37" t="str">
        <f t="shared" si="13"/>
        <v/>
      </c>
    </row>
    <row r="46" spans="1:95" s="26" customFormat="1" ht="16" customHeight="1" x14ac:dyDescent="0.2">
      <c r="A46" s="38" t="s">
        <v>70</v>
      </c>
      <c r="B46" s="30">
        <f t="shared" si="52"/>
        <v>0</v>
      </c>
      <c r="C46" s="31">
        <f t="shared" si="52"/>
        <v>0</v>
      </c>
      <c r="D46" s="32">
        <f t="shared" si="52"/>
        <v>0</v>
      </c>
      <c r="E46" s="30">
        <f t="shared" si="54"/>
        <v>0</v>
      </c>
      <c r="F46" s="33">
        <f t="shared" si="54"/>
        <v>0</v>
      </c>
      <c r="G46" s="34">
        <f t="shared" si="54"/>
        <v>0</v>
      </c>
      <c r="H46" s="31">
        <f t="shared" si="53"/>
        <v>0</v>
      </c>
      <c r="I46" s="33">
        <f t="shared" si="53"/>
        <v>0</v>
      </c>
      <c r="J46" s="33">
        <f t="shared" si="53"/>
        <v>0</v>
      </c>
      <c r="K46" s="37" t="str">
        <f t="shared" si="15"/>
        <v/>
      </c>
      <c r="L46" s="36">
        <f>[1]SFI!$E46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/>
      <c r="Q46" s="33">
        <v>0</v>
      </c>
      <c r="R46" s="37" t="str">
        <f t="shared" si="2"/>
        <v/>
      </c>
      <c r="S46" s="36">
        <f>[1]SFI!$F46</f>
        <v>0</v>
      </c>
      <c r="T46" s="31">
        <f t="shared" si="19"/>
        <v>0</v>
      </c>
      <c r="U46" s="31">
        <f t="shared" si="20"/>
        <v>0</v>
      </c>
      <c r="V46" s="31">
        <f t="shared" si="21"/>
        <v>0</v>
      </c>
      <c r="W46" s="31"/>
      <c r="X46" s="148">
        <f>'[4]SÃO FRANCISCO'!X46*'[3]SF I'!$X$4</f>
        <v>0</v>
      </c>
      <c r="Y46" s="37" t="str">
        <f t="shared" si="3"/>
        <v/>
      </c>
      <c r="Z46" s="36">
        <f>[1]SFI!$G46</f>
        <v>0</v>
      </c>
      <c r="AA46" s="31">
        <f t="shared" si="22"/>
        <v>0</v>
      </c>
      <c r="AB46" s="31">
        <f t="shared" si="23"/>
        <v>0</v>
      </c>
      <c r="AC46" s="31">
        <f t="shared" si="24"/>
        <v>0</v>
      </c>
      <c r="AD46" s="31"/>
      <c r="AE46" s="27">
        <f>'[4]SÃO FRANCISCO'!AE46*'[2]SF I'!$X$4</f>
        <v>0</v>
      </c>
      <c r="AF46" s="37" t="str">
        <f t="shared" si="4"/>
        <v/>
      </c>
      <c r="AG46" s="36">
        <f>[1]SFI!$H46</f>
        <v>0</v>
      </c>
      <c r="AH46" s="31">
        <f t="shared" si="25"/>
        <v>0</v>
      </c>
      <c r="AI46" s="31">
        <f t="shared" si="26"/>
        <v>0</v>
      </c>
      <c r="AJ46" s="31">
        <f t="shared" si="27"/>
        <v>0</v>
      </c>
      <c r="AK46" s="31"/>
      <c r="AL46" s="33">
        <f>'[4]SÃO FRANCISCO'!AL46*'[3]SF I'!$X$4</f>
        <v>0</v>
      </c>
      <c r="AM46" s="37" t="str">
        <f t="shared" si="5"/>
        <v/>
      </c>
      <c r="AN46" s="36">
        <f>[1]SFI!$I46</f>
        <v>0</v>
      </c>
      <c r="AO46" s="31">
        <f t="shared" si="28"/>
        <v>0</v>
      </c>
      <c r="AP46" s="31">
        <f t="shared" si="29"/>
        <v>0</v>
      </c>
      <c r="AQ46" s="31">
        <f t="shared" si="30"/>
        <v>0</v>
      </c>
      <c r="AR46" s="31"/>
      <c r="AS46" s="33">
        <f>'[4]SÃO FRANCISCO'!AS46*'[3]SF I'!$X$4</f>
        <v>0</v>
      </c>
      <c r="AT46" s="37" t="str">
        <f t="shared" si="6"/>
        <v/>
      </c>
      <c r="AU46" s="36">
        <f>[1]SFI!$J46</f>
        <v>0</v>
      </c>
      <c r="AV46" s="31">
        <f t="shared" si="31"/>
        <v>0</v>
      </c>
      <c r="AW46" s="31">
        <f t="shared" si="32"/>
        <v>0</v>
      </c>
      <c r="AX46" s="31">
        <f t="shared" si="33"/>
        <v>0</v>
      </c>
      <c r="AY46" s="31"/>
      <c r="AZ46" s="27">
        <f>'[4]SÃO FRANCISCO'!AZ46*'[3]SF I'!$X$4</f>
        <v>0</v>
      </c>
      <c r="BA46" s="37" t="str">
        <f t="shared" si="7"/>
        <v/>
      </c>
      <c r="BB46" s="36">
        <f>[1]SFI!$K46</f>
        <v>0</v>
      </c>
      <c r="BC46" s="31">
        <f t="shared" si="34"/>
        <v>0</v>
      </c>
      <c r="BD46" s="31">
        <f t="shared" si="35"/>
        <v>0</v>
      </c>
      <c r="BE46" s="31">
        <f t="shared" si="36"/>
        <v>0</v>
      </c>
      <c r="BF46" s="31"/>
      <c r="BG46" s="27">
        <f>'[4]SÃO FRANCISCO'!BG46*'[3]SF I'!$X$4</f>
        <v>0</v>
      </c>
      <c r="BH46" s="37" t="str">
        <f t="shared" si="8"/>
        <v/>
      </c>
      <c r="BI46" s="36">
        <f>[1]SFI!$L46</f>
        <v>0</v>
      </c>
      <c r="BJ46" s="31">
        <f t="shared" si="37"/>
        <v>0</v>
      </c>
      <c r="BK46" s="31">
        <f t="shared" si="38"/>
        <v>0</v>
      </c>
      <c r="BL46" s="31">
        <f t="shared" si="39"/>
        <v>0</v>
      </c>
      <c r="BM46" s="31"/>
      <c r="BN46" s="33">
        <f>'[4]SÃO FRANCISCO'!BN46*'[3]SF I'!$X$4</f>
        <v>0</v>
      </c>
      <c r="BO46" s="37" t="str">
        <f t="shared" si="9"/>
        <v/>
      </c>
      <c r="BP46" s="36">
        <f>[1]SFI!$M46</f>
        <v>0</v>
      </c>
      <c r="BQ46" s="31">
        <f t="shared" si="40"/>
        <v>0</v>
      </c>
      <c r="BR46" s="31">
        <f t="shared" si="41"/>
        <v>0</v>
      </c>
      <c r="BS46" s="31">
        <f t="shared" si="42"/>
        <v>0</v>
      </c>
      <c r="BT46" s="31"/>
      <c r="BU46" s="33">
        <f>'[4]SÃO FRANCISCO'!BU46*'[3]SF I'!$X$4</f>
        <v>0</v>
      </c>
      <c r="BV46" s="37" t="str">
        <f t="shared" si="10"/>
        <v/>
      </c>
      <c r="BW46" s="36">
        <f>[1]SFI!$N46</f>
        <v>0</v>
      </c>
      <c r="BX46" s="31">
        <f t="shared" si="43"/>
        <v>0</v>
      </c>
      <c r="BY46" s="31">
        <f t="shared" si="44"/>
        <v>0</v>
      </c>
      <c r="BZ46" s="31">
        <f t="shared" si="45"/>
        <v>0</v>
      </c>
      <c r="CA46" s="31"/>
      <c r="CB46" s="33">
        <f>'[4]SÃO FRANCISCO'!CB46*'[3]SF I'!$X$4</f>
        <v>0</v>
      </c>
      <c r="CC46" s="37" t="str">
        <f t="shared" si="11"/>
        <v/>
      </c>
      <c r="CD46" s="36">
        <f>[1]SFI!$O46</f>
        <v>0</v>
      </c>
      <c r="CE46" s="31">
        <f t="shared" si="46"/>
        <v>0</v>
      </c>
      <c r="CF46" s="31">
        <f t="shared" si="47"/>
        <v>0</v>
      </c>
      <c r="CG46" s="31">
        <f t="shared" si="48"/>
        <v>0</v>
      </c>
      <c r="CH46" s="31"/>
      <c r="CI46" s="33">
        <f>'[4]SÃO FRANCISCO'!CI46*'[3]SF I'!$X$4</f>
        <v>0</v>
      </c>
      <c r="CJ46" s="37" t="str">
        <f t="shared" si="12"/>
        <v/>
      </c>
      <c r="CK46" s="36">
        <f>[1]SFI!$P46</f>
        <v>0</v>
      </c>
      <c r="CL46" s="31">
        <f t="shared" si="49"/>
        <v>0</v>
      </c>
      <c r="CM46" s="31">
        <f t="shared" si="50"/>
        <v>0</v>
      </c>
      <c r="CN46" s="31">
        <f t="shared" si="51"/>
        <v>0</v>
      </c>
      <c r="CO46" s="31"/>
      <c r="CP46" s="33">
        <f>'[4]SÃO FRANCISCO'!CP46*'[3]SF I'!$X$4</f>
        <v>0</v>
      </c>
      <c r="CQ46" s="37" t="str">
        <f t="shared" si="13"/>
        <v/>
      </c>
    </row>
    <row r="47" spans="1:95" s="26" customFormat="1" ht="16" customHeight="1" x14ac:dyDescent="0.2">
      <c r="A47" s="29" t="s">
        <v>71</v>
      </c>
      <c r="B47" s="30">
        <f t="shared" si="52"/>
        <v>0</v>
      </c>
      <c r="C47" s="31">
        <f t="shared" si="52"/>
        <v>0</v>
      </c>
      <c r="D47" s="32">
        <f t="shared" si="52"/>
        <v>0</v>
      </c>
      <c r="E47" s="30">
        <f t="shared" si="54"/>
        <v>0</v>
      </c>
      <c r="F47" s="33">
        <f t="shared" si="54"/>
        <v>0</v>
      </c>
      <c r="G47" s="34">
        <f t="shared" si="54"/>
        <v>0</v>
      </c>
      <c r="H47" s="31">
        <f t="shared" si="53"/>
        <v>0</v>
      </c>
      <c r="I47" s="33">
        <f t="shared" si="53"/>
        <v>0</v>
      </c>
      <c r="J47" s="33">
        <f t="shared" si="53"/>
        <v>0</v>
      </c>
      <c r="K47" s="37" t="str">
        <f t="shared" si="15"/>
        <v/>
      </c>
      <c r="L47" s="36">
        <f>[1]SFI!$E47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/>
      <c r="Q47" s="33">
        <v>0</v>
      </c>
      <c r="R47" s="37" t="str">
        <f t="shared" si="2"/>
        <v/>
      </c>
      <c r="S47" s="36">
        <f>[1]SFI!$F47</f>
        <v>0</v>
      </c>
      <c r="T47" s="31">
        <f t="shared" si="19"/>
        <v>0</v>
      </c>
      <c r="U47" s="31">
        <f t="shared" si="20"/>
        <v>0</v>
      </c>
      <c r="V47" s="31">
        <f t="shared" si="21"/>
        <v>0</v>
      </c>
      <c r="W47" s="31"/>
      <c r="X47" s="148">
        <f>'[4]SÃO FRANCISCO'!X47*'[3]SF I'!$X$4</f>
        <v>0</v>
      </c>
      <c r="Y47" s="37" t="str">
        <f t="shared" si="3"/>
        <v/>
      </c>
      <c r="Z47" s="36">
        <f>[1]SFI!$G47</f>
        <v>0</v>
      </c>
      <c r="AA47" s="31">
        <f t="shared" si="22"/>
        <v>0</v>
      </c>
      <c r="AB47" s="31">
        <f t="shared" si="23"/>
        <v>0</v>
      </c>
      <c r="AC47" s="31">
        <f t="shared" si="24"/>
        <v>0</v>
      </c>
      <c r="AD47" s="31"/>
      <c r="AE47" s="27">
        <f>'[4]SÃO FRANCISCO'!AE47*'[2]SF I'!$X$4</f>
        <v>0</v>
      </c>
      <c r="AF47" s="37" t="str">
        <f t="shared" si="4"/>
        <v/>
      </c>
      <c r="AG47" s="36">
        <f>[1]SFI!$H47</f>
        <v>0</v>
      </c>
      <c r="AH47" s="31">
        <f t="shared" si="25"/>
        <v>0</v>
      </c>
      <c r="AI47" s="31">
        <f t="shared" si="26"/>
        <v>0</v>
      </c>
      <c r="AJ47" s="31">
        <f t="shared" si="27"/>
        <v>0</v>
      </c>
      <c r="AK47" s="31"/>
      <c r="AL47" s="33">
        <f>'[4]SÃO FRANCISCO'!AL47*'[3]SF I'!$X$4</f>
        <v>0</v>
      </c>
      <c r="AM47" s="37" t="str">
        <f t="shared" si="5"/>
        <v/>
      </c>
      <c r="AN47" s="36">
        <f>[1]SFI!$I47</f>
        <v>0</v>
      </c>
      <c r="AO47" s="31">
        <f t="shared" si="28"/>
        <v>0</v>
      </c>
      <c r="AP47" s="31">
        <f t="shared" si="29"/>
        <v>0</v>
      </c>
      <c r="AQ47" s="31">
        <f t="shared" si="30"/>
        <v>0</v>
      </c>
      <c r="AR47" s="31"/>
      <c r="AS47" s="33">
        <f>'[4]SÃO FRANCISCO'!AS47*'[3]SF I'!$X$4</f>
        <v>0</v>
      </c>
      <c r="AT47" s="37" t="str">
        <f t="shared" si="6"/>
        <v/>
      </c>
      <c r="AU47" s="36">
        <f>[1]SFI!$J47</f>
        <v>0</v>
      </c>
      <c r="AV47" s="31">
        <f t="shared" si="31"/>
        <v>0</v>
      </c>
      <c r="AW47" s="31">
        <f t="shared" si="32"/>
        <v>0</v>
      </c>
      <c r="AX47" s="31">
        <f t="shared" si="33"/>
        <v>0</v>
      </c>
      <c r="AY47" s="31"/>
      <c r="AZ47" s="27">
        <f>'[4]SÃO FRANCISCO'!AZ47*'[3]SF I'!$X$4</f>
        <v>0</v>
      </c>
      <c r="BA47" s="37" t="str">
        <f t="shared" si="7"/>
        <v/>
      </c>
      <c r="BB47" s="36">
        <f>[1]SFI!$K47</f>
        <v>0</v>
      </c>
      <c r="BC47" s="31">
        <f t="shared" si="34"/>
        <v>0</v>
      </c>
      <c r="BD47" s="31">
        <f t="shared" si="35"/>
        <v>0</v>
      </c>
      <c r="BE47" s="31">
        <f t="shared" si="36"/>
        <v>0</v>
      </c>
      <c r="BF47" s="31"/>
      <c r="BG47" s="27">
        <f>'[4]SÃO FRANCISCO'!BG47*'[3]SF I'!$X$4</f>
        <v>0</v>
      </c>
      <c r="BH47" s="37" t="str">
        <f t="shared" si="8"/>
        <v/>
      </c>
      <c r="BI47" s="36">
        <f>[1]SFI!$L47</f>
        <v>0</v>
      </c>
      <c r="BJ47" s="31">
        <f t="shared" si="37"/>
        <v>0</v>
      </c>
      <c r="BK47" s="31">
        <f t="shared" si="38"/>
        <v>0</v>
      </c>
      <c r="BL47" s="31">
        <f t="shared" si="39"/>
        <v>0</v>
      </c>
      <c r="BM47" s="31"/>
      <c r="BN47" s="33">
        <f>'[4]SÃO FRANCISCO'!BN47*'[3]SF I'!$X$4</f>
        <v>0</v>
      </c>
      <c r="BO47" s="37" t="str">
        <f t="shared" si="9"/>
        <v/>
      </c>
      <c r="BP47" s="36">
        <f>[1]SFI!$M47</f>
        <v>0</v>
      </c>
      <c r="BQ47" s="31">
        <f t="shared" si="40"/>
        <v>0</v>
      </c>
      <c r="BR47" s="31">
        <f t="shared" si="41"/>
        <v>0</v>
      </c>
      <c r="BS47" s="31">
        <f t="shared" si="42"/>
        <v>0</v>
      </c>
      <c r="BT47" s="31"/>
      <c r="BU47" s="33">
        <f>'[4]SÃO FRANCISCO'!BU47*'[3]SF I'!$X$4</f>
        <v>0</v>
      </c>
      <c r="BV47" s="37" t="str">
        <f t="shared" si="10"/>
        <v/>
      </c>
      <c r="BW47" s="36">
        <f>[1]SFI!$N47</f>
        <v>0</v>
      </c>
      <c r="BX47" s="31">
        <f t="shared" si="43"/>
        <v>0</v>
      </c>
      <c r="BY47" s="31">
        <f t="shared" si="44"/>
        <v>0</v>
      </c>
      <c r="BZ47" s="31">
        <f t="shared" si="45"/>
        <v>0</v>
      </c>
      <c r="CA47" s="31"/>
      <c r="CB47" s="33">
        <f>'[4]SÃO FRANCISCO'!CB47*'[3]SF I'!$X$4</f>
        <v>0</v>
      </c>
      <c r="CC47" s="37" t="str">
        <f t="shared" si="11"/>
        <v/>
      </c>
      <c r="CD47" s="36">
        <f>[1]SFI!$O47</f>
        <v>0</v>
      </c>
      <c r="CE47" s="31">
        <f t="shared" si="46"/>
        <v>0</v>
      </c>
      <c r="CF47" s="31">
        <f t="shared" si="47"/>
        <v>0</v>
      </c>
      <c r="CG47" s="31">
        <f t="shared" si="48"/>
        <v>0</v>
      </c>
      <c r="CH47" s="31"/>
      <c r="CI47" s="33">
        <f>'[4]SÃO FRANCISCO'!CI47*'[3]SF I'!$X$4</f>
        <v>0</v>
      </c>
      <c r="CJ47" s="37" t="str">
        <f t="shared" si="12"/>
        <v/>
      </c>
      <c r="CK47" s="36">
        <f>[1]SFI!$P47</f>
        <v>0</v>
      </c>
      <c r="CL47" s="31">
        <f t="shared" si="49"/>
        <v>0</v>
      </c>
      <c r="CM47" s="31">
        <f t="shared" si="50"/>
        <v>0</v>
      </c>
      <c r="CN47" s="31">
        <f t="shared" si="51"/>
        <v>0</v>
      </c>
      <c r="CO47" s="31"/>
      <c r="CP47" s="33">
        <f>'[4]SÃO FRANCISCO'!CP47*'[3]SF I'!$X$4</f>
        <v>0</v>
      </c>
      <c r="CQ47" s="37" t="str">
        <f t="shared" si="13"/>
        <v/>
      </c>
    </row>
    <row r="48" spans="1:95" s="26" customFormat="1" ht="16" customHeight="1" x14ac:dyDescent="0.2">
      <c r="A48" s="38" t="s">
        <v>72</v>
      </c>
      <c r="B48" s="30">
        <f t="shared" si="52"/>
        <v>32514.990198716234</v>
      </c>
      <c r="C48" s="31">
        <f t="shared" si="52"/>
        <v>28518.897903294001</v>
      </c>
      <c r="D48" s="32">
        <f t="shared" si="52"/>
        <v>3996.0922954222256</v>
      </c>
      <c r="E48" s="30">
        <f t="shared" si="54"/>
        <v>10838.330066238743</v>
      </c>
      <c r="F48" s="33">
        <f t="shared" si="54"/>
        <v>9506.2993010980008</v>
      </c>
      <c r="G48" s="34">
        <f t="shared" si="54"/>
        <v>1332.0307651407416</v>
      </c>
      <c r="H48" s="31">
        <f t="shared" si="53"/>
        <v>3077.4385281052728</v>
      </c>
      <c r="I48" s="33">
        <f t="shared" si="53"/>
        <v>0</v>
      </c>
      <c r="J48" s="33">
        <f t="shared" si="53"/>
        <v>3077.4385281052728</v>
      </c>
      <c r="K48" s="37">
        <f t="shared" si="15"/>
        <v>-0.71605971498400356</v>
      </c>
      <c r="L48" s="36">
        <f>[1]SFI!$E48</f>
        <v>2709.5825165596857</v>
      </c>
      <c r="M48" s="31">
        <f t="shared" si="16"/>
        <v>2376.5748252745002</v>
      </c>
      <c r="N48" s="31">
        <f t="shared" si="17"/>
        <v>333.00769128518539</v>
      </c>
      <c r="O48" s="31">
        <f t="shared" si="18"/>
        <v>810.66849383660917</v>
      </c>
      <c r="P48" s="31"/>
      <c r="Q48" s="33">
        <v>810.66849383660917</v>
      </c>
      <c r="R48" s="37">
        <f t="shared" si="2"/>
        <v>-0.70081424393529734</v>
      </c>
      <c r="S48" s="36">
        <f>[1]SFI!$F48</f>
        <v>2709.5825165596857</v>
      </c>
      <c r="T48" s="31">
        <f t="shared" si="19"/>
        <v>2376.5748252745002</v>
      </c>
      <c r="U48" s="31">
        <f t="shared" si="20"/>
        <v>333.00769128518539</v>
      </c>
      <c r="V48" s="31">
        <f t="shared" si="21"/>
        <v>0</v>
      </c>
      <c r="W48" s="31"/>
      <c r="X48" s="148">
        <f>'[4]SÃO FRANCISCO'!X48*'[3]SF I'!$X$4</f>
        <v>0</v>
      </c>
      <c r="Y48" s="37">
        <f t="shared" si="3"/>
        <v>-1</v>
      </c>
      <c r="Z48" s="36">
        <f>[1]SFI!$G48</f>
        <v>2709.5825165596857</v>
      </c>
      <c r="AA48" s="31">
        <f t="shared" si="22"/>
        <v>2376.5748252745002</v>
      </c>
      <c r="AB48" s="31">
        <f t="shared" si="23"/>
        <v>333.00769128518539</v>
      </c>
      <c r="AC48" s="31">
        <f t="shared" si="24"/>
        <v>1437.0896624161228</v>
      </c>
      <c r="AD48" s="31"/>
      <c r="AE48" s="33">
        <f>'[4]SÃO FRANCISCO'!AE48*'[2]SF I'!$X$4</f>
        <v>1437.0896624161228</v>
      </c>
      <c r="AF48" s="37">
        <f t="shared" si="4"/>
        <v>-0.46962690612545988</v>
      </c>
      <c r="AG48" s="36">
        <f>[1]SFI!$H48</f>
        <v>2709.5825165596857</v>
      </c>
      <c r="AH48" s="31">
        <f t="shared" si="25"/>
        <v>2376.5748252745002</v>
      </c>
      <c r="AI48" s="31">
        <f t="shared" si="26"/>
        <v>333.00769128518539</v>
      </c>
      <c r="AJ48" s="31">
        <f t="shared" si="27"/>
        <v>829.6803718525407</v>
      </c>
      <c r="AK48" s="31"/>
      <c r="AL48" s="33">
        <f>'[4]SÃO FRANCISCO'!AL48*'[3]SF I'!$X$4</f>
        <v>829.6803718525407</v>
      </c>
      <c r="AM48" s="37">
        <f t="shared" si="5"/>
        <v>-0.6937977098752568</v>
      </c>
      <c r="AN48" s="36">
        <f>[1]SFI!$I48</f>
        <v>2709.5825165596857</v>
      </c>
      <c r="AO48" s="31">
        <f t="shared" si="28"/>
        <v>2376.5748252745002</v>
      </c>
      <c r="AP48" s="31">
        <f t="shared" si="29"/>
        <v>333.00769128518539</v>
      </c>
      <c r="AQ48" s="31">
        <f t="shared" si="30"/>
        <v>0</v>
      </c>
      <c r="AR48" s="31"/>
      <c r="AS48" s="33">
        <f>'[4]SÃO FRANCISCO'!AS48*'[3]SF I'!$X$4</f>
        <v>0</v>
      </c>
      <c r="AT48" s="37">
        <f t="shared" si="6"/>
        <v>-1</v>
      </c>
      <c r="AU48" s="36">
        <f>[1]SFI!$J48</f>
        <v>2709.5825165596857</v>
      </c>
      <c r="AV48" s="31">
        <f t="shared" si="31"/>
        <v>2376.5748252745002</v>
      </c>
      <c r="AW48" s="31">
        <f t="shared" si="32"/>
        <v>333.00769128518539</v>
      </c>
      <c r="AX48" s="31">
        <f t="shared" si="33"/>
        <v>0</v>
      </c>
      <c r="AY48" s="31"/>
      <c r="AZ48" s="33">
        <f>'[4]SÃO FRANCISCO'!AZ48*'[3]SF I'!$X$4</f>
        <v>0</v>
      </c>
      <c r="BA48" s="37">
        <f t="shared" si="7"/>
        <v>-1</v>
      </c>
      <c r="BB48" s="36">
        <f>[1]SFI!$K48</f>
        <v>2709.5825165596857</v>
      </c>
      <c r="BC48" s="31">
        <f t="shared" si="34"/>
        <v>2376.5748252745002</v>
      </c>
      <c r="BD48" s="31">
        <f t="shared" si="35"/>
        <v>333.00769128518539</v>
      </c>
      <c r="BE48" s="31">
        <f t="shared" si="36"/>
        <v>0</v>
      </c>
      <c r="BF48" s="31"/>
      <c r="BG48" s="33">
        <f>'[4]SÃO FRANCISCO'!BG48*'[3]SF I'!$X$4</f>
        <v>0</v>
      </c>
      <c r="BH48" s="37">
        <f t="shared" si="8"/>
        <v>-1</v>
      </c>
      <c r="BI48" s="36">
        <f>[1]SFI!$L48</f>
        <v>2709.5825165596857</v>
      </c>
      <c r="BJ48" s="31">
        <f t="shared" si="37"/>
        <v>2376.5748252745002</v>
      </c>
      <c r="BK48" s="31">
        <f t="shared" si="38"/>
        <v>333.00769128518539</v>
      </c>
      <c r="BL48" s="31">
        <f t="shared" si="39"/>
        <v>0</v>
      </c>
      <c r="BM48" s="31"/>
      <c r="BN48" s="33">
        <f>'[4]SÃO FRANCISCO'!BN48*'[3]SF I'!$X$4</f>
        <v>0</v>
      </c>
      <c r="BO48" s="37">
        <f t="shared" si="9"/>
        <v>-1</v>
      </c>
      <c r="BP48" s="36">
        <f>[1]SFI!$M48</f>
        <v>2709.5825165596857</v>
      </c>
      <c r="BQ48" s="31">
        <f t="shared" si="40"/>
        <v>2376.5748252745002</v>
      </c>
      <c r="BR48" s="31">
        <f t="shared" si="41"/>
        <v>333.00769128518539</v>
      </c>
      <c r="BS48" s="31">
        <f t="shared" si="42"/>
        <v>0</v>
      </c>
      <c r="BT48" s="31"/>
      <c r="BU48" s="33">
        <f>'[4]SÃO FRANCISCO'!BU48*'[3]SF I'!$X$4</f>
        <v>0</v>
      </c>
      <c r="BV48" s="37">
        <f t="shared" si="10"/>
        <v>-1</v>
      </c>
      <c r="BW48" s="36">
        <f>[1]SFI!$N48</f>
        <v>2709.5825165596857</v>
      </c>
      <c r="BX48" s="31">
        <f t="shared" si="43"/>
        <v>2376.5748252745002</v>
      </c>
      <c r="BY48" s="31">
        <f t="shared" si="44"/>
        <v>333.00769128518539</v>
      </c>
      <c r="BZ48" s="31">
        <f t="shared" si="45"/>
        <v>0</v>
      </c>
      <c r="CA48" s="31"/>
      <c r="CB48" s="33">
        <f>'[4]SÃO FRANCISCO'!CB48*'[3]SF I'!$X$4</f>
        <v>0</v>
      </c>
      <c r="CC48" s="37">
        <f t="shared" si="11"/>
        <v>-1</v>
      </c>
      <c r="CD48" s="36">
        <f>[1]SFI!$O48</f>
        <v>2709.5825165596857</v>
      </c>
      <c r="CE48" s="31">
        <f t="shared" si="46"/>
        <v>2376.5748252745002</v>
      </c>
      <c r="CF48" s="31">
        <f t="shared" si="47"/>
        <v>333.00769128518539</v>
      </c>
      <c r="CG48" s="31">
        <f t="shared" si="48"/>
        <v>0</v>
      </c>
      <c r="CH48" s="31"/>
      <c r="CI48" s="33">
        <f>'[4]SÃO FRANCISCO'!CI48*'[3]SF I'!$X$4</f>
        <v>0</v>
      </c>
      <c r="CJ48" s="37">
        <f t="shared" si="12"/>
        <v>-1</v>
      </c>
      <c r="CK48" s="36">
        <f>[1]SFI!$P48</f>
        <v>2709.5825165596857</v>
      </c>
      <c r="CL48" s="31">
        <f t="shared" si="49"/>
        <v>2376.5748252745002</v>
      </c>
      <c r="CM48" s="31">
        <f t="shared" si="50"/>
        <v>333.00769128518539</v>
      </c>
      <c r="CN48" s="31">
        <f t="shared" si="51"/>
        <v>0</v>
      </c>
      <c r="CO48" s="31"/>
      <c r="CP48" s="33">
        <f>'[4]SÃO FRANCISCO'!CP48*'[3]SF I'!$X$4</f>
        <v>0</v>
      </c>
      <c r="CQ48" s="37">
        <f t="shared" si="13"/>
        <v>-1</v>
      </c>
    </row>
    <row r="49" spans="1:99" s="26" customFormat="1" ht="16" customHeight="1" x14ac:dyDescent="0.2">
      <c r="A49" s="29" t="s">
        <v>73</v>
      </c>
      <c r="B49" s="30">
        <f t="shared" si="52"/>
        <v>31264.413652611762</v>
      </c>
      <c r="C49" s="31">
        <f t="shared" si="52"/>
        <v>27422.017214705771</v>
      </c>
      <c r="D49" s="32">
        <f t="shared" si="52"/>
        <v>3842.3964379059848</v>
      </c>
      <c r="E49" s="30">
        <f t="shared" si="54"/>
        <v>10421.471217537252</v>
      </c>
      <c r="F49" s="33">
        <f t="shared" si="54"/>
        <v>9140.6724049019231</v>
      </c>
      <c r="G49" s="34">
        <f t="shared" si="54"/>
        <v>1280.7988126353282</v>
      </c>
      <c r="H49" s="31">
        <f t="shared" si="53"/>
        <v>62997.248680113109</v>
      </c>
      <c r="I49" s="33">
        <f t="shared" si="53"/>
        <v>0</v>
      </c>
      <c r="J49" s="33">
        <f t="shared" si="53"/>
        <v>62997.248680113109</v>
      </c>
      <c r="K49" s="37">
        <f t="shared" si="15"/>
        <v>5.0449477204429005</v>
      </c>
      <c r="L49" s="36">
        <f>[1]SFI!$E49</f>
        <v>2605.3678043843129</v>
      </c>
      <c r="M49" s="31">
        <f t="shared" si="16"/>
        <v>2285.1681012254808</v>
      </c>
      <c r="N49" s="31">
        <f t="shared" si="17"/>
        <v>320.19970315883205</v>
      </c>
      <c r="O49" s="31">
        <f t="shared" si="18"/>
        <v>21155.868937424209</v>
      </c>
      <c r="P49" s="31"/>
      <c r="Q49" s="33">
        <v>21155.868937424209</v>
      </c>
      <c r="R49" s="37">
        <f t="shared" si="2"/>
        <v>7.1201083784881014</v>
      </c>
      <c r="S49" s="36">
        <f>[1]SFI!$F49</f>
        <v>2605.3678043843129</v>
      </c>
      <c r="T49" s="31">
        <f t="shared" si="19"/>
        <v>2285.1681012254808</v>
      </c>
      <c r="U49" s="31">
        <f t="shared" si="20"/>
        <v>320.19970315883205</v>
      </c>
      <c r="V49" s="31">
        <f t="shared" si="21"/>
        <v>14461.536117182141</v>
      </c>
      <c r="W49" s="31"/>
      <c r="X49" s="148">
        <f>'[4]SÃO FRANCISCO'!X49*'[3]SF I'!$X$4</f>
        <v>14461.536117182141</v>
      </c>
      <c r="Y49" s="37">
        <f t="shared" si="3"/>
        <v>4.5506696954058725</v>
      </c>
      <c r="Z49" s="36">
        <f>[1]SFI!$G49</f>
        <v>2605.3678043843129</v>
      </c>
      <c r="AA49" s="31">
        <f t="shared" si="22"/>
        <v>2285.1681012254808</v>
      </c>
      <c r="AB49" s="31">
        <f t="shared" si="23"/>
        <v>320.19970315883205</v>
      </c>
      <c r="AC49" s="31">
        <f t="shared" si="24"/>
        <v>6934.5264501881975</v>
      </c>
      <c r="AD49" s="31"/>
      <c r="AE49" s="33">
        <f>'[4]SÃO FRANCISCO'!AE49*'[2]SF I'!$X$4</f>
        <v>6934.5264501881975</v>
      </c>
      <c r="AF49" s="37">
        <f t="shared" si="4"/>
        <v>1.6616305147084325</v>
      </c>
      <c r="AG49" s="36">
        <f>[1]SFI!$H49</f>
        <v>2605.3678043843129</v>
      </c>
      <c r="AH49" s="31">
        <f t="shared" si="25"/>
        <v>2285.1681012254808</v>
      </c>
      <c r="AI49" s="31">
        <f t="shared" si="26"/>
        <v>320.19970315883205</v>
      </c>
      <c r="AJ49" s="31">
        <f t="shared" si="27"/>
        <v>20445.31717531856</v>
      </c>
      <c r="AK49" s="31"/>
      <c r="AL49" s="33">
        <f>'[4]SÃO FRANCISCO'!AL49*'[3]SF I'!$X$4</f>
        <v>20445.31717531856</v>
      </c>
      <c r="AM49" s="37">
        <f t="shared" si="5"/>
        <v>6.8473822931691952</v>
      </c>
      <c r="AN49" s="36">
        <f>[1]SFI!$I49</f>
        <v>2605.3678043843129</v>
      </c>
      <c r="AO49" s="31">
        <f t="shared" si="28"/>
        <v>2285.1681012254808</v>
      </c>
      <c r="AP49" s="31">
        <f t="shared" si="29"/>
        <v>320.19970315883205</v>
      </c>
      <c r="AQ49" s="31">
        <f t="shared" si="30"/>
        <v>0</v>
      </c>
      <c r="AR49" s="31"/>
      <c r="AS49" s="33">
        <f>'[4]SÃO FRANCISCO'!AS49*'[3]SF I'!$X$4</f>
        <v>0</v>
      </c>
      <c r="AT49" s="37">
        <f t="shared" si="6"/>
        <v>-1</v>
      </c>
      <c r="AU49" s="36">
        <f>[1]SFI!$J49</f>
        <v>2605.3678043843129</v>
      </c>
      <c r="AV49" s="31">
        <f t="shared" si="31"/>
        <v>2285.1681012254808</v>
      </c>
      <c r="AW49" s="31">
        <f t="shared" si="32"/>
        <v>320.19970315883205</v>
      </c>
      <c r="AX49" s="31">
        <f t="shared" si="33"/>
        <v>0</v>
      </c>
      <c r="AY49" s="31"/>
      <c r="AZ49" s="33">
        <f>'[4]SÃO FRANCISCO'!AZ49*'[3]SF I'!$X$4</f>
        <v>0</v>
      </c>
      <c r="BA49" s="37">
        <f t="shared" si="7"/>
        <v>-1</v>
      </c>
      <c r="BB49" s="36">
        <f>[1]SFI!$K49</f>
        <v>2605.3678043843129</v>
      </c>
      <c r="BC49" s="31">
        <f t="shared" si="34"/>
        <v>2285.1681012254808</v>
      </c>
      <c r="BD49" s="31">
        <f t="shared" si="35"/>
        <v>320.19970315883205</v>
      </c>
      <c r="BE49" s="31">
        <f t="shared" si="36"/>
        <v>0</v>
      </c>
      <c r="BF49" s="31"/>
      <c r="BG49" s="27">
        <f>'[4]SÃO FRANCISCO'!BG49*'[3]SF I'!$X$4</f>
        <v>0</v>
      </c>
      <c r="BH49" s="37">
        <f t="shared" si="8"/>
        <v>-1</v>
      </c>
      <c r="BI49" s="36">
        <f>[1]SFI!$L49</f>
        <v>2605.3678043843129</v>
      </c>
      <c r="BJ49" s="31">
        <f t="shared" si="37"/>
        <v>2285.1681012254808</v>
      </c>
      <c r="BK49" s="31">
        <f t="shared" si="38"/>
        <v>320.19970315883205</v>
      </c>
      <c r="BL49" s="31">
        <f t="shared" si="39"/>
        <v>0</v>
      </c>
      <c r="BM49" s="31"/>
      <c r="BN49" s="33">
        <f>'[4]SÃO FRANCISCO'!BN49*'[3]SF I'!$X$4</f>
        <v>0</v>
      </c>
      <c r="BO49" s="37">
        <f t="shared" si="9"/>
        <v>-1</v>
      </c>
      <c r="BP49" s="36">
        <f>[1]SFI!$M49</f>
        <v>2605.3678043843129</v>
      </c>
      <c r="BQ49" s="31">
        <f t="shared" si="40"/>
        <v>2285.1681012254808</v>
      </c>
      <c r="BR49" s="31">
        <f t="shared" si="41"/>
        <v>320.19970315883205</v>
      </c>
      <c r="BS49" s="31">
        <f t="shared" si="42"/>
        <v>0</v>
      </c>
      <c r="BT49" s="31"/>
      <c r="BU49" s="33">
        <f>'[4]SÃO FRANCISCO'!BU49*'[3]SF I'!$X$4</f>
        <v>0</v>
      </c>
      <c r="BV49" s="37">
        <f t="shared" si="10"/>
        <v>-1</v>
      </c>
      <c r="BW49" s="36">
        <f>[1]SFI!$N49</f>
        <v>2605.3678043843129</v>
      </c>
      <c r="BX49" s="31">
        <f t="shared" si="43"/>
        <v>2285.1681012254808</v>
      </c>
      <c r="BY49" s="31">
        <f t="shared" si="44"/>
        <v>320.19970315883205</v>
      </c>
      <c r="BZ49" s="31">
        <f t="shared" si="45"/>
        <v>0</v>
      </c>
      <c r="CA49" s="31"/>
      <c r="CB49" s="33">
        <f>'[4]SÃO FRANCISCO'!CB49*'[3]SF I'!$X$4</f>
        <v>0</v>
      </c>
      <c r="CC49" s="37">
        <f t="shared" si="11"/>
        <v>-1</v>
      </c>
      <c r="CD49" s="36">
        <f>[1]SFI!$O49</f>
        <v>2605.3678043843129</v>
      </c>
      <c r="CE49" s="31">
        <f t="shared" si="46"/>
        <v>2285.1681012254808</v>
      </c>
      <c r="CF49" s="31">
        <f t="shared" si="47"/>
        <v>320.19970315883205</v>
      </c>
      <c r="CG49" s="31">
        <f t="shared" si="48"/>
        <v>0</v>
      </c>
      <c r="CH49" s="31"/>
      <c r="CI49" s="33">
        <f>'[4]SÃO FRANCISCO'!CI49*'[3]SF I'!$X$4</f>
        <v>0</v>
      </c>
      <c r="CJ49" s="37">
        <f t="shared" si="12"/>
        <v>-1</v>
      </c>
      <c r="CK49" s="36">
        <f>[1]SFI!$P49</f>
        <v>2605.3678043843129</v>
      </c>
      <c r="CL49" s="31">
        <f t="shared" si="49"/>
        <v>2285.1681012254808</v>
      </c>
      <c r="CM49" s="31">
        <f t="shared" si="50"/>
        <v>320.19970315883205</v>
      </c>
      <c r="CN49" s="31">
        <f t="shared" si="51"/>
        <v>0</v>
      </c>
      <c r="CO49" s="31"/>
      <c r="CP49" s="33">
        <f>'[4]SÃO FRANCISCO'!CP49*'[3]SF I'!$X$4</f>
        <v>0</v>
      </c>
      <c r="CQ49" s="37">
        <f t="shared" si="13"/>
        <v>-1</v>
      </c>
    </row>
    <row r="50" spans="1:99" s="26" customFormat="1" ht="16" customHeight="1" x14ac:dyDescent="0.2">
      <c r="A50" s="29" t="s">
        <v>74</v>
      </c>
      <c r="B50" s="30">
        <f t="shared" si="52"/>
        <v>0</v>
      </c>
      <c r="C50" s="31">
        <f t="shared" si="52"/>
        <v>0</v>
      </c>
      <c r="D50" s="32">
        <f t="shared" si="52"/>
        <v>0</v>
      </c>
      <c r="E50" s="30">
        <f t="shared" si="54"/>
        <v>0</v>
      </c>
      <c r="F50" s="33">
        <f t="shared" si="54"/>
        <v>0</v>
      </c>
      <c r="G50" s="34">
        <f t="shared" si="54"/>
        <v>0</v>
      </c>
      <c r="H50" s="31">
        <f t="shared" si="53"/>
        <v>0</v>
      </c>
      <c r="I50" s="33">
        <f t="shared" si="53"/>
        <v>0</v>
      </c>
      <c r="J50" s="33">
        <f t="shared" si="53"/>
        <v>0</v>
      </c>
      <c r="K50" s="37" t="str">
        <f t="shared" si="15"/>
        <v/>
      </c>
      <c r="L50" s="36">
        <f>[1]SFI!$E50</f>
        <v>0</v>
      </c>
      <c r="M50" s="28">
        <f t="shared" si="16"/>
        <v>0</v>
      </c>
      <c r="N50" s="28">
        <f t="shared" si="17"/>
        <v>0</v>
      </c>
      <c r="O50" s="28">
        <f t="shared" si="18"/>
        <v>0</v>
      </c>
      <c r="P50" s="28"/>
      <c r="Q50" s="151">
        <v>0</v>
      </c>
      <c r="R50" s="37" t="str">
        <f t="shared" si="2"/>
        <v/>
      </c>
      <c r="S50" s="36">
        <f>[1]SFI!$F50</f>
        <v>0</v>
      </c>
      <c r="T50" s="28">
        <f t="shared" si="19"/>
        <v>0</v>
      </c>
      <c r="U50" s="28">
        <f t="shared" si="20"/>
        <v>0</v>
      </c>
      <c r="V50" s="28">
        <f t="shared" si="21"/>
        <v>0</v>
      </c>
      <c r="W50" s="28"/>
      <c r="X50" s="152">
        <f>'[4]SÃO FRANCISCO'!X50*'[3]SF I'!$X$4</f>
        <v>0</v>
      </c>
      <c r="Y50" s="37" t="str">
        <f t="shared" si="3"/>
        <v/>
      </c>
      <c r="Z50" s="36">
        <f>[1]SFI!$G50</f>
        <v>0</v>
      </c>
      <c r="AA50" s="28">
        <f t="shared" si="22"/>
        <v>0</v>
      </c>
      <c r="AB50" s="28">
        <f t="shared" si="23"/>
        <v>0</v>
      </c>
      <c r="AC50" s="28">
        <f t="shared" si="24"/>
        <v>0</v>
      </c>
      <c r="AD50" s="28"/>
      <c r="AE50" s="153">
        <f>'[4]SÃO FRANCISCO'!AE50*'[2]SF I'!$X$4</f>
        <v>0</v>
      </c>
      <c r="AF50" s="37" t="str">
        <f t="shared" si="4"/>
        <v/>
      </c>
      <c r="AG50" s="36">
        <f>[1]SFI!$H50</f>
        <v>0</v>
      </c>
      <c r="AH50" s="28">
        <f t="shared" si="25"/>
        <v>0</v>
      </c>
      <c r="AI50" s="28">
        <f t="shared" si="26"/>
        <v>0</v>
      </c>
      <c r="AJ50" s="28">
        <f t="shared" si="27"/>
        <v>0</v>
      </c>
      <c r="AK50" s="28"/>
      <c r="AL50" s="151">
        <f>'[4]SÃO FRANCISCO'!AL50*'[3]SF I'!$X$4</f>
        <v>0</v>
      </c>
      <c r="AM50" s="37" t="str">
        <f t="shared" si="5"/>
        <v/>
      </c>
      <c r="AN50" s="36">
        <f>[1]SFI!$I50</f>
        <v>0</v>
      </c>
      <c r="AO50" s="28">
        <f t="shared" si="28"/>
        <v>0</v>
      </c>
      <c r="AP50" s="28">
        <f t="shared" si="29"/>
        <v>0</v>
      </c>
      <c r="AQ50" s="28">
        <f t="shared" si="30"/>
        <v>0</v>
      </c>
      <c r="AR50" s="28"/>
      <c r="AS50" s="151">
        <f>'[4]SÃO FRANCISCO'!AS50*'[3]SF I'!$X$4</f>
        <v>0</v>
      </c>
      <c r="AT50" s="37" t="str">
        <f t="shared" si="6"/>
        <v/>
      </c>
      <c r="AU50" s="36">
        <f>[1]SFI!$J50</f>
        <v>0</v>
      </c>
      <c r="AV50" s="28">
        <f t="shared" si="31"/>
        <v>0</v>
      </c>
      <c r="AW50" s="28">
        <f t="shared" si="32"/>
        <v>0</v>
      </c>
      <c r="AX50" s="28">
        <f t="shared" si="33"/>
        <v>0</v>
      </c>
      <c r="AY50" s="28"/>
      <c r="AZ50" s="153">
        <f>'[4]SÃO FRANCISCO'!AZ50*'[3]SF I'!$X$4</f>
        <v>0</v>
      </c>
      <c r="BA50" s="37" t="str">
        <f t="shared" si="7"/>
        <v/>
      </c>
      <c r="BB50" s="36">
        <f>[1]SFI!$K50</f>
        <v>0</v>
      </c>
      <c r="BC50" s="28">
        <f t="shared" si="34"/>
        <v>0</v>
      </c>
      <c r="BD50" s="28">
        <f t="shared" si="35"/>
        <v>0</v>
      </c>
      <c r="BE50" s="28">
        <f t="shared" si="36"/>
        <v>0</v>
      </c>
      <c r="BF50" s="28"/>
      <c r="BG50" s="153">
        <f>'[4]SÃO FRANCISCO'!BG50*'[3]SF I'!$X$4</f>
        <v>0</v>
      </c>
      <c r="BH50" s="37" t="str">
        <f t="shared" si="8"/>
        <v/>
      </c>
      <c r="BI50" s="36">
        <f>[1]SFI!$L50</f>
        <v>0</v>
      </c>
      <c r="BJ50" s="28">
        <f t="shared" si="37"/>
        <v>0</v>
      </c>
      <c r="BK50" s="28">
        <f t="shared" si="38"/>
        <v>0</v>
      </c>
      <c r="BL50" s="28">
        <f t="shared" si="39"/>
        <v>0</v>
      </c>
      <c r="BM50" s="28"/>
      <c r="BN50" s="151">
        <f>'[4]SÃO FRANCISCO'!BN50*'[3]SF I'!$X$4</f>
        <v>0</v>
      </c>
      <c r="BO50" s="37" t="str">
        <f t="shared" si="9"/>
        <v/>
      </c>
      <c r="BP50" s="36">
        <f>[1]SFI!$M50</f>
        <v>0</v>
      </c>
      <c r="BQ50" s="28">
        <f t="shared" si="40"/>
        <v>0</v>
      </c>
      <c r="BR50" s="28">
        <f t="shared" si="41"/>
        <v>0</v>
      </c>
      <c r="BS50" s="28">
        <f t="shared" si="42"/>
        <v>0</v>
      </c>
      <c r="BT50" s="28"/>
      <c r="BU50" s="151">
        <f>'[4]SÃO FRANCISCO'!BU50*'[3]SF I'!$X$4</f>
        <v>0</v>
      </c>
      <c r="BV50" s="37" t="str">
        <f t="shared" si="10"/>
        <v/>
      </c>
      <c r="BW50" s="36">
        <f>[1]SFI!$N50</f>
        <v>0</v>
      </c>
      <c r="BX50" s="28">
        <f t="shared" si="43"/>
        <v>0</v>
      </c>
      <c r="BY50" s="28">
        <f t="shared" si="44"/>
        <v>0</v>
      </c>
      <c r="BZ50" s="28">
        <f t="shared" si="45"/>
        <v>0</v>
      </c>
      <c r="CA50" s="28"/>
      <c r="CB50" s="151">
        <f>'[4]SÃO FRANCISCO'!CB50*'[3]SF I'!$X$4</f>
        <v>0</v>
      </c>
      <c r="CC50" s="37" t="str">
        <f t="shared" si="11"/>
        <v/>
      </c>
      <c r="CD50" s="36">
        <f>[1]SFI!$O50</f>
        <v>0</v>
      </c>
      <c r="CE50" s="28">
        <f t="shared" si="46"/>
        <v>0</v>
      </c>
      <c r="CF50" s="28">
        <f t="shared" si="47"/>
        <v>0</v>
      </c>
      <c r="CG50" s="28">
        <f t="shared" si="48"/>
        <v>0</v>
      </c>
      <c r="CH50" s="28"/>
      <c r="CI50" s="151">
        <f>'[4]SÃO FRANCISCO'!CI50*'[3]SF I'!$X$4</f>
        <v>0</v>
      </c>
      <c r="CJ50" s="37" t="str">
        <f t="shared" si="12"/>
        <v/>
      </c>
      <c r="CK50" s="36">
        <f>[1]SFI!$P50</f>
        <v>0</v>
      </c>
      <c r="CL50" s="28">
        <f t="shared" si="49"/>
        <v>0</v>
      </c>
      <c r="CM50" s="28">
        <f t="shared" si="50"/>
        <v>0</v>
      </c>
      <c r="CN50" s="28">
        <f t="shared" si="51"/>
        <v>0</v>
      </c>
      <c r="CO50" s="28"/>
      <c r="CP50" s="151">
        <f>'[4]SÃO FRANCISCO'!CP50*'[3]SF I'!$X$4</f>
        <v>0</v>
      </c>
      <c r="CQ50" s="37" t="str">
        <f t="shared" si="13"/>
        <v/>
      </c>
    </row>
    <row r="51" spans="1:99" s="26" customFormat="1" ht="16" customHeight="1" x14ac:dyDescent="0.2">
      <c r="A51" s="29" t="s">
        <v>75</v>
      </c>
      <c r="B51" s="30">
        <f t="shared" si="52"/>
        <v>0</v>
      </c>
      <c r="C51" s="31">
        <f t="shared" si="52"/>
        <v>0</v>
      </c>
      <c r="D51" s="32">
        <f t="shared" si="52"/>
        <v>0</v>
      </c>
      <c r="E51" s="30">
        <f t="shared" si="54"/>
        <v>0</v>
      </c>
      <c r="F51" s="33">
        <f t="shared" si="54"/>
        <v>0</v>
      </c>
      <c r="G51" s="34">
        <f t="shared" si="54"/>
        <v>0</v>
      </c>
      <c r="H51" s="31">
        <f t="shared" si="53"/>
        <v>0</v>
      </c>
      <c r="I51" s="33">
        <f t="shared" si="53"/>
        <v>0</v>
      </c>
      <c r="J51" s="33">
        <f t="shared" si="53"/>
        <v>0</v>
      </c>
      <c r="K51" s="37" t="str">
        <f t="shared" si="15"/>
        <v/>
      </c>
      <c r="L51" s="36">
        <f>[1]SFI!$E51</f>
        <v>0</v>
      </c>
      <c r="M51" s="31">
        <f t="shared" si="16"/>
        <v>0</v>
      </c>
      <c r="N51" s="31">
        <f t="shared" si="17"/>
        <v>0</v>
      </c>
      <c r="O51" s="31">
        <f t="shared" si="18"/>
        <v>0</v>
      </c>
      <c r="P51" s="31"/>
      <c r="Q51" s="45">
        <v>0</v>
      </c>
      <c r="R51" s="37" t="str">
        <f t="shared" si="2"/>
        <v/>
      </c>
      <c r="S51" s="36">
        <f>[1]SFI!$F51</f>
        <v>0</v>
      </c>
      <c r="T51" s="31">
        <f t="shared" si="19"/>
        <v>0</v>
      </c>
      <c r="U51" s="31">
        <f t="shared" si="20"/>
        <v>0</v>
      </c>
      <c r="V51" s="31">
        <f t="shared" si="21"/>
        <v>0</v>
      </c>
      <c r="W51" s="31"/>
      <c r="X51" s="150">
        <f>'[4]SÃO FRANCISCO'!X51*'[3]SF I'!$X$4</f>
        <v>0</v>
      </c>
      <c r="Y51" s="37" t="str">
        <f t="shared" si="3"/>
        <v/>
      </c>
      <c r="Z51" s="36">
        <f>[1]SFI!$G51</f>
        <v>0</v>
      </c>
      <c r="AA51" s="31">
        <f t="shared" si="22"/>
        <v>0</v>
      </c>
      <c r="AB51" s="31">
        <f t="shared" si="23"/>
        <v>0</v>
      </c>
      <c r="AC51" s="31">
        <f t="shared" si="24"/>
        <v>0</v>
      </c>
      <c r="AD51" s="31"/>
      <c r="AE51" s="48">
        <f>'[4]SÃO FRANCISCO'!AE51*'[2]SF I'!$X$4</f>
        <v>0</v>
      </c>
      <c r="AF51" s="37" t="str">
        <f t="shared" si="4"/>
        <v/>
      </c>
      <c r="AG51" s="36">
        <f>[1]SFI!$H51</f>
        <v>0</v>
      </c>
      <c r="AH51" s="31">
        <f t="shared" si="25"/>
        <v>0</v>
      </c>
      <c r="AI51" s="31">
        <f t="shared" si="26"/>
        <v>0</v>
      </c>
      <c r="AJ51" s="31">
        <f t="shared" si="27"/>
        <v>0</v>
      </c>
      <c r="AK51" s="31"/>
      <c r="AL51" s="45">
        <f>'[4]SÃO FRANCISCO'!AL51*'[3]SF I'!$X$4</f>
        <v>0</v>
      </c>
      <c r="AM51" s="37" t="str">
        <f t="shared" si="5"/>
        <v/>
      </c>
      <c r="AN51" s="36">
        <f>[1]SFI!$I51</f>
        <v>0</v>
      </c>
      <c r="AO51" s="31">
        <f t="shared" si="28"/>
        <v>0</v>
      </c>
      <c r="AP51" s="31">
        <f t="shared" si="29"/>
        <v>0</v>
      </c>
      <c r="AQ51" s="31">
        <f t="shared" si="30"/>
        <v>0</v>
      </c>
      <c r="AR51" s="31"/>
      <c r="AS51" s="45">
        <f>'[4]SÃO FRANCISCO'!AS51*'[3]SF I'!$X$4</f>
        <v>0</v>
      </c>
      <c r="AT51" s="37" t="str">
        <f t="shared" si="6"/>
        <v/>
      </c>
      <c r="AU51" s="36">
        <f>[1]SFI!$J51</f>
        <v>0</v>
      </c>
      <c r="AV51" s="31">
        <f t="shared" si="31"/>
        <v>0</v>
      </c>
      <c r="AW51" s="31">
        <f t="shared" si="32"/>
        <v>0</v>
      </c>
      <c r="AX51" s="31">
        <f t="shared" si="33"/>
        <v>0</v>
      </c>
      <c r="AY51" s="31"/>
      <c r="AZ51" s="48">
        <f>'[4]SÃO FRANCISCO'!AZ51*'[3]SF I'!$X$4</f>
        <v>0</v>
      </c>
      <c r="BA51" s="37" t="str">
        <f t="shared" si="7"/>
        <v/>
      </c>
      <c r="BB51" s="36">
        <f>[1]SFI!$K51</f>
        <v>0</v>
      </c>
      <c r="BC51" s="31">
        <f t="shared" si="34"/>
        <v>0</v>
      </c>
      <c r="BD51" s="31">
        <f t="shared" si="35"/>
        <v>0</v>
      </c>
      <c r="BE51" s="31">
        <f t="shared" si="36"/>
        <v>0</v>
      </c>
      <c r="BF51" s="31"/>
      <c r="BG51" s="48">
        <f>'[4]SÃO FRANCISCO'!BG51*'[3]SF I'!$X$4</f>
        <v>0</v>
      </c>
      <c r="BH51" s="37" t="str">
        <f t="shared" si="8"/>
        <v/>
      </c>
      <c r="BI51" s="36">
        <f>[1]SFI!$L51</f>
        <v>0</v>
      </c>
      <c r="BJ51" s="31">
        <f t="shared" si="37"/>
        <v>0</v>
      </c>
      <c r="BK51" s="31">
        <f t="shared" si="38"/>
        <v>0</v>
      </c>
      <c r="BL51" s="31">
        <f t="shared" si="39"/>
        <v>0</v>
      </c>
      <c r="BM51" s="31"/>
      <c r="BN51" s="45">
        <f>'[4]SÃO FRANCISCO'!BN51*'[3]SF I'!$X$4</f>
        <v>0</v>
      </c>
      <c r="BO51" s="37" t="str">
        <f t="shared" si="9"/>
        <v/>
      </c>
      <c r="BP51" s="36">
        <f>[1]SFI!$M51</f>
        <v>0</v>
      </c>
      <c r="BQ51" s="31">
        <f t="shared" si="40"/>
        <v>0</v>
      </c>
      <c r="BR51" s="31">
        <f t="shared" si="41"/>
        <v>0</v>
      </c>
      <c r="BS51" s="31">
        <f t="shared" si="42"/>
        <v>0</v>
      </c>
      <c r="BT51" s="31"/>
      <c r="BU51" s="45">
        <f>'[4]SÃO FRANCISCO'!BU51*'[3]SF I'!$X$4</f>
        <v>0</v>
      </c>
      <c r="BV51" s="37" t="str">
        <f t="shared" si="10"/>
        <v/>
      </c>
      <c r="BW51" s="36">
        <f>[1]SFI!$N51</f>
        <v>0</v>
      </c>
      <c r="BX51" s="31">
        <f t="shared" si="43"/>
        <v>0</v>
      </c>
      <c r="BY51" s="31">
        <f t="shared" si="44"/>
        <v>0</v>
      </c>
      <c r="BZ51" s="31">
        <f t="shared" si="45"/>
        <v>0</v>
      </c>
      <c r="CA51" s="31"/>
      <c r="CB51" s="45">
        <f>'[4]SÃO FRANCISCO'!CB51*'[3]SF I'!$X$4</f>
        <v>0</v>
      </c>
      <c r="CC51" s="37" t="str">
        <f t="shared" si="11"/>
        <v/>
      </c>
      <c r="CD51" s="36">
        <f>[1]SFI!$O51</f>
        <v>0</v>
      </c>
      <c r="CE51" s="31">
        <f t="shared" si="46"/>
        <v>0</v>
      </c>
      <c r="CF51" s="31">
        <f t="shared" si="47"/>
        <v>0</v>
      </c>
      <c r="CG51" s="31">
        <f t="shared" si="48"/>
        <v>0</v>
      </c>
      <c r="CH51" s="31"/>
      <c r="CI51" s="45">
        <f>'[4]SÃO FRANCISCO'!CI51*'[3]SF I'!$X$4</f>
        <v>0</v>
      </c>
      <c r="CJ51" s="37" t="str">
        <f t="shared" si="12"/>
        <v/>
      </c>
      <c r="CK51" s="36">
        <f>[1]SFI!$P51</f>
        <v>0</v>
      </c>
      <c r="CL51" s="31">
        <f t="shared" si="49"/>
        <v>0</v>
      </c>
      <c r="CM51" s="31">
        <f t="shared" si="50"/>
        <v>0</v>
      </c>
      <c r="CN51" s="31">
        <f t="shared" si="51"/>
        <v>0</v>
      </c>
      <c r="CO51" s="31"/>
      <c r="CP51" s="45">
        <f>'[4]SÃO FRANCISCO'!CP51*'[3]SF I'!$X$4</f>
        <v>0</v>
      </c>
      <c r="CQ51" s="37" t="str">
        <f t="shared" si="13"/>
        <v/>
      </c>
    </row>
    <row r="52" spans="1:99" s="26" customFormat="1" ht="16" customHeight="1" x14ac:dyDescent="0.2">
      <c r="A52" s="29" t="s">
        <v>76</v>
      </c>
      <c r="B52" s="30">
        <f t="shared" si="52"/>
        <v>20009.224737671524</v>
      </c>
      <c r="C52" s="31">
        <f t="shared" si="52"/>
        <v>17550.091017411691</v>
      </c>
      <c r="D52" s="32">
        <f t="shared" si="52"/>
        <v>2459.1337202598302</v>
      </c>
      <c r="E52" s="30">
        <f t="shared" si="54"/>
        <v>6669.7415792238417</v>
      </c>
      <c r="F52" s="33">
        <f t="shared" si="54"/>
        <v>5850.0303391372317</v>
      </c>
      <c r="G52" s="34">
        <f t="shared" si="54"/>
        <v>819.71124008661013</v>
      </c>
      <c r="H52" s="31">
        <f t="shared" si="53"/>
        <v>51670.505377576745</v>
      </c>
      <c r="I52" s="33">
        <f t="shared" si="53"/>
        <v>0</v>
      </c>
      <c r="J52" s="33">
        <f t="shared" si="53"/>
        <v>51670.505377576745</v>
      </c>
      <c r="K52" s="37">
        <f t="shared" si="15"/>
        <v>6.7470026032987089</v>
      </c>
      <c r="L52" s="36">
        <f>[1]SFI!$E52</f>
        <v>1667.4353948059604</v>
      </c>
      <c r="M52" s="31">
        <f t="shared" si="16"/>
        <v>1462.5075847843079</v>
      </c>
      <c r="N52" s="31">
        <f t="shared" si="17"/>
        <v>204.92781002165253</v>
      </c>
      <c r="O52" s="31">
        <f t="shared" si="18"/>
        <v>23682.665429947028</v>
      </c>
      <c r="P52" s="31"/>
      <c r="Q52" s="33">
        <v>23682.665429947028</v>
      </c>
      <c r="R52" s="37">
        <f t="shared" si="2"/>
        <v>13.203048288238467</v>
      </c>
      <c r="S52" s="36">
        <f>[1]SFI!$F52</f>
        <v>1667.4353948059604</v>
      </c>
      <c r="T52" s="31">
        <f t="shared" si="19"/>
        <v>1462.5075847843079</v>
      </c>
      <c r="U52" s="31">
        <f t="shared" si="20"/>
        <v>204.92781002165253</v>
      </c>
      <c r="V52" s="31">
        <f t="shared" si="21"/>
        <v>9812.6739263365507</v>
      </c>
      <c r="W52" s="31"/>
      <c r="X52" s="148">
        <f>'[4]SÃO FRANCISCO'!X52*'[3]SF I'!$X$4</f>
        <v>9812.6739263365507</v>
      </c>
      <c r="Y52" s="37">
        <f t="shared" si="3"/>
        <v>4.884890027465473</v>
      </c>
      <c r="Z52" s="36">
        <f>[1]SFI!$G52</f>
        <v>1667.4353948059604</v>
      </c>
      <c r="AA52" s="31">
        <f t="shared" si="22"/>
        <v>1462.5075847843079</v>
      </c>
      <c r="AB52" s="31">
        <f t="shared" si="23"/>
        <v>204.92781002165253</v>
      </c>
      <c r="AC52" s="31">
        <f t="shared" si="24"/>
        <v>17243.510531501797</v>
      </c>
      <c r="AD52" s="31"/>
      <c r="AE52" s="33">
        <f>'[4]SÃO FRANCISCO'!AE52*'[2]SF I'!$X$4</f>
        <v>17243.510531501797</v>
      </c>
      <c r="AF52" s="37">
        <f t="shared" si="4"/>
        <v>9.341336513075774</v>
      </c>
      <c r="AG52" s="36">
        <f>[1]SFI!$H52</f>
        <v>1667.4353948059604</v>
      </c>
      <c r="AH52" s="31">
        <f t="shared" si="25"/>
        <v>1462.5075847843079</v>
      </c>
      <c r="AI52" s="31">
        <f t="shared" si="26"/>
        <v>204.92781002165253</v>
      </c>
      <c r="AJ52" s="31">
        <f t="shared" si="27"/>
        <v>931.65548979137191</v>
      </c>
      <c r="AK52" s="31"/>
      <c r="AL52" s="33">
        <f>'[4]SÃO FRANCISCO'!AL52*'[3]SF I'!$X$4</f>
        <v>931.65548979137191</v>
      </c>
      <c r="AM52" s="37">
        <f t="shared" si="5"/>
        <v>-0.44126441558487561</v>
      </c>
      <c r="AN52" s="36">
        <f>[1]SFI!$I52</f>
        <v>1667.4353948059604</v>
      </c>
      <c r="AO52" s="31">
        <f t="shared" si="28"/>
        <v>1462.5075847843079</v>
      </c>
      <c r="AP52" s="31">
        <f t="shared" si="29"/>
        <v>204.92781002165253</v>
      </c>
      <c r="AQ52" s="31">
        <f t="shared" si="30"/>
        <v>0</v>
      </c>
      <c r="AR52" s="31"/>
      <c r="AS52" s="33">
        <f>'[4]SÃO FRANCISCO'!AS52*'[3]SF I'!$X$4</f>
        <v>0</v>
      </c>
      <c r="AT52" s="37">
        <f t="shared" si="6"/>
        <v>-1</v>
      </c>
      <c r="AU52" s="36">
        <f>[1]SFI!$J52</f>
        <v>1667.4353948059604</v>
      </c>
      <c r="AV52" s="31">
        <f t="shared" si="31"/>
        <v>1462.5075847843079</v>
      </c>
      <c r="AW52" s="31">
        <f t="shared" si="32"/>
        <v>204.92781002165253</v>
      </c>
      <c r="AX52" s="31">
        <f t="shared" si="33"/>
        <v>0</v>
      </c>
      <c r="AY52" s="31"/>
      <c r="AZ52" s="33">
        <f>'[4]SÃO FRANCISCO'!AZ52*'[3]SF I'!$X$4</f>
        <v>0</v>
      </c>
      <c r="BA52" s="37">
        <f t="shared" si="7"/>
        <v>-1</v>
      </c>
      <c r="BB52" s="36">
        <f>[1]SFI!$K52</f>
        <v>1667.4353948059604</v>
      </c>
      <c r="BC52" s="31">
        <f t="shared" si="34"/>
        <v>1462.5075847843079</v>
      </c>
      <c r="BD52" s="31">
        <f t="shared" si="35"/>
        <v>204.92781002165253</v>
      </c>
      <c r="BE52" s="31">
        <f t="shared" si="36"/>
        <v>0</v>
      </c>
      <c r="BF52" s="31"/>
      <c r="BG52" s="33">
        <f>'[4]SÃO FRANCISCO'!BG52*'[3]SF I'!$X$4</f>
        <v>0</v>
      </c>
      <c r="BH52" s="37">
        <f t="shared" si="8"/>
        <v>-1</v>
      </c>
      <c r="BI52" s="36">
        <f>[1]SFI!$L52</f>
        <v>1667.4353948059604</v>
      </c>
      <c r="BJ52" s="31">
        <f t="shared" si="37"/>
        <v>1462.5075847843079</v>
      </c>
      <c r="BK52" s="31">
        <f t="shared" si="38"/>
        <v>204.92781002165253</v>
      </c>
      <c r="BL52" s="31">
        <f t="shared" si="39"/>
        <v>0</v>
      </c>
      <c r="BM52" s="31"/>
      <c r="BN52" s="33">
        <f>'[4]SÃO FRANCISCO'!BN52*'[3]SF I'!$X$4</f>
        <v>0</v>
      </c>
      <c r="BO52" s="37">
        <f t="shared" si="9"/>
        <v>-1</v>
      </c>
      <c r="BP52" s="36">
        <f>[1]SFI!$M52</f>
        <v>1667.4353948059604</v>
      </c>
      <c r="BQ52" s="31">
        <f t="shared" si="40"/>
        <v>1462.5075847843079</v>
      </c>
      <c r="BR52" s="31">
        <f t="shared" si="41"/>
        <v>204.92781002165253</v>
      </c>
      <c r="BS52" s="31">
        <f t="shared" si="42"/>
        <v>0</v>
      </c>
      <c r="BT52" s="31"/>
      <c r="BU52" s="33">
        <f>'[4]SÃO FRANCISCO'!BU52*'[3]SF I'!$X$4</f>
        <v>0</v>
      </c>
      <c r="BV52" s="37">
        <f t="shared" si="10"/>
        <v>-1</v>
      </c>
      <c r="BW52" s="36">
        <f>[1]SFI!$N52</f>
        <v>1667.4353948059604</v>
      </c>
      <c r="BX52" s="31">
        <f t="shared" si="43"/>
        <v>1462.5075847843079</v>
      </c>
      <c r="BY52" s="31">
        <f t="shared" si="44"/>
        <v>204.92781002165253</v>
      </c>
      <c r="BZ52" s="31">
        <f t="shared" si="45"/>
        <v>0</v>
      </c>
      <c r="CA52" s="31"/>
      <c r="CB52" s="33">
        <f>'[4]SÃO FRANCISCO'!CB52*'[3]SF I'!$X$4</f>
        <v>0</v>
      </c>
      <c r="CC52" s="37">
        <f t="shared" si="11"/>
        <v>-1</v>
      </c>
      <c r="CD52" s="36">
        <f>[1]SFI!$O52</f>
        <v>1667.4353948059604</v>
      </c>
      <c r="CE52" s="31">
        <f t="shared" si="46"/>
        <v>1462.5075847843079</v>
      </c>
      <c r="CF52" s="31">
        <f t="shared" si="47"/>
        <v>204.92781002165253</v>
      </c>
      <c r="CG52" s="31">
        <f t="shared" si="48"/>
        <v>0</v>
      </c>
      <c r="CH52" s="31"/>
      <c r="CI52" s="33">
        <f>'[4]SÃO FRANCISCO'!CI52*'[3]SF I'!$X$4</f>
        <v>0</v>
      </c>
      <c r="CJ52" s="37">
        <f t="shared" si="12"/>
        <v>-1</v>
      </c>
      <c r="CK52" s="36">
        <f>[1]SFI!$P52</f>
        <v>1667.4353948059604</v>
      </c>
      <c r="CL52" s="31">
        <f t="shared" si="49"/>
        <v>1462.5075847843079</v>
      </c>
      <c r="CM52" s="31">
        <f t="shared" si="50"/>
        <v>204.92781002165253</v>
      </c>
      <c r="CN52" s="31">
        <f t="shared" si="51"/>
        <v>0</v>
      </c>
      <c r="CO52" s="31"/>
      <c r="CP52" s="33">
        <f>'[4]SÃO FRANCISCO'!CP52*'[3]SF I'!$X$4</f>
        <v>0</v>
      </c>
      <c r="CQ52" s="37">
        <f t="shared" si="13"/>
        <v>-1</v>
      </c>
    </row>
    <row r="53" spans="1:99" s="26" customFormat="1" ht="16" customHeight="1" x14ac:dyDescent="0.2">
      <c r="A53" s="38" t="s">
        <v>77</v>
      </c>
      <c r="B53" s="30">
        <f t="shared" si="52"/>
        <v>5002.306184417881</v>
      </c>
      <c r="C53" s="31">
        <f t="shared" si="52"/>
        <v>4387.5227543529227</v>
      </c>
      <c r="D53" s="32">
        <f t="shared" si="52"/>
        <v>614.78343006495754</v>
      </c>
      <c r="E53" s="30">
        <f t="shared" si="54"/>
        <v>1667.4353948059604</v>
      </c>
      <c r="F53" s="33">
        <f t="shared" si="54"/>
        <v>1462.5075847843079</v>
      </c>
      <c r="G53" s="34">
        <f t="shared" si="54"/>
        <v>204.92781002165253</v>
      </c>
      <c r="H53" s="31">
        <f t="shared" si="53"/>
        <v>65.064939813887662</v>
      </c>
      <c r="I53" s="33">
        <f t="shared" si="53"/>
        <v>0</v>
      </c>
      <c r="J53" s="33">
        <f t="shared" si="53"/>
        <v>65.064939813887662</v>
      </c>
      <c r="K53" s="37">
        <f t="shared" si="15"/>
        <v>-0.96097903402040996</v>
      </c>
      <c r="L53" s="36">
        <f>[1]SFI!$E53</f>
        <v>416.8588487014901</v>
      </c>
      <c r="M53" s="31">
        <f t="shared" si="16"/>
        <v>365.62689619607698</v>
      </c>
      <c r="N53" s="31">
        <f t="shared" si="17"/>
        <v>51.231952505413133</v>
      </c>
      <c r="O53" s="31">
        <f t="shared" si="18"/>
        <v>0</v>
      </c>
      <c r="P53" s="31"/>
      <c r="Q53" s="33">
        <v>0</v>
      </c>
      <c r="R53" s="37">
        <f t="shared" si="2"/>
        <v>-1</v>
      </c>
      <c r="S53" s="36">
        <f>[1]SFI!$F53</f>
        <v>416.8588487014901</v>
      </c>
      <c r="T53" s="31">
        <f t="shared" si="19"/>
        <v>365.62689619607698</v>
      </c>
      <c r="U53" s="31">
        <f t="shared" si="20"/>
        <v>51.231952505413133</v>
      </c>
      <c r="V53" s="31">
        <f t="shared" si="21"/>
        <v>7.362922969567089</v>
      </c>
      <c r="W53" s="31"/>
      <c r="X53" s="148">
        <f>'[4]SÃO FRANCISCO'!X53*'[3]SF I'!$X$4</f>
        <v>7.362922969567089</v>
      </c>
      <c r="Y53" s="37">
        <f t="shared" si="3"/>
        <v>-0.98233713163939662</v>
      </c>
      <c r="Z53" s="36">
        <f>[1]SFI!$G53</f>
        <v>416.8588487014901</v>
      </c>
      <c r="AA53" s="31">
        <f t="shared" si="22"/>
        <v>365.62689619607698</v>
      </c>
      <c r="AB53" s="31">
        <f t="shared" si="23"/>
        <v>51.231952505413133</v>
      </c>
      <c r="AC53" s="31">
        <f t="shared" si="24"/>
        <v>0</v>
      </c>
      <c r="AD53" s="31"/>
      <c r="AE53" s="27">
        <f>'[4]SÃO FRANCISCO'!AE53*'[2]SF I'!$X$4</f>
        <v>0</v>
      </c>
      <c r="AF53" s="37">
        <f t="shared" si="4"/>
        <v>-1</v>
      </c>
      <c r="AG53" s="36">
        <f>[1]SFI!$H53</f>
        <v>416.8588487014901</v>
      </c>
      <c r="AH53" s="31">
        <f t="shared" si="25"/>
        <v>365.62689619607698</v>
      </c>
      <c r="AI53" s="31">
        <f t="shared" si="26"/>
        <v>51.231952505413133</v>
      </c>
      <c r="AJ53" s="31">
        <f t="shared" si="27"/>
        <v>57.702016844320575</v>
      </c>
      <c r="AK53" s="31"/>
      <c r="AL53" s="33">
        <f>'[4]SÃO FRANCISCO'!AL53*'[3]SF I'!$X$4</f>
        <v>57.702016844320575</v>
      </c>
      <c r="AM53" s="37">
        <f t="shared" si="5"/>
        <v>-0.86157900444224322</v>
      </c>
      <c r="AN53" s="36">
        <f>[1]SFI!$I53</f>
        <v>416.8588487014901</v>
      </c>
      <c r="AO53" s="31">
        <f t="shared" si="28"/>
        <v>365.62689619607698</v>
      </c>
      <c r="AP53" s="31">
        <f t="shared" si="29"/>
        <v>51.231952505413133</v>
      </c>
      <c r="AQ53" s="31">
        <f t="shared" si="30"/>
        <v>0</v>
      </c>
      <c r="AR53" s="31"/>
      <c r="AS53" s="33">
        <f>'[4]SÃO FRANCISCO'!AS53*'[3]SF I'!$X$4</f>
        <v>0</v>
      </c>
      <c r="AT53" s="37">
        <f t="shared" si="6"/>
        <v>-1</v>
      </c>
      <c r="AU53" s="36">
        <f>[1]SFI!$J53</f>
        <v>416.8588487014901</v>
      </c>
      <c r="AV53" s="31">
        <f t="shared" si="31"/>
        <v>365.62689619607698</v>
      </c>
      <c r="AW53" s="31">
        <f t="shared" si="32"/>
        <v>51.231952505413133</v>
      </c>
      <c r="AX53" s="31">
        <f t="shared" si="33"/>
        <v>0</v>
      </c>
      <c r="AY53" s="31"/>
      <c r="AZ53" s="27">
        <f>'[4]SÃO FRANCISCO'!AZ53*'[3]SF I'!$X$4</f>
        <v>0</v>
      </c>
      <c r="BA53" s="37">
        <f t="shared" si="7"/>
        <v>-1</v>
      </c>
      <c r="BB53" s="36">
        <f>[1]SFI!$K53</f>
        <v>416.8588487014901</v>
      </c>
      <c r="BC53" s="31">
        <f t="shared" si="34"/>
        <v>365.62689619607698</v>
      </c>
      <c r="BD53" s="31">
        <f t="shared" si="35"/>
        <v>51.231952505413133</v>
      </c>
      <c r="BE53" s="31">
        <f t="shared" si="36"/>
        <v>0</v>
      </c>
      <c r="BF53" s="31"/>
      <c r="BG53" s="33">
        <f>'[4]SÃO FRANCISCO'!BG53*'[3]SF I'!$X$4</f>
        <v>0</v>
      </c>
      <c r="BH53" s="37">
        <f t="shared" si="8"/>
        <v>-1</v>
      </c>
      <c r="BI53" s="36">
        <f>[1]SFI!$L53</f>
        <v>416.8588487014901</v>
      </c>
      <c r="BJ53" s="31">
        <f t="shared" si="37"/>
        <v>365.62689619607698</v>
      </c>
      <c r="BK53" s="31">
        <f t="shared" si="38"/>
        <v>51.231952505413133</v>
      </c>
      <c r="BL53" s="31">
        <f t="shared" si="39"/>
        <v>0</v>
      </c>
      <c r="BM53" s="31"/>
      <c r="BN53" s="33">
        <f>'[4]SÃO FRANCISCO'!BN53*'[3]SF I'!$X$4</f>
        <v>0</v>
      </c>
      <c r="BO53" s="37">
        <f t="shared" si="9"/>
        <v>-1</v>
      </c>
      <c r="BP53" s="36">
        <f>[1]SFI!$M53</f>
        <v>416.8588487014901</v>
      </c>
      <c r="BQ53" s="31">
        <f t="shared" si="40"/>
        <v>365.62689619607698</v>
      </c>
      <c r="BR53" s="31">
        <f t="shared" si="41"/>
        <v>51.231952505413133</v>
      </c>
      <c r="BS53" s="31">
        <f t="shared" si="42"/>
        <v>0</v>
      </c>
      <c r="BT53" s="31"/>
      <c r="BU53" s="33">
        <f>'[4]SÃO FRANCISCO'!BU53*'[3]SF I'!$X$4</f>
        <v>0</v>
      </c>
      <c r="BV53" s="37">
        <f t="shared" si="10"/>
        <v>-1</v>
      </c>
      <c r="BW53" s="36">
        <f>[1]SFI!$N53</f>
        <v>416.8588487014901</v>
      </c>
      <c r="BX53" s="31">
        <f t="shared" si="43"/>
        <v>365.62689619607698</v>
      </c>
      <c r="BY53" s="31">
        <f t="shared" si="44"/>
        <v>51.231952505413133</v>
      </c>
      <c r="BZ53" s="31">
        <f t="shared" si="45"/>
        <v>0</v>
      </c>
      <c r="CA53" s="31"/>
      <c r="CB53" s="33">
        <f>'[4]SÃO FRANCISCO'!CB53*'[3]SF I'!$X$4</f>
        <v>0</v>
      </c>
      <c r="CC53" s="37">
        <f t="shared" si="11"/>
        <v>-1</v>
      </c>
      <c r="CD53" s="36">
        <f>[1]SFI!$O53</f>
        <v>416.8588487014901</v>
      </c>
      <c r="CE53" s="31">
        <f t="shared" si="46"/>
        <v>365.62689619607698</v>
      </c>
      <c r="CF53" s="31">
        <f t="shared" si="47"/>
        <v>51.231952505413133</v>
      </c>
      <c r="CG53" s="31">
        <f t="shared" si="48"/>
        <v>0</v>
      </c>
      <c r="CH53" s="31"/>
      <c r="CI53" s="33">
        <f>'[4]SÃO FRANCISCO'!CI53*'[3]SF I'!$X$4</f>
        <v>0</v>
      </c>
      <c r="CJ53" s="37">
        <f t="shared" si="12"/>
        <v>-1</v>
      </c>
      <c r="CK53" s="36">
        <f>[1]SFI!$P53</f>
        <v>416.8588487014901</v>
      </c>
      <c r="CL53" s="31">
        <f t="shared" si="49"/>
        <v>365.62689619607698</v>
      </c>
      <c r="CM53" s="31">
        <f t="shared" si="50"/>
        <v>51.231952505413133</v>
      </c>
      <c r="CN53" s="31">
        <f t="shared" si="51"/>
        <v>0</v>
      </c>
      <c r="CO53" s="31"/>
      <c r="CP53" s="33">
        <f>'[4]SÃO FRANCISCO'!CP53*'[3]SF I'!$X$4</f>
        <v>0</v>
      </c>
      <c r="CQ53" s="37">
        <f t="shared" si="13"/>
        <v>-1</v>
      </c>
    </row>
    <row r="54" spans="1:99" s="26" customFormat="1" ht="16" customHeight="1" thickBot="1" x14ac:dyDescent="0.25">
      <c r="A54" s="39" t="s">
        <v>78</v>
      </c>
      <c r="B54" s="50">
        <f t="shared" si="52"/>
        <v>71825.000000000015</v>
      </c>
      <c r="C54" s="40">
        <f t="shared" si="52"/>
        <v>62997.707500000004</v>
      </c>
      <c r="D54" s="51">
        <f t="shared" si="52"/>
        <v>8827.2924999999996</v>
      </c>
      <c r="E54" s="52">
        <f t="shared" si="54"/>
        <v>41042.857142857145</v>
      </c>
      <c r="F54" s="53">
        <f t="shared" si="54"/>
        <v>35998.69</v>
      </c>
      <c r="G54" s="54">
        <f t="shared" si="54"/>
        <v>5044.1671428571426</v>
      </c>
      <c r="H54" s="40">
        <f t="shared" si="53"/>
        <v>14980.585781478676</v>
      </c>
      <c r="I54" s="53">
        <f t="shared" si="53"/>
        <v>0</v>
      </c>
      <c r="J54" s="53">
        <f t="shared" si="53"/>
        <v>14980.585781478676</v>
      </c>
      <c r="K54" s="60">
        <f t="shared" si="15"/>
        <v>-0.63500139063574412</v>
      </c>
      <c r="L54" s="87">
        <f>[1]SFI!$E54</f>
        <v>10260.714285714286</v>
      </c>
      <c r="M54" s="40">
        <f t="shared" si="16"/>
        <v>8999.6725000000006</v>
      </c>
      <c r="N54" s="40">
        <f t="shared" si="17"/>
        <v>1261.0417857142857</v>
      </c>
      <c r="O54" s="40">
        <f t="shared" si="18"/>
        <v>0</v>
      </c>
      <c r="P54" s="40"/>
      <c r="Q54" s="53">
        <v>0</v>
      </c>
      <c r="R54" s="60">
        <f t="shared" si="2"/>
        <v>-1</v>
      </c>
      <c r="S54" s="87">
        <f>[1]SFI!$F54</f>
        <v>10260.714285714286</v>
      </c>
      <c r="T54" s="40">
        <f t="shared" si="19"/>
        <v>8999.6725000000006</v>
      </c>
      <c r="U54" s="40">
        <f t="shared" si="20"/>
        <v>1261.0417857142857</v>
      </c>
      <c r="V54" s="40">
        <f t="shared" si="21"/>
        <v>3776.9064454533218</v>
      </c>
      <c r="W54" s="40"/>
      <c r="X54" s="154">
        <f>'[4]SÃO FRANCISCO'!X54*'[3]SF I'!$X$4</f>
        <v>3776.9064454533218</v>
      </c>
      <c r="Y54" s="60">
        <f t="shared" si="3"/>
        <v>-0.63190608954857985</v>
      </c>
      <c r="Z54" s="87">
        <f>[1]SFI!$G54</f>
        <v>10260.714285714286</v>
      </c>
      <c r="AA54" s="40">
        <f t="shared" si="22"/>
        <v>8999.6725000000006</v>
      </c>
      <c r="AB54" s="40">
        <f t="shared" si="23"/>
        <v>1261.0417857142857</v>
      </c>
      <c r="AC54" s="40">
        <f t="shared" si="24"/>
        <v>11203.679336025354</v>
      </c>
      <c r="AD54" s="40"/>
      <c r="AE54" s="61">
        <f>'[4]SÃO FRANCISCO'!AE54*'[2]SF I'!$X$4</f>
        <v>11203.679336025354</v>
      </c>
      <c r="AF54" s="60">
        <f t="shared" si="4"/>
        <v>9.1900527005603472E-2</v>
      </c>
      <c r="AG54" s="87">
        <f>[1]SFI!$H54</f>
        <v>10260.714285714286</v>
      </c>
      <c r="AH54" s="40">
        <f t="shared" si="25"/>
        <v>8999.6725000000006</v>
      </c>
      <c r="AI54" s="40">
        <f t="shared" si="26"/>
        <v>1261.0417857142857</v>
      </c>
      <c r="AJ54" s="40">
        <f t="shared" si="27"/>
        <v>0</v>
      </c>
      <c r="AK54" s="40"/>
      <c r="AL54" s="53">
        <f>'[4]SÃO FRANCISCO'!AL54*'[3]SF I'!$X$4</f>
        <v>0</v>
      </c>
      <c r="AM54" s="60">
        <f t="shared" si="5"/>
        <v>-1</v>
      </c>
      <c r="AN54" s="56">
        <f>[1]SFI!$I54</f>
        <v>10260.714285714286</v>
      </c>
      <c r="AO54" s="40">
        <f t="shared" si="28"/>
        <v>8999.6725000000006</v>
      </c>
      <c r="AP54" s="40">
        <f t="shared" si="29"/>
        <v>1261.0417857142857</v>
      </c>
      <c r="AQ54" s="40">
        <f t="shared" si="30"/>
        <v>0</v>
      </c>
      <c r="AR54" s="40"/>
      <c r="AS54" s="58">
        <f>'[4]SÃO FRANCISCO'!AS54*'[3]SF I'!$X$4</f>
        <v>0</v>
      </c>
      <c r="AT54" s="60">
        <f t="shared" si="6"/>
        <v>-1</v>
      </c>
      <c r="AU54" s="56">
        <f>[1]SFI!$J54</f>
        <v>10260.714285714286</v>
      </c>
      <c r="AV54" s="40">
        <f t="shared" si="31"/>
        <v>8999.6725000000006</v>
      </c>
      <c r="AW54" s="40">
        <f t="shared" si="32"/>
        <v>1261.0417857142857</v>
      </c>
      <c r="AX54" s="40">
        <f t="shared" si="33"/>
        <v>0</v>
      </c>
      <c r="AY54" s="40"/>
      <c r="AZ54" s="59">
        <f>'[4]SÃO FRANCISCO'!AZ54*'[3]SF I'!$X$4</f>
        <v>0</v>
      </c>
      <c r="BA54" s="60">
        <f t="shared" si="7"/>
        <v>-1</v>
      </c>
      <c r="BB54" s="56">
        <f>[1]SFI!$K54</f>
        <v>10260.714285714286</v>
      </c>
      <c r="BC54" s="40">
        <f t="shared" si="34"/>
        <v>8999.6725000000006</v>
      </c>
      <c r="BD54" s="40">
        <f t="shared" si="35"/>
        <v>1261.0417857142857</v>
      </c>
      <c r="BE54" s="40">
        <f t="shared" si="36"/>
        <v>0</v>
      </c>
      <c r="BF54" s="40"/>
      <c r="BG54" s="59">
        <f>'[4]SÃO FRANCISCO'!BG54*'[3]SF I'!$X$4</f>
        <v>0</v>
      </c>
      <c r="BH54" s="60">
        <f t="shared" si="8"/>
        <v>-1</v>
      </c>
      <c r="BI54" s="56">
        <f>[1]SFI!$L54</f>
        <v>0</v>
      </c>
      <c r="BJ54" s="40">
        <f t="shared" si="37"/>
        <v>0</v>
      </c>
      <c r="BK54" s="40">
        <f t="shared" si="38"/>
        <v>0</v>
      </c>
      <c r="BL54" s="40">
        <f t="shared" si="39"/>
        <v>0</v>
      </c>
      <c r="BM54" s="40"/>
      <c r="BN54" s="58">
        <f>'[4]SÃO FRANCISCO'!BN54*'[3]SF I'!$X$4</f>
        <v>0</v>
      </c>
      <c r="BO54" s="60" t="str">
        <f t="shared" si="9"/>
        <v/>
      </c>
      <c r="BP54" s="56">
        <f>[1]SFI!$M54</f>
        <v>0</v>
      </c>
      <c r="BQ54" s="40">
        <f t="shared" si="40"/>
        <v>0</v>
      </c>
      <c r="BR54" s="40">
        <f t="shared" si="41"/>
        <v>0</v>
      </c>
      <c r="BS54" s="40">
        <f t="shared" si="42"/>
        <v>0</v>
      </c>
      <c r="BT54" s="40"/>
      <c r="BU54" s="58">
        <f>'[4]SÃO FRANCISCO'!BU54*'[3]SF I'!$X$4</f>
        <v>0</v>
      </c>
      <c r="BV54" s="60" t="str">
        <f t="shared" si="10"/>
        <v/>
      </c>
      <c r="BW54" s="87">
        <f>[1]SFI!$N54</f>
        <v>0</v>
      </c>
      <c r="BX54" s="40">
        <f t="shared" si="43"/>
        <v>0</v>
      </c>
      <c r="BY54" s="40">
        <f t="shared" si="44"/>
        <v>0</v>
      </c>
      <c r="BZ54" s="40">
        <f t="shared" si="45"/>
        <v>0</v>
      </c>
      <c r="CA54" s="40"/>
      <c r="CB54" s="53">
        <f>'[4]SÃO FRANCISCO'!CB54*'[3]SF I'!$X$4</f>
        <v>0</v>
      </c>
      <c r="CC54" s="60" t="str">
        <f t="shared" si="11"/>
        <v/>
      </c>
      <c r="CD54" s="87">
        <f>[1]SFI!$O54</f>
        <v>0</v>
      </c>
      <c r="CE54" s="40">
        <f t="shared" si="46"/>
        <v>0</v>
      </c>
      <c r="CF54" s="40">
        <f t="shared" si="47"/>
        <v>0</v>
      </c>
      <c r="CG54" s="40">
        <f t="shared" si="48"/>
        <v>0</v>
      </c>
      <c r="CH54" s="40"/>
      <c r="CI54" s="53">
        <f>'[4]SÃO FRANCISCO'!CI54*'[3]SF I'!$X$4</f>
        <v>0</v>
      </c>
      <c r="CJ54" s="60" t="str">
        <f t="shared" si="12"/>
        <v/>
      </c>
      <c r="CK54" s="87">
        <f>[1]SFI!$P54</f>
        <v>0</v>
      </c>
      <c r="CL54" s="40">
        <f t="shared" si="49"/>
        <v>0</v>
      </c>
      <c r="CM54" s="40">
        <f t="shared" si="50"/>
        <v>0</v>
      </c>
      <c r="CN54" s="40">
        <f t="shared" si="51"/>
        <v>0</v>
      </c>
      <c r="CO54" s="40"/>
      <c r="CP54" s="53">
        <f>'[4]SÃO FRANCISCO'!CP54*'[3]SF I'!$X$4</f>
        <v>0</v>
      </c>
      <c r="CQ54" s="60" t="str">
        <f t="shared" si="13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55">SUM(B4:B54)</f>
        <v>5168778.0689763092</v>
      </c>
      <c r="C55" s="64">
        <f t="shared" si="55"/>
        <v>4533535.2442991193</v>
      </c>
      <c r="D55" s="65">
        <f t="shared" si="55"/>
        <v>635242.82467718842</v>
      </c>
      <c r="E55" s="63">
        <f t="shared" si="55"/>
        <v>2753937.9844375709</v>
      </c>
      <c r="F55" s="66">
        <f t="shared" si="55"/>
        <v>2415479.006150193</v>
      </c>
      <c r="G55" s="67">
        <f t="shared" si="55"/>
        <v>338458.97828737739</v>
      </c>
      <c r="H55" s="64">
        <f t="shared" si="55"/>
        <v>2719138.9183036187</v>
      </c>
      <c r="I55" s="66">
        <f t="shared" si="55"/>
        <v>0</v>
      </c>
      <c r="J55" s="66">
        <f t="shared" si="55"/>
        <v>2719138.9183036187</v>
      </c>
      <c r="K55" s="120">
        <f t="shared" si="15"/>
        <v>-1.2636111027409025E-2</v>
      </c>
      <c r="L55" s="121">
        <f t="shared" ref="L55:U55" si="56">SUM(L4:L54)</f>
        <v>579555.06976014085</v>
      </c>
      <c r="M55" s="121">
        <f t="shared" si="56"/>
        <v>508327.75168661954</v>
      </c>
      <c r="N55" s="121">
        <f t="shared" si="56"/>
        <v>71227.318073521295</v>
      </c>
      <c r="O55" s="122">
        <f t="shared" si="56"/>
        <v>402738.9633787151</v>
      </c>
      <c r="P55" s="122">
        <f t="shared" si="56"/>
        <v>0</v>
      </c>
      <c r="Q55" s="123">
        <f t="shared" si="56"/>
        <v>402738.9633787151</v>
      </c>
      <c r="R55" s="120">
        <f>+Q55/L55-1</f>
        <v>-0.3050893963443444</v>
      </c>
      <c r="S55" s="121">
        <f t="shared" si="56"/>
        <v>729206.10834067815</v>
      </c>
      <c r="T55" s="121">
        <f t="shared" si="56"/>
        <v>639586.67762560875</v>
      </c>
      <c r="U55" s="121">
        <f t="shared" si="56"/>
        <v>89619.43071506932</v>
      </c>
      <c r="V55" s="122">
        <f t="shared" ref="V55:W55" si="57">SUM(V4:V54)</f>
        <v>733483.86388990667</v>
      </c>
      <c r="W55" s="122">
        <f t="shared" si="57"/>
        <v>0</v>
      </c>
      <c r="X55" s="123">
        <f t="shared" ref="X55" si="58">SUM(X4:X54)</f>
        <v>733483.86388990667</v>
      </c>
      <c r="Y55" s="120">
        <f>+X55/S55-1</f>
        <v>5.8663188641721042E-3</v>
      </c>
      <c r="Z55" s="121">
        <f t="shared" ref="Z55:AB55" si="59">SUM(Z4:Z54)</f>
        <v>912263.49067648908</v>
      </c>
      <c r="AA55" s="121">
        <f t="shared" si="59"/>
        <v>800146.30767234857</v>
      </c>
      <c r="AB55" s="121">
        <f t="shared" si="59"/>
        <v>112117.18300414049</v>
      </c>
      <c r="AC55" s="122">
        <f t="shared" ref="AC55:AD55" si="60">SUM(AC4:AC54)</f>
        <v>877674.1912954842</v>
      </c>
      <c r="AD55" s="122">
        <f t="shared" si="60"/>
        <v>0</v>
      </c>
      <c r="AE55" s="123">
        <f t="shared" ref="AE55" si="61">SUM(AE4:AE54)</f>
        <v>877674.1912954842</v>
      </c>
      <c r="AF55" s="120">
        <f>+AE55/Z55-1</f>
        <v>-3.7915908873383919E-2</v>
      </c>
      <c r="AG55" s="121">
        <f t="shared" ref="AG55:AI55" si="62">SUM(AG4:AG54)</f>
        <v>532913.31566026283</v>
      </c>
      <c r="AH55" s="121">
        <f t="shared" si="62"/>
        <v>467418.26916561654</v>
      </c>
      <c r="AI55" s="121">
        <f t="shared" si="62"/>
        <v>65495.046494646303</v>
      </c>
      <c r="AJ55" s="122">
        <f t="shared" ref="AJ55:AK55" si="63">SUM(AJ4:AJ54)</f>
        <v>705241.89973951341</v>
      </c>
      <c r="AK55" s="122">
        <f t="shared" si="63"/>
        <v>0</v>
      </c>
      <c r="AL55" s="123">
        <f t="shared" ref="AL55" si="64">SUM(AL4:AL54)</f>
        <v>705241.89973951341</v>
      </c>
      <c r="AM55" s="120">
        <f>+AL55/AG55-1</f>
        <v>0.32337076033790013</v>
      </c>
      <c r="AN55" s="121">
        <f t="shared" ref="AN55:AP55" si="65">SUM(AN4:AN54)</f>
        <v>285387.44174851605</v>
      </c>
      <c r="AO55" s="121">
        <f t="shared" si="65"/>
        <v>250313.32515762356</v>
      </c>
      <c r="AP55" s="121">
        <f t="shared" si="65"/>
        <v>35074.116590892634</v>
      </c>
      <c r="AQ55" s="122">
        <f t="shared" ref="AQ55:AR55" si="66">SUM(AQ4:AQ54)</f>
        <v>0</v>
      </c>
      <c r="AR55" s="122">
        <f t="shared" si="66"/>
        <v>0</v>
      </c>
      <c r="AS55" s="123">
        <f t="shared" ref="AS55" si="67">SUM(AS4:AS54)</f>
        <v>0</v>
      </c>
      <c r="AT55" s="120">
        <f>+AS55/AN55-1</f>
        <v>-1</v>
      </c>
      <c r="AU55" s="121">
        <f t="shared" ref="AU55:AW55" si="68">SUM(AU4:AU54)</f>
        <v>285509.83709179051</v>
      </c>
      <c r="AV55" s="121">
        <f t="shared" si="68"/>
        <v>250420.67811320955</v>
      </c>
      <c r="AW55" s="121">
        <f t="shared" si="68"/>
        <v>35089.158978581065</v>
      </c>
      <c r="AX55" s="122">
        <f t="shared" ref="AX55:AY55" si="69">SUM(AX4:AX54)</f>
        <v>0</v>
      </c>
      <c r="AY55" s="122">
        <f t="shared" si="69"/>
        <v>0</v>
      </c>
      <c r="AZ55" s="124">
        <f t="shared" ref="AZ55" si="70">SUM(AZ4:AZ54)</f>
        <v>0</v>
      </c>
      <c r="BA55" s="120">
        <f>+AZ55/AU55-1</f>
        <v>-1</v>
      </c>
      <c r="BB55" s="121">
        <f t="shared" ref="BB55:BD55" si="71">SUM(BB4:BB54)</f>
        <v>408271.96016886015</v>
      </c>
      <c r="BC55" s="121">
        <f t="shared" si="71"/>
        <v>358095.33626410726</v>
      </c>
      <c r="BD55" s="121">
        <f t="shared" si="71"/>
        <v>50176.623904752923</v>
      </c>
      <c r="BE55" s="122">
        <f t="shared" ref="BE55:BF55" si="72">SUM(BE4:BE54)</f>
        <v>0</v>
      </c>
      <c r="BF55" s="122">
        <f t="shared" si="72"/>
        <v>0</v>
      </c>
      <c r="BG55" s="123">
        <f t="shared" ref="BG55" si="73">SUM(BG4:BG54)</f>
        <v>0</v>
      </c>
      <c r="BH55" s="120">
        <f>+BG55/BB55-1</f>
        <v>-1</v>
      </c>
      <c r="BI55" s="121">
        <f t="shared" ref="BI55:BK55" si="74">SUM(BI4:BI54)</f>
        <v>286603.63436979777</v>
      </c>
      <c r="BJ55" s="121">
        <f t="shared" si="74"/>
        <v>251380.04770574972</v>
      </c>
      <c r="BK55" s="121">
        <f t="shared" si="74"/>
        <v>35223.586664048162</v>
      </c>
      <c r="BL55" s="122">
        <f t="shared" ref="BL55:BM55" si="75">SUM(BL4:BL54)</f>
        <v>0</v>
      </c>
      <c r="BM55" s="122">
        <f t="shared" si="75"/>
        <v>0</v>
      </c>
      <c r="BN55" s="123">
        <f t="shared" ref="BN55" si="76">SUM(BN4:BN54)</f>
        <v>0</v>
      </c>
      <c r="BO55" s="120">
        <f>+BN55/BI55-1</f>
        <v>-1</v>
      </c>
      <c r="BP55" s="121">
        <f t="shared" ref="BP55:BR55" si="77">SUM(BP4:BP54)</f>
        <v>394930.83989544143</v>
      </c>
      <c r="BQ55" s="121">
        <f t="shared" si="77"/>
        <v>346393.83967229165</v>
      </c>
      <c r="BR55" s="121">
        <f t="shared" si="77"/>
        <v>48537.000223149756</v>
      </c>
      <c r="BS55" s="122">
        <f t="shared" ref="BS55:BT55" si="78">SUM(BS4:BS54)</f>
        <v>0</v>
      </c>
      <c r="BT55" s="122">
        <f t="shared" si="78"/>
        <v>0</v>
      </c>
      <c r="BU55" s="123">
        <f t="shared" ref="BU55" si="79">SUM(BU4:BU54)</f>
        <v>0</v>
      </c>
      <c r="BV55" s="120">
        <f>+BU55/BP55-1</f>
        <v>-1</v>
      </c>
      <c r="BW55" s="121">
        <f t="shared" ref="BW55:BY55" si="80">SUM(BW4:BW54)</f>
        <v>278584.00573094818</v>
      </c>
      <c r="BX55" s="121">
        <f t="shared" si="80"/>
        <v>244346.0314266147</v>
      </c>
      <c r="BY55" s="121">
        <f t="shared" si="80"/>
        <v>34237.974304333547</v>
      </c>
      <c r="BZ55" s="122">
        <f t="shared" ref="BZ55:CA55" si="81">SUM(BZ4:BZ54)</f>
        <v>0</v>
      </c>
      <c r="CA55" s="122">
        <f t="shared" si="81"/>
        <v>0</v>
      </c>
      <c r="CB55" s="123">
        <f t="shared" ref="CB55" si="82">SUM(CB4:CB54)</f>
        <v>0</v>
      </c>
      <c r="CC55" s="120">
        <f>+CB55/BW55-1</f>
        <v>-1</v>
      </c>
      <c r="CD55" s="121">
        <f t="shared" ref="CD55:CF55" si="83">SUM(CD4:CD54)</f>
        <v>216638.84579992431</v>
      </c>
      <c r="CE55" s="121">
        <f t="shared" si="83"/>
        <v>190013.93165111364</v>
      </c>
      <c r="CF55" s="121">
        <f t="shared" si="83"/>
        <v>26624.914148810702</v>
      </c>
      <c r="CG55" s="122">
        <f t="shared" ref="CG55:CH55" si="84">SUM(CG4:CG54)</f>
        <v>0</v>
      </c>
      <c r="CH55" s="122">
        <f t="shared" si="84"/>
        <v>0</v>
      </c>
      <c r="CI55" s="123">
        <f t="shared" ref="CI55" si="85">SUM(CI4:CI54)</f>
        <v>0</v>
      </c>
      <c r="CJ55" s="120">
        <f>+CI55/CD55-1</f>
        <v>-1</v>
      </c>
      <c r="CK55" s="121">
        <f t="shared" ref="CK55:CM55" si="86">SUM(CK4:CK54)</f>
        <v>258913.51973345823</v>
      </c>
      <c r="CL55" s="121">
        <f t="shared" si="86"/>
        <v>227093.04815821626</v>
      </c>
      <c r="CM55" s="121">
        <f t="shared" si="86"/>
        <v>31820.47157524202</v>
      </c>
      <c r="CN55" s="122">
        <f t="shared" ref="CN55:CO55" si="87">SUM(CN4:CN54)</f>
        <v>0</v>
      </c>
      <c r="CO55" s="122">
        <f t="shared" si="87"/>
        <v>0</v>
      </c>
      <c r="CP55" s="123">
        <f t="shared" ref="CP55" si="88">SUM(CP4:CP54)</f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-33752.584981366315</v>
      </c>
      <c r="C56" s="76">
        <f t="shared" ref="C56:D57" si="89">+M56+T56+AA56+AH56+AO56+AV56+BC56+BJ56+BQ56+BX56+CE56+CL56</f>
        <v>-29604.392287156399</v>
      </c>
      <c r="D56" s="77">
        <f t="shared" si="89"/>
        <v>-4148.192694209919</v>
      </c>
      <c r="E56" s="75">
        <f>+L56+S56+Z56+AG56</f>
        <v>-11250.861660455439</v>
      </c>
      <c r="F56" s="78">
        <f t="shared" ref="F56:G57" si="90">+M56+T56+AA56+AH56</f>
        <v>-9868.1307623854664</v>
      </c>
      <c r="G56" s="79">
        <f t="shared" si="90"/>
        <v>-1382.7308980699734</v>
      </c>
      <c r="H56" s="76">
        <f t="shared" ref="H56:J57" si="91">+O56+V56+AC56+AJ56+AQ56+AX56+BE56+BL56+BS56+BZ56+CG56+CN56</f>
        <v>0</v>
      </c>
      <c r="I56" s="78">
        <f t="shared" si="91"/>
        <v>0</v>
      </c>
      <c r="J56" s="78">
        <f t="shared" si="91"/>
        <v>0</v>
      </c>
      <c r="K56" s="25">
        <f>IF(E56=0,"",(+J56/E56-1))</f>
        <v>-1</v>
      </c>
      <c r="L56" s="23">
        <f>[1]SFI!$E56</f>
        <v>-2812.7154151138598</v>
      </c>
      <c r="M56" s="18">
        <f t="shared" ref="M56:M57" si="92">L56-N56</f>
        <v>-2467.0326905963666</v>
      </c>
      <c r="N56" s="18">
        <f t="shared" ref="N56:N57" si="93">+L56*12.29%</f>
        <v>-345.68272451749334</v>
      </c>
      <c r="O56" s="18">
        <f t="shared" ref="O56:O57" si="94">+Q56-P56</f>
        <v>0</v>
      </c>
      <c r="P56" s="18"/>
      <c r="Q56" s="20">
        <v>0</v>
      </c>
      <c r="R56" s="25">
        <f t="shared" ref="R56:R57" si="95">IF(L56=0,"",(+Q56/L56-1))</f>
        <v>-1</v>
      </c>
      <c r="S56" s="23">
        <f>[1]SFI!$F56</f>
        <v>-2812.7154151138598</v>
      </c>
      <c r="T56" s="18">
        <f t="shared" ref="T56:T57" si="96">S56-U56</f>
        <v>-2467.0326905963666</v>
      </c>
      <c r="U56" s="18">
        <f t="shared" ref="U56:U57" si="97">+S56*12.29%</f>
        <v>-345.68272451749334</v>
      </c>
      <c r="V56" s="18">
        <f t="shared" ref="V56:V57" si="98">+X56-W56</f>
        <v>0</v>
      </c>
      <c r="W56" s="18"/>
      <c r="X56" s="20">
        <f>'[4]SÃO FRANCISCO'!X56*'[3]SF I'!$X$4</f>
        <v>0</v>
      </c>
      <c r="Y56" s="25">
        <f>IF(S56=0,"",(+X56/S56-1))</f>
        <v>-1</v>
      </c>
      <c r="Z56" s="23">
        <f>[1]SFI!$G56</f>
        <v>-2812.7154151138598</v>
      </c>
      <c r="AA56" s="18">
        <f t="shared" ref="AA56:AA57" si="99">Z56-AB56</f>
        <v>-2467.0326905963666</v>
      </c>
      <c r="AB56" s="18">
        <f t="shared" ref="AB56:AB57" si="100">+Z56*12.29%</f>
        <v>-345.68272451749334</v>
      </c>
      <c r="AC56" s="18">
        <f t="shared" ref="AC56:AC57" si="101">+AE56-AD56</f>
        <v>0</v>
      </c>
      <c r="AD56" s="18"/>
      <c r="AE56" s="24">
        <f>'[4]SÃO FRANCISCO'!AE56*'[2]SF I'!$X$4</f>
        <v>0</v>
      </c>
      <c r="AF56" s="25">
        <f t="shared" ref="AF56:AF57" si="102">IF(Z56=0,"",(+AE56/Z56-1))</f>
        <v>-1</v>
      </c>
      <c r="AG56" s="23">
        <f>[1]SFI!$H56</f>
        <v>-2812.7154151138598</v>
      </c>
      <c r="AH56" s="18">
        <f t="shared" ref="AH56:AH57" si="103">AG56-AI56</f>
        <v>-2467.0326905963666</v>
      </c>
      <c r="AI56" s="18">
        <f t="shared" ref="AI56:AI57" si="104">+AG56*12.29%</f>
        <v>-345.68272451749334</v>
      </c>
      <c r="AJ56" s="18">
        <f t="shared" ref="AJ56:AJ57" si="105">+AL56-AK56</f>
        <v>0</v>
      </c>
      <c r="AK56" s="18"/>
      <c r="AL56" s="20">
        <f>'[4]SÃO FRANCISCO'!AL56*'[3]SF I'!$X$4</f>
        <v>0</v>
      </c>
      <c r="AM56" s="25">
        <f t="shared" ref="AM56:AM57" si="106">IF(AG56=0,"",(+AL56/AG56-1))</f>
        <v>-1</v>
      </c>
      <c r="AN56" s="23">
        <f>[1]SFI!$I56</f>
        <v>-2812.7154151138598</v>
      </c>
      <c r="AO56" s="18">
        <f t="shared" ref="AO56:AO57" si="107">AN56-AP56</f>
        <v>-2467.0326905963666</v>
      </c>
      <c r="AP56" s="18">
        <f t="shared" ref="AP56:AP57" si="108">+AN56*12.29%</f>
        <v>-345.68272451749334</v>
      </c>
      <c r="AQ56" s="18">
        <f t="shared" ref="AQ56:AQ57" si="109">+AS56-AR56</f>
        <v>0</v>
      </c>
      <c r="AR56" s="18"/>
      <c r="AS56" s="20">
        <f>'[4]SÃO FRANCISCO'!AS56*'[3]SF I'!$X$4</f>
        <v>0</v>
      </c>
      <c r="AT56" s="25">
        <f t="shared" ref="AT56:AT57" si="110">IF(AN56=0,"",(+AS56/AN56-1))</f>
        <v>-1</v>
      </c>
      <c r="AU56" s="23">
        <f>[1]SFI!$J56</f>
        <v>-2812.7154151138598</v>
      </c>
      <c r="AV56" s="18">
        <f t="shared" ref="AV56:AV57" si="111">AU56-AW56</f>
        <v>-2467.0326905963666</v>
      </c>
      <c r="AW56" s="18">
        <f t="shared" ref="AW56:AW57" si="112">+AU56*12.29%</f>
        <v>-345.68272451749334</v>
      </c>
      <c r="AX56" s="18">
        <f t="shared" ref="AX56:AX57" si="113">+AZ56-AY56</f>
        <v>0</v>
      </c>
      <c r="AY56" s="18"/>
      <c r="AZ56" s="24">
        <f>'[4]SÃO FRANCISCO'!AZ56*'[3]SF I'!$X$4</f>
        <v>0</v>
      </c>
      <c r="BA56" s="25">
        <f t="shared" ref="BA56:BA57" si="114">IF(AU56=0,"",(+AZ56/AU56-1))</f>
        <v>-1</v>
      </c>
      <c r="BB56" s="23">
        <f>[1]SFI!$K56</f>
        <v>-2812.7154151138598</v>
      </c>
      <c r="BC56" s="18">
        <f t="shared" ref="BC56:BC57" si="115">BB56-BD56</f>
        <v>-2467.0326905963666</v>
      </c>
      <c r="BD56" s="18">
        <f t="shared" ref="BD56:BD57" si="116">+BB56*12.29%</f>
        <v>-345.68272451749334</v>
      </c>
      <c r="BE56" s="18">
        <f t="shared" ref="BE56:BE57" si="117">+BG56-BF56</f>
        <v>0</v>
      </c>
      <c r="BF56" s="18"/>
      <c r="BG56" s="20">
        <f>'[4]SÃO FRANCISCO'!BG56*'[3]SF I'!$X$4</f>
        <v>0</v>
      </c>
      <c r="BH56" s="25">
        <f t="shared" ref="BH56:BH57" si="118">IF(BB56=0,"",(+BG56/BB56-1))</f>
        <v>-1</v>
      </c>
      <c r="BI56" s="23">
        <f>[1]SFI!$L56</f>
        <v>-2812.7154151138598</v>
      </c>
      <c r="BJ56" s="18">
        <f t="shared" ref="BJ56:BJ57" si="119">BI56-BK56</f>
        <v>-2467.0326905963666</v>
      </c>
      <c r="BK56" s="18">
        <f t="shared" ref="BK56:BK57" si="120">+BI56*12.29%</f>
        <v>-345.68272451749334</v>
      </c>
      <c r="BL56" s="18">
        <f t="shared" ref="BL56:BL57" si="121">+BN56-BM56</f>
        <v>0</v>
      </c>
      <c r="BM56" s="18"/>
      <c r="BN56" s="20">
        <f>'[4]SÃO FRANCISCO'!BN56*'[3]SF I'!$X$4</f>
        <v>0</v>
      </c>
      <c r="BO56" s="25">
        <f t="shared" ref="BO56:BO57" si="122">IF(BI56=0,"",(+BN56/BI56-1))</f>
        <v>-1</v>
      </c>
      <c r="BP56" s="23">
        <f>[1]SFI!$M56</f>
        <v>-2812.7154151138598</v>
      </c>
      <c r="BQ56" s="18">
        <f t="shared" ref="BQ56:BQ57" si="123">BP56-BR56</f>
        <v>-2467.0326905963666</v>
      </c>
      <c r="BR56" s="18">
        <f t="shared" ref="BR56:BR57" si="124">+BP56*12.29%</f>
        <v>-345.68272451749334</v>
      </c>
      <c r="BS56" s="18">
        <f t="shared" ref="BS56:BS57" si="125">+BU56-BT56</f>
        <v>0</v>
      </c>
      <c r="BT56" s="18"/>
      <c r="BU56" s="20">
        <f>'[4]SÃO FRANCISCO'!BU56*'[3]SF I'!$X$4</f>
        <v>0</v>
      </c>
      <c r="BV56" s="25">
        <f t="shared" ref="BV56:BV57" si="126">IF(BP56=0,"",(+BU56/BP56-1))</f>
        <v>-1</v>
      </c>
      <c r="BW56" s="23">
        <f>[1]SFI!$N56</f>
        <v>-2812.7154151138598</v>
      </c>
      <c r="BX56" s="18">
        <f t="shared" ref="BX56:BX57" si="127">BW56-BY56</f>
        <v>-2467.0326905963666</v>
      </c>
      <c r="BY56" s="18">
        <f t="shared" ref="BY56:BY57" si="128">+BW56*12.29%</f>
        <v>-345.68272451749334</v>
      </c>
      <c r="BZ56" s="18">
        <f t="shared" ref="BZ56:BZ57" si="129">+CB56-CA56</f>
        <v>0</v>
      </c>
      <c r="CA56" s="18"/>
      <c r="CB56" s="20">
        <f>'[4]SÃO FRANCISCO'!CB56*'[3]SF I'!$X$4</f>
        <v>0</v>
      </c>
      <c r="CC56" s="25">
        <f t="shared" ref="CC56:CC57" si="130">IF(BW56=0,"",(+CB56/BW56-1))</f>
        <v>-1</v>
      </c>
      <c r="CD56" s="23">
        <f>[1]SFI!$O56</f>
        <v>-2812.7154151138598</v>
      </c>
      <c r="CE56" s="18">
        <f t="shared" ref="CE56:CE57" si="131">CD56-CF56</f>
        <v>-2467.0326905963666</v>
      </c>
      <c r="CF56" s="18">
        <f t="shared" ref="CF56:CF57" si="132">+CD56*12.29%</f>
        <v>-345.68272451749334</v>
      </c>
      <c r="CG56" s="18">
        <f t="shared" ref="CG56:CG57" si="133">+CI56-CH56</f>
        <v>0</v>
      </c>
      <c r="CH56" s="18"/>
      <c r="CI56" s="20">
        <f>'[4]SÃO FRANCISCO'!CI56*'[3]SF I'!$X$4</f>
        <v>0</v>
      </c>
      <c r="CJ56" s="25">
        <f t="shared" ref="CJ56:CJ57" si="134">IF(CD56=0,"",(+CI56/CD56-1))</f>
        <v>-1</v>
      </c>
      <c r="CK56" s="23">
        <f>[1]SFI!$P56</f>
        <v>-2812.7154151138598</v>
      </c>
      <c r="CL56" s="18">
        <f t="shared" ref="CL56:CL57" si="135">CK56-CM56</f>
        <v>-2467.0326905963666</v>
      </c>
      <c r="CM56" s="18">
        <f t="shared" ref="CM56:CM57" si="136">+CK56*12.29%</f>
        <v>-345.68272451749334</v>
      </c>
      <c r="CN56" s="18">
        <f t="shared" ref="CN56:CN57" si="137">+CP56-CO56</f>
        <v>0</v>
      </c>
      <c r="CO56" s="18"/>
      <c r="CP56" s="20">
        <f>'[4]SÃO FRANCISCO'!CP56*'[3]SF I'!$X$4</f>
        <v>0</v>
      </c>
      <c r="CQ56" s="25">
        <f t="shared" ref="CQ56:CQ57" si="138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-11250.861660455439</v>
      </c>
      <c r="C57" s="40">
        <f t="shared" si="89"/>
        <v>-9868.1307623854664</v>
      </c>
      <c r="D57" s="51">
        <f t="shared" si="89"/>
        <v>-1382.7308980699734</v>
      </c>
      <c r="E57" s="50">
        <f>+L57+S57+Z57+AG57</f>
        <v>-3750.2872201518135</v>
      </c>
      <c r="F57" s="58">
        <f t="shared" si="90"/>
        <v>-3289.3769207951555</v>
      </c>
      <c r="G57" s="85">
        <f t="shared" si="90"/>
        <v>-460.91029935665784</v>
      </c>
      <c r="H57" s="57">
        <f t="shared" si="91"/>
        <v>0</v>
      </c>
      <c r="I57" s="58">
        <f t="shared" si="91"/>
        <v>0</v>
      </c>
      <c r="J57" s="58">
        <f t="shared" si="91"/>
        <v>0</v>
      </c>
      <c r="K57" s="127">
        <f>IF(E57=0,"",(+J57/E57-1))</f>
        <v>-1</v>
      </c>
      <c r="L57" s="56">
        <f>[1]SFI!$E57</f>
        <v>-937.57180503795337</v>
      </c>
      <c r="M57" s="57">
        <f t="shared" si="92"/>
        <v>-822.34423019878886</v>
      </c>
      <c r="N57" s="57">
        <f t="shared" si="93"/>
        <v>-115.22757483916446</v>
      </c>
      <c r="O57" s="57">
        <f t="shared" si="94"/>
        <v>0</v>
      </c>
      <c r="P57" s="57"/>
      <c r="Q57" s="58">
        <v>0</v>
      </c>
      <c r="R57" s="127">
        <f t="shared" si="95"/>
        <v>-1</v>
      </c>
      <c r="S57" s="56">
        <f>[1]SFI!$F57</f>
        <v>-937.57180503795337</v>
      </c>
      <c r="T57" s="57">
        <f t="shared" si="96"/>
        <v>-822.34423019878886</v>
      </c>
      <c r="U57" s="57">
        <f t="shared" si="97"/>
        <v>-115.22757483916446</v>
      </c>
      <c r="V57" s="57">
        <f t="shared" si="98"/>
        <v>0</v>
      </c>
      <c r="W57" s="57"/>
      <c r="X57" s="58">
        <f>'[4]SÃO FRANCISCO'!X57*'[3]SF I'!$X$4</f>
        <v>0</v>
      </c>
      <c r="Y57" s="127">
        <f>IF(S57=0,"",(+X57/S57-1))</f>
        <v>-1</v>
      </c>
      <c r="Z57" s="56">
        <f>[1]SFI!$G57</f>
        <v>-937.57180503795337</v>
      </c>
      <c r="AA57" s="57">
        <f t="shared" si="99"/>
        <v>-822.34423019878886</v>
      </c>
      <c r="AB57" s="57">
        <f t="shared" si="100"/>
        <v>-115.22757483916446</v>
      </c>
      <c r="AC57" s="57">
        <f t="shared" si="101"/>
        <v>0</v>
      </c>
      <c r="AD57" s="57"/>
      <c r="AE57" s="59">
        <f>'[4]SÃO FRANCISCO'!AE57*'[2]SF I'!$X$4</f>
        <v>0</v>
      </c>
      <c r="AF57" s="127">
        <f t="shared" si="102"/>
        <v>-1</v>
      </c>
      <c r="AG57" s="56">
        <f>[1]SFI!$H57</f>
        <v>-937.57180503795337</v>
      </c>
      <c r="AH57" s="57">
        <f t="shared" si="103"/>
        <v>-822.34423019878886</v>
      </c>
      <c r="AI57" s="57">
        <f t="shared" si="104"/>
        <v>-115.22757483916446</v>
      </c>
      <c r="AJ57" s="57">
        <f t="shared" si="105"/>
        <v>0</v>
      </c>
      <c r="AK57" s="57"/>
      <c r="AL57" s="58">
        <f>'[4]SÃO FRANCISCO'!AL57*'[3]SF I'!$X$4</f>
        <v>0</v>
      </c>
      <c r="AM57" s="127">
        <f t="shared" si="106"/>
        <v>-1</v>
      </c>
      <c r="AN57" s="56">
        <f>[1]SFI!$I57</f>
        <v>-937.57180503795337</v>
      </c>
      <c r="AO57" s="57">
        <f t="shared" si="107"/>
        <v>-822.34423019878886</v>
      </c>
      <c r="AP57" s="57">
        <f t="shared" si="108"/>
        <v>-115.22757483916446</v>
      </c>
      <c r="AQ57" s="57">
        <f t="shared" si="109"/>
        <v>0</v>
      </c>
      <c r="AR57" s="57"/>
      <c r="AS57" s="58">
        <f>'[4]SÃO FRANCISCO'!AS57*'[3]SF I'!$X$4</f>
        <v>0</v>
      </c>
      <c r="AT57" s="127">
        <f t="shared" si="110"/>
        <v>-1</v>
      </c>
      <c r="AU57" s="56">
        <f>[1]SFI!$J57</f>
        <v>-937.57180503795337</v>
      </c>
      <c r="AV57" s="57">
        <f t="shared" si="111"/>
        <v>-822.34423019878886</v>
      </c>
      <c r="AW57" s="57">
        <f t="shared" si="112"/>
        <v>-115.22757483916446</v>
      </c>
      <c r="AX57" s="57">
        <f t="shared" si="113"/>
        <v>0</v>
      </c>
      <c r="AY57" s="57"/>
      <c r="AZ57" s="59">
        <f>'[4]SÃO FRANCISCO'!AZ57*'[3]SF I'!$X$4</f>
        <v>0</v>
      </c>
      <c r="BA57" s="127">
        <f t="shared" si="114"/>
        <v>-1</v>
      </c>
      <c r="BB57" s="56">
        <f>[1]SFI!$K57</f>
        <v>-937.57180503795337</v>
      </c>
      <c r="BC57" s="57">
        <f t="shared" si="115"/>
        <v>-822.34423019878886</v>
      </c>
      <c r="BD57" s="57">
        <f t="shared" si="116"/>
        <v>-115.22757483916446</v>
      </c>
      <c r="BE57" s="57">
        <f t="shared" si="117"/>
        <v>0</v>
      </c>
      <c r="BF57" s="57"/>
      <c r="BG57" s="58">
        <f>'[4]SÃO FRANCISCO'!BG57*'[3]SF I'!$X$4</f>
        <v>0</v>
      </c>
      <c r="BH57" s="127">
        <f t="shared" si="118"/>
        <v>-1</v>
      </c>
      <c r="BI57" s="56">
        <f>[1]SFI!$L57</f>
        <v>-937.57180503795337</v>
      </c>
      <c r="BJ57" s="57">
        <f t="shared" si="119"/>
        <v>-822.34423019878886</v>
      </c>
      <c r="BK57" s="57">
        <f t="shared" si="120"/>
        <v>-115.22757483916446</v>
      </c>
      <c r="BL57" s="57">
        <f t="shared" si="121"/>
        <v>0</v>
      </c>
      <c r="BM57" s="57"/>
      <c r="BN57" s="58">
        <f>'[4]SÃO FRANCISCO'!BN57*'[3]SF I'!$X$4</f>
        <v>0</v>
      </c>
      <c r="BO57" s="127">
        <f t="shared" si="122"/>
        <v>-1</v>
      </c>
      <c r="BP57" s="56">
        <f>[1]SFI!$M57</f>
        <v>-937.57180503795337</v>
      </c>
      <c r="BQ57" s="57">
        <f t="shared" si="123"/>
        <v>-822.34423019878886</v>
      </c>
      <c r="BR57" s="57">
        <f t="shared" si="124"/>
        <v>-115.22757483916446</v>
      </c>
      <c r="BS57" s="57">
        <f t="shared" si="125"/>
        <v>0</v>
      </c>
      <c r="BT57" s="57"/>
      <c r="BU57" s="58">
        <f>'[4]SÃO FRANCISCO'!BU57*'[3]SF I'!$X$4</f>
        <v>0</v>
      </c>
      <c r="BV57" s="127">
        <f t="shared" si="126"/>
        <v>-1</v>
      </c>
      <c r="BW57" s="56">
        <f>[1]SFI!$N57</f>
        <v>-937.57180503795337</v>
      </c>
      <c r="BX57" s="57">
        <f t="shared" si="127"/>
        <v>-822.34423019878886</v>
      </c>
      <c r="BY57" s="57">
        <f t="shared" si="128"/>
        <v>-115.22757483916446</v>
      </c>
      <c r="BZ57" s="57">
        <f t="shared" si="129"/>
        <v>0</v>
      </c>
      <c r="CA57" s="57"/>
      <c r="CB57" s="58">
        <f>'[4]SÃO FRANCISCO'!CB57*'[3]SF I'!$X$4</f>
        <v>0</v>
      </c>
      <c r="CC57" s="127">
        <f t="shared" si="130"/>
        <v>-1</v>
      </c>
      <c r="CD57" s="56">
        <f>[1]SFI!$O57</f>
        <v>-937.57180503795337</v>
      </c>
      <c r="CE57" s="57">
        <f t="shared" si="131"/>
        <v>-822.34423019878886</v>
      </c>
      <c r="CF57" s="57">
        <f t="shared" si="132"/>
        <v>-115.22757483916446</v>
      </c>
      <c r="CG57" s="57">
        <f t="shared" si="133"/>
        <v>0</v>
      </c>
      <c r="CH57" s="57"/>
      <c r="CI57" s="58">
        <f>'[4]SÃO FRANCISCO'!CI57*'[3]SF I'!$X$4</f>
        <v>0</v>
      </c>
      <c r="CJ57" s="127">
        <f t="shared" si="134"/>
        <v>-1</v>
      </c>
      <c r="CK57" s="56">
        <f>[1]SFI!$P57</f>
        <v>-937.57180503795337</v>
      </c>
      <c r="CL57" s="57">
        <f t="shared" si="135"/>
        <v>-822.34423019878886</v>
      </c>
      <c r="CM57" s="57">
        <f t="shared" si="136"/>
        <v>-115.22757483916446</v>
      </c>
      <c r="CN57" s="57">
        <f t="shared" si="137"/>
        <v>0</v>
      </c>
      <c r="CO57" s="57"/>
      <c r="CP57" s="58">
        <f>'[4]SÃO FRANCISCO'!CP57*'[3]SF I'!$X$4</f>
        <v>0</v>
      </c>
      <c r="CQ57" s="127">
        <f t="shared" si="138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5123774.6223344877</v>
      </c>
      <c r="C58" s="90">
        <f t="shared" ref="C58:D58" si="139">+C55+C56+C57</f>
        <v>4494062.7212495776</v>
      </c>
      <c r="D58" s="91">
        <f t="shared" si="139"/>
        <v>629711.90108490863</v>
      </c>
      <c r="E58" s="92">
        <f t="shared" ref="E58:J58" si="140">SUM(E55:E57)</f>
        <v>2738936.8355569639</v>
      </c>
      <c r="F58" s="93">
        <f t="shared" si="140"/>
        <v>2402321.4984670123</v>
      </c>
      <c r="G58" s="94">
        <f t="shared" si="140"/>
        <v>336615.33708995074</v>
      </c>
      <c r="H58" s="95">
        <f t="shared" si="140"/>
        <v>2719138.9183036187</v>
      </c>
      <c r="I58" s="96">
        <f t="shared" si="140"/>
        <v>0</v>
      </c>
      <c r="J58" s="96">
        <f t="shared" si="140"/>
        <v>2719138.9183036187</v>
      </c>
      <c r="K58" s="132">
        <f t="shared" si="15"/>
        <v>-7.2283219519078123E-3</v>
      </c>
      <c r="L58" s="133">
        <f t="shared" ref="L58:U58" si="141">SUM(L55:L57)</f>
        <v>575804.7825399891</v>
      </c>
      <c r="M58" s="133">
        <f t="shared" si="141"/>
        <v>505038.37476582441</v>
      </c>
      <c r="N58" s="133">
        <f t="shared" si="141"/>
        <v>70766.407774164632</v>
      </c>
      <c r="O58" s="95">
        <f t="shared" si="141"/>
        <v>402738.9633787151</v>
      </c>
      <c r="P58" s="95">
        <f t="shared" si="141"/>
        <v>0</v>
      </c>
      <c r="Q58" s="96">
        <f t="shared" si="141"/>
        <v>402738.9633787151</v>
      </c>
      <c r="R58" s="132">
        <f>+Q58/L55-1</f>
        <v>-0.3050893963443444</v>
      </c>
      <c r="S58" s="133">
        <f t="shared" si="141"/>
        <v>725455.82112052641</v>
      </c>
      <c r="T58" s="133">
        <f t="shared" si="141"/>
        <v>636297.30070481356</v>
      </c>
      <c r="U58" s="133">
        <f t="shared" si="141"/>
        <v>89158.520415712657</v>
      </c>
      <c r="V58" s="95">
        <f t="shared" ref="V58:W58" si="142">SUM(V55:V57)</f>
        <v>733483.86388990667</v>
      </c>
      <c r="W58" s="95">
        <f t="shared" si="142"/>
        <v>0</v>
      </c>
      <c r="X58" s="96">
        <f t="shared" ref="X58" si="143">SUM(X55:X57)</f>
        <v>733483.86388990667</v>
      </c>
      <c r="Y58" s="132">
        <f>+X58/S55-1</f>
        <v>5.8663188641721042E-3</v>
      </c>
      <c r="Z58" s="133">
        <f t="shared" ref="Z58:AB58" si="144">SUM(Z55:Z57)</f>
        <v>908513.20345633733</v>
      </c>
      <c r="AA58" s="133">
        <f t="shared" si="144"/>
        <v>796856.93075155339</v>
      </c>
      <c r="AB58" s="133">
        <f t="shared" si="144"/>
        <v>111656.27270478383</v>
      </c>
      <c r="AC58" s="95">
        <f t="shared" ref="AC58:AD58" si="145">SUM(AC55:AC57)</f>
        <v>877674.1912954842</v>
      </c>
      <c r="AD58" s="95">
        <f t="shared" si="145"/>
        <v>0</v>
      </c>
      <c r="AE58" s="96">
        <f t="shared" ref="AE58" si="146">SUM(AE55:AE57)</f>
        <v>877674.1912954842</v>
      </c>
      <c r="AF58" s="132">
        <f>+AE58/Z55-1</f>
        <v>-3.7915908873383919E-2</v>
      </c>
      <c r="AG58" s="133">
        <f t="shared" ref="AG58:AI58" si="147">SUM(AG55:AG57)</f>
        <v>529163.02844011108</v>
      </c>
      <c r="AH58" s="133">
        <f t="shared" si="147"/>
        <v>464128.89224482141</v>
      </c>
      <c r="AI58" s="133">
        <f t="shared" si="147"/>
        <v>65034.136195289648</v>
      </c>
      <c r="AJ58" s="95">
        <f t="shared" ref="AJ58:AK58" si="148">SUM(AJ55:AJ57)</f>
        <v>705241.89973951341</v>
      </c>
      <c r="AK58" s="95">
        <f t="shared" si="148"/>
        <v>0</v>
      </c>
      <c r="AL58" s="96">
        <f t="shared" ref="AL58" si="149">SUM(AL55:AL57)</f>
        <v>705241.89973951341</v>
      </c>
      <c r="AM58" s="132">
        <f>+AL58/AG55-1</f>
        <v>0.32337076033790013</v>
      </c>
      <c r="AN58" s="133">
        <f t="shared" ref="AN58:AP58" si="150">SUM(AN55:AN57)</f>
        <v>281637.15452836425</v>
      </c>
      <c r="AO58" s="133">
        <f t="shared" si="150"/>
        <v>247023.94823682841</v>
      </c>
      <c r="AP58" s="133">
        <f t="shared" si="150"/>
        <v>34613.206291535978</v>
      </c>
      <c r="AQ58" s="95">
        <f t="shared" ref="AQ58:AR58" si="151">SUM(AQ55:AQ57)</f>
        <v>0</v>
      </c>
      <c r="AR58" s="95">
        <f t="shared" si="151"/>
        <v>0</v>
      </c>
      <c r="AS58" s="96">
        <f t="shared" ref="AS58" si="152">SUM(AS55:AS57)</f>
        <v>0</v>
      </c>
      <c r="AT58" s="132">
        <f>+AS58/AN55-1</f>
        <v>-1</v>
      </c>
      <c r="AU58" s="133">
        <f t="shared" ref="AU58:AW58" si="153">SUM(AU55:AU57)</f>
        <v>281759.54987163871</v>
      </c>
      <c r="AV58" s="133">
        <f t="shared" si="153"/>
        <v>247131.30119241439</v>
      </c>
      <c r="AW58" s="133">
        <f t="shared" si="153"/>
        <v>34628.248679224409</v>
      </c>
      <c r="AX58" s="95">
        <f t="shared" ref="AX58:AY58" si="154">SUM(AX55:AX57)</f>
        <v>0</v>
      </c>
      <c r="AY58" s="95">
        <f t="shared" si="154"/>
        <v>0</v>
      </c>
      <c r="AZ58" s="137">
        <f t="shared" ref="AZ58" si="155">SUM(AZ55:AZ57)</f>
        <v>0</v>
      </c>
      <c r="BA58" s="132">
        <f>+AZ58/AU55-1</f>
        <v>-1</v>
      </c>
      <c r="BB58" s="133">
        <f t="shared" ref="BB58:BD58" si="156">SUM(BB55:BB57)</f>
        <v>404521.67294870835</v>
      </c>
      <c r="BC58" s="133">
        <f t="shared" si="156"/>
        <v>354805.95934331213</v>
      </c>
      <c r="BD58" s="133">
        <f t="shared" si="156"/>
        <v>49715.713605396268</v>
      </c>
      <c r="BE58" s="95">
        <f t="shared" ref="BE58:BF58" si="157">SUM(BE55:BE57)</f>
        <v>0</v>
      </c>
      <c r="BF58" s="95">
        <f t="shared" si="157"/>
        <v>0</v>
      </c>
      <c r="BG58" s="96">
        <f t="shared" ref="BG58" si="158">SUM(BG55:BG57)</f>
        <v>0</v>
      </c>
      <c r="BH58" s="132">
        <f>+BG58/BB55-1</f>
        <v>-1</v>
      </c>
      <c r="BI58" s="133">
        <f t="shared" ref="BI58:BK58" si="159">SUM(BI55:BI57)</f>
        <v>282853.34714964597</v>
      </c>
      <c r="BJ58" s="133">
        <f t="shared" si="159"/>
        <v>248090.67078495456</v>
      </c>
      <c r="BK58" s="133">
        <f t="shared" si="159"/>
        <v>34762.676364691506</v>
      </c>
      <c r="BL58" s="95">
        <f t="shared" ref="BL58:BM58" si="160">SUM(BL55:BL57)</f>
        <v>0</v>
      </c>
      <c r="BM58" s="95">
        <f t="shared" si="160"/>
        <v>0</v>
      </c>
      <c r="BN58" s="96">
        <f t="shared" ref="BN58" si="161">SUM(BN55:BN57)</f>
        <v>0</v>
      </c>
      <c r="BO58" s="132">
        <f>+BN58/BI55-1</f>
        <v>-1</v>
      </c>
      <c r="BP58" s="133">
        <f t="shared" ref="BP58:BR58" si="162">SUM(BP55:BP57)</f>
        <v>391180.55267528963</v>
      </c>
      <c r="BQ58" s="133">
        <f t="shared" si="162"/>
        <v>343104.46275149653</v>
      </c>
      <c r="BR58" s="133">
        <f t="shared" si="162"/>
        <v>48076.089923793101</v>
      </c>
      <c r="BS58" s="95">
        <f t="shared" ref="BS58:BT58" si="163">SUM(BS55:BS57)</f>
        <v>0</v>
      </c>
      <c r="BT58" s="95">
        <f t="shared" si="163"/>
        <v>0</v>
      </c>
      <c r="BU58" s="96">
        <f t="shared" ref="BU58" si="164">SUM(BU55:BU57)</f>
        <v>0</v>
      </c>
      <c r="BV58" s="132">
        <f>+BU58/BP55-1</f>
        <v>-1</v>
      </c>
      <c r="BW58" s="133">
        <f t="shared" ref="BW58:BY58" si="165">SUM(BW55:BW57)</f>
        <v>274833.71851079637</v>
      </c>
      <c r="BX58" s="133">
        <f t="shared" si="165"/>
        <v>241056.65450581955</v>
      </c>
      <c r="BY58" s="133">
        <f t="shared" si="165"/>
        <v>33777.064004976892</v>
      </c>
      <c r="BZ58" s="95">
        <f t="shared" ref="BZ58:CA58" si="166">SUM(BZ55:BZ57)</f>
        <v>0</v>
      </c>
      <c r="CA58" s="95">
        <f t="shared" si="166"/>
        <v>0</v>
      </c>
      <c r="CB58" s="96">
        <f t="shared" ref="CB58" si="167">SUM(CB55:CB57)</f>
        <v>0</v>
      </c>
      <c r="CC58" s="132">
        <f>+CB58/BW55-1</f>
        <v>-1</v>
      </c>
      <c r="CD58" s="133">
        <f t="shared" ref="CD58:CF58" si="168">SUM(CD55:CD57)</f>
        <v>212888.55857977248</v>
      </c>
      <c r="CE58" s="133">
        <f t="shared" si="168"/>
        <v>186724.55473031849</v>
      </c>
      <c r="CF58" s="133">
        <f t="shared" si="168"/>
        <v>26164.003849454042</v>
      </c>
      <c r="CG58" s="95">
        <f t="shared" ref="CG58:CH58" si="169">SUM(CG55:CG57)</f>
        <v>0</v>
      </c>
      <c r="CH58" s="95">
        <f t="shared" si="169"/>
        <v>0</v>
      </c>
      <c r="CI58" s="96">
        <f t="shared" ref="CI58" si="170">SUM(CI55:CI57)</f>
        <v>0</v>
      </c>
      <c r="CJ58" s="132">
        <f>+CI58/CD55-1</f>
        <v>-1</v>
      </c>
      <c r="CK58" s="133">
        <f t="shared" ref="CK58:CM58" si="171">SUM(CK55:CK57)</f>
        <v>255163.2325133064</v>
      </c>
      <c r="CL58" s="133">
        <f t="shared" si="171"/>
        <v>223803.67123742111</v>
      </c>
      <c r="CM58" s="133">
        <f t="shared" si="171"/>
        <v>31359.56127588536</v>
      </c>
      <c r="CN58" s="95">
        <f t="shared" ref="CN58:CO58" si="172">SUM(CN55:CN57)</f>
        <v>0</v>
      </c>
      <c r="CO58" s="95">
        <f t="shared" si="172"/>
        <v>0</v>
      </c>
      <c r="CP58" s="96">
        <f t="shared" ref="CP58" si="173">SUM(CP55:CP57)</f>
        <v>0</v>
      </c>
      <c r="CQ58" s="132">
        <f>+CP58/CK55-1</f>
        <v>-1</v>
      </c>
    </row>
    <row r="59" spans="1:99" ht="14.25" customHeight="1" x14ac:dyDescent="0.2">
      <c r="B59" s="156"/>
      <c r="C59" s="156"/>
      <c r="D59" s="156"/>
      <c r="J59" s="139">
        <f>J58-'[2]SF I'!$N$58</f>
        <v>0</v>
      </c>
      <c r="K59" s="139"/>
      <c r="L59" s="139"/>
      <c r="M59" s="139"/>
      <c r="N59" s="139"/>
      <c r="O59" s="139"/>
      <c r="P59" s="139"/>
      <c r="Q59" s="139">
        <f>Q58-'[2]SF I'!$N$125</f>
        <v>0</v>
      </c>
      <c r="R59" s="139"/>
      <c r="S59" s="139"/>
      <c r="T59" s="139"/>
      <c r="U59" s="139"/>
      <c r="V59" s="139"/>
      <c r="W59" s="139"/>
      <c r="X59" s="139">
        <f>X58-'[2]SF I'!$N$189</f>
        <v>0</v>
      </c>
      <c r="AE59" s="139">
        <f>AE58-'[2]SF I'!$N$253</f>
        <v>0</v>
      </c>
      <c r="AL59" s="139">
        <f>AL58-'[2]SF I'!$N$318</f>
        <v>0</v>
      </c>
      <c r="AS59" s="203"/>
      <c r="AZ59" s="139"/>
      <c r="BG59" s="203"/>
      <c r="BI59" s="139"/>
      <c r="BJ59" s="139"/>
      <c r="BK59" s="139"/>
      <c r="BL59" s="139"/>
      <c r="BM59" s="139"/>
      <c r="BN59" s="203"/>
      <c r="BU59" s="203"/>
      <c r="CB59" s="139"/>
      <c r="CI59" s="165"/>
      <c r="CP59" s="203"/>
    </row>
    <row r="60" spans="1:99" ht="14.25" customHeight="1" x14ac:dyDescent="0.2">
      <c r="L60" s="273"/>
      <c r="M60" s="273"/>
      <c r="N60" s="273"/>
      <c r="O60" s="273"/>
      <c r="P60" s="273"/>
      <c r="Q60" s="275"/>
      <c r="R60" s="275"/>
      <c r="S60" s="273"/>
      <c r="T60" s="273"/>
      <c r="U60" s="273"/>
      <c r="V60" s="273"/>
      <c r="W60" s="273"/>
      <c r="X60" s="275"/>
      <c r="Y60" s="275"/>
      <c r="Z60" s="273"/>
      <c r="AA60" s="273"/>
      <c r="AB60" s="273"/>
      <c r="AC60" s="273"/>
      <c r="AD60" s="273"/>
      <c r="AE60" s="275"/>
      <c r="AF60" s="275"/>
      <c r="AG60" s="273"/>
      <c r="AH60" s="273"/>
      <c r="AI60" s="273"/>
      <c r="AJ60" s="273"/>
      <c r="AK60" s="273"/>
      <c r="AL60" s="275"/>
      <c r="AM60" s="275"/>
      <c r="AN60" s="273"/>
      <c r="AO60" s="273"/>
      <c r="AP60" s="273"/>
      <c r="AQ60" s="273"/>
      <c r="AR60" s="273"/>
      <c r="AS60" s="275"/>
      <c r="AT60" s="275"/>
      <c r="AU60" s="273"/>
      <c r="AV60" s="273"/>
      <c r="AW60" s="273"/>
      <c r="AX60" s="273"/>
      <c r="AY60" s="273"/>
      <c r="AZ60" s="275"/>
      <c r="BA60" s="275"/>
      <c r="BB60" s="273"/>
      <c r="BC60" s="273"/>
      <c r="BD60" s="273"/>
      <c r="BE60" s="273"/>
      <c r="BF60" s="273"/>
      <c r="BG60" s="275"/>
      <c r="BH60" s="275"/>
      <c r="BI60" s="273"/>
      <c r="BJ60" s="273"/>
      <c r="BK60" s="273"/>
      <c r="BL60" s="273"/>
      <c r="BM60" s="273"/>
      <c r="BN60" s="275"/>
      <c r="BO60" s="275"/>
      <c r="BP60" s="273"/>
      <c r="BQ60" s="273"/>
      <c r="BR60" s="273"/>
      <c r="BS60" s="273"/>
      <c r="BT60" s="273"/>
      <c r="BU60" s="275"/>
      <c r="BV60" s="275"/>
      <c r="BW60" s="273"/>
      <c r="BX60" s="273"/>
      <c r="BY60" s="273"/>
      <c r="BZ60" s="273"/>
      <c r="CA60" s="273"/>
      <c r="CB60" s="275"/>
      <c r="CC60" s="275"/>
      <c r="CD60" s="273"/>
      <c r="CE60" s="273"/>
      <c r="CF60" s="273"/>
      <c r="CG60" s="273"/>
      <c r="CH60" s="273"/>
      <c r="CI60" s="275"/>
      <c r="CJ60" s="275"/>
      <c r="CK60" s="273"/>
      <c r="CL60" s="273"/>
      <c r="CM60" s="273"/>
      <c r="CN60" s="273"/>
      <c r="CO60" s="273"/>
      <c r="CP60" s="275"/>
      <c r="CQ60" s="275"/>
    </row>
    <row r="61" spans="1:99" ht="14.25" customHeight="1" x14ac:dyDescent="0.2">
      <c r="A61" s="208"/>
      <c r="L61" s="209"/>
      <c r="M61" s="209"/>
      <c r="N61" s="209"/>
      <c r="O61" s="209"/>
      <c r="P61" s="209"/>
      <c r="Q61" s="139"/>
      <c r="R61" s="209"/>
      <c r="S61" s="209"/>
      <c r="T61" s="209"/>
      <c r="U61" s="209"/>
      <c r="V61" s="209"/>
      <c r="W61" s="209"/>
      <c r="X61" s="139"/>
      <c r="Y61" s="209"/>
      <c r="Z61" s="209"/>
      <c r="AA61" s="209"/>
      <c r="AB61" s="209"/>
      <c r="AC61" s="209"/>
      <c r="AD61" s="209"/>
      <c r="AE61" s="209"/>
      <c r="AF61" s="209"/>
      <c r="AG61" s="209"/>
      <c r="AH61" s="209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09"/>
      <c r="CJ61" s="209"/>
      <c r="CK61" s="209"/>
      <c r="CL61" s="209"/>
      <c r="CM61" s="209"/>
      <c r="CN61" s="209"/>
      <c r="CO61" s="209"/>
      <c r="CP61" s="209"/>
      <c r="CQ61" s="209"/>
    </row>
    <row r="62" spans="1:99" ht="14.25" customHeight="1" x14ac:dyDescent="0.2"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209"/>
      <c r="X62" s="209"/>
      <c r="Y62" s="209"/>
      <c r="Z62" s="209"/>
      <c r="AA62" s="209"/>
      <c r="AB62" s="209"/>
      <c r="AC62" s="209"/>
      <c r="AD62" s="209"/>
      <c r="AE62" s="209"/>
      <c r="AF62" s="209"/>
      <c r="AG62" s="209"/>
      <c r="AH62" s="209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09"/>
      <c r="CK62" s="209"/>
      <c r="CL62" s="209"/>
      <c r="CM62" s="209"/>
      <c r="CN62" s="209"/>
      <c r="CO62" s="209"/>
      <c r="CP62" s="209"/>
      <c r="CQ62" s="209"/>
    </row>
    <row r="63" spans="1:99" ht="14.25" customHeight="1" x14ac:dyDescent="0.2">
      <c r="L63" s="209"/>
      <c r="M63" s="209"/>
      <c r="N63" s="209"/>
      <c r="O63" s="209"/>
      <c r="P63" s="209"/>
      <c r="Q63" s="209"/>
      <c r="R63" s="104"/>
      <c r="S63" s="209"/>
      <c r="T63" s="209"/>
      <c r="U63" s="209"/>
      <c r="V63" s="209"/>
      <c r="W63" s="209"/>
      <c r="X63" s="209"/>
      <c r="Y63" s="104"/>
      <c r="Z63" s="209"/>
      <c r="AA63" s="209"/>
      <c r="AB63" s="209"/>
      <c r="AC63" s="209"/>
      <c r="AD63" s="209"/>
      <c r="AE63" s="209"/>
      <c r="AF63" s="104"/>
      <c r="AG63" s="209"/>
      <c r="AH63" s="209"/>
      <c r="AI63" s="209"/>
      <c r="AJ63" s="209"/>
      <c r="AK63" s="209"/>
      <c r="AL63" s="209"/>
      <c r="AM63" s="104"/>
      <c r="AN63" s="209"/>
      <c r="AO63" s="209"/>
      <c r="AP63" s="209"/>
      <c r="AQ63" s="209"/>
      <c r="AR63" s="209"/>
      <c r="AS63" s="209"/>
      <c r="AT63" s="104"/>
      <c r="AU63" s="209"/>
      <c r="AV63" s="209"/>
      <c r="AW63" s="209"/>
      <c r="AX63" s="209"/>
      <c r="AY63" s="209"/>
      <c r="AZ63" s="209"/>
      <c r="BA63" s="104"/>
      <c r="BB63" s="209"/>
      <c r="BC63" s="209"/>
      <c r="BD63" s="209"/>
      <c r="BE63" s="209"/>
      <c r="BF63" s="209"/>
      <c r="BG63" s="209"/>
      <c r="BH63" s="104"/>
      <c r="BI63" s="209"/>
      <c r="BJ63" s="209"/>
      <c r="BK63" s="209"/>
      <c r="BL63" s="209"/>
      <c r="BM63" s="209"/>
      <c r="BN63" s="209"/>
      <c r="BO63" s="104"/>
      <c r="BP63" s="209"/>
      <c r="BQ63" s="209"/>
      <c r="BR63" s="209"/>
      <c r="BS63" s="209"/>
      <c r="BT63" s="209"/>
      <c r="BU63" s="209"/>
      <c r="BV63" s="104"/>
      <c r="BW63" s="209"/>
      <c r="BX63" s="209"/>
      <c r="BY63" s="209"/>
      <c r="BZ63" s="209"/>
      <c r="CA63" s="209"/>
      <c r="CB63" s="209"/>
      <c r="CC63" s="104"/>
      <c r="CD63" s="209"/>
      <c r="CE63" s="209"/>
      <c r="CF63" s="209"/>
      <c r="CG63" s="209"/>
      <c r="CH63" s="209"/>
      <c r="CI63" s="209"/>
      <c r="CJ63" s="104"/>
      <c r="CK63" s="209"/>
      <c r="CL63" s="209"/>
      <c r="CM63" s="209"/>
      <c r="CN63" s="209"/>
      <c r="CO63" s="209"/>
      <c r="CP63" s="209"/>
      <c r="CQ63" s="104"/>
    </row>
    <row r="64" spans="1:99" ht="14.25" customHeight="1" x14ac:dyDescent="0.2"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209"/>
      <c r="X64" s="209"/>
      <c r="Y64" s="209"/>
      <c r="Z64" s="209"/>
      <c r="AA64" s="209"/>
      <c r="AB64" s="209"/>
      <c r="AC64" s="209"/>
      <c r="AD64" s="209"/>
      <c r="AE64" s="209"/>
      <c r="AF64" s="209"/>
      <c r="AG64" s="209"/>
      <c r="AH64" s="209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09"/>
      <c r="CJ64" s="209"/>
      <c r="CK64" s="209"/>
      <c r="CL64" s="209"/>
      <c r="CM64" s="209"/>
      <c r="CN64" s="209"/>
      <c r="CO64" s="209"/>
      <c r="CP64" s="209"/>
      <c r="CQ64" s="209"/>
    </row>
    <row r="65" spans="12:99" ht="14.25" customHeight="1" x14ac:dyDescent="0.2"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209"/>
      <c r="X65" s="209"/>
      <c r="Y65" s="209"/>
      <c r="Z65" s="209"/>
      <c r="AA65" s="209"/>
      <c r="AB65" s="209"/>
      <c r="AC65" s="209"/>
      <c r="AD65" s="209"/>
      <c r="AE65" s="209"/>
      <c r="AF65" s="209"/>
      <c r="AG65" s="209"/>
      <c r="AH65" s="209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09"/>
      <c r="CK65" s="209"/>
      <c r="CL65" s="209"/>
      <c r="CM65" s="209"/>
      <c r="CN65" s="209"/>
      <c r="CO65" s="209"/>
      <c r="CP65" s="209"/>
      <c r="CQ65" s="209"/>
    </row>
    <row r="66" spans="12:99" ht="14.25" customHeight="1" x14ac:dyDescent="0.2"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209"/>
      <c r="X66" s="209"/>
      <c r="Y66" s="209"/>
      <c r="Z66" s="209"/>
      <c r="AA66" s="209"/>
      <c r="AB66" s="209"/>
      <c r="AC66" s="209"/>
      <c r="AD66" s="209"/>
      <c r="AE66" s="209"/>
      <c r="AF66" s="209"/>
      <c r="AG66" s="209"/>
      <c r="AH66" s="209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09"/>
      <c r="CJ66" s="209"/>
      <c r="CK66" s="209"/>
      <c r="CL66" s="209"/>
      <c r="CM66" s="209"/>
      <c r="CN66" s="209"/>
      <c r="CO66" s="209"/>
      <c r="CP66" s="209"/>
      <c r="CQ66" s="209"/>
    </row>
    <row r="67" spans="12:99" ht="14.25" customHeight="1" x14ac:dyDescent="0.2"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209"/>
      <c r="X67" s="209"/>
      <c r="Y67" s="209"/>
      <c r="Z67" s="209"/>
      <c r="AA67" s="209"/>
      <c r="AB67" s="209"/>
      <c r="AC67" s="209"/>
      <c r="AD67" s="209"/>
      <c r="AE67" s="209"/>
      <c r="AF67" s="209"/>
      <c r="AG67" s="209"/>
      <c r="AH67" s="209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09"/>
      <c r="CJ67" s="209"/>
      <c r="CK67" s="209"/>
      <c r="CL67" s="209"/>
      <c r="CM67" s="209"/>
      <c r="CN67" s="209"/>
      <c r="CO67" s="209"/>
      <c r="CP67" s="209"/>
      <c r="CQ67" s="209"/>
    </row>
    <row r="68" spans="12:99" ht="14.25" customHeight="1" x14ac:dyDescent="0.2"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09"/>
      <c r="CJ68" s="209"/>
      <c r="CK68" s="209"/>
      <c r="CL68" s="209"/>
      <c r="CM68" s="209"/>
      <c r="CN68" s="209"/>
      <c r="CO68" s="209"/>
      <c r="CP68" s="209"/>
      <c r="CQ68" s="209"/>
    </row>
    <row r="69" spans="12:99" ht="14.25" customHeight="1" x14ac:dyDescent="0.2"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09"/>
      <c r="CK69" s="209"/>
      <c r="CL69" s="209"/>
      <c r="CM69" s="209"/>
      <c r="CN69" s="209"/>
      <c r="CO69" s="209"/>
      <c r="CP69" s="209"/>
      <c r="CQ69" s="209"/>
    </row>
    <row r="70" spans="12:99" ht="14.25" customHeight="1" x14ac:dyDescent="0.2"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09"/>
      <c r="CJ70" s="209"/>
      <c r="CK70" s="209"/>
      <c r="CL70" s="209"/>
      <c r="CM70" s="209"/>
      <c r="CN70" s="209"/>
      <c r="CO70" s="209"/>
      <c r="CP70" s="209"/>
      <c r="CQ70" s="209"/>
    </row>
    <row r="71" spans="12:99" ht="14.25" customHeight="1" x14ac:dyDescent="0.2"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09"/>
      <c r="CJ71" s="209"/>
      <c r="CK71" s="209"/>
      <c r="CL71" s="209"/>
      <c r="CM71" s="209"/>
      <c r="CN71" s="209"/>
      <c r="CO71" s="209"/>
      <c r="CP71" s="209"/>
      <c r="CQ71" s="209"/>
    </row>
    <row r="72" spans="12:99" ht="14.25" customHeight="1" x14ac:dyDescent="0.2">
      <c r="L72" s="209"/>
      <c r="M72" s="209"/>
      <c r="N72" s="209"/>
      <c r="O72" s="209"/>
      <c r="P72" s="209"/>
      <c r="Q72" s="209"/>
      <c r="R72" s="210"/>
      <c r="S72" s="209"/>
      <c r="T72" s="209"/>
      <c r="U72" s="209"/>
      <c r="V72" s="209"/>
      <c r="W72" s="209"/>
      <c r="X72" s="209"/>
      <c r="Y72" s="210"/>
      <c r="Z72" s="209"/>
      <c r="AA72" s="209"/>
      <c r="AB72" s="209"/>
      <c r="AC72" s="209"/>
      <c r="AD72" s="209"/>
      <c r="AE72" s="209"/>
      <c r="AF72" s="210"/>
      <c r="AG72" s="209"/>
      <c r="AH72" s="209"/>
      <c r="AI72" s="209"/>
      <c r="AJ72" s="209"/>
      <c r="AK72" s="209"/>
      <c r="AL72" s="209"/>
      <c r="AM72" s="210"/>
      <c r="AN72" s="209"/>
      <c r="AO72" s="209"/>
      <c r="AP72" s="209"/>
      <c r="AQ72" s="209"/>
      <c r="AR72" s="209"/>
      <c r="AS72" s="209"/>
      <c r="AT72" s="210"/>
      <c r="AU72" s="209"/>
      <c r="AV72" s="209"/>
      <c r="AW72" s="209"/>
      <c r="AX72" s="209"/>
      <c r="AY72" s="209"/>
      <c r="AZ72" s="209"/>
      <c r="BA72" s="210"/>
      <c r="BB72" s="209"/>
      <c r="BC72" s="209"/>
      <c r="BD72" s="209"/>
      <c r="BE72" s="209"/>
      <c r="BF72" s="209"/>
      <c r="BG72" s="209"/>
      <c r="BH72" s="210"/>
      <c r="BI72" s="209"/>
      <c r="BJ72" s="209"/>
      <c r="BK72" s="209"/>
      <c r="BL72" s="209"/>
      <c r="BM72" s="209"/>
      <c r="BN72" s="209"/>
      <c r="BO72" s="210"/>
      <c r="BP72" s="209"/>
      <c r="BQ72" s="209"/>
      <c r="BR72" s="209"/>
      <c r="BS72" s="209"/>
      <c r="BT72" s="209"/>
      <c r="BU72" s="209"/>
      <c r="BV72" s="210"/>
      <c r="BW72" s="209"/>
      <c r="BX72" s="209"/>
      <c r="BY72" s="209"/>
      <c r="BZ72" s="209"/>
      <c r="CA72" s="209"/>
      <c r="CB72" s="209"/>
      <c r="CC72" s="210"/>
      <c r="CD72" s="209"/>
      <c r="CE72" s="209"/>
      <c r="CF72" s="209"/>
      <c r="CG72" s="209"/>
      <c r="CH72" s="209"/>
      <c r="CI72" s="209"/>
      <c r="CJ72" s="210"/>
      <c r="CK72" s="209"/>
      <c r="CL72" s="209"/>
      <c r="CM72" s="209"/>
      <c r="CN72" s="209"/>
      <c r="CO72" s="209"/>
      <c r="CP72" s="209"/>
      <c r="CQ72" s="210"/>
      <c r="CU72" s="155"/>
    </row>
    <row r="73" spans="12:99" ht="14.25" customHeight="1" x14ac:dyDescent="0.2"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09"/>
      <c r="CJ73" s="209"/>
      <c r="CK73" s="209"/>
      <c r="CL73" s="209"/>
      <c r="CM73" s="209"/>
      <c r="CN73" s="209"/>
      <c r="CO73" s="209"/>
      <c r="CP73" s="209"/>
      <c r="CQ73" s="209"/>
      <c r="CU73" s="155"/>
    </row>
    <row r="74" spans="12:99" ht="14.25" customHeight="1" x14ac:dyDescent="0.2"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09"/>
      <c r="CJ74" s="209"/>
      <c r="CK74" s="209"/>
      <c r="CL74" s="209"/>
      <c r="CM74" s="209"/>
      <c r="CN74" s="209"/>
      <c r="CO74" s="209"/>
      <c r="CP74" s="209"/>
      <c r="CQ74" s="209"/>
      <c r="CU74" s="155"/>
    </row>
    <row r="75" spans="12:99" ht="14.25" customHeight="1" x14ac:dyDescent="0.2"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09"/>
      <c r="CK75" s="209"/>
      <c r="CL75" s="209"/>
      <c r="CM75" s="209"/>
      <c r="CN75" s="209"/>
      <c r="CO75" s="209"/>
      <c r="CP75" s="209"/>
      <c r="CQ75" s="209"/>
      <c r="CU75" s="155"/>
    </row>
    <row r="76" spans="12:99" ht="14.25" customHeight="1" x14ac:dyDescent="0.2"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09"/>
      <c r="CJ76" s="209"/>
      <c r="CK76" s="209"/>
      <c r="CL76" s="209"/>
      <c r="CM76" s="209"/>
      <c r="CN76" s="209"/>
      <c r="CO76" s="209"/>
      <c r="CP76" s="209"/>
      <c r="CQ76" s="209"/>
      <c r="CU76" s="155"/>
    </row>
    <row r="77" spans="12:99" ht="14.25" customHeight="1" x14ac:dyDescent="0.2"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09"/>
      <c r="CJ77" s="209"/>
      <c r="CK77" s="209"/>
      <c r="CL77" s="209"/>
      <c r="CM77" s="209"/>
      <c r="CN77" s="209"/>
      <c r="CO77" s="209"/>
      <c r="CP77" s="209"/>
      <c r="CQ77" s="209"/>
      <c r="CU77" s="155"/>
    </row>
    <row r="78" spans="12:99" ht="14.25" customHeight="1" x14ac:dyDescent="0.2"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09"/>
      <c r="CJ78" s="209"/>
      <c r="CK78" s="209"/>
      <c r="CL78" s="209"/>
      <c r="CM78" s="209"/>
      <c r="CN78" s="209"/>
      <c r="CO78" s="209"/>
      <c r="CP78" s="209"/>
      <c r="CQ78" s="209"/>
      <c r="CU78" s="155"/>
    </row>
    <row r="79" spans="12:99" ht="14.25" customHeight="1" x14ac:dyDescent="0.2"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09"/>
      <c r="CK79" s="209"/>
      <c r="CL79" s="209"/>
      <c r="CM79" s="209"/>
      <c r="CN79" s="209"/>
      <c r="CO79" s="209"/>
      <c r="CP79" s="209"/>
      <c r="CQ79" s="209"/>
      <c r="CU79" s="155"/>
    </row>
    <row r="80" spans="12:99" ht="14.25" customHeight="1" x14ac:dyDescent="0.2"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09"/>
      <c r="CJ80" s="209"/>
      <c r="CK80" s="209"/>
      <c r="CL80" s="209"/>
      <c r="CM80" s="209"/>
      <c r="CN80" s="209"/>
      <c r="CO80" s="209"/>
      <c r="CP80" s="209"/>
      <c r="CQ80" s="209"/>
    </row>
    <row r="81" spans="12:99" ht="14.25" customHeight="1" x14ac:dyDescent="0.2"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09"/>
      <c r="CJ81" s="209"/>
      <c r="CK81" s="209"/>
      <c r="CL81" s="209"/>
      <c r="CM81" s="209"/>
      <c r="CN81" s="209"/>
      <c r="CO81" s="209"/>
      <c r="CP81" s="209"/>
      <c r="CQ81" s="209"/>
    </row>
    <row r="82" spans="12:99" ht="14.25" customHeight="1" x14ac:dyDescent="0.2"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09"/>
      <c r="CJ82" s="209"/>
      <c r="CK82" s="209"/>
      <c r="CL82" s="209"/>
      <c r="CM82" s="209"/>
      <c r="CN82" s="209"/>
      <c r="CO82" s="209"/>
      <c r="CP82" s="209"/>
      <c r="CQ82" s="209"/>
    </row>
    <row r="83" spans="12:99" ht="14.25" customHeight="1" x14ac:dyDescent="0.2"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09"/>
      <c r="CJ83" s="209"/>
      <c r="CK83" s="209"/>
      <c r="CL83" s="209"/>
      <c r="CM83" s="209"/>
      <c r="CN83" s="209"/>
      <c r="CO83" s="209"/>
      <c r="CP83" s="209"/>
      <c r="CQ83" s="209"/>
    </row>
    <row r="84" spans="12:99" ht="14.25" customHeight="1" x14ac:dyDescent="0.2"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09"/>
      <c r="CK84" s="209"/>
      <c r="CL84" s="209"/>
      <c r="CM84" s="209"/>
      <c r="CN84" s="209"/>
      <c r="CO84" s="209"/>
      <c r="CP84" s="209"/>
      <c r="CQ84" s="209"/>
    </row>
    <row r="85" spans="12:99" ht="14.25" customHeight="1" x14ac:dyDescent="0.2">
      <c r="AT85" s="139"/>
      <c r="BV85" s="139"/>
      <c r="CC85" s="140"/>
      <c r="CJ85" s="156"/>
      <c r="CQ85" s="156"/>
    </row>
    <row r="86" spans="12:99" ht="14.25" customHeight="1" x14ac:dyDescent="0.2">
      <c r="AT86" s="139"/>
      <c r="BV86" s="139"/>
      <c r="CC86" s="139"/>
      <c r="CJ86" s="156"/>
      <c r="CQ86" s="156"/>
    </row>
    <row r="87" spans="12:99" ht="14.25" customHeight="1" x14ac:dyDescent="0.2">
      <c r="AT87" s="139"/>
      <c r="BV87" s="139"/>
      <c r="CC87" s="139"/>
      <c r="CJ87" s="156"/>
      <c r="CQ87" s="156"/>
    </row>
    <row r="88" spans="12:99" ht="14.25" customHeight="1" x14ac:dyDescent="0.2">
      <c r="AT88" s="139"/>
      <c r="BV88" s="156"/>
      <c r="CJ88" s="156"/>
      <c r="CQ88" s="156"/>
    </row>
    <row r="89" spans="12:99" ht="14.25" customHeight="1" x14ac:dyDescent="0.2">
      <c r="AT89" s="139"/>
      <c r="BA89" s="156"/>
      <c r="BV89" s="140"/>
      <c r="CJ89" s="156"/>
      <c r="CQ89" s="156"/>
    </row>
    <row r="90" spans="12:99" ht="14.25" customHeight="1" x14ac:dyDescent="0.2">
      <c r="AT90" s="139"/>
      <c r="BA90" s="140"/>
      <c r="CJ90" s="156"/>
      <c r="CQ90" s="156"/>
    </row>
    <row r="91" spans="12:99" ht="14.25" customHeight="1" x14ac:dyDescent="0.2">
      <c r="AT91" s="139"/>
      <c r="CJ91" s="140"/>
      <c r="CQ91" s="140"/>
    </row>
    <row r="92" spans="12:99" ht="14.25" customHeight="1" x14ac:dyDescent="0.2">
      <c r="AT92" s="139"/>
      <c r="BA92" s="139"/>
    </row>
    <row r="93" spans="12:99" ht="14.25" customHeight="1" x14ac:dyDescent="0.2">
      <c r="AT93" s="139"/>
      <c r="BA93" s="139"/>
    </row>
    <row r="94" spans="12:99" ht="14.25" customHeight="1" x14ac:dyDescent="0.2">
      <c r="AT94" s="140"/>
      <c r="BA94" s="139"/>
    </row>
    <row r="95" spans="12:99" ht="14.25" customHeight="1" x14ac:dyDescent="0.2">
      <c r="BA95" s="139"/>
      <c r="CU95" s="155"/>
    </row>
    <row r="96" spans="12:99" ht="14.25" customHeight="1" x14ac:dyDescent="0.2">
      <c r="BA96" s="139"/>
    </row>
    <row r="97" spans="53:53" ht="14.25" customHeight="1" x14ac:dyDescent="0.2">
      <c r="BA97" s="139"/>
    </row>
    <row r="98" spans="53:53" ht="14.25" customHeight="1" x14ac:dyDescent="0.2">
      <c r="BA98" s="139"/>
    </row>
    <row r="99" spans="53:53" ht="14.25" customHeight="1" x14ac:dyDescent="0.2">
      <c r="BA99" s="139"/>
    </row>
    <row r="100" spans="53:53" ht="14.25" customHeight="1" x14ac:dyDescent="0.2">
      <c r="BA100" s="139"/>
    </row>
    <row r="101" spans="53:53" ht="14.25" customHeight="1" x14ac:dyDescent="0.2">
      <c r="BA101" s="139"/>
    </row>
    <row r="102" spans="53:53" ht="14.25" customHeight="1" x14ac:dyDescent="0.2">
      <c r="BA102" s="139"/>
    </row>
    <row r="103" spans="53:53" ht="14.25" customHeight="1" x14ac:dyDescent="0.2">
      <c r="BA103" s="139"/>
    </row>
    <row r="104" spans="53:53" ht="14.25" customHeight="1" x14ac:dyDescent="0.2">
      <c r="BA104" s="139"/>
    </row>
    <row r="105" spans="53:53" ht="14.25" customHeight="1" x14ac:dyDescent="0.2">
      <c r="BA105" s="139"/>
    </row>
    <row r="106" spans="53:53" ht="14.25" customHeight="1" x14ac:dyDescent="0.2">
      <c r="BA106" s="139"/>
    </row>
    <row r="107" spans="53:53" ht="14.25" customHeight="1" x14ac:dyDescent="0.2">
      <c r="BA107" s="139"/>
    </row>
    <row r="108" spans="53:53" ht="14.25" customHeight="1" x14ac:dyDescent="0.2">
      <c r="BA108" s="139"/>
    </row>
    <row r="109" spans="53:53" ht="14.25" customHeight="1" x14ac:dyDescent="0.2">
      <c r="BA109" s="139"/>
    </row>
    <row r="110" spans="53:53" ht="14.25" customHeight="1" x14ac:dyDescent="0.2">
      <c r="BA110" s="139"/>
    </row>
    <row r="111" spans="53:53" ht="14.25" customHeight="1" x14ac:dyDescent="0.2">
      <c r="BA111" s="139"/>
    </row>
    <row r="112" spans="53:53" ht="14.25" customHeight="1" x14ac:dyDescent="0.2">
      <c r="BA112" s="139"/>
    </row>
    <row r="113" spans="53:53" ht="14.25" customHeight="1" x14ac:dyDescent="0.2">
      <c r="BA113" s="139"/>
    </row>
    <row r="114" spans="53:53" ht="14.25" customHeight="1" x14ac:dyDescent="0.2"/>
    <row r="115" spans="53:53" ht="14.25" customHeight="1" x14ac:dyDescent="0.2"/>
    <row r="116" spans="53:53" ht="14.25" customHeight="1" x14ac:dyDescent="0.2"/>
    <row r="117" spans="53:53" ht="14.25" customHeight="1" x14ac:dyDescent="0.2"/>
    <row r="118" spans="53:53" ht="14.25" customHeight="1" x14ac:dyDescent="0.2"/>
    <row r="119" spans="53:53" ht="14.25" customHeight="1" x14ac:dyDescent="0.2"/>
    <row r="120" spans="53:53" ht="14.25" customHeight="1" x14ac:dyDescent="0.2"/>
    <row r="121" spans="53:53" ht="14.25" customHeight="1" x14ac:dyDescent="0.2"/>
    <row r="122" spans="53:53" ht="14.25" customHeight="1" x14ac:dyDescent="0.2"/>
    <row r="123" spans="53:53" ht="14.25" customHeight="1" x14ac:dyDescent="0.2"/>
    <row r="124" spans="53:53" ht="14.25" customHeight="1" x14ac:dyDescent="0.2"/>
    <row r="125" spans="53:53" ht="14.25" customHeight="1" x14ac:dyDescent="0.2"/>
    <row r="126" spans="53:53" ht="14.25" customHeight="1" x14ac:dyDescent="0.2"/>
    <row r="127" spans="53:53" ht="14.25" customHeight="1" x14ac:dyDescent="0.2"/>
    <row r="128" spans="53:53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/>
    <row r="194" spans="99:99" ht="14.25" customHeight="1" x14ac:dyDescent="0.2"/>
    <row r="195" spans="99:99" ht="14.25" customHeight="1" x14ac:dyDescent="0.2"/>
    <row r="196" spans="99:99" ht="14.25" customHeight="1" x14ac:dyDescent="0.2"/>
    <row r="197" spans="99:99" ht="14.25" customHeight="1" x14ac:dyDescent="0.2"/>
    <row r="198" spans="99:99" ht="14.25" customHeight="1" x14ac:dyDescent="0.2"/>
    <row r="199" spans="99:99" ht="14.25" customHeight="1" x14ac:dyDescent="0.2"/>
    <row r="200" spans="99:99" ht="14.25" customHeight="1" x14ac:dyDescent="0.2"/>
    <row r="201" spans="99:99" ht="14.25" customHeight="1" x14ac:dyDescent="0.2"/>
    <row r="202" spans="99:99" ht="14.25" customHeight="1" x14ac:dyDescent="0.2"/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9FFC-2401-DE49-A487-2CE0DECB97CC}">
  <sheetPr>
    <pageSetUpPr fitToPage="1"/>
  </sheetPr>
  <dimension ref="A1:CU1000"/>
  <sheetViews>
    <sheetView zoomScale="85" zoomScaleNormal="85" workbookViewId="0">
      <pane xSplit="11" ySplit="3" topLeftCell="AB24" activePane="bottomRight" state="frozen"/>
      <selection activeCell="J2" sqref="J2:P58"/>
      <selection pane="topRight" activeCell="J2" sqref="J2:P58"/>
      <selection pane="bottomLeft" activeCell="J2" sqref="J2:P58"/>
      <selection pane="bottomRight" activeCell="H38" sqref="H38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29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604996.29445000016</v>
      </c>
      <c r="C4" s="18">
        <f t="shared" si="0"/>
        <v>530642.24986209499</v>
      </c>
      <c r="D4" s="19">
        <f t="shared" si="0"/>
        <v>74354.044587905009</v>
      </c>
      <c r="E4" s="17">
        <f>+L4+S4+Z4+AG4</f>
        <v>209565.21422400002</v>
      </c>
      <c r="F4" s="20">
        <f>+M4+T4+AA4+AH4</f>
        <v>183809.64939587042</v>
      </c>
      <c r="G4" s="21">
        <f>+N4+U4+AB4+AI4</f>
        <v>25755.564828129605</v>
      </c>
      <c r="H4" s="18">
        <f t="shared" ref="H4:J35" si="1">+O4+V4+AC4+AJ4+AQ4+AX4+BE4+BL4+BS4+BZ4+CG4+CN4</f>
        <v>0</v>
      </c>
      <c r="I4" s="20">
        <f t="shared" si="1"/>
        <v>216406.24000000002</v>
      </c>
      <c r="J4" s="20">
        <f t="shared" si="1"/>
        <v>216406.24000000002</v>
      </c>
      <c r="K4" s="25">
        <f t="shared" ref="K4:K54" si="2">IF(E4=0,"",(+J4/E4-1))</f>
        <v>3.2643899424490197E-2</v>
      </c>
      <c r="L4" s="23">
        <f>'[1]STA CLARA'!$E4</f>
        <v>46521.303556000006</v>
      </c>
      <c r="M4" s="18">
        <f>L4-N4</f>
        <v>40803.835348967608</v>
      </c>
      <c r="N4" s="18">
        <f>+L4*12.29%</f>
        <v>5717.4682070324006</v>
      </c>
      <c r="O4" s="18">
        <f>+Q4-P4</f>
        <v>0</v>
      </c>
      <c r="P4" s="18">
        <f>+Q4*100%</f>
        <v>44641.060000000005</v>
      </c>
      <c r="Q4" s="20">
        <f>146400.2-88709.46-Q5-Q6-Q7-Q8-Q9</f>
        <v>44641.060000000005</v>
      </c>
      <c r="R4" s="25">
        <f t="shared" ref="R4:R54" si="3">IF(L4=0,"",(+Q4/L4-1))</f>
        <v>-4.0416828684446848E-2</v>
      </c>
      <c r="S4" s="23">
        <f>'[1]STA CLARA'!$F4</f>
        <v>70001.303556000013</v>
      </c>
      <c r="T4" s="18">
        <f>S4-U4</f>
        <v>61398.143348967613</v>
      </c>
      <c r="U4" s="18">
        <f>+S4*12.29%</f>
        <v>8603.1602070324006</v>
      </c>
      <c r="V4" s="18">
        <f>+X4-W4</f>
        <v>0</v>
      </c>
      <c r="W4" s="18">
        <f>+X4*100%</f>
        <v>50696.74</v>
      </c>
      <c r="X4" s="20">
        <f>64013.56-X5-X6-X7-X8-X9</f>
        <v>50696.74</v>
      </c>
      <c r="Y4" s="25">
        <f t="shared" ref="Y4:Y54" si="4">IF(S4=0,"",(+X4/S4-1))</f>
        <v>-0.2757743438385637</v>
      </c>
      <c r="Z4" s="23">
        <f>'[1]STA CLARA'!$G4</f>
        <v>46521.303556000006</v>
      </c>
      <c r="AA4" s="18">
        <f>Z4-AB4</f>
        <v>40803.835348967608</v>
      </c>
      <c r="AB4" s="18">
        <f>+Z4*12.29%</f>
        <v>5717.4682070324006</v>
      </c>
      <c r="AC4" s="18">
        <f>+AE4-AD4</f>
        <v>0</v>
      </c>
      <c r="AD4" s="18">
        <f>+AE4*100%</f>
        <v>43344.15</v>
      </c>
      <c r="AE4" s="20">
        <f>60022.87-AE5-AE6-AE7-AE8-AE9</f>
        <v>43344.15</v>
      </c>
      <c r="AF4" s="25">
        <f t="shared" ref="AF4:AF54" si="5">IF(Z4=0,"",(+AE4/Z4-1))</f>
        <v>-6.8294594371705597E-2</v>
      </c>
      <c r="AG4" s="23">
        <f>'[1]STA CLARA'!$H4</f>
        <v>46521.303556000006</v>
      </c>
      <c r="AH4" s="18">
        <f>AG4-AI4</f>
        <v>40803.835348967608</v>
      </c>
      <c r="AI4" s="18">
        <f>+AG4*12.29%</f>
        <v>5717.4682070324006</v>
      </c>
      <c r="AJ4" s="18">
        <f>+AL4-AK4</f>
        <v>0</v>
      </c>
      <c r="AK4" s="18">
        <f>+AL4*100%</f>
        <v>77724.290000000008</v>
      </c>
      <c r="AL4" s="20">
        <f>93112.69-AL5-AL6-AL7-AL8-AL9</f>
        <v>77724.290000000008</v>
      </c>
      <c r="AM4" s="25">
        <f t="shared" ref="AM4:AM54" si="6">IF(AG4=0,"",(+AL4/AG4-1))</f>
        <v>0.67072468006919483</v>
      </c>
      <c r="AN4" s="23">
        <f>'[1]STA CLARA'!$I4</f>
        <v>46521.303556000006</v>
      </c>
      <c r="AO4" s="18">
        <f>AN4-AP4</f>
        <v>40803.835348967608</v>
      </c>
      <c r="AP4" s="18">
        <f>+AN4*12.29%</f>
        <v>5717.4682070324006</v>
      </c>
      <c r="AQ4" s="18">
        <f>+AS4-AR4</f>
        <v>0</v>
      </c>
      <c r="AR4" s="18">
        <f>+AS4*100%</f>
        <v>0</v>
      </c>
      <c r="AS4" s="24"/>
      <c r="AT4" s="25">
        <f t="shared" ref="AT4:AT54" si="7">IF(AN4=0,"",(+AS4/AN4-1))</f>
        <v>-1</v>
      </c>
      <c r="AU4" s="23">
        <f>'[1]STA CLARA'!$J4</f>
        <v>46521.303556000006</v>
      </c>
      <c r="AV4" s="18">
        <f>AU4-AW4</f>
        <v>40803.835348967608</v>
      </c>
      <c r="AW4" s="18">
        <f>+AU4*12.29%</f>
        <v>5717.4682070324006</v>
      </c>
      <c r="AX4" s="18">
        <f>+AZ4-AY4</f>
        <v>0</v>
      </c>
      <c r="AY4" s="18">
        <f>+AZ4*100%</f>
        <v>0</v>
      </c>
      <c r="AZ4" s="20"/>
      <c r="BA4" s="25">
        <f t="shared" ref="BA4:BA54" si="8">IF(AU4=0,"",(+AZ4/AU4-1))</f>
        <v>-1</v>
      </c>
      <c r="BB4" s="23">
        <f>'[1]STA CLARA'!$K4</f>
        <v>46521.303556000006</v>
      </c>
      <c r="BC4" s="18">
        <f>BB4-BD4</f>
        <v>40803.835348967608</v>
      </c>
      <c r="BD4" s="18">
        <f>+BB4*12.29%</f>
        <v>5717.4682070324006</v>
      </c>
      <c r="BE4" s="18">
        <f>+BG4-BF4</f>
        <v>0</v>
      </c>
      <c r="BF4" s="18">
        <f>+BG4*100%</f>
        <v>0</v>
      </c>
      <c r="BG4" s="24"/>
      <c r="BH4" s="25">
        <f t="shared" ref="BH4:BH54" si="9">IF(BB4=0,"",(+BG4/BB4-1))</f>
        <v>-1</v>
      </c>
      <c r="BI4" s="23">
        <f>'[1]STA CLARA'!$L4</f>
        <v>51173.433911600012</v>
      </c>
      <c r="BJ4" s="18">
        <f>BI4-BK4</f>
        <v>44884.218883864371</v>
      </c>
      <c r="BK4" s="18">
        <f>+BI4*12.29%</f>
        <v>6289.2150277356413</v>
      </c>
      <c r="BL4" s="18">
        <f>+BN4-BM4</f>
        <v>0</v>
      </c>
      <c r="BM4" s="18">
        <f>+BN4*100%</f>
        <v>0</v>
      </c>
      <c r="BN4" s="20"/>
      <c r="BO4" s="25">
        <f t="shared" ref="BO4:BO54" si="10">IF(BI4=0,"",(+BN4/BI4-1))</f>
        <v>-1</v>
      </c>
      <c r="BP4" s="23">
        <f>'[1]STA CLARA'!$M4</f>
        <v>51173.433911600012</v>
      </c>
      <c r="BQ4" s="18">
        <f>BP4-BR4</f>
        <v>44884.218883864371</v>
      </c>
      <c r="BR4" s="18">
        <f>+BP4*12.29%</f>
        <v>6289.2150277356413</v>
      </c>
      <c r="BS4" s="18">
        <f>+BU4-BT4</f>
        <v>0</v>
      </c>
      <c r="BT4" s="18">
        <f>+BU4*100%</f>
        <v>0</v>
      </c>
      <c r="BU4" s="20"/>
      <c r="BV4" s="25">
        <f t="shared" ref="BV4:BV54" si="11">IF(BP4=0,"",(+BU4/BP4-1))</f>
        <v>-1</v>
      </c>
      <c r="BW4" s="23">
        <f>'[1]STA CLARA'!$N4</f>
        <v>51173.433911600012</v>
      </c>
      <c r="BX4" s="18">
        <f>BW4-BY4</f>
        <v>44884.218883864371</v>
      </c>
      <c r="BY4" s="18">
        <f>+BW4*12.29%</f>
        <v>6289.2150277356413</v>
      </c>
      <c r="BZ4" s="18">
        <f>+CB4-CA4</f>
        <v>0</v>
      </c>
      <c r="CA4" s="18">
        <f>+CB4*100%</f>
        <v>0</v>
      </c>
      <c r="CB4" s="20"/>
      <c r="CC4" s="25">
        <f t="shared" ref="CC4:CC54" si="12">IF(BW4=0,"",(+CB4/BW4-1))</f>
        <v>-1</v>
      </c>
      <c r="CD4" s="23">
        <f>'[1]STA CLARA'!$O4</f>
        <v>51173.433911600012</v>
      </c>
      <c r="CE4" s="18">
        <f>CD4-CF4</f>
        <v>44884.218883864371</v>
      </c>
      <c r="CF4" s="18">
        <f>+CD4*12.29%</f>
        <v>6289.2150277356413</v>
      </c>
      <c r="CG4" s="18">
        <f>+CI4-CH4</f>
        <v>0</v>
      </c>
      <c r="CH4" s="18">
        <f>+CI4*100%</f>
        <v>0</v>
      </c>
      <c r="CI4" s="20"/>
      <c r="CJ4" s="25">
        <f t="shared" ref="CJ4:CJ54" si="13">IF(CD4=0,"",(+CI4/CD4-1))</f>
        <v>-1</v>
      </c>
      <c r="CK4" s="23">
        <f>'[1]STA CLARA'!$P4</f>
        <v>51173.433911600012</v>
      </c>
      <c r="CL4" s="18">
        <f>CK4-CM4</f>
        <v>44884.218883864371</v>
      </c>
      <c r="CM4" s="18">
        <f>+CK4*12.29%</f>
        <v>6289.2150277356413</v>
      </c>
      <c r="CN4" s="18">
        <f>+CP4-CO4</f>
        <v>0</v>
      </c>
      <c r="CO4" s="18">
        <f>+CP4*100%</f>
        <v>0</v>
      </c>
      <c r="CP4" s="20"/>
      <c r="CQ4" s="25">
        <f t="shared" ref="CQ4:CQ54" si="14">IF(CK4=0,"",(+CP4/CK4-1))</f>
        <v>-1</v>
      </c>
    </row>
    <row r="5" spans="1:99" s="26" customFormat="1" ht="14.25" customHeight="1" x14ac:dyDescent="0.2">
      <c r="A5" s="29" t="s">
        <v>29</v>
      </c>
      <c r="B5" s="30">
        <f t="shared" si="0"/>
        <v>20000</v>
      </c>
      <c r="C5" s="31">
        <f t="shared" si="0"/>
        <v>17542.000000000004</v>
      </c>
      <c r="D5" s="32">
        <f t="shared" si="0"/>
        <v>2458</v>
      </c>
      <c r="E5" s="30">
        <f t="shared" ref="E5:G36" si="15">+L5+S5+Z5+AG5</f>
        <v>6666.666666666667</v>
      </c>
      <c r="F5" s="33">
        <f t="shared" si="15"/>
        <v>5847.3333333333339</v>
      </c>
      <c r="G5" s="34">
        <f t="shared" si="15"/>
        <v>819.33333333333337</v>
      </c>
      <c r="H5" s="31">
        <f t="shared" si="1"/>
        <v>0</v>
      </c>
      <c r="I5" s="33">
        <f t="shared" si="1"/>
        <v>14485.57</v>
      </c>
      <c r="J5" s="33">
        <f t="shared" si="1"/>
        <v>14485.57</v>
      </c>
      <c r="K5" s="37">
        <f t="shared" si="2"/>
        <v>1.1728354999999997</v>
      </c>
      <c r="L5" s="36">
        <f>'[1]STA CLARA'!$E5</f>
        <v>1666.6666666666667</v>
      </c>
      <c r="M5" s="31">
        <f t="shared" ref="M5:M54" si="16">L5-N5</f>
        <v>1461.8333333333335</v>
      </c>
      <c r="N5" s="31">
        <f t="shared" ref="N5:N54" si="17">+L5*12.29%</f>
        <v>204.83333333333334</v>
      </c>
      <c r="O5" s="31">
        <f t="shared" ref="O5:O54" si="18">+Q5-P5</f>
        <v>0</v>
      </c>
      <c r="P5" s="31">
        <f t="shared" ref="P5:P54" si="19">+Q5*100%</f>
        <v>2924.9700000000003</v>
      </c>
      <c r="Q5" s="33">
        <f>1682.99+1241.98</f>
        <v>2924.9700000000003</v>
      </c>
      <c r="R5" s="37">
        <f t="shared" si="3"/>
        <v>0.75498200000000004</v>
      </c>
      <c r="S5" s="36">
        <f>'[1]STA CLARA'!$F5</f>
        <v>1666.6666666666667</v>
      </c>
      <c r="T5" s="31">
        <f t="shared" ref="T5:T54" si="20">S5-U5</f>
        <v>1461.8333333333335</v>
      </c>
      <c r="U5" s="31">
        <f t="shared" ref="U5:U54" si="21">+S5*12.29%</f>
        <v>204.83333333333334</v>
      </c>
      <c r="V5" s="31">
        <f t="shared" ref="V5:V54" si="22">+X5-W5</f>
        <v>0</v>
      </c>
      <c r="W5" s="31">
        <f t="shared" ref="W5:W54" si="23">+X5*100%</f>
        <v>2885.2799999999997</v>
      </c>
      <c r="X5" s="33">
        <f>1867.86+1017.42</f>
        <v>2885.2799999999997</v>
      </c>
      <c r="Y5" s="37">
        <f t="shared" si="4"/>
        <v>0.73116799999999982</v>
      </c>
      <c r="Z5" s="36">
        <f>'[1]STA CLARA'!$G5</f>
        <v>1666.6666666666667</v>
      </c>
      <c r="AA5" s="31">
        <f t="shared" ref="AA5:AA54" si="24">Z5-AB5</f>
        <v>1461.8333333333335</v>
      </c>
      <c r="AB5" s="31">
        <f t="shared" ref="AB5:AB54" si="25">+Z5*12.29%</f>
        <v>204.83333333333334</v>
      </c>
      <c r="AC5" s="31">
        <f t="shared" ref="AC5:AC54" si="26">+AE5-AD5</f>
        <v>0</v>
      </c>
      <c r="AD5" s="31">
        <f t="shared" ref="AD5:AD54" si="27">+AE5*100%</f>
        <v>5133.55</v>
      </c>
      <c r="AE5" s="33">
        <f>2473.4+2660.15</f>
        <v>5133.55</v>
      </c>
      <c r="AF5" s="37">
        <f t="shared" si="5"/>
        <v>2.08013</v>
      </c>
      <c r="AG5" s="36">
        <f>'[1]STA CLARA'!$H5</f>
        <v>1666.6666666666667</v>
      </c>
      <c r="AH5" s="31">
        <f t="shared" ref="AH5:AH54" si="28">AG5-AI5</f>
        <v>1461.8333333333335</v>
      </c>
      <c r="AI5" s="31">
        <f t="shared" ref="AI5:AI54" si="29">+AG5*12.29%</f>
        <v>204.83333333333334</v>
      </c>
      <c r="AJ5" s="31">
        <f t="shared" ref="AJ5:AJ54" si="30">+AL5-AK5</f>
        <v>0</v>
      </c>
      <c r="AK5" s="31">
        <f t="shared" ref="AK5:AK54" si="31">+AL5*100%</f>
        <v>3541.77</v>
      </c>
      <c r="AL5" s="33">
        <f>1739.95+1801.82</f>
        <v>3541.77</v>
      </c>
      <c r="AM5" s="37">
        <f t="shared" si="6"/>
        <v>1.1250619999999998</v>
      </c>
      <c r="AN5" s="36">
        <f>'[1]STA CLARA'!$I5</f>
        <v>1666.6666666666667</v>
      </c>
      <c r="AO5" s="31">
        <f t="shared" ref="AO5:AO54" si="32">AN5-AP5</f>
        <v>1461.8333333333335</v>
      </c>
      <c r="AP5" s="31">
        <f t="shared" ref="AP5:AP54" si="33">+AN5*12.29%</f>
        <v>204.83333333333334</v>
      </c>
      <c r="AQ5" s="31">
        <f t="shared" ref="AQ5:AQ54" si="34">+AS5-AR5</f>
        <v>0</v>
      </c>
      <c r="AR5" s="31">
        <f t="shared" ref="AR5:AR54" si="35">+AS5*100%</f>
        <v>0</v>
      </c>
      <c r="AS5" s="27"/>
      <c r="AT5" s="37">
        <f t="shared" si="7"/>
        <v>-1</v>
      </c>
      <c r="AU5" s="36">
        <f>'[1]STA CLARA'!$J5</f>
        <v>1666.6666666666667</v>
      </c>
      <c r="AV5" s="31">
        <f t="shared" ref="AV5:AV54" si="36">AU5-AW5</f>
        <v>1461.8333333333335</v>
      </c>
      <c r="AW5" s="31">
        <f t="shared" ref="AW5:AW54" si="37">+AU5*12.29%</f>
        <v>204.83333333333334</v>
      </c>
      <c r="AX5" s="31">
        <f t="shared" ref="AX5:AX54" si="38">+AZ5-AY5</f>
        <v>0</v>
      </c>
      <c r="AY5" s="31">
        <f t="shared" ref="AY5:AY54" si="39">+AZ5*100%</f>
        <v>0</v>
      </c>
      <c r="AZ5" s="33"/>
      <c r="BA5" s="37">
        <f t="shared" si="8"/>
        <v>-1</v>
      </c>
      <c r="BB5" s="36">
        <f>'[1]STA CLARA'!$K5</f>
        <v>1666.6666666666667</v>
      </c>
      <c r="BC5" s="31">
        <f t="shared" ref="BC5:BC54" si="40">BB5-BD5</f>
        <v>1461.8333333333335</v>
      </c>
      <c r="BD5" s="31">
        <f t="shared" ref="BD5:BD54" si="41">+BB5*12.29%</f>
        <v>204.83333333333334</v>
      </c>
      <c r="BE5" s="31">
        <f t="shared" ref="BE5:BE54" si="42">+BG5-BF5</f>
        <v>0</v>
      </c>
      <c r="BF5" s="31">
        <f t="shared" ref="BF5:BF54" si="43">+BG5*100%</f>
        <v>0</v>
      </c>
      <c r="BG5" s="27"/>
      <c r="BH5" s="37">
        <f t="shared" si="9"/>
        <v>-1</v>
      </c>
      <c r="BI5" s="36">
        <f>'[1]STA CLARA'!$L5</f>
        <v>1666.6666666666667</v>
      </c>
      <c r="BJ5" s="31">
        <f t="shared" ref="BJ5:BJ54" si="44">BI5-BK5</f>
        <v>1461.8333333333335</v>
      </c>
      <c r="BK5" s="31">
        <f t="shared" ref="BK5:BK54" si="45">+BI5*12.29%</f>
        <v>204.83333333333334</v>
      </c>
      <c r="BL5" s="31">
        <f t="shared" ref="BL5:BL54" si="46">+BN5-BM5</f>
        <v>0</v>
      </c>
      <c r="BM5" s="31">
        <f t="shared" ref="BM5:BM54" si="47">+BN5*100%</f>
        <v>0</v>
      </c>
      <c r="BN5" s="33"/>
      <c r="BO5" s="37">
        <f t="shared" si="10"/>
        <v>-1</v>
      </c>
      <c r="BP5" s="36">
        <f>'[1]STA CLARA'!$M5</f>
        <v>1666.6666666666667</v>
      </c>
      <c r="BQ5" s="31">
        <f t="shared" ref="BQ5:BQ54" si="48">BP5-BR5</f>
        <v>1461.8333333333335</v>
      </c>
      <c r="BR5" s="31">
        <f t="shared" ref="BR5:BR54" si="49">+BP5*12.29%</f>
        <v>204.83333333333334</v>
      </c>
      <c r="BS5" s="31">
        <f t="shared" ref="BS5:BS54" si="50">+BU5-BT5</f>
        <v>0</v>
      </c>
      <c r="BT5" s="31">
        <f t="shared" ref="BT5:BT54" si="51">+BU5*100%</f>
        <v>0</v>
      </c>
      <c r="BU5" s="33"/>
      <c r="BV5" s="37">
        <f t="shared" si="11"/>
        <v>-1</v>
      </c>
      <c r="BW5" s="36">
        <f>'[1]STA CLARA'!$N5</f>
        <v>1666.6666666666667</v>
      </c>
      <c r="BX5" s="31">
        <f t="shared" ref="BX5:BX54" si="52">BW5-BY5</f>
        <v>1461.8333333333335</v>
      </c>
      <c r="BY5" s="31">
        <f t="shared" ref="BY5:BY54" si="53">+BW5*12.29%</f>
        <v>204.83333333333334</v>
      </c>
      <c r="BZ5" s="31">
        <f t="shared" ref="BZ5:BZ54" si="54">+CB5-CA5</f>
        <v>0</v>
      </c>
      <c r="CA5" s="31">
        <f t="shared" ref="CA5:CA54" si="55">+CB5*100%</f>
        <v>0</v>
      </c>
      <c r="CB5" s="33"/>
      <c r="CC5" s="37">
        <f t="shared" si="12"/>
        <v>-1</v>
      </c>
      <c r="CD5" s="36">
        <f>'[1]STA CLARA'!$O5</f>
        <v>1666.6666666666667</v>
      </c>
      <c r="CE5" s="31">
        <f t="shared" ref="CE5:CE54" si="56">CD5-CF5</f>
        <v>1461.8333333333335</v>
      </c>
      <c r="CF5" s="31">
        <f t="shared" ref="CF5:CF54" si="57">+CD5*12.29%</f>
        <v>204.83333333333334</v>
      </c>
      <c r="CG5" s="31">
        <f t="shared" ref="CG5:CG54" si="58">+CI5-CH5</f>
        <v>0</v>
      </c>
      <c r="CH5" s="31">
        <f t="shared" ref="CH5:CH54" si="59">+CI5*100%</f>
        <v>0</v>
      </c>
      <c r="CI5" s="33"/>
      <c r="CJ5" s="37">
        <f t="shared" si="13"/>
        <v>-1</v>
      </c>
      <c r="CK5" s="36">
        <f>'[1]STA CLARA'!$P5</f>
        <v>1666.6666666666667</v>
      </c>
      <c r="CL5" s="31">
        <f t="shared" ref="CL5:CL54" si="60">CK5-CM5</f>
        <v>1461.8333333333335</v>
      </c>
      <c r="CM5" s="31">
        <f t="shared" ref="CM5:CM54" si="61">+CK5*12.29%</f>
        <v>204.83333333333334</v>
      </c>
      <c r="CN5" s="31">
        <f t="shared" ref="CN5:CN54" si="62">+CP5-CO5</f>
        <v>0</v>
      </c>
      <c r="CO5" s="31">
        <f t="shared" ref="CO5:CO54" si="63">+CP5*100%</f>
        <v>0</v>
      </c>
      <c r="CP5" s="33"/>
      <c r="CQ5" s="37">
        <f t="shared" si="14"/>
        <v>-1</v>
      </c>
    </row>
    <row r="6" spans="1:99" s="26" customFormat="1" ht="14.25" customHeight="1" x14ac:dyDescent="0.2">
      <c r="A6" s="29" t="s">
        <v>30</v>
      </c>
      <c r="B6" s="30">
        <f t="shared" si="0"/>
        <v>75641.619735000015</v>
      </c>
      <c r="C6" s="31">
        <f t="shared" si="0"/>
        <v>66345.264669568511</v>
      </c>
      <c r="D6" s="32">
        <f t="shared" si="0"/>
        <v>9296.3550654315022</v>
      </c>
      <c r="E6" s="30">
        <f t="shared" si="15"/>
        <v>24236.251648533336</v>
      </c>
      <c r="F6" s="33">
        <f t="shared" si="15"/>
        <v>21257.616320928588</v>
      </c>
      <c r="G6" s="34">
        <f t="shared" si="15"/>
        <v>2978.6353276047471</v>
      </c>
      <c r="H6" s="31">
        <f t="shared" si="1"/>
        <v>0</v>
      </c>
      <c r="I6" s="33">
        <f t="shared" si="1"/>
        <v>22210.230000000003</v>
      </c>
      <c r="J6" s="33">
        <f t="shared" si="1"/>
        <v>22210.230000000003</v>
      </c>
      <c r="K6" s="37">
        <f t="shared" si="2"/>
        <v>-8.3594677836906328E-2</v>
      </c>
      <c r="L6" s="36">
        <f>'[1]STA CLARA'!$E6</f>
        <v>6059.0629121333341</v>
      </c>
      <c r="M6" s="31">
        <f t="shared" si="16"/>
        <v>5314.404080232147</v>
      </c>
      <c r="N6" s="31">
        <f t="shared" si="17"/>
        <v>744.65883190118677</v>
      </c>
      <c r="O6" s="31">
        <f t="shared" si="18"/>
        <v>0</v>
      </c>
      <c r="P6" s="31">
        <f t="shared" si="19"/>
        <v>5082.34</v>
      </c>
      <c r="Q6" s="33">
        <v>5082.34</v>
      </c>
      <c r="R6" s="37">
        <f t="shared" si="3"/>
        <v>-0.16120032524789218</v>
      </c>
      <c r="S6" s="36">
        <f>'[1]STA CLARA'!$F6</f>
        <v>6059.0629121333341</v>
      </c>
      <c r="T6" s="31">
        <f t="shared" si="20"/>
        <v>5314.404080232147</v>
      </c>
      <c r="U6" s="31">
        <f t="shared" si="21"/>
        <v>744.65883190118677</v>
      </c>
      <c r="V6" s="31">
        <f t="shared" si="22"/>
        <v>0</v>
      </c>
      <c r="W6" s="31">
        <f t="shared" si="23"/>
        <v>5358.47</v>
      </c>
      <c r="X6" s="33">
        <v>5358.47</v>
      </c>
      <c r="Y6" s="37">
        <f t="shared" si="4"/>
        <v>-0.11562727145981422</v>
      </c>
      <c r="Z6" s="36">
        <f>'[1]STA CLARA'!$G6</f>
        <v>6059.0629121333341</v>
      </c>
      <c r="AA6" s="31">
        <f t="shared" si="24"/>
        <v>5314.404080232147</v>
      </c>
      <c r="AB6" s="31">
        <f t="shared" si="25"/>
        <v>744.65883190118677</v>
      </c>
      <c r="AC6" s="31">
        <f t="shared" si="26"/>
        <v>0</v>
      </c>
      <c r="AD6" s="31">
        <f t="shared" si="27"/>
        <v>6008.77</v>
      </c>
      <c r="AE6" s="33">
        <v>6008.77</v>
      </c>
      <c r="AF6" s="37">
        <f t="shared" si="5"/>
        <v>-8.3004439568735711E-3</v>
      </c>
      <c r="AG6" s="36">
        <f>'[1]STA CLARA'!$H6</f>
        <v>6059.0629121333341</v>
      </c>
      <c r="AH6" s="31">
        <f t="shared" si="28"/>
        <v>5314.404080232147</v>
      </c>
      <c r="AI6" s="31">
        <f t="shared" si="29"/>
        <v>744.65883190118677</v>
      </c>
      <c r="AJ6" s="31">
        <f t="shared" si="30"/>
        <v>0</v>
      </c>
      <c r="AK6" s="31">
        <f t="shared" si="31"/>
        <v>5760.65</v>
      </c>
      <c r="AL6" s="33">
        <v>5760.65</v>
      </c>
      <c r="AM6" s="37">
        <f t="shared" si="6"/>
        <v>-4.9250670683045672E-2</v>
      </c>
      <c r="AN6" s="36">
        <f>'[1]STA CLARA'!$I6</f>
        <v>6059.0629121333341</v>
      </c>
      <c r="AO6" s="31">
        <f t="shared" si="32"/>
        <v>5314.404080232147</v>
      </c>
      <c r="AP6" s="31">
        <f t="shared" si="33"/>
        <v>744.65883190118677</v>
      </c>
      <c r="AQ6" s="31">
        <f t="shared" si="34"/>
        <v>0</v>
      </c>
      <c r="AR6" s="31">
        <f t="shared" si="35"/>
        <v>0</v>
      </c>
      <c r="AS6" s="27"/>
      <c r="AT6" s="37">
        <f t="shared" si="7"/>
        <v>-1</v>
      </c>
      <c r="AU6" s="36">
        <f>'[1]STA CLARA'!$J6</f>
        <v>6059.0629121333341</v>
      </c>
      <c r="AV6" s="31">
        <f t="shared" si="36"/>
        <v>5314.404080232147</v>
      </c>
      <c r="AW6" s="31">
        <f t="shared" si="37"/>
        <v>744.65883190118677</v>
      </c>
      <c r="AX6" s="31">
        <f t="shared" si="38"/>
        <v>0</v>
      </c>
      <c r="AY6" s="31">
        <f t="shared" si="39"/>
        <v>0</v>
      </c>
      <c r="AZ6" s="33"/>
      <c r="BA6" s="37">
        <f t="shared" si="8"/>
        <v>-1</v>
      </c>
      <c r="BB6" s="36">
        <f>'[1]STA CLARA'!$K6</f>
        <v>6059.0629121333341</v>
      </c>
      <c r="BC6" s="31">
        <f t="shared" si="40"/>
        <v>5314.404080232147</v>
      </c>
      <c r="BD6" s="31">
        <f t="shared" si="41"/>
        <v>744.65883190118677</v>
      </c>
      <c r="BE6" s="31">
        <f t="shared" si="42"/>
        <v>0</v>
      </c>
      <c r="BF6" s="31">
        <f t="shared" si="43"/>
        <v>0</v>
      </c>
      <c r="BG6" s="27"/>
      <c r="BH6" s="37">
        <f t="shared" si="9"/>
        <v>-1</v>
      </c>
      <c r="BI6" s="36">
        <f>'[1]STA CLARA'!$L6</f>
        <v>6645.6358700133351</v>
      </c>
      <c r="BJ6" s="31">
        <f t="shared" si="44"/>
        <v>5828.8872215886959</v>
      </c>
      <c r="BK6" s="31">
        <f t="shared" si="45"/>
        <v>816.74864842463887</v>
      </c>
      <c r="BL6" s="31">
        <f t="shared" si="46"/>
        <v>0</v>
      </c>
      <c r="BM6" s="31">
        <f t="shared" si="47"/>
        <v>0</v>
      </c>
      <c r="BN6" s="33"/>
      <c r="BO6" s="37">
        <f t="shared" si="10"/>
        <v>-1</v>
      </c>
      <c r="BP6" s="36">
        <f>'[1]STA CLARA'!$M6</f>
        <v>6645.6358700133351</v>
      </c>
      <c r="BQ6" s="31">
        <f t="shared" si="48"/>
        <v>5828.8872215886959</v>
      </c>
      <c r="BR6" s="31">
        <f t="shared" si="49"/>
        <v>816.74864842463887</v>
      </c>
      <c r="BS6" s="31">
        <f t="shared" si="50"/>
        <v>0</v>
      </c>
      <c r="BT6" s="31">
        <f t="shared" si="51"/>
        <v>0</v>
      </c>
      <c r="BU6" s="33"/>
      <c r="BV6" s="37">
        <f t="shared" si="11"/>
        <v>-1</v>
      </c>
      <c r="BW6" s="36">
        <f>'[1]STA CLARA'!$N6</f>
        <v>6645.6358700133351</v>
      </c>
      <c r="BX6" s="31">
        <f t="shared" si="52"/>
        <v>5828.8872215886959</v>
      </c>
      <c r="BY6" s="31">
        <f t="shared" si="53"/>
        <v>816.74864842463887</v>
      </c>
      <c r="BZ6" s="31">
        <f t="shared" si="54"/>
        <v>0</v>
      </c>
      <c r="CA6" s="31">
        <f t="shared" si="55"/>
        <v>0</v>
      </c>
      <c r="CB6" s="33"/>
      <c r="CC6" s="37">
        <f t="shared" si="12"/>
        <v>-1</v>
      </c>
      <c r="CD6" s="36">
        <f>'[1]STA CLARA'!$O6</f>
        <v>6645.6358700133351</v>
      </c>
      <c r="CE6" s="31">
        <f t="shared" si="56"/>
        <v>5828.8872215886959</v>
      </c>
      <c r="CF6" s="31">
        <f t="shared" si="57"/>
        <v>816.74864842463887</v>
      </c>
      <c r="CG6" s="31">
        <f t="shared" si="58"/>
        <v>0</v>
      </c>
      <c r="CH6" s="31">
        <f t="shared" si="59"/>
        <v>0</v>
      </c>
      <c r="CI6" s="33"/>
      <c r="CJ6" s="37">
        <f t="shared" si="13"/>
        <v>-1</v>
      </c>
      <c r="CK6" s="36">
        <f>'[1]STA CLARA'!$P6</f>
        <v>6645.6358700133351</v>
      </c>
      <c r="CL6" s="31">
        <f t="shared" si="60"/>
        <v>5828.8872215886959</v>
      </c>
      <c r="CM6" s="31">
        <f t="shared" si="61"/>
        <v>816.74864842463887</v>
      </c>
      <c r="CN6" s="31">
        <f t="shared" si="62"/>
        <v>0</v>
      </c>
      <c r="CO6" s="31">
        <f t="shared" si="63"/>
        <v>0</v>
      </c>
      <c r="CP6" s="33"/>
      <c r="CQ6" s="37">
        <f t="shared" si="14"/>
        <v>-1</v>
      </c>
    </row>
    <row r="7" spans="1:99" s="26" customFormat="1" ht="14.25" customHeight="1" x14ac:dyDescent="0.2">
      <c r="A7" s="29" t="s">
        <v>31</v>
      </c>
      <c r="B7" s="30">
        <f t="shared" si="0"/>
        <v>58687.463587500017</v>
      </c>
      <c r="C7" s="31">
        <f t="shared" si="0"/>
        <v>51474.774312596252</v>
      </c>
      <c r="D7" s="32">
        <f t="shared" si="0"/>
        <v>7212.6892749037497</v>
      </c>
      <c r="E7" s="30">
        <f t="shared" si="15"/>
        <v>18803.988347999999</v>
      </c>
      <c r="F7" s="33">
        <f t="shared" si="15"/>
        <v>16492.978180030797</v>
      </c>
      <c r="G7" s="34">
        <f t="shared" si="15"/>
        <v>2311.0101679691998</v>
      </c>
      <c r="H7" s="31">
        <f t="shared" si="1"/>
        <v>0</v>
      </c>
      <c r="I7" s="33">
        <f t="shared" si="1"/>
        <v>15090.75</v>
      </c>
      <c r="J7" s="33">
        <f t="shared" si="1"/>
        <v>15090.75</v>
      </c>
      <c r="K7" s="37">
        <f t="shared" si="2"/>
        <v>-0.19747078541425178</v>
      </c>
      <c r="L7" s="36">
        <f>'[1]STA CLARA'!$E7</f>
        <v>4700.9970869999997</v>
      </c>
      <c r="M7" s="31">
        <f t="shared" si="16"/>
        <v>4123.2445450076993</v>
      </c>
      <c r="N7" s="31">
        <f t="shared" si="17"/>
        <v>577.75254199229994</v>
      </c>
      <c r="O7" s="31">
        <f t="shared" si="18"/>
        <v>0</v>
      </c>
      <c r="P7" s="31">
        <f t="shared" si="19"/>
        <v>3477.55</v>
      </c>
      <c r="Q7" s="33">
        <v>3477.55</v>
      </c>
      <c r="R7" s="37">
        <f t="shared" si="3"/>
        <v>-0.26025267924187501</v>
      </c>
      <c r="S7" s="36">
        <f>'[1]STA CLARA'!$F7</f>
        <v>4700.9970869999997</v>
      </c>
      <c r="T7" s="31">
        <f t="shared" si="20"/>
        <v>4123.2445450076993</v>
      </c>
      <c r="U7" s="31">
        <f t="shared" si="21"/>
        <v>577.75254199229994</v>
      </c>
      <c r="V7" s="31">
        <f t="shared" si="22"/>
        <v>0</v>
      </c>
      <c r="W7" s="31">
        <f t="shared" si="23"/>
        <v>3710.93</v>
      </c>
      <c r="X7" s="33">
        <v>3710.93</v>
      </c>
      <c r="Y7" s="37">
        <f t="shared" si="4"/>
        <v>-0.21060789204441388</v>
      </c>
      <c r="Z7" s="36">
        <f>'[1]STA CLARA'!$G7</f>
        <v>4700.9970869999997</v>
      </c>
      <c r="AA7" s="31">
        <f t="shared" si="24"/>
        <v>4123.2445450076993</v>
      </c>
      <c r="AB7" s="31">
        <f t="shared" si="25"/>
        <v>577.75254199229994</v>
      </c>
      <c r="AC7" s="31">
        <f t="shared" si="26"/>
        <v>0</v>
      </c>
      <c r="AD7" s="31">
        <f t="shared" si="27"/>
        <v>3979.68</v>
      </c>
      <c r="AE7" s="33">
        <v>3979.68</v>
      </c>
      <c r="AF7" s="37">
        <f t="shared" si="5"/>
        <v>-0.15343916910621136</v>
      </c>
      <c r="AG7" s="36">
        <f>'[1]STA CLARA'!$H7</f>
        <v>4700.9970869999997</v>
      </c>
      <c r="AH7" s="31">
        <f t="shared" si="28"/>
        <v>4123.2445450076993</v>
      </c>
      <c r="AI7" s="31">
        <f t="shared" si="29"/>
        <v>577.75254199229994</v>
      </c>
      <c r="AJ7" s="31">
        <f t="shared" si="30"/>
        <v>0</v>
      </c>
      <c r="AK7" s="31">
        <f t="shared" si="31"/>
        <v>3922.59</v>
      </c>
      <c r="AL7" s="33">
        <f>3922.59</f>
        <v>3922.59</v>
      </c>
      <c r="AM7" s="37">
        <f t="shared" si="6"/>
        <v>-0.16558340126450699</v>
      </c>
      <c r="AN7" s="36">
        <f>'[1]STA CLARA'!$I7</f>
        <v>4700.9970869999997</v>
      </c>
      <c r="AO7" s="31">
        <f t="shared" si="32"/>
        <v>4123.2445450076993</v>
      </c>
      <c r="AP7" s="31">
        <f t="shared" si="33"/>
        <v>577.75254199229994</v>
      </c>
      <c r="AQ7" s="31">
        <f t="shared" si="34"/>
        <v>0</v>
      </c>
      <c r="AR7" s="31">
        <f t="shared" si="35"/>
        <v>0</v>
      </c>
      <c r="AS7" s="27"/>
      <c r="AT7" s="37">
        <f t="shared" si="7"/>
        <v>-1</v>
      </c>
      <c r="AU7" s="36">
        <f>'[1]STA CLARA'!$J7</f>
        <v>4700.9970869999997</v>
      </c>
      <c r="AV7" s="31">
        <f t="shared" si="36"/>
        <v>4123.2445450076993</v>
      </c>
      <c r="AW7" s="31">
        <f t="shared" si="37"/>
        <v>577.75254199229994</v>
      </c>
      <c r="AX7" s="31">
        <f t="shared" si="38"/>
        <v>0</v>
      </c>
      <c r="AY7" s="31">
        <f t="shared" si="39"/>
        <v>0</v>
      </c>
      <c r="AZ7" s="33"/>
      <c r="BA7" s="37">
        <f t="shared" si="8"/>
        <v>-1</v>
      </c>
      <c r="BB7" s="36">
        <f>'[1]STA CLARA'!$K7</f>
        <v>4700.9970869999997</v>
      </c>
      <c r="BC7" s="31">
        <f t="shared" si="40"/>
        <v>4123.2445450076993</v>
      </c>
      <c r="BD7" s="31">
        <f t="shared" si="41"/>
        <v>577.75254199229994</v>
      </c>
      <c r="BE7" s="31">
        <f t="shared" si="42"/>
        <v>0</v>
      </c>
      <c r="BF7" s="31">
        <f t="shared" si="43"/>
        <v>0</v>
      </c>
      <c r="BG7" s="27"/>
      <c r="BH7" s="37">
        <f t="shared" si="9"/>
        <v>-1</v>
      </c>
      <c r="BI7" s="36">
        <f>'[1]STA CLARA'!$L7</f>
        <v>5156.0967957000012</v>
      </c>
      <c r="BJ7" s="31">
        <f t="shared" si="44"/>
        <v>4522.4124995084712</v>
      </c>
      <c r="BK7" s="31">
        <f t="shared" si="45"/>
        <v>633.68429619153017</v>
      </c>
      <c r="BL7" s="31">
        <f t="shared" si="46"/>
        <v>0</v>
      </c>
      <c r="BM7" s="31">
        <f t="shared" si="47"/>
        <v>0</v>
      </c>
      <c r="BN7" s="33"/>
      <c r="BO7" s="37">
        <f t="shared" si="10"/>
        <v>-1</v>
      </c>
      <c r="BP7" s="36">
        <f>'[1]STA CLARA'!$M7</f>
        <v>5156.0967957000012</v>
      </c>
      <c r="BQ7" s="31">
        <f t="shared" si="48"/>
        <v>4522.4124995084712</v>
      </c>
      <c r="BR7" s="31">
        <f t="shared" si="49"/>
        <v>633.68429619153017</v>
      </c>
      <c r="BS7" s="31">
        <f t="shared" si="50"/>
        <v>0</v>
      </c>
      <c r="BT7" s="31">
        <f t="shared" si="51"/>
        <v>0</v>
      </c>
      <c r="BU7" s="33"/>
      <c r="BV7" s="37">
        <f t="shared" si="11"/>
        <v>-1</v>
      </c>
      <c r="BW7" s="36">
        <f>'[1]STA CLARA'!$N7</f>
        <v>5156.0967957000012</v>
      </c>
      <c r="BX7" s="31">
        <f t="shared" si="52"/>
        <v>4522.4124995084712</v>
      </c>
      <c r="BY7" s="31">
        <f t="shared" si="53"/>
        <v>633.68429619153017</v>
      </c>
      <c r="BZ7" s="31">
        <f t="shared" si="54"/>
        <v>0</v>
      </c>
      <c r="CA7" s="31">
        <f t="shared" si="55"/>
        <v>0</v>
      </c>
      <c r="CB7" s="33"/>
      <c r="CC7" s="37">
        <f t="shared" si="12"/>
        <v>-1</v>
      </c>
      <c r="CD7" s="36">
        <f>'[1]STA CLARA'!$O7</f>
        <v>5156.0967957000012</v>
      </c>
      <c r="CE7" s="31">
        <f t="shared" si="56"/>
        <v>4522.4124995084712</v>
      </c>
      <c r="CF7" s="31">
        <f t="shared" si="57"/>
        <v>633.68429619153017</v>
      </c>
      <c r="CG7" s="31">
        <f t="shared" si="58"/>
        <v>0</v>
      </c>
      <c r="CH7" s="31">
        <f t="shared" si="59"/>
        <v>0</v>
      </c>
      <c r="CI7" s="33"/>
      <c r="CJ7" s="37">
        <f t="shared" si="13"/>
        <v>-1</v>
      </c>
      <c r="CK7" s="36">
        <f>'[1]STA CLARA'!$P7</f>
        <v>5156.0967957000012</v>
      </c>
      <c r="CL7" s="31">
        <f t="shared" si="60"/>
        <v>4522.4124995084712</v>
      </c>
      <c r="CM7" s="31">
        <f t="shared" si="61"/>
        <v>633.68429619153017</v>
      </c>
      <c r="CN7" s="31">
        <f t="shared" si="62"/>
        <v>0</v>
      </c>
      <c r="CO7" s="31">
        <f t="shared" si="63"/>
        <v>0</v>
      </c>
      <c r="CP7" s="33"/>
      <c r="CQ7" s="37">
        <f t="shared" si="14"/>
        <v>-1</v>
      </c>
    </row>
    <row r="8" spans="1:99" s="26" customFormat="1" ht="14.25" customHeight="1" x14ac:dyDescent="0.2">
      <c r="A8" s="38" t="s">
        <v>32</v>
      </c>
      <c r="B8" s="30">
        <f t="shared" si="0"/>
        <v>56000.62871071</v>
      </c>
      <c r="C8" s="31">
        <f t="shared" si="0"/>
        <v>49118.15144216374</v>
      </c>
      <c r="D8" s="32">
        <f t="shared" si="0"/>
        <v>6882.4772685462585</v>
      </c>
      <c r="E8" s="30">
        <f t="shared" si="15"/>
        <v>0</v>
      </c>
      <c r="F8" s="33">
        <f t="shared" si="15"/>
        <v>0</v>
      </c>
      <c r="G8" s="34">
        <f t="shared" si="15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'[1]STA CLARA'!$E8</f>
        <v>0</v>
      </c>
      <c r="M8" s="31">
        <f t="shared" si="16"/>
        <v>0</v>
      </c>
      <c r="N8" s="31">
        <f t="shared" si="17"/>
        <v>0</v>
      </c>
      <c r="O8" s="31">
        <f t="shared" si="18"/>
        <v>0</v>
      </c>
      <c r="P8" s="31">
        <f t="shared" si="19"/>
        <v>0</v>
      </c>
      <c r="Q8" s="33"/>
      <c r="R8" s="37" t="str">
        <f t="shared" si="3"/>
        <v/>
      </c>
      <c r="S8" s="36">
        <f>'[1]STA CLARA'!$F8</f>
        <v>0</v>
      </c>
      <c r="T8" s="31">
        <f t="shared" si="20"/>
        <v>0</v>
      </c>
      <c r="U8" s="31">
        <f t="shared" si="21"/>
        <v>0</v>
      </c>
      <c r="V8" s="31">
        <f t="shared" si="22"/>
        <v>0</v>
      </c>
      <c r="W8" s="31">
        <f t="shared" si="23"/>
        <v>0</v>
      </c>
      <c r="X8" s="33"/>
      <c r="Y8" s="37" t="str">
        <f t="shared" si="4"/>
        <v/>
      </c>
      <c r="Z8" s="36">
        <f>'[1]STA CLARA'!$G8</f>
        <v>0</v>
      </c>
      <c r="AA8" s="31">
        <f t="shared" si="24"/>
        <v>0</v>
      </c>
      <c r="AB8" s="31">
        <f t="shared" si="25"/>
        <v>0</v>
      </c>
      <c r="AC8" s="31">
        <f t="shared" si="26"/>
        <v>0</v>
      </c>
      <c r="AD8" s="31">
        <f t="shared" si="27"/>
        <v>0</v>
      </c>
      <c r="AE8" s="33"/>
      <c r="AF8" s="37" t="str">
        <f t="shared" si="5"/>
        <v/>
      </c>
      <c r="AG8" s="36">
        <f>'[1]STA CLARA'!$H8</f>
        <v>0</v>
      </c>
      <c r="AH8" s="31">
        <f t="shared" si="28"/>
        <v>0</v>
      </c>
      <c r="AI8" s="31">
        <f t="shared" si="29"/>
        <v>0</v>
      </c>
      <c r="AJ8" s="31">
        <f t="shared" si="30"/>
        <v>0</v>
      </c>
      <c r="AK8" s="31">
        <f t="shared" si="31"/>
        <v>0</v>
      </c>
      <c r="AL8" s="33"/>
      <c r="AM8" s="37" t="str">
        <f t="shared" si="6"/>
        <v/>
      </c>
      <c r="AN8" s="36">
        <f>'[1]STA CLARA'!$I8</f>
        <v>0</v>
      </c>
      <c r="AO8" s="31">
        <f t="shared" si="32"/>
        <v>0</v>
      </c>
      <c r="AP8" s="31">
        <f t="shared" si="33"/>
        <v>0</v>
      </c>
      <c r="AQ8" s="31">
        <f t="shared" si="34"/>
        <v>0</v>
      </c>
      <c r="AR8" s="31">
        <f t="shared" si="35"/>
        <v>0</v>
      </c>
      <c r="AS8" s="27"/>
      <c r="AT8" s="37" t="str">
        <f t="shared" si="7"/>
        <v/>
      </c>
      <c r="AU8" s="36">
        <f>'[1]STA CLARA'!$J8</f>
        <v>0</v>
      </c>
      <c r="AV8" s="31">
        <f t="shared" si="36"/>
        <v>0</v>
      </c>
      <c r="AW8" s="31">
        <f t="shared" si="37"/>
        <v>0</v>
      </c>
      <c r="AX8" s="31">
        <f t="shared" si="38"/>
        <v>0</v>
      </c>
      <c r="AY8" s="31">
        <f t="shared" si="39"/>
        <v>0</v>
      </c>
      <c r="AZ8" s="33"/>
      <c r="BA8" s="37" t="str">
        <f t="shared" si="8"/>
        <v/>
      </c>
      <c r="BB8" s="36">
        <f>'[1]STA CLARA'!$K8</f>
        <v>56000.62871071</v>
      </c>
      <c r="BC8" s="31">
        <f t="shared" si="40"/>
        <v>49118.15144216374</v>
      </c>
      <c r="BD8" s="31">
        <f t="shared" si="41"/>
        <v>6882.4772685462585</v>
      </c>
      <c r="BE8" s="31">
        <f t="shared" si="42"/>
        <v>0</v>
      </c>
      <c r="BF8" s="31">
        <f t="shared" si="43"/>
        <v>0</v>
      </c>
      <c r="BG8" s="27"/>
      <c r="BH8" s="37">
        <f t="shared" si="9"/>
        <v>-1</v>
      </c>
      <c r="BI8" s="36">
        <f>'[1]STA CLARA'!$L8</f>
        <v>0</v>
      </c>
      <c r="BJ8" s="31">
        <f t="shared" si="44"/>
        <v>0</v>
      </c>
      <c r="BK8" s="31">
        <f t="shared" si="45"/>
        <v>0</v>
      </c>
      <c r="BL8" s="31">
        <f t="shared" si="46"/>
        <v>0</v>
      </c>
      <c r="BM8" s="31">
        <f t="shared" si="47"/>
        <v>0</v>
      </c>
      <c r="BN8" s="33"/>
      <c r="BO8" s="37" t="str">
        <f t="shared" si="10"/>
        <v/>
      </c>
      <c r="BP8" s="36">
        <f>'[1]STA CLARA'!$M8</f>
        <v>0</v>
      </c>
      <c r="BQ8" s="31">
        <f t="shared" si="48"/>
        <v>0</v>
      </c>
      <c r="BR8" s="31">
        <f t="shared" si="49"/>
        <v>0</v>
      </c>
      <c r="BS8" s="31">
        <f t="shared" si="50"/>
        <v>0</v>
      </c>
      <c r="BT8" s="31">
        <f t="shared" si="51"/>
        <v>0</v>
      </c>
      <c r="BU8" s="33"/>
      <c r="BV8" s="37" t="str">
        <f t="shared" si="11"/>
        <v/>
      </c>
      <c r="BW8" s="36">
        <f>'[1]STA CLARA'!$N8</f>
        <v>0</v>
      </c>
      <c r="BX8" s="31">
        <f t="shared" si="52"/>
        <v>0</v>
      </c>
      <c r="BY8" s="31">
        <f t="shared" si="53"/>
        <v>0</v>
      </c>
      <c r="BZ8" s="31">
        <f t="shared" si="54"/>
        <v>0</v>
      </c>
      <c r="CA8" s="31">
        <f t="shared" si="55"/>
        <v>0</v>
      </c>
      <c r="CB8" s="33"/>
      <c r="CC8" s="37" t="str">
        <f t="shared" si="12"/>
        <v/>
      </c>
      <c r="CD8" s="36">
        <f>'[1]STA CLARA'!$O8</f>
        <v>0</v>
      </c>
      <c r="CE8" s="31">
        <f t="shared" si="56"/>
        <v>0</v>
      </c>
      <c r="CF8" s="31">
        <f t="shared" si="57"/>
        <v>0</v>
      </c>
      <c r="CG8" s="31">
        <f t="shared" si="58"/>
        <v>0</v>
      </c>
      <c r="CH8" s="31">
        <f t="shared" si="59"/>
        <v>0</v>
      </c>
      <c r="CI8" s="33"/>
      <c r="CJ8" s="37" t="str">
        <f t="shared" si="13"/>
        <v/>
      </c>
      <c r="CK8" s="36">
        <f>'[1]STA CLARA'!$P8</f>
        <v>0</v>
      </c>
      <c r="CL8" s="31">
        <f t="shared" si="60"/>
        <v>0</v>
      </c>
      <c r="CM8" s="31">
        <f t="shared" si="61"/>
        <v>0</v>
      </c>
      <c r="CN8" s="31">
        <f t="shared" si="62"/>
        <v>0</v>
      </c>
      <c r="CO8" s="31">
        <f t="shared" si="63"/>
        <v>0</v>
      </c>
      <c r="CP8" s="33"/>
      <c r="CQ8" s="37" t="str">
        <f t="shared" si="14"/>
        <v/>
      </c>
    </row>
    <row r="9" spans="1:99" s="26" customFormat="1" ht="14.25" customHeight="1" x14ac:dyDescent="0.2">
      <c r="A9" s="38" t="s">
        <v>33</v>
      </c>
      <c r="B9" s="30">
        <f t="shared" si="0"/>
        <v>34951.644981000005</v>
      </c>
      <c r="C9" s="31">
        <f t="shared" si="0"/>
        <v>30656.087812835103</v>
      </c>
      <c r="D9" s="32">
        <f t="shared" si="0"/>
        <v>4295.5571681649008</v>
      </c>
      <c r="E9" s="30">
        <f t="shared" si="15"/>
        <v>11198.819727253334</v>
      </c>
      <c r="F9" s="33">
        <f t="shared" si="15"/>
        <v>9822.4847827738995</v>
      </c>
      <c r="G9" s="34">
        <f t="shared" si="15"/>
        <v>1376.3349444794349</v>
      </c>
      <c r="H9" s="31">
        <f t="shared" si="1"/>
        <v>0</v>
      </c>
      <c r="I9" s="33">
        <f t="shared" si="1"/>
        <v>6647.07</v>
      </c>
      <c r="J9" s="33">
        <f t="shared" si="1"/>
        <v>6647.07</v>
      </c>
      <c r="K9" s="37">
        <f t="shared" si="2"/>
        <v>-0.40644905785707419</v>
      </c>
      <c r="L9" s="36">
        <f>'[1]STA CLARA'!$E9</f>
        <v>2799.7049318133336</v>
      </c>
      <c r="M9" s="31">
        <f t="shared" si="16"/>
        <v>2455.6211956934749</v>
      </c>
      <c r="N9" s="31">
        <f t="shared" si="17"/>
        <v>344.08373611985871</v>
      </c>
      <c r="O9" s="31">
        <f t="shared" si="18"/>
        <v>0</v>
      </c>
      <c r="P9" s="31">
        <f t="shared" si="19"/>
        <v>1564.82</v>
      </c>
      <c r="Q9" s="33">
        <f>1564.82</f>
        <v>1564.82</v>
      </c>
      <c r="R9" s="37">
        <f t="shared" si="3"/>
        <v>-0.4410768141246636</v>
      </c>
      <c r="S9" s="36">
        <f>'[1]STA CLARA'!$F9</f>
        <v>2799.7049318133336</v>
      </c>
      <c r="T9" s="31">
        <f t="shared" si="20"/>
        <v>2455.6211956934749</v>
      </c>
      <c r="U9" s="31">
        <f t="shared" si="21"/>
        <v>344.08373611985871</v>
      </c>
      <c r="V9" s="31">
        <f t="shared" si="22"/>
        <v>0</v>
      </c>
      <c r="W9" s="31">
        <f t="shared" si="23"/>
        <v>1362.14</v>
      </c>
      <c r="X9" s="33">
        <f>1362.14</f>
        <v>1362.14</v>
      </c>
      <c r="Y9" s="37">
        <f t="shared" si="4"/>
        <v>-0.51347015732913004</v>
      </c>
      <c r="Z9" s="36">
        <f>'[1]STA CLARA'!$G9</f>
        <v>2799.7049318133336</v>
      </c>
      <c r="AA9" s="31">
        <f t="shared" si="24"/>
        <v>2455.6211956934749</v>
      </c>
      <c r="AB9" s="31">
        <f t="shared" si="25"/>
        <v>344.08373611985871</v>
      </c>
      <c r="AC9" s="31">
        <f t="shared" si="26"/>
        <v>0</v>
      </c>
      <c r="AD9" s="31">
        <f t="shared" si="27"/>
        <v>1556.72</v>
      </c>
      <c r="AE9" s="33">
        <f>1556.72</f>
        <v>1556.72</v>
      </c>
      <c r="AF9" s="37">
        <f t="shared" si="5"/>
        <v>-0.44396997615326128</v>
      </c>
      <c r="AG9" s="36">
        <f>'[1]STA CLARA'!$H9</f>
        <v>2799.7049318133336</v>
      </c>
      <c r="AH9" s="31">
        <f t="shared" si="28"/>
        <v>2455.6211956934749</v>
      </c>
      <c r="AI9" s="31">
        <f t="shared" si="29"/>
        <v>344.08373611985871</v>
      </c>
      <c r="AJ9" s="31">
        <f t="shared" si="30"/>
        <v>0</v>
      </c>
      <c r="AK9" s="31">
        <f t="shared" si="31"/>
        <v>2163.39</v>
      </c>
      <c r="AL9" s="33">
        <f>2163.39</f>
        <v>2163.39</v>
      </c>
      <c r="AM9" s="37">
        <f t="shared" si="6"/>
        <v>-0.22727928382124207</v>
      </c>
      <c r="AN9" s="36">
        <f>'[1]STA CLARA'!$I9</f>
        <v>2799.7049318133336</v>
      </c>
      <c r="AO9" s="31">
        <f t="shared" si="32"/>
        <v>2455.6211956934749</v>
      </c>
      <c r="AP9" s="31">
        <f t="shared" si="33"/>
        <v>344.08373611985871</v>
      </c>
      <c r="AQ9" s="31">
        <f t="shared" si="34"/>
        <v>0</v>
      </c>
      <c r="AR9" s="31">
        <f t="shared" si="35"/>
        <v>0</v>
      </c>
      <c r="AS9" s="27"/>
      <c r="AT9" s="37">
        <f t="shared" si="7"/>
        <v>-1</v>
      </c>
      <c r="AU9" s="36">
        <f>'[1]STA CLARA'!$J9</f>
        <v>2799.7049318133336</v>
      </c>
      <c r="AV9" s="31">
        <f t="shared" si="36"/>
        <v>2455.6211956934749</v>
      </c>
      <c r="AW9" s="31">
        <f t="shared" si="37"/>
        <v>344.08373611985871</v>
      </c>
      <c r="AX9" s="31">
        <f t="shared" si="38"/>
        <v>0</v>
      </c>
      <c r="AY9" s="31">
        <f t="shared" si="39"/>
        <v>0</v>
      </c>
      <c r="AZ9" s="33"/>
      <c r="BA9" s="37">
        <f t="shared" si="8"/>
        <v>-1</v>
      </c>
      <c r="BB9" s="36">
        <f>'[1]STA CLARA'!$K9</f>
        <v>2799.7049318133336</v>
      </c>
      <c r="BC9" s="31">
        <f t="shared" si="40"/>
        <v>2455.6211956934749</v>
      </c>
      <c r="BD9" s="31">
        <f t="shared" si="41"/>
        <v>344.08373611985871</v>
      </c>
      <c r="BE9" s="31">
        <f t="shared" si="42"/>
        <v>0</v>
      </c>
      <c r="BF9" s="31">
        <f t="shared" si="43"/>
        <v>0</v>
      </c>
      <c r="BG9" s="27"/>
      <c r="BH9" s="37">
        <f t="shared" si="9"/>
        <v>-1</v>
      </c>
      <c r="BI9" s="36">
        <f>'[1]STA CLARA'!$L9</f>
        <v>3070.7420916613337</v>
      </c>
      <c r="BJ9" s="31">
        <f t="shared" si="44"/>
        <v>2693.3478885961558</v>
      </c>
      <c r="BK9" s="31">
        <f t="shared" si="45"/>
        <v>377.39420306517792</v>
      </c>
      <c r="BL9" s="31">
        <f t="shared" si="46"/>
        <v>0</v>
      </c>
      <c r="BM9" s="31">
        <f t="shared" si="47"/>
        <v>0</v>
      </c>
      <c r="BN9" s="33"/>
      <c r="BO9" s="37">
        <f t="shared" si="10"/>
        <v>-1</v>
      </c>
      <c r="BP9" s="36">
        <f>'[1]STA CLARA'!$M9</f>
        <v>3070.7420916613337</v>
      </c>
      <c r="BQ9" s="31">
        <f t="shared" si="48"/>
        <v>2693.3478885961558</v>
      </c>
      <c r="BR9" s="31">
        <f t="shared" si="49"/>
        <v>377.39420306517792</v>
      </c>
      <c r="BS9" s="31">
        <f t="shared" si="50"/>
        <v>0</v>
      </c>
      <c r="BT9" s="31">
        <f t="shared" si="51"/>
        <v>0</v>
      </c>
      <c r="BU9" s="33"/>
      <c r="BV9" s="37">
        <f t="shared" si="11"/>
        <v>-1</v>
      </c>
      <c r="BW9" s="36">
        <f>'[1]STA CLARA'!$N9</f>
        <v>3070.7420916613337</v>
      </c>
      <c r="BX9" s="31">
        <f t="shared" si="52"/>
        <v>2693.3478885961558</v>
      </c>
      <c r="BY9" s="31">
        <f t="shared" si="53"/>
        <v>377.39420306517792</v>
      </c>
      <c r="BZ9" s="31">
        <f t="shared" si="54"/>
        <v>0</v>
      </c>
      <c r="CA9" s="31">
        <f t="shared" si="55"/>
        <v>0</v>
      </c>
      <c r="CB9" s="33"/>
      <c r="CC9" s="37">
        <f t="shared" si="12"/>
        <v>-1</v>
      </c>
      <c r="CD9" s="36">
        <f>'[1]STA CLARA'!$O9</f>
        <v>3070.7420916613337</v>
      </c>
      <c r="CE9" s="31">
        <f t="shared" si="56"/>
        <v>2693.3478885961558</v>
      </c>
      <c r="CF9" s="31">
        <f t="shared" si="57"/>
        <v>377.39420306517792</v>
      </c>
      <c r="CG9" s="31">
        <f t="shared" si="58"/>
        <v>0</v>
      </c>
      <c r="CH9" s="31">
        <f t="shared" si="59"/>
        <v>0</v>
      </c>
      <c r="CI9" s="33"/>
      <c r="CJ9" s="37">
        <f t="shared" si="13"/>
        <v>-1</v>
      </c>
      <c r="CK9" s="36">
        <f>'[1]STA CLARA'!$P9</f>
        <v>3070.7420916613337</v>
      </c>
      <c r="CL9" s="31">
        <f t="shared" si="60"/>
        <v>2693.3478885961558</v>
      </c>
      <c r="CM9" s="31">
        <f t="shared" si="61"/>
        <v>377.39420306517792</v>
      </c>
      <c r="CN9" s="31">
        <f t="shared" si="62"/>
        <v>0</v>
      </c>
      <c r="CO9" s="31">
        <f t="shared" si="63"/>
        <v>0</v>
      </c>
      <c r="CP9" s="33"/>
      <c r="CQ9" s="37">
        <f t="shared" si="14"/>
        <v>-1</v>
      </c>
    </row>
    <row r="10" spans="1:99" s="26" customFormat="1" ht="14.25" customHeight="1" x14ac:dyDescent="0.2">
      <c r="A10" s="38" t="s">
        <v>34</v>
      </c>
      <c r="B10" s="30">
        <f t="shared" si="0"/>
        <v>6000</v>
      </c>
      <c r="C10" s="31">
        <f t="shared" si="0"/>
        <v>5262.6000000000013</v>
      </c>
      <c r="D10" s="32">
        <f t="shared" si="0"/>
        <v>737.40000000000009</v>
      </c>
      <c r="E10" s="30">
        <f t="shared" si="15"/>
        <v>2000</v>
      </c>
      <c r="F10" s="33">
        <f t="shared" si="15"/>
        <v>1754.2</v>
      </c>
      <c r="G10" s="34">
        <f t="shared" si="15"/>
        <v>245.79999999999998</v>
      </c>
      <c r="H10" s="31">
        <f t="shared" si="1"/>
        <v>0</v>
      </c>
      <c r="I10" s="33">
        <f t="shared" si="1"/>
        <v>16231.009999999998</v>
      </c>
      <c r="J10" s="33">
        <f t="shared" si="1"/>
        <v>16231.009999999998</v>
      </c>
      <c r="K10" s="37">
        <f t="shared" si="2"/>
        <v>7.1155049999999989</v>
      </c>
      <c r="L10" s="36">
        <f>'[1]STA CLARA'!$E10</f>
        <v>500</v>
      </c>
      <c r="M10" s="31">
        <f t="shared" si="16"/>
        <v>438.55</v>
      </c>
      <c r="N10" s="31">
        <f t="shared" si="17"/>
        <v>61.449999999999996</v>
      </c>
      <c r="O10" s="31">
        <f t="shared" si="18"/>
        <v>0</v>
      </c>
      <c r="P10" s="31">
        <f t="shared" si="19"/>
        <v>136.5</v>
      </c>
      <c r="Q10" s="33">
        <f>136.5</f>
        <v>136.5</v>
      </c>
      <c r="R10" s="37">
        <f t="shared" si="3"/>
        <v>-0.72699999999999998</v>
      </c>
      <c r="S10" s="36">
        <f>'[1]STA CLARA'!$F10</f>
        <v>500</v>
      </c>
      <c r="T10" s="31">
        <f t="shared" si="20"/>
        <v>438.55</v>
      </c>
      <c r="U10" s="31">
        <f t="shared" si="21"/>
        <v>61.449999999999996</v>
      </c>
      <c r="V10" s="31">
        <f t="shared" si="22"/>
        <v>0</v>
      </c>
      <c r="W10" s="31">
        <f t="shared" si="23"/>
        <v>3291.7799999999997</v>
      </c>
      <c r="X10" s="33">
        <f>2400+891.78</f>
        <v>3291.7799999999997</v>
      </c>
      <c r="Y10" s="37">
        <f t="shared" si="4"/>
        <v>5.5835599999999994</v>
      </c>
      <c r="Z10" s="36">
        <f>'[1]STA CLARA'!$G10</f>
        <v>500</v>
      </c>
      <c r="AA10" s="31">
        <f t="shared" si="24"/>
        <v>438.55</v>
      </c>
      <c r="AB10" s="31">
        <f t="shared" si="25"/>
        <v>61.449999999999996</v>
      </c>
      <c r="AC10" s="31">
        <f t="shared" si="26"/>
        <v>0</v>
      </c>
      <c r="AD10" s="31">
        <f t="shared" si="27"/>
        <v>5439.75</v>
      </c>
      <c r="AE10" s="33">
        <f>4000+1439.75</f>
        <v>5439.75</v>
      </c>
      <c r="AF10" s="37">
        <f t="shared" si="5"/>
        <v>9.8795000000000002</v>
      </c>
      <c r="AG10" s="36">
        <f>'[1]STA CLARA'!$H10</f>
        <v>500</v>
      </c>
      <c r="AH10" s="31">
        <f t="shared" si="28"/>
        <v>438.55</v>
      </c>
      <c r="AI10" s="31">
        <f t="shared" si="29"/>
        <v>61.449999999999996</v>
      </c>
      <c r="AJ10" s="31">
        <f t="shared" si="30"/>
        <v>0</v>
      </c>
      <c r="AK10" s="31">
        <f t="shared" si="31"/>
        <v>7362.98</v>
      </c>
      <c r="AL10" s="33">
        <f>6400+962.98</f>
        <v>7362.98</v>
      </c>
      <c r="AM10" s="37">
        <f t="shared" si="6"/>
        <v>13.725959999999999</v>
      </c>
      <c r="AN10" s="36">
        <f>'[1]STA CLARA'!$I10</f>
        <v>500</v>
      </c>
      <c r="AO10" s="31">
        <f t="shared" si="32"/>
        <v>438.55</v>
      </c>
      <c r="AP10" s="31">
        <f t="shared" si="33"/>
        <v>61.449999999999996</v>
      </c>
      <c r="AQ10" s="31">
        <f t="shared" si="34"/>
        <v>0</v>
      </c>
      <c r="AR10" s="31">
        <f t="shared" si="35"/>
        <v>0</v>
      </c>
      <c r="AS10" s="27"/>
      <c r="AT10" s="37">
        <f t="shared" si="7"/>
        <v>-1</v>
      </c>
      <c r="AU10" s="36">
        <f>'[1]STA CLARA'!$J10</f>
        <v>500</v>
      </c>
      <c r="AV10" s="31">
        <f t="shared" si="36"/>
        <v>438.55</v>
      </c>
      <c r="AW10" s="31">
        <f t="shared" si="37"/>
        <v>61.449999999999996</v>
      </c>
      <c r="AX10" s="31">
        <f t="shared" si="38"/>
        <v>0</v>
      </c>
      <c r="AY10" s="31">
        <f t="shared" si="39"/>
        <v>0</v>
      </c>
      <c r="AZ10" s="27"/>
      <c r="BA10" s="37">
        <f t="shared" si="8"/>
        <v>-1</v>
      </c>
      <c r="BB10" s="36">
        <f>'[1]STA CLARA'!$K10</f>
        <v>500</v>
      </c>
      <c r="BC10" s="31">
        <f t="shared" si="40"/>
        <v>438.55</v>
      </c>
      <c r="BD10" s="31">
        <f t="shared" si="41"/>
        <v>61.449999999999996</v>
      </c>
      <c r="BE10" s="31">
        <f t="shared" si="42"/>
        <v>0</v>
      </c>
      <c r="BF10" s="31">
        <f t="shared" si="43"/>
        <v>0</v>
      </c>
      <c r="BG10" s="27"/>
      <c r="BH10" s="37">
        <f t="shared" si="9"/>
        <v>-1</v>
      </c>
      <c r="BI10" s="36">
        <f>'[1]STA CLARA'!$L10</f>
        <v>500</v>
      </c>
      <c r="BJ10" s="31">
        <f t="shared" si="44"/>
        <v>438.55</v>
      </c>
      <c r="BK10" s="31">
        <f t="shared" si="45"/>
        <v>61.449999999999996</v>
      </c>
      <c r="BL10" s="31">
        <f t="shared" si="46"/>
        <v>0</v>
      </c>
      <c r="BM10" s="31">
        <f t="shared" si="47"/>
        <v>0</v>
      </c>
      <c r="BN10" s="33"/>
      <c r="BO10" s="37">
        <f t="shared" si="10"/>
        <v>-1</v>
      </c>
      <c r="BP10" s="36">
        <f>'[1]STA CLARA'!$M10</f>
        <v>500</v>
      </c>
      <c r="BQ10" s="31">
        <f t="shared" si="48"/>
        <v>438.55</v>
      </c>
      <c r="BR10" s="31">
        <f t="shared" si="49"/>
        <v>61.449999999999996</v>
      </c>
      <c r="BS10" s="31">
        <f t="shared" si="50"/>
        <v>0</v>
      </c>
      <c r="BT10" s="31">
        <f t="shared" si="51"/>
        <v>0</v>
      </c>
      <c r="BU10" s="33"/>
      <c r="BV10" s="37">
        <f t="shared" si="11"/>
        <v>-1</v>
      </c>
      <c r="BW10" s="36">
        <f>'[1]STA CLARA'!$N10</f>
        <v>500</v>
      </c>
      <c r="BX10" s="31">
        <f t="shared" si="52"/>
        <v>438.55</v>
      </c>
      <c r="BY10" s="31">
        <f t="shared" si="53"/>
        <v>61.449999999999996</v>
      </c>
      <c r="BZ10" s="31">
        <f t="shared" si="54"/>
        <v>0</v>
      </c>
      <c r="CA10" s="31">
        <f t="shared" si="55"/>
        <v>0</v>
      </c>
      <c r="CB10" s="33"/>
      <c r="CC10" s="37">
        <f t="shared" si="12"/>
        <v>-1</v>
      </c>
      <c r="CD10" s="36">
        <f>'[1]STA CLARA'!$O10</f>
        <v>500</v>
      </c>
      <c r="CE10" s="31">
        <f t="shared" si="56"/>
        <v>438.55</v>
      </c>
      <c r="CF10" s="31">
        <f t="shared" si="57"/>
        <v>61.449999999999996</v>
      </c>
      <c r="CG10" s="31">
        <f t="shared" si="58"/>
        <v>0</v>
      </c>
      <c r="CH10" s="31">
        <f t="shared" si="59"/>
        <v>0</v>
      </c>
      <c r="CI10" s="33"/>
      <c r="CJ10" s="37">
        <f t="shared" si="13"/>
        <v>-1</v>
      </c>
      <c r="CK10" s="36">
        <f>'[1]STA CLARA'!$P10</f>
        <v>500</v>
      </c>
      <c r="CL10" s="31">
        <f t="shared" si="60"/>
        <v>438.55</v>
      </c>
      <c r="CM10" s="31">
        <f t="shared" si="61"/>
        <v>61.449999999999996</v>
      </c>
      <c r="CN10" s="31">
        <f t="shared" si="62"/>
        <v>0</v>
      </c>
      <c r="CO10" s="31">
        <f t="shared" si="63"/>
        <v>0</v>
      </c>
      <c r="CP10" s="33"/>
      <c r="CQ10" s="37">
        <f t="shared" si="14"/>
        <v>-1</v>
      </c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5"/>
        <v>0</v>
      </c>
      <c r="F11" s="33">
        <f t="shared" si="15"/>
        <v>0</v>
      </c>
      <c r="G11" s="34">
        <f t="shared" si="15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2"/>
        <v/>
      </c>
      <c r="L11" s="36">
        <f>'[1]STA CLARA'!$E11</f>
        <v>0</v>
      </c>
      <c r="M11" s="31">
        <f t="shared" si="16"/>
        <v>0</v>
      </c>
      <c r="N11" s="31">
        <f t="shared" si="17"/>
        <v>0</v>
      </c>
      <c r="O11" s="31">
        <f t="shared" si="18"/>
        <v>0</v>
      </c>
      <c r="P11" s="31">
        <f t="shared" si="19"/>
        <v>0</v>
      </c>
      <c r="Q11" s="33"/>
      <c r="R11" s="37" t="str">
        <f t="shared" si="3"/>
        <v/>
      </c>
      <c r="S11" s="36">
        <f>'[1]STA CLARA'!$F11</f>
        <v>0</v>
      </c>
      <c r="T11" s="31">
        <f t="shared" si="20"/>
        <v>0</v>
      </c>
      <c r="U11" s="31">
        <f t="shared" si="21"/>
        <v>0</v>
      </c>
      <c r="V11" s="31">
        <f t="shared" si="22"/>
        <v>0</v>
      </c>
      <c r="W11" s="31">
        <f t="shared" si="23"/>
        <v>0</v>
      </c>
      <c r="X11" s="33"/>
      <c r="Y11" s="37" t="str">
        <f t="shared" si="4"/>
        <v/>
      </c>
      <c r="Z11" s="36">
        <f>'[1]STA CLARA'!$G11</f>
        <v>0</v>
      </c>
      <c r="AA11" s="31">
        <f t="shared" si="24"/>
        <v>0</v>
      </c>
      <c r="AB11" s="31">
        <f t="shared" si="25"/>
        <v>0</v>
      </c>
      <c r="AC11" s="31">
        <f t="shared" si="26"/>
        <v>0</v>
      </c>
      <c r="AD11" s="31">
        <f t="shared" si="27"/>
        <v>0</v>
      </c>
      <c r="AE11" s="27"/>
      <c r="AF11" s="37" t="str">
        <f t="shared" si="5"/>
        <v/>
      </c>
      <c r="AG11" s="36">
        <f>'[1]STA CLARA'!$H11</f>
        <v>0</v>
      </c>
      <c r="AH11" s="31">
        <f t="shared" si="28"/>
        <v>0</v>
      </c>
      <c r="AI11" s="31">
        <f t="shared" si="29"/>
        <v>0</v>
      </c>
      <c r="AJ11" s="31">
        <f t="shared" si="30"/>
        <v>0</v>
      </c>
      <c r="AK11" s="31">
        <f t="shared" si="31"/>
        <v>0</v>
      </c>
      <c r="AL11" s="33"/>
      <c r="AM11" s="37" t="str">
        <f t="shared" si="6"/>
        <v/>
      </c>
      <c r="AN11" s="36">
        <f>'[1]STA CLARA'!$I11</f>
        <v>0</v>
      </c>
      <c r="AO11" s="31">
        <f t="shared" si="32"/>
        <v>0</v>
      </c>
      <c r="AP11" s="31">
        <f t="shared" si="33"/>
        <v>0</v>
      </c>
      <c r="AQ11" s="31">
        <f t="shared" si="34"/>
        <v>0</v>
      </c>
      <c r="AR11" s="31">
        <f t="shared" si="35"/>
        <v>0</v>
      </c>
      <c r="AS11" s="27"/>
      <c r="AT11" s="37" t="str">
        <f t="shared" si="7"/>
        <v/>
      </c>
      <c r="AU11" s="36">
        <f>'[1]STA CLARA'!$J11</f>
        <v>0</v>
      </c>
      <c r="AV11" s="31">
        <f t="shared" si="36"/>
        <v>0</v>
      </c>
      <c r="AW11" s="31">
        <f t="shared" si="37"/>
        <v>0</v>
      </c>
      <c r="AX11" s="31">
        <f t="shared" si="38"/>
        <v>0</v>
      </c>
      <c r="AY11" s="31">
        <f t="shared" si="39"/>
        <v>0</v>
      </c>
      <c r="AZ11" s="27"/>
      <c r="BA11" s="37" t="str">
        <f t="shared" si="8"/>
        <v/>
      </c>
      <c r="BB11" s="36">
        <f>'[1]STA CLARA'!$K11</f>
        <v>0</v>
      </c>
      <c r="BC11" s="31">
        <f t="shared" si="40"/>
        <v>0</v>
      </c>
      <c r="BD11" s="31">
        <f t="shared" si="41"/>
        <v>0</v>
      </c>
      <c r="BE11" s="31">
        <f t="shared" si="42"/>
        <v>0</v>
      </c>
      <c r="BF11" s="31">
        <f t="shared" si="43"/>
        <v>0</v>
      </c>
      <c r="BG11" s="27"/>
      <c r="BH11" s="37" t="str">
        <f t="shared" si="9"/>
        <v/>
      </c>
      <c r="BI11" s="36">
        <f>'[1]STA CLARA'!$L11</f>
        <v>0</v>
      </c>
      <c r="BJ11" s="31">
        <f t="shared" si="44"/>
        <v>0</v>
      </c>
      <c r="BK11" s="31">
        <f t="shared" si="45"/>
        <v>0</v>
      </c>
      <c r="BL11" s="31">
        <f t="shared" si="46"/>
        <v>0</v>
      </c>
      <c r="BM11" s="31">
        <f t="shared" si="47"/>
        <v>0</v>
      </c>
      <c r="BN11" s="33"/>
      <c r="BO11" s="37" t="str">
        <f t="shared" si="10"/>
        <v/>
      </c>
      <c r="BP11" s="36">
        <f>'[1]STA CLARA'!$M11</f>
        <v>0</v>
      </c>
      <c r="BQ11" s="31">
        <f t="shared" si="48"/>
        <v>0</v>
      </c>
      <c r="BR11" s="31">
        <f t="shared" si="49"/>
        <v>0</v>
      </c>
      <c r="BS11" s="31">
        <f t="shared" si="50"/>
        <v>0</v>
      </c>
      <c r="BT11" s="31">
        <f t="shared" si="51"/>
        <v>0</v>
      </c>
      <c r="BU11" s="33"/>
      <c r="BV11" s="37" t="str">
        <f t="shared" si="11"/>
        <v/>
      </c>
      <c r="BW11" s="36">
        <f>'[1]STA CLARA'!$N11</f>
        <v>0</v>
      </c>
      <c r="BX11" s="31">
        <f t="shared" si="52"/>
        <v>0</v>
      </c>
      <c r="BY11" s="31">
        <f t="shared" si="53"/>
        <v>0</v>
      </c>
      <c r="BZ11" s="31">
        <f t="shared" si="54"/>
        <v>0</v>
      </c>
      <c r="CA11" s="31">
        <f t="shared" si="55"/>
        <v>0</v>
      </c>
      <c r="CB11" s="33"/>
      <c r="CC11" s="37" t="str">
        <f t="shared" si="12"/>
        <v/>
      </c>
      <c r="CD11" s="36">
        <f>'[1]STA CLARA'!$O11</f>
        <v>0</v>
      </c>
      <c r="CE11" s="31">
        <f t="shared" si="56"/>
        <v>0</v>
      </c>
      <c r="CF11" s="31">
        <f t="shared" si="57"/>
        <v>0</v>
      </c>
      <c r="CG11" s="31">
        <f t="shared" si="58"/>
        <v>0</v>
      </c>
      <c r="CH11" s="31">
        <f t="shared" si="59"/>
        <v>0</v>
      </c>
      <c r="CI11" s="33"/>
      <c r="CJ11" s="37" t="str">
        <f t="shared" si="13"/>
        <v/>
      </c>
      <c r="CK11" s="36">
        <f>'[1]STA CLARA'!$P11</f>
        <v>0</v>
      </c>
      <c r="CL11" s="31">
        <f t="shared" si="60"/>
        <v>0</v>
      </c>
      <c r="CM11" s="31">
        <f t="shared" si="61"/>
        <v>0</v>
      </c>
      <c r="CN11" s="31">
        <f t="shared" si="62"/>
        <v>0</v>
      </c>
      <c r="CO11" s="31">
        <f t="shared" si="63"/>
        <v>0</v>
      </c>
      <c r="CP11" s="33"/>
      <c r="CQ11" s="37" t="str">
        <f t="shared" si="14"/>
        <v/>
      </c>
    </row>
    <row r="12" spans="1:99" s="26" customFormat="1" ht="14.25" customHeight="1" x14ac:dyDescent="0.2">
      <c r="A12" s="29" t="s">
        <v>36</v>
      </c>
      <c r="B12" s="30">
        <f t="shared" si="0"/>
        <v>37260</v>
      </c>
      <c r="C12" s="31">
        <f t="shared" si="0"/>
        <v>32680.745999999996</v>
      </c>
      <c r="D12" s="32">
        <f t="shared" si="0"/>
        <v>4579.2539999999999</v>
      </c>
      <c r="E12" s="30">
        <f t="shared" si="15"/>
        <v>12420</v>
      </c>
      <c r="F12" s="33">
        <f t="shared" si="15"/>
        <v>10893.582</v>
      </c>
      <c r="G12" s="34">
        <f t="shared" si="15"/>
        <v>1526.4179999999999</v>
      </c>
      <c r="H12" s="31">
        <f t="shared" si="1"/>
        <v>0</v>
      </c>
      <c r="I12" s="33">
        <f t="shared" si="1"/>
        <v>12092.8</v>
      </c>
      <c r="J12" s="33">
        <f t="shared" si="1"/>
        <v>12092.8</v>
      </c>
      <c r="K12" s="37">
        <f t="shared" si="2"/>
        <v>-2.6344605475040361E-2</v>
      </c>
      <c r="L12" s="36">
        <f>'[1]STA CLARA'!$E12</f>
        <v>3105</v>
      </c>
      <c r="M12" s="31">
        <f t="shared" si="16"/>
        <v>2723.3955000000001</v>
      </c>
      <c r="N12" s="31">
        <f t="shared" si="17"/>
        <v>381.60449999999997</v>
      </c>
      <c r="O12" s="31">
        <f t="shared" si="18"/>
        <v>0</v>
      </c>
      <c r="P12" s="31">
        <f t="shared" si="19"/>
        <v>2894.9</v>
      </c>
      <c r="Q12" s="33">
        <v>2894.9</v>
      </c>
      <c r="R12" s="37">
        <f t="shared" si="3"/>
        <v>-6.766505636070852E-2</v>
      </c>
      <c r="S12" s="36">
        <f>'[1]STA CLARA'!$F12</f>
        <v>3105</v>
      </c>
      <c r="T12" s="31">
        <f t="shared" si="20"/>
        <v>2723.3955000000001</v>
      </c>
      <c r="U12" s="31">
        <f t="shared" si="21"/>
        <v>381.60449999999997</v>
      </c>
      <c r="V12" s="31">
        <f t="shared" si="22"/>
        <v>0</v>
      </c>
      <c r="W12" s="31">
        <f t="shared" si="23"/>
        <v>96.5</v>
      </c>
      <c r="X12" s="33">
        <f>96.5</f>
        <v>96.5</v>
      </c>
      <c r="Y12" s="37">
        <f t="shared" si="4"/>
        <v>-0.96892109500805157</v>
      </c>
      <c r="Z12" s="36">
        <f>'[1]STA CLARA'!$G12</f>
        <v>3105</v>
      </c>
      <c r="AA12" s="31">
        <f t="shared" si="24"/>
        <v>2723.3955000000001</v>
      </c>
      <c r="AB12" s="31">
        <f t="shared" si="25"/>
        <v>381.60449999999997</v>
      </c>
      <c r="AC12" s="31">
        <f t="shared" si="26"/>
        <v>0</v>
      </c>
      <c r="AD12" s="31">
        <f t="shared" si="27"/>
        <v>5998.65</v>
      </c>
      <c r="AE12" s="33">
        <f>5998.65</f>
        <v>5998.65</v>
      </c>
      <c r="AF12" s="37">
        <f t="shared" si="5"/>
        <v>0.93193236714975836</v>
      </c>
      <c r="AG12" s="36">
        <f>'[1]STA CLARA'!$H12</f>
        <v>3105</v>
      </c>
      <c r="AH12" s="31">
        <f t="shared" si="28"/>
        <v>2723.3955000000001</v>
      </c>
      <c r="AI12" s="31">
        <f t="shared" si="29"/>
        <v>381.60449999999997</v>
      </c>
      <c r="AJ12" s="31">
        <f t="shared" si="30"/>
        <v>0</v>
      </c>
      <c r="AK12" s="31">
        <f t="shared" si="31"/>
        <v>3102.75</v>
      </c>
      <c r="AL12" s="33">
        <v>3102.75</v>
      </c>
      <c r="AM12" s="37">
        <f t="shared" si="6"/>
        <v>-7.246376811593791E-4</v>
      </c>
      <c r="AN12" s="36">
        <f>'[1]STA CLARA'!$I12</f>
        <v>3105</v>
      </c>
      <c r="AO12" s="31">
        <f t="shared" si="32"/>
        <v>2723.3955000000001</v>
      </c>
      <c r="AP12" s="31">
        <f t="shared" si="33"/>
        <v>381.60449999999997</v>
      </c>
      <c r="AQ12" s="31">
        <f t="shared" si="34"/>
        <v>0</v>
      </c>
      <c r="AR12" s="31">
        <f t="shared" si="35"/>
        <v>0</v>
      </c>
      <c r="AS12" s="33"/>
      <c r="AT12" s="37">
        <f t="shared" si="7"/>
        <v>-1</v>
      </c>
      <c r="AU12" s="36">
        <f>'[1]STA CLARA'!$J12</f>
        <v>3105</v>
      </c>
      <c r="AV12" s="31">
        <f t="shared" si="36"/>
        <v>2723.3955000000001</v>
      </c>
      <c r="AW12" s="31">
        <f t="shared" si="37"/>
        <v>381.60449999999997</v>
      </c>
      <c r="AX12" s="31">
        <f t="shared" si="38"/>
        <v>0</v>
      </c>
      <c r="AY12" s="31">
        <f t="shared" si="39"/>
        <v>0</v>
      </c>
      <c r="AZ12" s="33"/>
      <c r="BA12" s="37">
        <f t="shared" si="8"/>
        <v>-1</v>
      </c>
      <c r="BB12" s="36">
        <f>'[1]STA CLARA'!$K12</f>
        <v>3105</v>
      </c>
      <c r="BC12" s="31">
        <f t="shared" si="40"/>
        <v>2723.3955000000001</v>
      </c>
      <c r="BD12" s="31">
        <f t="shared" si="41"/>
        <v>381.60449999999997</v>
      </c>
      <c r="BE12" s="31">
        <f t="shared" si="42"/>
        <v>0</v>
      </c>
      <c r="BF12" s="31">
        <f t="shared" si="43"/>
        <v>0</v>
      </c>
      <c r="BG12" s="33"/>
      <c r="BH12" s="37">
        <f t="shared" si="9"/>
        <v>-1</v>
      </c>
      <c r="BI12" s="36">
        <f>'[1]STA CLARA'!$L12</f>
        <v>3105</v>
      </c>
      <c r="BJ12" s="31">
        <f t="shared" si="44"/>
        <v>2723.3955000000001</v>
      </c>
      <c r="BK12" s="31">
        <f t="shared" si="45"/>
        <v>381.60449999999997</v>
      </c>
      <c r="BL12" s="31">
        <f t="shared" si="46"/>
        <v>0</v>
      </c>
      <c r="BM12" s="31">
        <f t="shared" si="47"/>
        <v>0</v>
      </c>
      <c r="BN12" s="33"/>
      <c r="BO12" s="37">
        <f t="shared" si="10"/>
        <v>-1</v>
      </c>
      <c r="BP12" s="36">
        <f>'[1]STA CLARA'!$M12</f>
        <v>3105</v>
      </c>
      <c r="BQ12" s="31">
        <f t="shared" si="48"/>
        <v>2723.3955000000001</v>
      </c>
      <c r="BR12" s="31">
        <f t="shared" si="49"/>
        <v>381.60449999999997</v>
      </c>
      <c r="BS12" s="31">
        <f t="shared" si="50"/>
        <v>0</v>
      </c>
      <c r="BT12" s="31">
        <f t="shared" si="51"/>
        <v>0</v>
      </c>
      <c r="BU12" s="33"/>
      <c r="BV12" s="37">
        <f t="shared" si="11"/>
        <v>-1</v>
      </c>
      <c r="BW12" s="36">
        <f>'[1]STA CLARA'!$N12</f>
        <v>3105</v>
      </c>
      <c r="BX12" s="31">
        <f t="shared" si="52"/>
        <v>2723.3955000000001</v>
      </c>
      <c r="BY12" s="31">
        <f t="shared" si="53"/>
        <v>381.60449999999997</v>
      </c>
      <c r="BZ12" s="31">
        <f t="shared" si="54"/>
        <v>0</v>
      </c>
      <c r="CA12" s="31">
        <f t="shared" si="55"/>
        <v>0</v>
      </c>
      <c r="CB12" s="33"/>
      <c r="CC12" s="37">
        <f t="shared" si="12"/>
        <v>-1</v>
      </c>
      <c r="CD12" s="36">
        <f>'[1]STA CLARA'!$O12</f>
        <v>3105</v>
      </c>
      <c r="CE12" s="31">
        <f t="shared" si="56"/>
        <v>2723.3955000000001</v>
      </c>
      <c r="CF12" s="31">
        <f t="shared" si="57"/>
        <v>381.60449999999997</v>
      </c>
      <c r="CG12" s="31">
        <f t="shared" si="58"/>
        <v>0</v>
      </c>
      <c r="CH12" s="31">
        <f t="shared" si="59"/>
        <v>0</v>
      </c>
      <c r="CI12" s="33"/>
      <c r="CJ12" s="37">
        <f t="shared" si="13"/>
        <v>-1</v>
      </c>
      <c r="CK12" s="36">
        <f>'[1]STA CLARA'!$P12</f>
        <v>3105</v>
      </c>
      <c r="CL12" s="31">
        <f t="shared" si="60"/>
        <v>2723.3955000000001</v>
      </c>
      <c r="CM12" s="31">
        <f t="shared" si="61"/>
        <v>381.60449999999997</v>
      </c>
      <c r="CN12" s="31">
        <f t="shared" si="62"/>
        <v>0</v>
      </c>
      <c r="CO12" s="31">
        <f t="shared" si="63"/>
        <v>0</v>
      </c>
      <c r="CP12" s="33"/>
      <c r="CQ12" s="37">
        <f t="shared" si="14"/>
        <v>-1</v>
      </c>
    </row>
    <row r="13" spans="1:99" s="26" customFormat="1" ht="16" customHeight="1" x14ac:dyDescent="0.2">
      <c r="A13" s="38" t="s">
        <v>37</v>
      </c>
      <c r="B13" s="30">
        <f t="shared" si="0"/>
        <v>0</v>
      </c>
      <c r="C13" s="31">
        <f t="shared" si="0"/>
        <v>0</v>
      </c>
      <c r="D13" s="32">
        <f t="shared" si="0"/>
        <v>0</v>
      </c>
      <c r="E13" s="30">
        <f t="shared" si="15"/>
        <v>0</v>
      </c>
      <c r="F13" s="33">
        <f t="shared" si="15"/>
        <v>0</v>
      </c>
      <c r="G13" s="34">
        <f t="shared" si="15"/>
        <v>0</v>
      </c>
      <c r="H13" s="31">
        <f t="shared" si="1"/>
        <v>0</v>
      </c>
      <c r="I13" s="33">
        <f t="shared" si="1"/>
        <v>0</v>
      </c>
      <c r="J13" s="33">
        <f t="shared" si="1"/>
        <v>0</v>
      </c>
      <c r="K13" s="37" t="str">
        <f t="shared" si="2"/>
        <v/>
      </c>
      <c r="L13" s="36">
        <f>'[1]STA CLARA'!$E13</f>
        <v>0</v>
      </c>
      <c r="M13" s="31">
        <f t="shared" si="16"/>
        <v>0</v>
      </c>
      <c r="N13" s="31">
        <f t="shared" si="17"/>
        <v>0</v>
      </c>
      <c r="O13" s="31">
        <f t="shared" si="18"/>
        <v>0</v>
      </c>
      <c r="P13" s="31">
        <f t="shared" si="19"/>
        <v>0</v>
      </c>
      <c r="Q13" s="33"/>
      <c r="R13" s="37" t="str">
        <f t="shared" si="3"/>
        <v/>
      </c>
      <c r="S13" s="36">
        <f>'[1]STA CLARA'!$F13</f>
        <v>0</v>
      </c>
      <c r="T13" s="31">
        <f t="shared" si="20"/>
        <v>0</v>
      </c>
      <c r="U13" s="31">
        <f t="shared" si="21"/>
        <v>0</v>
      </c>
      <c r="V13" s="31">
        <f t="shared" si="22"/>
        <v>0</v>
      </c>
      <c r="W13" s="31">
        <f t="shared" si="23"/>
        <v>0</v>
      </c>
      <c r="X13" s="33"/>
      <c r="Y13" s="37" t="str">
        <f t="shared" si="4"/>
        <v/>
      </c>
      <c r="Z13" s="36">
        <f>'[1]STA CLARA'!$G13</f>
        <v>0</v>
      </c>
      <c r="AA13" s="31">
        <f t="shared" si="24"/>
        <v>0</v>
      </c>
      <c r="AB13" s="31">
        <f t="shared" si="25"/>
        <v>0</v>
      </c>
      <c r="AC13" s="31">
        <f t="shared" si="26"/>
        <v>0</v>
      </c>
      <c r="AD13" s="31">
        <f t="shared" si="27"/>
        <v>0</v>
      </c>
      <c r="AE13" s="27"/>
      <c r="AF13" s="37" t="str">
        <f t="shared" si="5"/>
        <v/>
      </c>
      <c r="AG13" s="36">
        <f>'[1]STA CLARA'!$H13</f>
        <v>0</v>
      </c>
      <c r="AH13" s="31">
        <f t="shared" si="28"/>
        <v>0</v>
      </c>
      <c r="AI13" s="31">
        <f t="shared" si="29"/>
        <v>0</v>
      </c>
      <c r="AJ13" s="31">
        <f t="shared" si="30"/>
        <v>0</v>
      </c>
      <c r="AK13" s="31">
        <f t="shared" si="31"/>
        <v>0</v>
      </c>
      <c r="AL13" s="33"/>
      <c r="AM13" s="37" t="str">
        <f t="shared" si="6"/>
        <v/>
      </c>
      <c r="AN13" s="36">
        <f>'[1]STA CLARA'!$I13</f>
        <v>0</v>
      </c>
      <c r="AO13" s="31">
        <f t="shared" si="32"/>
        <v>0</v>
      </c>
      <c r="AP13" s="31">
        <f t="shared" si="33"/>
        <v>0</v>
      </c>
      <c r="AQ13" s="31">
        <f t="shared" si="34"/>
        <v>0</v>
      </c>
      <c r="AR13" s="31">
        <f t="shared" si="35"/>
        <v>0</v>
      </c>
      <c r="AS13" s="27"/>
      <c r="AT13" s="37" t="str">
        <f t="shared" si="7"/>
        <v/>
      </c>
      <c r="AU13" s="36">
        <f>'[1]STA CLARA'!$J13</f>
        <v>0</v>
      </c>
      <c r="AV13" s="31">
        <f t="shared" si="36"/>
        <v>0</v>
      </c>
      <c r="AW13" s="31">
        <f t="shared" si="37"/>
        <v>0</v>
      </c>
      <c r="AX13" s="31">
        <f t="shared" si="38"/>
        <v>0</v>
      </c>
      <c r="AY13" s="31">
        <f t="shared" si="39"/>
        <v>0</v>
      </c>
      <c r="AZ13" s="27"/>
      <c r="BA13" s="37" t="str">
        <f t="shared" si="8"/>
        <v/>
      </c>
      <c r="BB13" s="36">
        <f>'[1]STA CLARA'!$K13</f>
        <v>0</v>
      </c>
      <c r="BC13" s="31">
        <f t="shared" si="40"/>
        <v>0</v>
      </c>
      <c r="BD13" s="31">
        <f t="shared" si="41"/>
        <v>0</v>
      </c>
      <c r="BE13" s="31">
        <f t="shared" si="42"/>
        <v>0</v>
      </c>
      <c r="BF13" s="31">
        <f t="shared" si="43"/>
        <v>0</v>
      </c>
      <c r="BG13" s="27"/>
      <c r="BH13" s="37" t="str">
        <f t="shared" si="9"/>
        <v/>
      </c>
      <c r="BI13" s="36">
        <f>'[1]STA CLARA'!$L13</f>
        <v>0</v>
      </c>
      <c r="BJ13" s="31">
        <f t="shared" si="44"/>
        <v>0</v>
      </c>
      <c r="BK13" s="31">
        <f t="shared" si="45"/>
        <v>0</v>
      </c>
      <c r="BL13" s="31">
        <f t="shared" si="46"/>
        <v>0</v>
      </c>
      <c r="BM13" s="31">
        <f t="shared" si="47"/>
        <v>0</v>
      </c>
      <c r="BN13" s="33"/>
      <c r="BO13" s="37" t="str">
        <f t="shared" si="10"/>
        <v/>
      </c>
      <c r="BP13" s="36">
        <f>'[1]STA CLARA'!$M13</f>
        <v>0</v>
      </c>
      <c r="BQ13" s="31">
        <f t="shared" si="48"/>
        <v>0</v>
      </c>
      <c r="BR13" s="31">
        <f t="shared" si="49"/>
        <v>0</v>
      </c>
      <c r="BS13" s="31">
        <f t="shared" si="50"/>
        <v>0</v>
      </c>
      <c r="BT13" s="31">
        <f t="shared" si="51"/>
        <v>0</v>
      </c>
      <c r="BU13" s="33"/>
      <c r="BV13" s="37" t="str">
        <f t="shared" si="11"/>
        <v/>
      </c>
      <c r="BW13" s="36">
        <f>'[1]STA CLARA'!$N13</f>
        <v>0</v>
      </c>
      <c r="BX13" s="31">
        <f t="shared" si="52"/>
        <v>0</v>
      </c>
      <c r="BY13" s="31">
        <f t="shared" si="53"/>
        <v>0</v>
      </c>
      <c r="BZ13" s="31">
        <f t="shared" si="54"/>
        <v>0</v>
      </c>
      <c r="CA13" s="31">
        <f t="shared" si="55"/>
        <v>0</v>
      </c>
      <c r="CB13" s="33"/>
      <c r="CC13" s="37" t="str">
        <f t="shared" si="12"/>
        <v/>
      </c>
      <c r="CD13" s="36">
        <f>'[1]STA CLARA'!$O13</f>
        <v>0</v>
      </c>
      <c r="CE13" s="31">
        <f t="shared" si="56"/>
        <v>0</v>
      </c>
      <c r="CF13" s="31">
        <f t="shared" si="57"/>
        <v>0</v>
      </c>
      <c r="CG13" s="31">
        <f t="shared" si="58"/>
        <v>0</v>
      </c>
      <c r="CH13" s="31">
        <f t="shared" si="59"/>
        <v>0</v>
      </c>
      <c r="CI13" s="33"/>
      <c r="CJ13" s="37" t="str">
        <f t="shared" si="13"/>
        <v/>
      </c>
      <c r="CK13" s="36">
        <f>'[1]STA CLARA'!$P13</f>
        <v>0</v>
      </c>
      <c r="CL13" s="31">
        <f t="shared" si="60"/>
        <v>0</v>
      </c>
      <c r="CM13" s="31">
        <f t="shared" si="61"/>
        <v>0</v>
      </c>
      <c r="CN13" s="31">
        <f t="shared" si="62"/>
        <v>0</v>
      </c>
      <c r="CO13" s="31">
        <f t="shared" si="63"/>
        <v>0</v>
      </c>
      <c r="CP13" s="33"/>
      <c r="CQ13" s="37" t="str">
        <f t="shared" si="14"/>
        <v/>
      </c>
    </row>
    <row r="14" spans="1:99" s="26" customFormat="1" ht="16" customHeight="1" x14ac:dyDescent="0.2">
      <c r="A14" s="39" t="s">
        <v>38</v>
      </c>
      <c r="B14" s="30">
        <f t="shared" si="0"/>
        <v>38327.279999999999</v>
      </c>
      <c r="C14" s="31">
        <f t="shared" si="0"/>
        <v>33616.857287999992</v>
      </c>
      <c r="D14" s="32">
        <f t="shared" si="0"/>
        <v>4710.4227119999996</v>
      </c>
      <c r="E14" s="30">
        <f t="shared" si="15"/>
        <v>12775.76</v>
      </c>
      <c r="F14" s="33">
        <f t="shared" si="15"/>
        <v>11205.619096</v>
      </c>
      <c r="G14" s="34">
        <f t="shared" si="15"/>
        <v>1570.1409039999999</v>
      </c>
      <c r="H14" s="31">
        <f t="shared" si="1"/>
        <v>0</v>
      </c>
      <c r="I14" s="33">
        <f t="shared" si="1"/>
        <v>12830.46</v>
      </c>
      <c r="J14" s="33">
        <f t="shared" si="1"/>
        <v>12830.46</v>
      </c>
      <c r="K14" s="37">
        <f t="shared" si="2"/>
        <v>4.2815456771259086E-3</v>
      </c>
      <c r="L14" s="36">
        <f>'[1]STA CLARA'!$E14</f>
        <v>3193.94</v>
      </c>
      <c r="M14" s="31">
        <f t="shared" si="16"/>
        <v>2801.4047740000001</v>
      </c>
      <c r="N14" s="31">
        <f t="shared" si="17"/>
        <v>392.53522599999997</v>
      </c>
      <c r="O14" s="31">
        <f t="shared" si="18"/>
        <v>0</v>
      </c>
      <c r="P14" s="31">
        <f t="shared" si="19"/>
        <v>2122.2199999999998</v>
      </c>
      <c r="Q14" s="33">
        <f>2122.22</f>
        <v>2122.2199999999998</v>
      </c>
      <c r="R14" s="37">
        <f t="shared" si="3"/>
        <v>-0.33554794391879628</v>
      </c>
      <c r="S14" s="36">
        <f>'[1]STA CLARA'!$F14</f>
        <v>3193.94</v>
      </c>
      <c r="T14" s="31">
        <f t="shared" si="20"/>
        <v>2801.4047740000001</v>
      </c>
      <c r="U14" s="31">
        <f t="shared" si="21"/>
        <v>392.53522599999997</v>
      </c>
      <c r="V14" s="31">
        <f t="shared" si="22"/>
        <v>0</v>
      </c>
      <c r="W14" s="31">
        <f t="shared" si="23"/>
        <v>5866.08</v>
      </c>
      <c r="X14" s="33">
        <f>5866.08</f>
        <v>5866.08</v>
      </c>
      <c r="Y14" s="37">
        <f t="shared" si="4"/>
        <v>0.83662811449181884</v>
      </c>
      <c r="Z14" s="36">
        <f>'[1]STA CLARA'!$G14</f>
        <v>3193.94</v>
      </c>
      <c r="AA14" s="31">
        <f t="shared" si="24"/>
        <v>2801.4047740000001</v>
      </c>
      <c r="AB14" s="31">
        <f t="shared" si="25"/>
        <v>392.53522599999997</v>
      </c>
      <c r="AC14" s="31">
        <f t="shared" si="26"/>
        <v>0</v>
      </c>
      <c r="AD14" s="31">
        <f t="shared" si="27"/>
        <v>2428.58</v>
      </c>
      <c r="AE14" s="33">
        <f>2428.58</f>
        <v>2428.58</v>
      </c>
      <c r="AF14" s="37">
        <f t="shared" si="5"/>
        <v>-0.23962879703438389</v>
      </c>
      <c r="AG14" s="36">
        <f>'[1]STA CLARA'!$H14</f>
        <v>3193.94</v>
      </c>
      <c r="AH14" s="31">
        <f t="shared" si="28"/>
        <v>2801.4047740000001</v>
      </c>
      <c r="AI14" s="31">
        <f t="shared" si="29"/>
        <v>392.53522599999997</v>
      </c>
      <c r="AJ14" s="31">
        <f t="shared" si="30"/>
        <v>0</v>
      </c>
      <c r="AK14" s="31">
        <f t="shared" si="31"/>
        <v>2413.58</v>
      </c>
      <c r="AL14" s="33">
        <f>2413.58</f>
        <v>2413.58</v>
      </c>
      <c r="AM14" s="37">
        <f t="shared" si="6"/>
        <v>-0.2443251908301346</v>
      </c>
      <c r="AN14" s="36">
        <f>'[1]STA CLARA'!$I14</f>
        <v>3193.94</v>
      </c>
      <c r="AO14" s="31">
        <f t="shared" si="32"/>
        <v>2801.4047740000001</v>
      </c>
      <c r="AP14" s="31">
        <f t="shared" si="33"/>
        <v>392.53522599999997</v>
      </c>
      <c r="AQ14" s="31">
        <f t="shared" si="34"/>
        <v>0</v>
      </c>
      <c r="AR14" s="31">
        <f t="shared" si="35"/>
        <v>0</v>
      </c>
      <c r="AS14" s="33"/>
      <c r="AT14" s="37">
        <f t="shared" si="7"/>
        <v>-1</v>
      </c>
      <c r="AU14" s="36">
        <f>'[1]STA CLARA'!$J14</f>
        <v>3193.94</v>
      </c>
      <c r="AV14" s="31">
        <f t="shared" si="36"/>
        <v>2801.4047740000001</v>
      </c>
      <c r="AW14" s="31">
        <f t="shared" si="37"/>
        <v>392.53522599999997</v>
      </c>
      <c r="AX14" s="31">
        <f t="shared" si="38"/>
        <v>0</v>
      </c>
      <c r="AY14" s="31">
        <f t="shared" si="39"/>
        <v>0</v>
      </c>
      <c r="AZ14" s="33"/>
      <c r="BA14" s="37">
        <f t="shared" si="8"/>
        <v>-1</v>
      </c>
      <c r="BB14" s="36">
        <f>'[1]STA CLARA'!$K14</f>
        <v>3193.94</v>
      </c>
      <c r="BC14" s="31">
        <f t="shared" si="40"/>
        <v>2801.4047740000001</v>
      </c>
      <c r="BD14" s="31">
        <f t="shared" si="41"/>
        <v>392.53522599999997</v>
      </c>
      <c r="BE14" s="31">
        <f t="shared" si="42"/>
        <v>0</v>
      </c>
      <c r="BF14" s="31">
        <f t="shared" si="43"/>
        <v>0</v>
      </c>
      <c r="BG14" s="33"/>
      <c r="BH14" s="37">
        <f t="shared" si="9"/>
        <v>-1</v>
      </c>
      <c r="BI14" s="36">
        <f>'[1]STA CLARA'!$L14</f>
        <v>3193.94</v>
      </c>
      <c r="BJ14" s="31">
        <f t="shared" si="44"/>
        <v>2801.4047740000001</v>
      </c>
      <c r="BK14" s="31">
        <f t="shared" si="45"/>
        <v>392.53522599999997</v>
      </c>
      <c r="BL14" s="31">
        <f t="shared" si="46"/>
        <v>0</v>
      </c>
      <c r="BM14" s="31">
        <f t="shared" si="47"/>
        <v>0</v>
      </c>
      <c r="BN14" s="33"/>
      <c r="BO14" s="37">
        <f t="shared" si="10"/>
        <v>-1</v>
      </c>
      <c r="BP14" s="36">
        <f>'[1]STA CLARA'!$M14</f>
        <v>3193.94</v>
      </c>
      <c r="BQ14" s="31">
        <f t="shared" si="48"/>
        <v>2801.4047740000001</v>
      </c>
      <c r="BR14" s="31">
        <f t="shared" si="49"/>
        <v>392.53522599999997</v>
      </c>
      <c r="BS14" s="31">
        <f t="shared" si="50"/>
        <v>0</v>
      </c>
      <c r="BT14" s="31">
        <f t="shared" si="51"/>
        <v>0</v>
      </c>
      <c r="BU14" s="33"/>
      <c r="BV14" s="37">
        <f t="shared" si="11"/>
        <v>-1</v>
      </c>
      <c r="BW14" s="36">
        <f>'[1]STA CLARA'!$N14</f>
        <v>3193.94</v>
      </c>
      <c r="BX14" s="31">
        <f t="shared" si="52"/>
        <v>2801.4047740000001</v>
      </c>
      <c r="BY14" s="31">
        <f t="shared" si="53"/>
        <v>392.53522599999997</v>
      </c>
      <c r="BZ14" s="31">
        <f t="shared" si="54"/>
        <v>0</v>
      </c>
      <c r="CA14" s="31">
        <f t="shared" si="55"/>
        <v>0</v>
      </c>
      <c r="CB14" s="33"/>
      <c r="CC14" s="37">
        <f t="shared" si="12"/>
        <v>-1</v>
      </c>
      <c r="CD14" s="36">
        <f>'[1]STA CLARA'!$O14</f>
        <v>3193.94</v>
      </c>
      <c r="CE14" s="31">
        <f t="shared" si="56"/>
        <v>2801.4047740000001</v>
      </c>
      <c r="CF14" s="31">
        <f t="shared" si="57"/>
        <v>392.53522599999997</v>
      </c>
      <c r="CG14" s="31">
        <f t="shared" si="58"/>
        <v>0</v>
      </c>
      <c r="CH14" s="31">
        <f t="shared" si="59"/>
        <v>0</v>
      </c>
      <c r="CI14" s="33"/>
      <c r="CJ14" s="37">
        <f t="shared" si="13"/>
        <v>-1</v>
      </c>
      <c r="CK14" s="36">
        <f>'[1]STA CLARA'!$P14</f>
        <v>3193.94</v>
      </c>
      <c r="CL14" s="31">
        <f t="shared" si="60"/>
        <v>2801.4047740000001</v>
      </c>
      <c r="CM14" s="31">
        <f t="shared" si="61"/>
        <v>392.53522599999997</v>
      </c>
      <c r="CN14" s="31">
        <f t="shared" si="62"/>
        <v>0</v>
      </c>
      <c r="CO14" s="31">
        <f t="shared" si="63"/>
        <v>0</v>
      </c>
      <c r="CP14" s="33"/>
      <c r="CQ14" s="37">
        <f t="shared" si="14"/>
        <v>-1</v>
      </c>
    </row>
    <row r="15" spans="1:99" s="26" customFormat="1" ht="16" customHeight="1" x14ac:dyDescent="0.2">
      <c r="A15" s="38" t="s">
        <v>39</v>
      </c>
      <c r="B15" s="30">
        <f t="shared" si="0"/>
        <v>73229</v>
      </c>
      <c r="C15" s="31">
        <f t="shared" si="0"/>
        <v>64229.155900000012</v>
      </c>
      <c r="D15" s="32">
        <f t="shared" si="0"/>
        <v>8999.8441000000021</v>
      </c>
      <c r="E15" s="30">
        <f t="shared" si="15"/>
        <v>24252</v>
      </c>
      <c r="F15" s="33">
        <f t="shared" si="15"/>
        <v>21271.429199999999</v>
      </c>
      <c r="G15" s="34">
        <f t="shared" si="15"/>
        <v>2980.5708</v>
      </c>
      <c r="H15" s="31">
        <f t="shared" si="1"/>
        <v>0</v>
      </c>
      <c r="I15" s="33">
        <f t="shared" si="1"/>
        <v>28756.789999999994</v>
      </c>
      <c r="J15" s="33">
        <f t="shared" si="1"/>
        <v>28756.789999999994</v>
      </c>
      <c r="K15" s="37">
        <f t="shared" si="2"/>
        <v>0.18574921655945875</v>
      </c>
      <c r="L15" s="36">
        <f>'[1]STA CLARA'!$E15</f>
        <v>6063</v>
      </c>
      <c r="M15" s="40">
        <f t="shared" si="16"/>
        <v>5317.8572999999997</v>
      </c>
      <c r="N15" s="40">
        <f t="shared" si="17"/>
        <v>745.14269999999999</v>
      </c>
      <c r="O15" s="40">
        <f t="shared" si="18"/>
        <v>0</v>
      </c>
      <c r="P15" s="40">
        <f t="shared" si="19"/>
        <v>5436.4499999999989</v>
      </c>
      <c r="Q15" s="115">
        <f>416.72+8973.59-(6.4+3947.46)</f>
        <v>5436.4499999999989</v>
      </c>
      <c r="R15" s="37">
        <f t="shared" si="3"/>
        <v>-0.10333993072736292</v>
      </c>
      <c r="S15" s="36">
        <f>'[1]STA CLARA'!$F15</f>
        <v>6063</v>
      </c>
      <c r="T15" s="40">
        <f t="shared" si="20"/>
        <v>5317.8572999999997</v>
      </c>
      <c r="U15" s="40">
        <f t="shared" si="21"/>
        <v>745.14269999999999</v>
      </c>
      <c r="V15" s="40">
        <f t="shared" si="22"/>
        <v>0</v>
      </c>
      <c r="W15" s="40">
        <f t="shared" si="23"/>
        <v>5416.0999999999985</v>
      </c>
      <c r="X15" s="115">
        <f>421.56+52940.1-(14355.81+33589.75)</f>
        <v>5416.0999999999985</v>
      </c>
      <c r="Y15" s="37">
        <f t="shared" si="4"/>
        <v>-0.10669635493979901</v>
      </c>
      <c r="Z15" s="36">
        <f>'[1]STA CLARA'!$G15</f>
        <v>6063</v>
      </c>
      <c r="AA15" s="40">
        <f t="shared" si="24"/>
        <v>5317.8572999999997</v>
      </c>
      <c r="AB15" s="40">
        <f t="shared" si="25"/>
        <v>745.14269999999999</v>
      </c>
      <c r="AC15" s="40">
        <f t="shared" si="26"/>
        <v>0</v>
      </c>
      <c r="AD15" s="40">
        <f t="shared" si="27"/>
        <v>8329.2199999999993</v>
      </c>
      <c r="AE15" s="115">
        <f>416.72+7912.5</f>
        <v>8329.2199999999993</v>
      </c>
      <c r="AF15" s="37">
        <f t="shared" si="5"/>
        <v>0.37377865743031502</v>
      </c>
      <c r="AG15" s="36">
        <f>'[1]STA CLARA'!$H15</f>
        <v>6063</v>
      </c>
      <c r="AH15" s="40">
        <f t="shared" si="28"/>
        <v>5317.8572999999997</v>
      </c>
      <c r="AI15" s="40">
        <f t="shared" si="29"/>
        <v>745.14269999999999</v>
      </c>
      <c r="AJ15" s="40">
        <f t="shared" si="30"/>
        <v>0</v>
      </c>
      <c r="AK15" s="40">
        <f t="shared" si="31"/>
        <v>9575.0199999999986</v>
      </c>
      <c r="AL15" s="115">
        <f>419.8+9155.22</f>
        <v>9575.0199999999986</v>
      </c>
      <c r="AM15" s="37">
        <f t="shared" si="6"/>
        <v>0.57925449447468225</v>
      </c>
      <c r="AN15" s="36">
        <f>'[1]STA CLARA'!$I15</f>
        <v>6063</v>
      </c>
      <c r="AO15" s="40">
        <f t="shared" si="32"/>
        <v>5317.8572999999997</v>
      </c>
      <c r="AP15" s="40">
        <f t="shared" si="33"/>
        <v>745.14269999999999</v>
      </c>
      <c r="AQ15" s="40">
        <f t="shared" si="34"/>
        <v>0</v>
      </c>
      <c r="AR15" s="40">
        <f t="shared" si="35"/>
        <v>0</v>
      </c>
      <c r="AS15" s="115"/>
      <c r="AT15" s="37">
        <f t="shared" si="7"/>
        <v>-1</v>
      </c>
      <c r="AU15" s="36">
        <f>'[1]STA CLARA'!$J15</f>
        <v>6063</v>
      </c>
      <c r="AV15" s="40">
        <f t="shared" si="36"/>
        <v>5317.8572999999997</v>
      </c>
      <c r="AW15" s="40">
        <f t="shared" si="37"/>
        <v>745.14269999999999</v>
      </c>
      <c r="AX15" s="40">
        <f t="shared" si="38"/>
        <v>0</v>
      </c>
      <c r="AY15" s="40">
        <f t="shared" si="39"/>
        <v>0</v>
      </c>
      <c r="AZ15" s="115"/>
      <c r="BA15" s="37">
        <f t="shared" si="8"/>
        <v>-1</v>
      </c>
      <c r="BB15" s="36">
        <f>'[1]STA CLARA'!$K15</f>
        <v>6536</v>
      </c>
      <c r="BC15" s="40">
        <f t="shared" si="40"/>
        <v>5732.7255999999998</v>
      </c>
      <c r="BD15" s="40">
        <f t="shared" si="41"/>
        <v>803.27440000000001</v>
      </c>
      <c r="BE15" s="40">
        <f t="shared" si="42"/>
        <v>0</v>
      </c>
      <c r="BF15" s="40">
        <f t="shared" si="43"/>
        <v>0</v>
      </c>
      <c r="BG15" s="115"/>
      <c r="BH15" s="37">
        <f t="shared" si="9"/>
        <v>-1</v>
      </c>
      <c r="BI15" s="36">
        <f>'[1]STA CLARA'!$L15</f>
        <v>6063</v>
      </c>
      <c r="BJ15" s="40">
        <f t="shared" si="44"/>
        <v>5317.8572999999997</v>
      </c>
      <c r="BK15" s="40">
        <f t="shared" si="45"/>
        <v>745.14269999999999</v>
      </c>
      <c r="BL15" s="40">
        <f t="shared" si="46"/>
        <v>0</v>
      </c>
      <c r="BM15" s="40">
        <f t="shared" si="47"/>
        <v>0</v>
      </c>
      <c r="BN15" s="115"/>
      <c r="BO15" s="37">
        <f t="shared" si="10"/>
        <v>-1</v>
      </c>
      <c r="BP15" s="36">
        <f>'[1]STA CLARA'!$M15</f>
        <v>6063</v>
      </c>
      <c r="BQ15" s="40">
        <f t="shared" si="48"/>
        <v>5317.8572999999997</v>
      </c>
      <c r="BR15" s="40">
        <f t="shared" si="49"/>
        <v>745.14269999999999</v>
      </c>
      <c r="BS15" s="40">
        <f t="shared" si="50"/>
        <v>0</v>
      </c>
      <c r="BT15" s="40">
        <f t="shared" si="51"/>
        <v>0</v>
      </c>
      <c r="BU15" s="115"/>
      <c r="BV15" s="37">
        <f t="shared" si="11"/>
        <v>-1</v>
      </c>
      <c r="BW15" s="36">
        <f>'[1]STA CLARA'!$N15</f>
        <v>6063</v>
      </c>
      <c r="BX15" s="40">
        <f t="shared" si="52"/>
        <v>5317.8572999999997</v>
      </c>
      <c r="BY15" s="40">
        <f t="shared" si="53"/>
        <v>745.14269999999999</v>
      </c>
      <c r="BZ15" s="40">
        <f t="shared" si="54"/>
        <v>0</v>
      </c>
      <c r="CA15" s="40">
        <f t="shared" si="55"/>
        <v>0</v>
      </c>
      <c r="CB15" s="115"/>
      <c r="CC15" s="37">
        <f t="shared" si="12"/>
        <v>-1</v>
      </c>
      <c r="CD15" s="36">
        <f>'[1]STA CLARA'!$O15</f>
        <v>6063</v>
      </c>
      <c r="CE15" s="40">
        <f t="shared" si="56"/>
        <v>5317.8572999999997</v>
      </c>
      <c r="CF15" s="40">
        <f t="shared" si="57"/>
        <v>745.14269999999999</v>
      </c>
      <c r="CG15" s="40">
        <f t="shared" si="58"/>
        <v>0</v>
      </c>
      <c r="CH15" s="40">
        <f t="shared" si="59"/>
        <v>0</v>
      </c>
      <c r="CI15" s="115"/>
      <c r="CJ15" s="37">
        <f t="shared" si="13"/>
        <v>-1</v>
      </c>
      <c r="CK15" s="36">
        <f>'[1]STA CLARA'!$P15</f>
        <v>6063</v>
      </c>
      <c r="CL15" s="40">
        <f t="shared" si="60"/>
        <v>5317.8572999999997</v>
      </c>
      <c r="CM15" s="40">
        <f t="shared" si="61"/>
        <v>745.14269999999999</v>
      </c>
      <c r="CN15" s="40">
        <f t="shared" si="62"/>
        <v>0</v>
      </c>
      <c r="CO15" s="40">
        <f t="shared" si="63"/>
        <v>0</v>
      </c>
      <c r="CP15" s="115"/>
      <c r="CQ15" s="37">
        <f t="shared" si="14"/>
        <v>-1</v>
      </c>
    </row>
    <row r="16" spans="1:99" s="26" customFormat="1" ht="16" customHeight="1" x14ac:dyDescent="0.2">
      <c r="A16" s="29" t="s">
        <v>40</v>
      </c>
      <c r="B16" s="30">
        <f t="shared" si="0"/>
        <v>20000</v>
      </c>
      <c r="C16" s="31">
        <f t="shared" si="0"/>
        <v>17542.000000000004</v>
      </c>
      <c r="D16" s="32">
        <f t="shared" si="0"/>
        <v>2458</v>
      </c>
      <c r="E16" s="30">
        <f t="shared" si="15"/>
        <v>6666.666666666667</v>
      </c>
      <c r="F16" s="33">
        <f t="shared" si="15"/>
        <v>5847.3333333333339</v>
      </c>
      <c r="G16" s="34">
        <f t="shared" si="15"/>
        <v>819.33333333333337</v>
      </c>
      <c r="H16" s="31">
        <f t="shared" si="1"/>
        <v>0</v>
      </c>
      <c r="I16" s="33">
        <f t="shared" si="1"/>
        <v>5617.59</v>
      </c>
      <c r="J16" s="33">
        <f t="shared" si="1"/>
        <v>5617.59</v>
      </c>
      <c r="K16" s="37">
        <f t="shared" si="2"/>
        <v>-0.15736150000000004</v>
      </c>
      <c r="L16" s="36">
        <f>'[1]STA CLARA'!$E16</f>
        <v>1666.6666666666667</v>
      </c>
      <c r="M16" s="31">
        <f t="shared" si="16"/>
        <v>1461.8333333333335</v>
      </c>
      <c r="N16" s="31">
        <f t="shared" si="17"/>
        <v>204.83333333333334</v>
      </c>
      <c r="O16" s="31">
        <f t="shared" si="18"/>
        <v>0</v>
      </c>
      <c r="P16" s="31">
        <f t="shared" si="19"/>
        <v>1278.6199999999999</v>
      </c>
      <c r="Q16" s="33">
        <f>1278.62</f>
        <v>1278.6199999999999</v>
      </c>
      <c r="R16" s="37">
        <f t="shared" si="3"/>
        <v>-0.23282800000000015</v>
      </c>
      <c r="S16" s="36">
        <f>'[1]STA CLARA'!$F16</f>
        <v>1666.6666666666667</v>
      </c>
      <c r="T16" s="31">
        <f t="shared" si="20"/>
        <v>1461.8333333333335</v>
      </c>
      <c r="U16" s="31">
        <f t="shared" si="21"/>
        <v>204.83333333333334</v>
      </c>
      <c r="V16" s="31">
        <f t="shared" si="22"/>
        <v>0</v>
      </c>
      <c r="W16" s="31">
        <f t="shared" si="23"/>
        <v>1580.23</v>
      </c>
      <c r="X16" s="33">
        <f>1580.23</f>
        <v>1580.23</v>
      </c>
      <c r="Y16" s="37">
        <f t="shared" si="4"/>
        <v>-5.1862000000000075E-2</v>
      </c>
      <c r="Z16" s="36">
        <f>'[1]STA CLARA'!$G16</f>
        <v>1666.6666666666667</v>
      </c>
      <c r="AA16" s="31">
        <f t="shared" si="24"/>
        <v>1461.8333333333335</v>
      </c>
      <c r="AB16" s="31">
        <f t="shared" si="25"/>
        <v>204.83333333333334</v>
      </c>
      <c r="AC16" s="31">
        <f t="shared" si="26"/>
        <v>0</v>
      </c>
      <c r="AD16" s="31">
        <f t="shared" si="27"/>
        <v>1593.8</v>
      </c>
      <c r="AE16" s="33">
        <f>1593.8</f>
        <v>1593.8</v>
      </c>
      <c r="AF16" s="37">
        <f t="shared" si="5"/>
        <v>-4.3720000000000092E-2</v>
      </c>
      <c r="AG16" s="36">
        <f>'[1]STA CLARA'!$H16</f>
        <v>1666.6666666666667</v>
      </c>
      <c r="AH16" s="31">
        <f t="shared" si="28"/>
        <v>1461.8333333333335</v>
      </c>
      <c r="AI16" s="31">
        <f t="shared" si="29"/>
        <v>204.83333333333334</v>
      </c>
      <c r="AJ16" s="31">
        <f t="shared" si="30"/>
        <v>0</v>
      </c>
      <c r="AK16" s="31">
        <f t="shared" si="31"/>
        <v>1164.94</v>
      </c>
      <c r="AL16" s="33">
        <f>1164.94</f>
        <v>1164.94</v>
      </c>
      <c r="AM16" s="37">
        <f t="shared" si="6"/>
        <v>-0.30103599999999997</v>
      </c>
      <c r="AN16" s="36">
        <f>'[1]STA CLARA'!$I16</f>
        <v>1666.6666666666667</v>
      </c>
      <c r="AO16" s="31">
        <f t="shared" si="32"/>
        <v>1461.8333333333335</v>
      </c>
      <c r="AP16" s="31">
        <f t="shared" si="33"/>
        <v>204.83333333333334</v>
      </c>
      <c r="AQ16" s="31">
        <f t="shared" si="34"/>
        <v>0</v>
      </c>
      <c r="AR16" s="31">
        <f t="shared" si="35"/>
        <v>0</v>
      </c>
      <c r="AS16" s="33"/>
      <c r="AT16" s="37">
        <f t="shared" si="7"/>
        <v>-1</v>
      </c>
      <c r="AU16" s="36">
        <f>'[1]STA CLARA'!$J16</f>
        <v>1666.6666666666667</v>
      </c>
      <c r="AV16" s="31">
        <f t="shared" si="36"/>
        <v>1461.8333333333335</v>
      </c>
      <c r="AW16" s="31">
        <f t="shared" si="37"/>
        <v>204.83333333333334</v>
      </c>
      <c r="AX16" s="31">
        <f t="shared" si="38"/>
        <v>0</v>
      </c>
      <c r="AY16" s="31">
        <f t="shared" si="39"/>
        <v>0</v>
      </c>
      <c r="AZ16" s="33"/>
      <c r="BA16" s="37">
        <f t="shared" si="8"/>
        <v>-1</v>
      </c>
      <c r="BB16" s="36">
        <f>'[1]STA CLARA'!$K16</f>
        <v>1666.6666666666667</v>
      </c>
      <c r="BC16" s="31">
        <f t="shared" si="40"/>
        <v>1461.8333333333335</v>
      </c>
      <c r="BD16" s="31">
        <f t="shared" si="41"/>
        <v>204.83333333333334</v>
      </c>
      <c r="BE16" s="31">
        <f t="shared" si="42"/>
        <v>0</v>
      </c>
      <c r="BF16" s="31">
        <f t="shared" si="43"/>
        <v>0</v>
      </c>
      <c r="BG16" s="33"/>
      <c r="BH16" s="37">
        <f t="shared" si="9"/>
        <v>-1</v>
      </c>
      <c r="BI16" s="36">
        <f>'[1]STA CLARA'!$L16</f>
        <v>1666.6666666666667</v>
      </c>
      <c r="BJ16" s="31">
        <f t="shared" si="44"/>
        <v>1461.8333333333335</v>
      </c>
      <c r="BK16" s="31">
        <f t="shared" si="45"/>
        <v>204.83333333333334</v>
      </c>
      <c r="BL16" s="31">
        <f t="shared" si="46"/>
        <v>0</v>
      </c>
      <c r="BM16" s="31">
        <f t="shared" si="47"/>
        <v>0</v>
      </c>
      <c r="BN16" s="33"/>
      <c r="BO16" s="37">
        <f t="shared" si="10"/>
        <v>-1</v>
      </c>
      <c r="BP16" s="36">
        <f>'[1]STA CLARA'!$M16</f>
        <v>1666.6666666666667</v>
      </c>
      <c r="BQ16" s="31">
        <f t="shared" si="48"/>
        <v>1461.8333333333335</v>
      </c>
      <c r="BR16" s="31">
        <f t="shared" si="49"/>
        <v>204.83333333333334</v>
      </c>
      <c r="BS16" s="31">
        <f t="shared" si="50"/>
        <v>0</v>
      </c>
      <c r="BT16" s="31">
        <f t="shared" si="51"/>
        <v>0</v>
      </c>
      <c r="BU16" s="33"/>
      <c r="BV16" s="37">
        <f t="shared" si="11"/>
        <v>-1</v>
      </c>
      <c r="BW16" s="36">
        <f>'[1]STA CLARA'!$N16</f>
        <v>1666.6666666666667</v>
      </c>
      <c r="BX16" s="31">
        <f t="shared" si="52"/>
        <v>1461.8333333333335</v>
      </c>
      <c r="BY16" s="31">
        <f t="shared" si="53"/>
        <v>204.83333333333334</v>
      </c>
      <c r="BZ16" s="31">
        <f t="shared" si="54"/>
        <v>0</v>
      </c>
      <c r="CA16" s="31">
        <f t="shared" si="55"/>
        <v>0</v>
      </c>
      <c r="CB16" s="33"/>
      <c r="CC16" s="37">
        <f t="shared" si="12"/>
        <v>-1</v>
      </c>
      <c r="CD16" s="36">
        <f>'[1]STA CLARA'!$O16</f>
        <v>1666.6666666666667</v>
      </c>
      <c r="CE16" s="31">
        <f t="shared" si="56"/>
        <v>1461.8333333333335</v>
      </c>
      <c r="CF16" s="31">
        <f t="shared" si="57"/>
        <v>204.83333333333334</v>
      </c>
      <c r="CG16" s="31">
        <f t="shared" si="58"/>
        <v>0</v>
      </c>
      <c r="CH16" s="31">
        <f t="shared" si="59"/>
        <v>0</v>
      </c>
      <c r="CI16" s="33"/>
      <c r="CJ16" s="37">
        <f t="shared" si="13"/>
        <v>-1</v>
      </c>
      <c r="CK16" s="36">
        <f>'[1]STA CLARA'!$P16</f>
        <v>1666.6666666666667</v>
      </c>
      <c r="CL16" s="31">
        <f t="shared" si="60"/>
        <v>1461.8333333333335</v>
      </c>
      <c r="CM16" s="31">
        <f t="shared" si="61"/>
        <v>204.83333333333334</v>
      </c>
      <c r="CN16" s="31">
        <f t="shared" si="62"/>
        <v>0</v>
      </c>
      <c r="CO16" s="31">
        <f t="shared" si="63"/>
        <v>0</v>
      </c>
      <c r="CP16" s="33"/>
      <c r="CQ16" s="37">
        <f t="shared" si="14"/>
        <v>-1</v>
      </c>
    </row>
    <row r="17" spans="1:95" s="26" customFormat="1" ht="16" customHeight="1" x14ac:dyDescent="0.2">
      <c r="A17" s="38" t="s">
        <v>41</v>
      </c>
      <c r="B17" s="30">
        <f t="shared" si="0"/>
        <v>381600</v>
      </c>
      <c r="C17" s="31">
        <f t="shared" si="0"/>
        <v>334701.36</v>
      </c>
      <c r="D17" s="32">
        <f t="shared" si="0"/>
        <v>46898.640000000007</v>
      </c>
      <c r="E17" s="30">
        <f t="shared" si="15"/>
        <v>127200</v>
      </c>
      <c r="F17" s="33">
        <f t="shared" si="15"/>
        <v>111567.12</v>
      </c>
      <c r="G17" s="34">
        <f t="shared" si="15"/>
        <v>15632.88</v>
      </c>
      <c r="H17" s="31">
        <f t="shared" si="1"/>
        <v>0</v>
      </c>
      <c r="I17" s="33">
        <f t="shared" si="1"/>
        <v>158935.1</v>
      </c>
      <c r="J17" s="33">
        <f t="shared" si="1"/>
        <v>158935.1</v>
      </c>
      <c r="K17" s="37">
        <f t="shared" si="2"/>
        <v>0.24948977987421395</v>
      </c>
      <c r="L17" s="36">
        <f>'[1]STA CLARA'!$E17</f>
        <v>31800</v>
      </c>
      <c r="M17" s="31">
        <f t="shared" si="16"/>
        <v>27891.78</v>
      </c>
      <c r="N17" s="31">
        <f t="shared" si="17"/>
        <v>3908.22</v>
      </c>
      <c r="O17" s="31">
        <f t="shared" si="18"/>
        <v>0</v>
      </c>
      <c r="P17" s="31">
        <f t="shared" si="19"/>
        <v>35474.910000000003</v>
      </c>
      <c r="Q17" s="33">
        <f>35474.91</f>
        <v>35474.910000000003</v>
      </c>
      <c r="R17" s="37">
        <f t="shared" si="3"/>
        <v>0.11556320754716998</v>
      </c>
      <c r="S17" s="36">
        <f>'[1]STA CLARA'!$F17</f>
        <v>31800</v>
      </c>
      <c r="T17" s="31">
        <f t="shared" si="20"/>
        <v>27891.78</v>
      </c>
      <c r="U17" s="31">
        <f t="shared" si="21"/>
        <v>3908.22</v>
      </c>
      <c r="V17" s="31">
        <f t="shared" si="22"/>
        <v>0</v>
      </c>
      <c r="W17" s="31">
        <f t="shared" si="23"/>
        <v>40957.43</v>
      </c>
      <c r="X17" s="33">
        <v>40957.43</v>
      </c>
      <c r="Y17" s="37">
        <f t="shared" si="4"/>
        <v>0.2879694968553459</v>
      </c>
      <c r="Z17" s="36">
        <f>'[1]STA CLARA'!$G17</f>
        <v>31800</v>
      </c>
      <c r="AA17" s="31">
        <f t="shared" si="24"/>
        <v>27891.78</v>
      </c>
      <c r="AB17" s="31">
        <f t="shared" si="25"/>
        <v>3908.22</v>
      </c>
      <c r="AC17" s="31">
        <f t="shared" si="26"/>
        <v>0</v>
      </c>
      <c r="AD17" s="31">
        <f t="shared" si="27"/>
        <v>39292.800000000003</v>
      </c>
      <c r="AE17" s="33">
        <v>39292.800000000003</v>
      </c>
      <c r="AF17" s="37">
        <f t="shared" si="5"/>
        <v>0.23562264150943402</v>
      </c>
      <c r="AG17" s="36">
        <f>'[1]STA CLARA'!$H17</f>
        <v>31800</v>
      </c>
      <c r="AH17" s="31">
        <f t="shared" si="28"/>
        <v>27891.78</v>
      </c>
      <c r="AI17" s="31">
        <f t="shared" si="29"/>
        <v>3908.22</v>
      </c>
      <c r="AJ17" s="31">
        <f t="shared" si="30"/>
        <v>0</v>
      </c>
      <c r="AK17" s="31">
        <f t="shared" si="31"/>
        <v>43209.96</v>
      </c>
      <c r="AL17" s="33">
        <v>43209.96</v>
      </c>
      <c r="AM17" s="37">
        <f t="shared" si="6"/>
        <v>0.35880377358490567</v>
      </c>
      <c r="AN17" s="36">
        <f>'[1]STA CLARA'!$I17</f>
        <v>31800</v>
      </c>
      <c r="AO17" s="31">
        <f t="shared" si="32"/>
        <v>27891.78</v>
      </c>
      <c r="AP17" s="31">
        <f t="shared" si="33"/>
        <v>3908.22</v>
      </c>
      <c r="AQ17" s="31">
        <f t="shared" si="34"/>
        <v>0</v>
      </c>
      <c r="AR17" s="31">
        <f t="shared" si="35"/>
        <v>0</v>
      </c>
      <c r="AS17" s="27"/>
      <c r="AT17" s="37">
        <f t="shared" si="7"/>
        <v>-1</v>
      </c>
      <c r="AU17" s="36">
        <f>'[1]STA CLARA'!$J17</f>
        <v>31800</v>
      </c>
      <c r="AV17" s="31">
        <f t="shared" si="36"/>
        <v>27891.78</v>
      </c>
      <c r="AW17" s="31">
        <f t="shared" si="37"/>
        <v>3908.22</v>
      </c>
      <c r="AX17" s="31">
        <f t="shared" si="38"/>
        <v>0</v>
      </c>
      <c r="AY17" s="31">
        <f t="shared" si="39"/>
        <v>0</v>
      </c>
      <c r="AZ17" s="33"/>
      <c r="BA17" s="37">
        <f t="shared" si="8"/>
        <v>-1</v>
      </c>
      <c r="BB17" s="36">
        <f>'[1]STA CLARA'!$K17</f>
        <v>31800</v>
      </c>
      <c r="BC17" s="31">
        <f t="shared" si="40"/>
        <v>27891.78</v>
      </c>
      <c r="BD17" s="31">
        <f t="shared" si="41"/>
        <v>3908.22</v>
      </c>
      <c r="BE17" s="31">
        <f t="shared" si="42"/>
        <v>0</v>
      </c>
      <c r="BF17" s="31">
        <f t="shared" si="43"/>
        <v>0</v>
      </c>
      <c r="BG17" s="27"/>
      <c r="BH17" s="37">
        <f t="shared" si="9"/>
        <v>-1</v>
      </c>
      <c r="BI17" s="36">
        <f>'[1]STA CLARA'!$L17</f>
        <v>31800</v>
      </c>
      <c r="BJ17" s="31">
        <f t="shared" si="44"/>
        <v>27891.78</v>
      </c>
      <c r="BK17" s="31">
        <f t="shared" si="45"/>
        <v>3908.22</v>
      </c>
      <c r="BL17" s="31">
        <f t="shared" si="46"/>
        <v>0</v>
      </c>
      <c r="BM17" s="31">
        <f t="shared" si="47"/>
        <v>0</v>
      </c>
      <c r="BN17" s="33"/>
      <c r="BO17" s="37">
        <f t="shared" si="10"/>
        <v>-1</v>
      </c>
      <c r="BP17" s="36">
        <f>'[1]STA CLARA'!$M17</f>
        <v>31800</v>
      </c>
      <c r="BQ17" s="31">
        <f t="shared" si="48"/>
        <v>27891.78</v>
      </c>
      <c r="BR17" s="31">
        <f t="shared" si="49"/>
        <v>3908.22</v>
      </c>
      <c r="BS17" s="31">
        <f t="shared" si="50"/>
        <v>0</v>
      </c>
      <c r="BT17" s="31">
        <f t="shared" si="51"/>
        <v>0</v>
      </c>
      <c r="BU17" s="33"/>
      <c r="BV17" s="37">
        <f t="shared" si="11"/>
        <v>-1</v>
      </c>
      <c r="BW17" s="36">
        <f>'[1]STA CLARA'!$N17</f>
        <v>31800</v>
      </c>
      <c r="BX17" s="31">
        <f t="shared" si="52"/>
        <v>27891.78</v>
      </c>
      <c r="BY17" s="31">
        <f t="shared" si="53"/>
        <v>3908.22</v>
      </c>
      <c r="BZ17" s="31">
        <f t="shared" si="54"/>
        <v>0</v>
      </c>
      <c r="CA17" s="31">
        <f t="shared" si="55"/>
        <v>0</v>
      </c>
      <c r="CB17" s="33"/>
      <c r="CC17" s="37">
        <f t="shared" si="12"/>
        <v>-1</v>
      </c>
      <c r="CD17" s="36">
        <f>'[1]STA CLARA'!$O17</f>
        <v>31800</v>
      </c>
      <c r="CE17" s="31">
        <f t="shared" si="56"/>
        <v>27891.78</v>
      </c>
      <c r="CF17" s="31">
        <f t="shared" si="57"/>
        <v>3908.22</v>
      </c>
      <c r="CG17" s="31">
        <f t="shared" si="58"/>
        <v>0</v>
      </c>
      <c r="CH17" s="31">
        <f t="shared" si="59"/>
        <v>0</v>
      </c>
      <c r="CI17" s="33"/>
      <c r="CJ17" s="37">
        <f t="shared" si="13"/>
        <v>-1</v>
      </c>
      <c r="CK17" s="36">
        <f>'[1]STA CLARA'!$P17</f>
        <v>31800</v>
      </c>
      <c r="CL17" s="31">
        <f t="shared" si="60"/>
        <v>27891.78</v>
      </c>
      <c r="CM17" s="31">
        <f t="shared" si="61"/>
        <v>3908.22</v>
      </c>
      <c r="CN17" s="31">
        <f t="shared" si="62"/>
        <v>0</v>
      </c>
      <c r="CO17" s="31">
        <f t="shared" si="63"/>
        <v>0</v>
      </c>
      <c r="CP17" s="33"/>
      <c r="CQ17" s="37">
        <f t="shared" si="14"/>
        <v>-1</v>
      </c>
    </row>
    <row r="18" spans="1:95" s="26" customFormat="1" ht="16" customHeight="1" x14ac:dyDescent="0.2">
      <c r="A18" s="38" t="s">
        <v>42</v>
      </c>
      <c r="B18" s="30">
        <f t="shared" si="0"/>
        <v>48763.000000000007</v>
      </c>
      <c r="C18" s="31">
        <f t="shared" si="0"/>
        <v>42770.027300000002</v>
      </c>
      <c r="D18" s="32">
        <f t="shared" si="0"/>
        <v>5992.9727000000021</v>
      </c>
      <c r="E18" s="30">
        <f t="shared" si="15"/>
        <v>16254.333333333334</v>
      </c>
      <c r="F18" s="33">
        <f t="shared" si="15"/>
        <v>14256.675766666667</v>
      </c>
      <c r="G18" s="34">
        <f t="shared" si="15"/>
        <v>1997.6575666666668</v>
      </c>
      <c r="H18" s="31">
        <f t="shared" si="1"/>
        <v>0</v>
      </c>
      <c r="I18" s="33">
        <f t="shared" si="1"/>
        <v>9867.98</v>
      </c>
      <c r="J18" s="33">
        <f t="shared" si="1"/>
        <v>9867.98</v>
      </c>
      <c r="K18" s="37">
        <f t="shared" si="2"/>
        <v>-0.39290158521830076</v>
      </c>
      <c r="L18" s="36">
        <f>'[1]STA CLARA'!$E18</f>
        <v>4063.5833333333335</v>
      </c>
      <c r="M18" s="31">
        <f t="shared" si="16"/>
        <v>3564.1689416666668</v>
      </c>
      <c r="N18" s="31">
        <f t="shared" si="17"/>
        <v>499.41439166666669</v>
      </c>
      <c r="O18" s="31">
        <f t="shared" si="18"/>
        <v>0</v>
      </c>
      <c r="P18" s="31">
        <f t="shared" si="19"/>
        <v>1755.39</v>
      </c>
      <c r="Q18" s="33">
        <v>1755.39</v>
      </c>
      <c r="R18" s="37">
        <f t="shared" si="3"/>
        <v>-0.56801919488136499</v>
      </c>
      <c r="S18" s="36">
        <f>'[1]STA CLARA'!$F18</f>
        <v>4063.5833333333335</v>
      </c>
      <c r="T18" s="31">
        <f t="shared" si="20"/>
        <v>3564.1689416666668</v>
      </c>
      <c r="U18" s="31">
        <f t="shared" si="21"/>
        <v>499.41439166666669</v>
      </c>
      <c r="V18" s="31">
        <f t="shared" si="22"/>
        <v>0</v>
      </c>
      <c r="W18" s="31">
        <f t="shared" si="23"/>
        <v>8112.59</v>
      </c>
      <c r="X18" s="33">
        <v>8112.59</v>
      </c>
      <c r="Y18" s="37">
        <f t="shared" si="4"/>
        <v>0.99641285400816182</v>
      </c>
      <c r="Z18" s="36">
        <f>'[1]STA CLARA'!$G18</f>
        <v>4063.5833333333335</v>
      </c>
      <c r="AA18" s="31">
        <f t="shared" si="24"/>
        <v>3564.1689416666668</v>
      </c>
      <c r="AB18" s="31">
        <f t="shared" si="25"/>
        <v>499.41439166666669</v>
      </c>
      <c r="AC18" s="31">
        <f t="shared" si="26"/>
        <v>0</v>
      </c>
      <c r="AD18" s="31">
        <f t="shared" si="27"/>
        <v>0</v>
      </c>
      <c r="AE18" s="33"/>
      <c r="AF18" s="37">
        <f t="shared" si="5"/>
        <v>-1</v>
      </c>
      <c r="AG18" s="36">
        <f>'[1]STA CLARA'!$H18</f>
        <v>4063.5833333333335</v>
      </c>
      <c r="AH18" s="31">
        <f t="shared" si="28"/>
        <v>3564.1689416666668</v>
      </c>
      <c r="AI18" s="31">
        <f t="shared" si="29"/>
        <v>499.41439166666669</v>
      </c>
      <c r="AJ18" s="31">
        <f t="shared" si="30"/>
        <v>0</v>
      </c>
      <c r="AK18" s="31">
        <f t="shared" si="31"/>
        <v>0</v>
      </c>
      <c r="AL18" s="33"/>
      <c r="AM18" s="37">
        <f t="shared" si="6"/>
        <v>-1</v>
      </c>
      <c r="AN18" s="36">
        <f>'[1]STA CLARA'!$I18</f>
        <v>4063.5833333333335</v>
      </c>
      <c r="AO18" s="31">
        <f t="shared" si="32"/>
        <v>3564.1689416666668</v>
      </c>
      <c r="AP18" s="31">
        <f t="shared" si="33"/>
        <v>499.41439166666669</v>
      </c>
      <c r="AQ18" s="31">
        <f t="shared" si="34"/>
        <v>0</v>
      </c>
      <c r="AR18" s="31">
        <f t="shared" si="35"/>
        <v>0</v>
      </c>
      <c r="AS18" s="27"/>
      <c r="AT18" s="37">
        <f t="shared" si="7"/>
        <v>-1</v>
      </c>
      <c r="AU18" s="36">
        <f>'[1]STA CLARA'!$J18</f>
        <v>4063.5833333333335</v>
      </c>
      <c r="AV18" s="31">
        <f t="shared" si="36"/>
        <v>3564.1689416666668</v>
      </c>
      <c r="AW18" s="31">
        <f t="shared" si="37"/>
        <v>499.41439166666669</v>
      </c>
      <c r="AX18" s="31">
        <f t="shared" si="38"/>
        <v>0</v>
      </c>
      <c r="AY18" s="31">
        <f t="shared" si="39"/>
        <v>0</v>
      </c>
      <c r="AZ18" s="33"/>
      <c r="BA18" s="37">
        <f t="shared" si="8"/>
        <v>-1</v>
      </c>
      <c r="BB18" s="36">
        <f>'[1]STA CLARA'!$K18</f>
        <v>4063.5833333333335</v>
      </c>
      <c r="BC18" s="31">
        <f t="shared" si="40"/>
        <v>3564.1689416666668</v>
      </c>
      <c r="BD18" s="31">
        <f t="shared" si="41"/>
        <v>499.41439166666669</v>
      </c>
      <c r="BE18" s="31">
        <f t="shared" si="42"/>
        <v>0</v>
      </c>
      <c r="BF18" s="31">
        <f t="shared" si="43"/>
        <v>0</v>
      </c>
      <c r="BG18" s="27"/>
      <c r="BH18" s="37">
        <f t="shared" si="9"/>
        <v>-1</v>
      </c>
      <c r="BI18" s="36">
        <f>'[1]STA CLARA'!$L18</f>
        <v>4063.5833333333335</v>
      </c>
      <c r="BJ18" s="31">
        <f t="shared" si="44"/>
        <v>3564.1689416666668</v>
      </c>
      <c r="BK18" s="31">
        <f t="shared" si="45"/>
        <v>499.41439166666669</v>
      </c>
      <c r="BL18" s="31">
        <f t="shared" si="46"/>
        <v>0</v>
      </c>
      <c r="BM18" s="31">
        <f t="shared" si="47"/>
        <v>0</v>
      </c>
      <c r="BN18" s="33"/>
      <c r="BO18" s="37">
        <f t="shared" si="10"/>
        <v>-1</v>
      </c>
      <c r="BP18" s="36">
        <f>'[1]STA CLARA'!$M18</f>
        <v>4063.5833333333335</v>
      </c>
      <c r="BQ18" s="31">
        <f t="shared" si="48"/>
        <v>3564.1689416666668</v>
      </c>
      <c r="BR18" s="31">
        <f t="shared" si="49"/>
        <v>499.41439166666669</v>
      </c>
      <c r="BS18" s="31">
        <f t="shared" si="50"/>
        <v>0</v>
      </c>
      <c r="BT18" s="31">
        <f t="shared" si="51"/>
        <v>0</v>
      </c>
      <c r="BU18" s="33"/>
      <c r="BV18" s="37">
        <f t="shared" si="11"/>
        <v>-1</v>
      </c>
      <c r="BW18" s="36">
        <f>'[1]STA CLARA'!$N18</f>
        <v>4063.5833333333335</v>
      </c>
      <c r="BX18" s="31">
        <f t="shared" si="52"/>
        <v>3564.1689416666668</v>
      </c>
      <c r="BY18" s="31">
        <f t="shared" si="53"/>
        <v>499.41439166666669</v>
      </c>
      <c r="BZ18" s="31">
        <f t="shared" si="54"/>
        <v>0</v>
      </c>
      <c r="CA18" s="31">
        <f t="shared" si="55"/>
        <v>0</v>
      </c>
      <c r="CB18" s="33"/>
      <c r="CC18" s="37">
        <f t="shared" si="12"/>
        <v>-1</v>
      </c>
      <c r="CD18" s="36">
        <f>'[1]STA CLARA'!$O18</f>
        <v>4063.5833333333335</v>
      </c>
      <c r="CE18" s="31">
        <f t="shared" si="56"/>
        <v>3564.1689416666668</v>
      </c>
      <c r="CF18" s="31">
        <f t="shared" si="57"/>
        <v>499.41439166666669</v>
      </c>
      <c r="CG18" s="31">
        <f t="shared" si="58"/>
        <v>0</v>
      </c>
      <c r="CH18" s="31">
        <f t="shared" si="59"/>
        <v>0</v>
      </c>
      <c r="CI18" s="33"/>
      <c r="CJ18" s="37">
        <f t="shared" si="13"/>
        <v>-1</v>
      </c>
      <c r="CK18" s="36">
        <f>'[1]STA CLARA'!$P18</f>
        <v>4063.5833333333335</v>
      </c>
      <c r="CL18" s="31">
        <f t="shared" si="60"/>
        <v>3564.1689416666668</v>
      </c>
      <c r="CM18" s="31">
        <f t="shared" si="61"/>
        <v>499.41439166666669</v>
      </c>
      <c r="CN18" s="31">
        <f t="shared" si="62"/>
        <v>0</v>
      </c>
      <c r="CO18" s="31">
        <f t="shared" si="63"/>
        <v>0</v>
      </c>
      <c r="CP18" s="33"/>
      <c r="CQ18" s="37">
        <f t="shared" si="14"/>
        <v>-1</v>
      </c>
    </row>
    <row r="19" spans="1:95" s="26" customFormat="1" ht="16" customHeight="1" x14ac:dyDescent="0.2">
      <c r="A19" s="38" t="s">
        <v>43</v>
      </c>
      <c r="B19" s="30">
        <f t="shared" si="0"/>
        <v>24999.999999999996</v>
      </c>
      <c r="C19" s="31">
        <f t="shared" si="0"/>
        <v>21927.500000000004</v>
      </c>
      <c r="D19" s="32">
        <f t="shared" si="0"/>
        <v>3072.4999999999995</v>
      </c>
      <c r="E19" s="30">
        <f t="shared" si="15"/>
        <v>8333.3333333333339</v>
      </c>
      <c r="F19" s="33">
        <f t="shared" si="15"/>
        <v>7309.166666666667</v>
      </c>
      <c r="G19" s="34">
        <f t="shared" si="15"/>
        <v>1024.1666666666667</v>
      </c>
      <c r="H19" s="31">
        <f t="shared" si="1"/>
        <v>0</v>
      </c>
      <c r="I19" s="33">
        <f t="shared" si="1"/>
        <v>12139.3</v>
      </c>
      <c r="J19" s="33">
        <f t="shared" si="1"/>
        <v>12139.3</v>
      </c>
      <c r="K19" s="37">
        <f t="shared" si="2"/>
        <v>0.4567159999999999</v>
      </c>
      <c r="L19" s="36">
        <f>'[1]STA CLARA'!$E19</f>
        <v>2083.3333333333335</v>
      </c>
      <c r="M19" s="31">
        <f t="shared" si="16"/>
        <v>1827.2916666666667</v>
      </c>
      <c r="N19" s="31">
        <f t="shared" si="17"/>
        <v>256.04166666666669</v>
      </c>
      <c r="O19" s="31">
        <f t="shared" si="18"/>
        <v>0</v>
      </c>
      <c r="P19" s="31">
        <f t="shared" si="19"/>
        <v>5047.32</v>
      </c>
      <c r="Q19" s="33">
        <v>5047.32</v>
      </c>
      <c r="R19" s="37">
        <f t="shared" si="3"/>
        <v>1.4227135999999998</v>
      </c>
      <c r="S19" s="36">
        <f>'[1]STA CLARA'!$F19</f>
        <v>2083.3333333333335</v>
      </c>
      <c r="T19" s="31">
        <f t="shared" si="20"/>
        <v>1827.2916666666667</v>
      </c>
      <c r="U19" s="31">
        <f t="shared" si="21"/>
        <v>256.04166666666669</v>
      </c>
      <c r="V19" s="31">
        <f t="shared" si="22"/>
        <v>0</v>
      </c>
      <c r="W19" s="31">
        <f t="shared" si="23"/>
        <v>1885.81</v>
      </c>
      <c r="X19" s="33">
        <v>1885.81</v>
      </c>
      <c r="Y19" s="37">
        <f t="shared" si="4"/>
        <v>-9.4811200000000095E-2</v>
      </c>
      <c r="Z19" s="36">
        <f>'[1]STA CLARA'!$G19</f>
        <v>2083.3333333333335</v>
      </c>
      <c r="AA19" s="31">
        <f t="shared" si="24"/>
        <v>1827.2916666666667</v>
      </c>
      <c r="AB19" s="31">
        <f t="shared" si="25"/>
        <v>256.04166666666669</v>
      </c>
      <c r="AC19" s="31">
        <f t="shared" si="26"/>
        <v>0</v>
      </c>
      <c r="AD19" s="31">
        <f t="shared" si="27"/>
        <v>336.41</v>
      </c>
      <c r="AE19" s="33">
        <v>336.41</v>
      </c>
      <c r="AF19" s="37">
        <f t="shared" si="5"/>
        <v>-0.83852320000000002</v>
      </c>
      <c r="AG19" s="36">
        <f>'[1]STA CLARA'!$H19</f>
        <v>2083.3333333333335</v>
      </c>
      <c r="AH19" s="31">
        <f t="shared" si="28"/>
        <v>1827.2916666666667</v>
      </c>
      <c r="AI19" s="31">
        <f t="shared" si="29"/>
        <v>256.04166666666669</v>
      </c>
      <c r="AJ19" s="31">
        <f t="shared" si="30"/>
        <v>0</v>
      </c>
      <c r="AK19" s="31">
        <f t="shared" si="31"/>
        <v>4869.76</v>
      </c>
      <c r="AL19" s="33">
        <v>4869.76</v>
      </c>
      <c r="AM19" s="37">
        <f t="shared" si="6"/>
        <v>1.3374847999999999</v>
      </c>
      <c r="AN19" s="36">
        <f>'[1]STA CLARA'!$I19</f>
        <v>2083.3333333333335</v>
      </c>
      <c r="AO19" s="31">
        <f t="shared" si="32"/>
        <v>1827.2916666666667</v>
      </c>
      <c r="AP19" s="31">
        <f t="shared" si="33"/>
        <v>256.04166666666669</v>
      </c>
      <c r="AQ19" s="31">
        <f t="shared" si="34"/>
        <v>0</v>
      </c>
      <c r="AR19" s="31">
        <f t="shared" si="35"/>
        <v>0</v>
      </c>
      <c r="AS19" s="27"/>
      <c r="AT19" s="37">
        <f t="shared" si="7"/>
        <v>-1</v>
      </c>
      <c r="AU19" s="36">
        <f>'[1]STA CLARA'!$J19</f>
        <v>2083.3333333333335</v>
      </c>
      <c r="AV19" s="31">
        <f t="shared" si="36"/>
        <v>1827.2916666666667</v>
      </c>
      <c r="AW19" s="31">
        <f t="shared" si="37"/>
        <v>256.04166666666669</v>
      </c>
      <c r="AX19" s="31">
        <f t="shared" si="38"/>
        <v>0</v>
      </c>
      <c r="AY19" s="31">
        <f t="shared" si="39"/>
        <v>0</v>
      </c>
      <c r="AZ19" s="33"/>
      <c r="BA19" s="37">
        <f t="shared" si="8"/>
        <v>-1</v>
      </c>
      <c r="BB19" s="36">
        <f>'[1]STA CLARA'!$K19</f>
        <v>2083.3333333333335</v>
      </c>
      <c r="BC19" s="31">
        <f t="shared" si="40"/>
        <v>1827.2916666666667</v>
      </c>
      <c r="BD19" s="31">
        <f t="shared" si="41"/>
        <v>256.04166666666669</v>
      </c>
      <c r="BE19" s="31">
        <f t="shared" si="42"/>
        <v>0</v>
      </c>
      <c r="BF19" s="31">
        <f t="shared" si="43"/>
        <v>0</v>
      </c>
      <c r="BG19" s="27"/>
      <c r="BH19" s="37">
        <f t="shared" si="9"/>
        <v>-1</v>
      </c>
      <c r="BI19" s="36">
        <f>'[1]STA CLARA'!$L19</f>
        <v>2083.3333333333335</v>
      </c>
      <c r="BJ19" s="31">
        <f t="shared" si="44"/>
        <v>1827.2916666666667</v>
      </c>
      <c r="BK19" s="31">
        <f t="shared" si="45"/>
        <v>256.04166666666669</v>
      </c>
      <c r="BL19" s="31">
        <f t="shared" si="46"/>
        <v>0</v>
      </c>
      <c r="BM19" s="31">
        <f t="shared" si="47"/>
        <v>0</v>
      </c>
      <c r="BN19" s="33"/>
      <c r="BO19" s="37">
        <f t="shared" si="10"/>
        <v>-1</v>
      </c>
      <c r="BP19" s="36">
        <f>'[1]STA CLARA'!$M19</f>
        <v>2083.3333333333335</v>
      </c>
      <c r="BQ19" s="31">
        <f t="shared" si="48"/>
        <v>1827.2916666666667</v>
      </c>
      <c r="BR19" s="31">
        <f t="shared" si="49"/>
        <v>256.04166666666669</v>
      </c>
      <c r="BS19" s="31">
        <f t="shared" si="50"/>
        <v>0</v>
      </c>
      <c r="BT19" s="31">
        <f t="shared" si="51"/>
        <v>0</v>
      </c>
      <c r="BU19" s="33"/>
      <c r="BV19" s="37">
        <f t="shared" si="11"/>
        <v>-1</v>
      </c>
      <c r="BW19" s="36">
        <f>'[1]STA CLARA'!$N19</f>
        <v>2083.3333333333335</v>
      </c>
      <c r="BX19" s="31">
        <f t="shared" si="52"/>
        <v>1827.2916666666667</v>
      </c>
      <c r="BY19" s="31">
        <f t="shared" si="53"/>
        <v>256.04166666666669</v>
      </c>
      <c r="BZ19" s="31">
        <f t="shared" si="54"/>
        <v>0</v>
      </c>
      <c r="CA19" s="31">
        <f t="shared" si="55"/>
        <v>0</v>
      </c>
      <c r="CB19" s="33"/>
      <c r="CC19" s="37">
        <f t="shared" si="12"/>
        <v>-1</v>
      </c>
      <c r="CD19" s="36">
        <f>'[1]STA CLARA'!$O19</f>
        <v>2083.3333333333335</v>
      </c>
      <c r="CE19" s="31">
        <f t="shared" si="56"/>
        <v>1827.2916666666667</v>
      </c>
      <c r="CF19" s="31">
        <f t="shared" si="57"/>
        <v>256.04166666666669</v>
      </c>
      <c r="CG19" s="31">
        <f t="shared" si="58"/>
        <v>0</v>
      </c>
      <c r="CH19" s="31">
        <f t="shared" si="59"/>
        <v>0</v>
      </c>
      <c r="CI19" s="33"/>
      <c r="CJ19" s="37">
        <f t="shared" si="13"/>
        <v>-1</v>
      </c>
      <c r="CK19" s="36">
        <f>'[1]STA CLARA'!$P19</f>
        <v>2083.3333333333335</v>
      </c>
      <c r="CL19" s="31">
        <f t="shared" si="60"/>
        <v>1827.2916666666667</v>
      </c>
      <c r="CM19" s="31">
        <f t="shared" si="61"/>
        <v>256.04166666666669</v>
      </c>
      <c r="CN19" s="31">
        <f t="shared" si="62"/>
        <v>0</v>
      </c>
      <c r="CO19" s="31">
        <f t="shared" si="63"/>
        <v>0</v>
      </c>
      <c r="CP19" s="33"/>
      <c r="CQ19" s="37">
        <f t="shared" si="14"/>
        <v>-1</v>
      </c>
    </row>
    <row r="20" spans="1:95" s="26" customFormat="1" ht="16" customHeight="1" x14ac:dyDescent="0.2">
      <c r="A20" s="29" t="s">
        <v>44</v>
      </c>
      <c r="B20" s="30">
        <f t="shared" si="0"/>
        <v>507392.37055999803</v>
      </c>
      <c r="C20" s="31">
        <f t="shared" si="0"/>
        <v>445033.8482181743</v>
      </c>
      <c r="D20" s="32">
        <f t="shared" si="0"/>
        <v>62358.522341823751</v>
      </c>
      <c r="E20" s="30">
        <f t="shared" si="15"/>
        <v>192534.05039999899</v>
      </c>
      <c r="F20" s="33">
        <f t="shared" si="15"/>
        <v>168871.61560583912</v>
      </c>
      <c r="G20" s="34">
        <f t="shared" si="15"/>
        <v>23662.434794159875</v>
      </c>
      <c r="H20" s="31">
        <f t="shared" si="1"/>
        <v>0</v>
      </c>
      <c r="I20" s="33">
        <f t="shared" si="1"/>
        <v>114180.53000000001</v>
      </c>
      <c r="J20" s="33">
        <f t="shared" si="1"/>
        <v>114180.53000000001</v>
      </c>
      <c r="K20" s="37">
        <f t="shared" si="2"/>
        <v>-0.40695928973194961</v>
      </c>
      <c r="L20" s="36">
        <f>'[1]STA CLARA'!$E20</f>
        <v>0</v>
      </c>
      <c r="M20" s="31">
        <f t="shared" si="16"/>
        <v>0</v>
      </c>
      <c r="N20" s="31">
        <f t="shared" si="17"/>
        <v>0</v>
      </c>
      <c r="O20" s="31">
        <f t="shared" si="18"/>
        <v>0</v>
      </c>
      <c r="P20" s="31">
        <f t="shared" si="19"/>
        <v>11591.52</v>
      </c>
      <c r="Q20" s="33">
        <f>11591.52</f>
        <v>11591.52</v>
      </c>
      <c r="R20" s="37" t="str">
        <f t="shared" si="3"/>
        <v/>
      </c>
      <c r="S20" s="36">
        <f>'[1]STA CLARA'!$F20</f>
        <v>0</v>
      </c>
      <c r="T20" s="31">
        <f t="shared" si="20"/>
        <v>0</v>
      </c>
      <c r="U20" s="31">
        <f t="shared" si="21"/>
        <v>0</v>
      </c>
      <c r="V20" s="31">
        <f t="shared" si="22"/>
        <v>0</v>
      </c>
      <c r="W20" s="31">
        <f t="shared" si="23"/>
        <v>4795.6000000000004</v>
      </c>
      <c r="X20" s="33">
        <v>4795.6000000000004</v>
      </c>
      <c r="Y20" s="37" t="str">
        <f t="shared" si="4"/>
        <v/>
      </c>
      <c r="Z20" s="36">
        <f>'[1]STA CLARA'!$G20</f>
        <v>192534.05039999899</v>
      </c>
      <c r="AA20" s="31">
        <f t="shared" si="24"/>
        <v>168871.61560583912</v>
      </c>
      <c r="AB20" s="31">
        <f t="shared" si="25"/>
        <v>23662.434794159875</v>
      </c>
      <c r="AC20" s="31">
        <f t="shared" si="26"/>
        <v>0</v>
      </c>
      <c r="AD20" s="31">
        <f t="shared" si="27"/>
        <v>74859.460000000006</v>
      </c>
      <c r="AE20" s="33">
        <v>74859.460000000006</v>
      </c>
      <c r="AF20" s="37">
        <f t="shared" si="5"/>
        <v>-0.61118846331609511</v>
      </c>
      <c r="AG20" s="36">
        <f>'[1]STA CLARA'!$H20</f>
        <v>0</v>
      </c>
      <c r="AH20" s="31">
        <f t="shared" si="28"/>
        <v>0</v>
      </c>
      <c r="AI20" s="31">
        <f t="shared" si="29"/>
        <v>0</v>
      </c>
      <c r="AJ20" s="31">
        <f t="shared" si="30"/>
        <v>0</v>
      </c>
      <c r="AK20" s="31">
        <f t="shared" si="31"/>
        <v>22933.95</v>
      </c>
      <c r="AL20" s="33">
        <v>22933.95</v>
      </c>
      <c r="AM20" s="37" t="str">
        <f t="shared" si="6"/>
        <v/>
      </c>
      <c r="AN20" s="36">
        <f>'[1]STA CLARA'!$I20</f>
        <v>5974.9087200000004</v>
      </c>
      <c r="AO20" s="31">
        <f t="shared" si="32"/>
        <v>5240.592438312</v>
      </c>
      <c r="AP20" s="31">
        <f t="shared" si="33"/>
        <v>734.316281688</v>
      </c>
      <c r="AQ20" s="31">
        <f t="shared" si="34"/>
        <v>0</v>
      </c>
      <c r="AR20" s="31">
        <f t="shared" si="35"/>
        <v>0</v>
      </c>
      <c r="AS20" s="27"/>
      <c r="AT20" s="37">
        <f t="shared" si="7"/>
        <v>-1</v>
      </c>
      <c r="AU20" s="36">
        <f>'[1]STA CLARA'!$J20</f>
        <v>5974.9087200000004</v>
      </c>
      <c r="AV20" s="31">
        <f t="shared" si="36"/>
        <v>5240.592438312</v>
      </c>
      <c r="AW20" s="31">
        <f t="shared" si="37"/>
        <v>734.316281688</v>
      </c>
      <c r="AX20" s="31">
        <f t="shared" si="38"/>
        <v>0</v>
      </c>
      <c r="AY20" s="31">
        <f t="shared" si="39"/>
        <v>0</v>
      </c>
      <c r="AZ20" s="33"/>
      <c r="BA20" s="37">
        <f t="shared" si="8"/>
        <v>-1</v>
      </c>
      <c r="BB20" s="36">
        <f>'[1]STA CLARA'!$K20</f>
        <v>126655.908719999</v>
      </c>
      <c r="BC20" s="31">
        <f t="shared" si="40"/>
        <v>111089.89753831112</v>
      </c>
      <c r="BD20" s="31">
        <f t="shared" si="41"/>
        <v>15566.011181687876</v>
      </c>
      <c r="BE20" s="31">
        <f t="shared" si="42"/>
        <v>0</v>
      </c>
      <c r="BF20" s="31">
        <f t="shared" si="43"/>
        <v>0</v>
      </c>
      <c r="BG20" s="27"/>
      <c r="BH20" s="37">
        <f t="shared" si="9"/>
        <v>-1</v>
      </c>
      <c r="BI20" s="36">
        <f>'[1]STA CLARA'!$L20</f>
        <v>13708.95912</v>
      </c>
      <c r="BJ20" s="31">
        <f t="shared" si="44"/>
        <v>12024.128044151999</v>
      </c>
      <c r="BK20" s="31">
        <f t="shared" si="45"/>
        <v>1684.831075848</v>
      </c>
      <c r="BL20" s="31">
        <f t="shared" si="46"/>
        <v>0</v>
      </c>
      <c r="BM20" s="31">
        <f t="shared" si="47"/>
        <v>0</v>
      </c>
      <c r="BN20" s="33"/>
      <c r="BO20" s="37">
        <f t="shared" si="10"/>
        <v>-1</v>
      </c>
      <c r="BP20" s="36">
        <f>'[1]STA CLARA'!$M20</f>
        <v>144618.90872000001</v>
      </c>
      <c r="BQ20" s="31">
        <f t="shared" si="48"/>
        <v>126845.24483831201</v>
      </c>
      <c r="BR20" s="31">
        <f t="shared" si="49"/>
        <v>17773.663881688</v>
      </c>
      <c r="BS20" s="31">
        <f t="shared" si="50"/>
        <v>0</v>
      </c>
      <c r="BT20" s="31">
        <f t="shared" si="51"/>
        <v>0</v>
      </c>
      <c r="BU20" s="33"/>
      <c r="BV20" s="37">
        <f t="shared" si="11"/>
        <v>-1</v>
      </c>
      <c r="BW20" s="36">
        <f>'[1]STA CLARA'!$N20</f>
        <v>5974.9087200000004</v>
      </c>
      <c r="BX20" s="31">
        <f t="shared" si="52"/>
        <v>5240.592438312</v>
      </c>
      <c r="BY20" s="31">
        <f t="shared" si="53"/>
        <v>734.316281688</v>
      </c>
      <c r="BZ20" s="31">
        <f t="shared" si="54"/>
        <v>0</v>
      </c>
      <c r="CA20" s="31">
        <f t="shared" si="55"/>
        <v>0</v>
      </c>
      <c r="CB20" s="33"/>
      <c r="CC20" s="37">
        <f t="shared" si="12"/>
        <v>-1</v>
      </c>
      <c r="CD20" s="36">
        <f>'[1]STA CLARA'!$O20</f>
        <v>5974.9087200000004</v>
      </c>
      <c r="CE20" s="31">
        <f t="shared" si="56"/>
        <v>5240.592438312</v>
      </c>
      <c r="CF20" s="31">
        <f t="shared" si="57"/>
        <v>734.316281688</v>
      </c>
      <c r="CG20" s="31">
        <f t="shared" si="58"/>
        <v>0</v>
      </c>
      <c r="CH20" s="31">
        <f t="shared" si="59"/>
        <v>0</v>
      </c>
      <c r="CI20" s="33"/>
      <c r="CJ20" s="37">
        <f t="shared" si="13"/>
        <v>-1</v>
      </c>
      <c r="CK20" s="36">
        <f>'[1]STA CLARA'!$P20</f>
        <v>5974.9087200000004</v>
      </c>
      <c r="CL20" s="31">
        <f t="shared" si="60"/>
        <v>5240.592438312</v>
      </c>
      <c r="CM20" s="31">
        <f t="shared" si="61"/>
        <v>734.316281688</v>
      </c>
      <c r="CN20" s="31">
        <f t="shared" si="62"/>
        <v>0</v>
      </c>
      <c r="CO20" s="31">
        <f t="shared" si="63"/>
        <v>0</v>
      </c>
      <c r="CP20" s="33"/>
      <c r="CQ20" s="37">
        <f t="shared" si="14"/>
        <v>-1</v>
      </c>
    </row>
    <row r="21" spans="1:95" s="26" customFormat="1" ht="16" customHeight="1" x14ac:dyDescent="0.2">
      <c r="A21" s="38" t="s">
        <v>45</v>
      </c>
      <c r="B21" s="30">
        <f t="shared" si="0"/>
        <v>59809.651875000003</v>
      </c>
      <c r="C21" s="31">
        <f t="shared" si="0"/>
        <v>52459.0456595625</v>
      </c>
      <c r="D21" s="32">
        <f t="shared" si="0"/>
        <v>7350.6062154375004</v>
      </c>
      <c r="E21" s="30">
        <f t="shared" si="15"/>
        <v>59809.651875000003</v>
      </c>
      <c r="F21" s="33">
        <f t="shared" si="15"/>
        <v>52459.0456595625</v>
      </c>
      <c r="G21" s="34">
        <f t="shared" si="15"/>
        <v>7350.6062154375004</v>
      </c>
      <c r="H21" s="31">
        <f t="shared" si="1"/>
        <v>0</v>
      </c>
      <c r="I21" s="33">
        <f t="shared" si="1"/>
        <v>29540</v>
      </c>
      <c r="J21" s="33">
        <f t="shared" si="1"/>
        <v>29540</v>
      </c>
      <c r="K21" s="37">
        <f t="shared" si="2"/>
        <v>-0.50609978366472474</v>
      </c>
      <c r="L21" s="36">
        <f>'[1]STA CLARA'!$E21</f>
        <v>59809.651875000003</v>
      </c>
      <c r="M21" s="31">
        <f t="shared" si="16"/>
        <v>52459.0456595625</v>
      </c>
      <c r="N21" s="31">
        <f t="shared" si="17"/>
        <v>7350.6062154375004</v>
      </c>
      <c r="O21" s="31">
        <f t="shared" si="18"/>
        <v>0</v>
      </c>
      <c r="P21" s="31">
        <f t="shared" si="19"/>
        <v>29540</v>
      </c>
      <c r="Q21" s="33">
        <f>29540</f>
        <v>29540</v>
      </c>
      <c r="R21" s="37">
        <f t="shared" si="3"/>
        <v>-0.50609978366472474</v>
      </c>
      <c r="S21" s="36">
        <f>'[1]STA CLARA'!$F21</f>
        <v>0</v>
      </c>
      <c r="T21" s="31">
        <f t="shared" si="20"/>
        <v>0</v>
      </c>
      <c r="U21" s="31">
        <f t="shared" si="21"/>
        <v>0</v>
      </c>
      <c r="V21" s="31">
        <f t="shared" si="22"/>
        <v>0</v>
      </c>
      <c r="W21" s="31">
        <f t="shared" si="23"/>
        <v>0</v>
      </c>
      <c r="X21" s="33"/>
      <c r="Y21" s="37" t="str">
        <f t="shared" si="4"/>
        <v/>
      </c>
      <c r="Z21" s="36">
        <f>'[1]STA CLARA'!$G21</f>
        <v>0</v>
      </c>
      <c r="AA21" s="31">
        <f t="shared" si="24"/>
        <v>0</v>
      </c>
      <c r="AB21" s="31">
        <f t="shared" si="25"/>
        <v>0</v>
      </c>
      <c r="AC21" s="31">
        <f t="shared" si="26"/>
        <v>0</v>
      </c>
      <c r="AD21" s="31">
        <f t="shared" si="27"/>
        <v>0</v>
      </c>
      <c r="AE21" s="33"/>
      <c r="AF21" s="37" t="str">
        <f t="shared" si="5"/>
        <v/>
      </c>
      <c r="AG21" s="36">
        <f>'[1]STA CLARA'!$H21</f>
        <v>0</v>
      </c>
      <c r="AH21" s="31">
        <f t="shared" si="28"/>
        <v>0</v>
      </c>
      <c r="AI21" s="31">
        <f t="shared" si="29"/>
        <v>0</v>
      </c>
      <c r="AJ21" s="31">
        <f t="shared" si="30"/>
        <v>0</v>
      </c>
      <c r="AK21" s="31">
        <f t="shared" si="31"/>
        <v>0</v>
      </c>
      <c r="AL21" s="33"/>
      <c r="AM21" s="37" t="str">
        <f t="shared" si="6"/>
        <v/>
      </c>
      <c r="AN21" s="36">
        <f>'[1]STA CLARA'!$I21</f>
        <v>0</v>
      </c>
      <c r="AO21" s="31">
        <f t="shared" si="32"/>
        <v>0</v>
      </c>
      <c r="AP21" s="31">
        <f t="shared" si="33"/>
        <v>0</v>
      </c>
      <c r="AQ21" s="31">
        <f t="shared" si="34"/>
        <v>0</v>
      </c>
      <c r="AR21" s="31">
        <f t="shared" si="35"/>
        <v>0</v>
      </c>
      <c r="AS21" s="27"/>
      <c r="AT21" s="37" t="str">
        <f t="shared" si="7"/>
        <v/>
      </c>
      <c r="AU21" s="36">
        <f>'[1]STA CLARA'!$J21</f>
        <v>0</v>
      </c>
      <c r="AV21" s="31">
        <f t="shared" si="36"/>
        <v>0</v>
      </c>
      <c r="AW21" s="31">
        <f t="shared" si="37"/>
        <v>0</v>
      </c>
      <c r="AX21" s="31">
        <f t="shared" si="38"/>
        <v>0</v>
      </c>
      <c r="AY21" s="31">
        <f t="shared" si="39"/>
        <v>0</v>
      </c>
      <c r="AZ21" s="33"/>
      <c r="BA21" s="37" t="str">
        <f t="shared" si="8"/>
        <v/>
      </c>
      <c r="BB21" s="36">
        <f>'[1]STA CLARA'!$K21</f>
        <v>0</v>
      </c>
      <c r="BC21" s="31">
        <f t="shared" si="40"/>
        <v>0</v>
      </c>
      <c r="BD21" s="31">
        <f t="shared" si="41"/>
        <v>0</v>
      </c>
      <c r="BE21" s="31">
        <f t="shared" si="42"/>
        <v>0</v>
      </c>
      <c r="BF21" s="31">
        <f t="shared" si="43"/>
        <v>0</v>
      </c>
      <c r="BG21" s="27"/>
      <c r="BH21" s="37" t="str">
        <f t="shared" si="9"/>
        <v/>
      </c>
      <c r="BI21" s="36">
        <f>'[1]STA CLARA'!$L21</f>
        <v>0</v>
      </c>
      <c r="BJ21" s="31">
        <f t="shared" si="44"/>
        <v>0</v>
      </c>
      <c r="BK21" s="31">
        <f t="shared" si="45"/>
        <v>0</v>
      </c>
      <c r="BL21" s="31">
        <f t="shared" si="46"/>
        <v>0</v>
      </c>
      <c r="BM21" s="31">
        <f t="shared" si="47"/>
        <v>0</v>
      </c>
      <c r="BN21" s="33"/>
      <c r="BO21" s="37" t="str">
        <f t="shared" si="10"/>
        <v/>
      </c>
      <c r="BP21" s="36">
        <f>'[1]STA CLARA'!$M21</f>
        <v>0</v>
      </c>
      <c r="BQ21" s="31">
        <f t="shared" si="48"/>
        <v>0</v>
      </c>
      <c r="BR21" s="31">
        <f t="shared" si="49"/>
        <v>0</v>
      </c>
      <c r="BS21" s="31">
        <f t="shared" si="50"/>
        <v>0</v>
      </c>
      <c r="BT21" s="31">
        <f t="shared" si="51"/>
        <v>0</v>
      </c>
      <c r="BU21" s="33"/>
      <c r="BV21" s="37" t="str">
        <f t="shared" si="11"/>
        <v/>
      </c>
      <c r="BW21" s="36">
        <f>'[1]STA CLARA'!$N21</f>
        <v>0</v>
      </c>
      <c r="BX21" s="31">
        <f t="shared" si="52"/>
        <v>0</v>
      </c>
      <c r="BY21" s="31">
        <f t="shared" si="53"/>
        <v>0</v>
      </c>
      <c r="BZ21" s="31">
        <f t="shared" si="54"/>
        <v>0</v>
      </c>
      <c r="CA21" s="31">
        <f t="shared" si="55"/>
        <v>0</v>
      </c>
      <c r="CB21" s="33"/>
      <c r="CC21" s="37" t="str">
        <f t="shared" si="12"/>
        <v/>
      </c>
      <c r="CD21" s="36">
        <f>'[1]STA CLARA'!$O21</f>
        <v>0</v>
      </c>
      <c r="CE21" s="31">
        <f t="shared" si="56"/>
        <v>0</v>
      </c>
      <c r="CF21" s="31">
        <f t="shared" si="57"/>
        <v>0</v>
      </c>
      <c r="CG21" s="31">
        <f t="shared" si="58"/>
        <v>0</v>
      </c>
      <c r="CH21" s="31">
        <f t="shared" si="59"/>
        <v>0</v>
      </c>
      <c r="CI21" s="33"/>
      <c r="CJ21" s="37" t="str">
        <f t="shared" si="13"/>
        <v/>
      </c>
      <c r="CK21" s="36">
        <f>'[1]STA CLARA'!$P21</f>
        <v>0</v>
      </c>
      <c r="CL21" s="31">
        <f t="shared" si="60"/>
        <v>0</v>
      </c>
      <c r="CM21" s="31">
        <f t="shared" si="61"/>
        <v>0</v>
      </c>
      <c r="CN21" s="31">
        <f t="shared" si="62"/>
        <v>0</v>
      </c>
      <c r="CO21" s="31">
        <f t="shared" si="63"/>
        <v>0</v>
      </c>
      <c r="CP21" s="33"/>
      <c r="CQ21" s="37" t="str">
        <f t="shared" si="14"/>
        <v/>
      </c>
    </row>
    <row r="22" spans="1:95" s="26" customFormat="1" ht="16" customHeight="1" x14ac:dyDescent="0.2">
      <c r="A22" s="38" t="s">
        <v>46</v>
      </c>
      <c r="B22" s="30">
        <f t="shared" si="0"/>
        <v>151314.15199999878</v>
      </c>
      <c r="C22" s="31">
        <f t="shared" si="0"/>
        <v>132717.64271919898</v>
      </c>
      <c r="D22" s="32">
        <f t="shared" si="0"/>
        <v>18596.509280799848</v>
      </c>
      <c r="E22" s="30">
        <f t="shared" si="15"/>
        <v>50438.05066666627</v>
      </c>
      <c r="F22" s="33">
        <f t="shared" si="15"/>
        <v>44239.214239732988</v>
      </c>
      <c r="G22" s="34">
        <f t="shared" si="15"/>
        <v>6198.8364269332842</v>
      </c>
      <c r="H22" s="31">
        <f t="shared" si="1"/>
        <v>0</v>
      </c>
      <c r="I22" s="33">
        <f t="shared" si="1"/>
        <v>35306.83</v>
      </c>
      <c r="J22" s="33">
        <f t="shared" si="1"/>
        <v>35306.83</v>
      </c>
      <c r="K22" s="37">
        <f t="shared" si="2"/>
        <v>-0.29999614312347445</v>
      </c>
      <c r="L22" s="36">
        <f>'[1]STA CLARA'!$E22</f>
        <v>12609.512666666567</v>
      </c>
      <c r="M22" s="31">
        <f t="shared" si="16"/>
        <v>11059.803559933247</v>
      </c>
      <c r="N22" s="31">
        <f t="shared" si="17"/>
        <v>1549.7091067333211</v>
      </c>
      <c r="O22" s="31">
        <f t="shared" si="18"/>
        <v>0</v>
      </c>
      <c r="P22" s="31">
        <f t="shared" si="19"/>
        <v>11466.76</v>
      </c>
      <c r="Q22" s="33">
        <f>11466.76</f>
        <v>11466.76</v>
      </c>
      <c r="R22" s="37">
        <f t="shared" si="3"/>
        <v>-9.0626235674234334E-2</v>
      </c>
      <c r="S22" s="36">
        <f>'[1]STA CLARA'!$F22</f>
        <v>12609.512666666567</v>
      </c>
      <c r="T22" s="31">
        <f t="shared" si="20"/>
        <v>11059.803559933247</v>
      </c>
      <c r="U22" s="31">
        <f t="shared" si="21"/>
        <v>1549.7091067333211</v>
      </c>
      <c r="V22" s="31">
        <f t="shared" si="22"/>
        <v>0</v>
      </c>
      <c r="W22" s="31">
        <f t="shared" si="23"/>
        <v>14385.96</v>
      </c>
      <c r="X22" s="33">
        <f>14385.96</f>
        <v>14385.96</v>
      </c>
      <c r="Y22" s="37">
        <f t="shared" si="4"/>
        <v>0.14088152177597602</v>
      </c>
      <c r="Z22" s="36">
        <f>'[1]STA CLARA'!$G22</f>
        <v>12609.512666666567</v>
      </c>
      <c r="AA22" s="31">
        <f t="shared" si="24"/>
        <v>11059.803559933247</v>
      </c>
      <c r="AB22" s="31">
        <f t="shared" si="25"/>
        <v>1549.7091067333211</v>
      </c>
      <c r="AC22" s="31">
        <f t="shared" si="26"/>
        <v>0</v>
      </c>
      <c r="AD22" s="31">
        <f t="shared" si="27"/>
        <v>5609.48</v>
      </c>
      <c r="AE22" s="33">
        <f>5609.48</f>
        <v>5609.48</v>
      </c>
      <c r="AF22" s="37">
        <f t="shared" si="5"/>
        <v>-0.5551390328645498</v>
      </c>
      <c r="AG22" s="36">
        <f>'[1]STA CLARA'!$H22</f>
        <v>12609.512666666567</v>
      </c>
      <c r="AH22" s="31">
        <f t="shared" si="28"/>
        <v>11059.803559933247</v>
      </c>
      <c r="AI22" s="31">
        <f t="shared" si="29"/>
        <v>1549.7091067333211</v>
      </c>
      <c r="AJ22" s="31">
        <f t="shared" si="30"/>
        <v>0</v>
      </c>
      <c r="AK22" s="31">
        <f t="shared" si="31"/>
        <v>3844.63</v>
      </c>
      <c r="AL22" s="33">
        <v>3844.63</v>
      </c>
      <c r="AM22" s="37">
        <f t="shared" si="6"/>
        <v>-0.69510082573108978</v>
      </c>
      <c r="AN22" s="36">
        <f>'[1]STA CLARA'!$I22</f>
        <v>12609.512666666567</v>
      </c>
      <c r="AO22" s="31">
        <f t="shared" si="32"/>
        <v>11059.803559933247</v>
      </c>
      <c r="AP22" s="31">
        <f t="shared" si="33"/>
        <v>1549.7091067333211</v>
      </c>
      <c r="AQ22" s="31">
        <f t="shared" si="34"/>
        <v>0</v>
      </c>
      <c r="AR22" s="31">
        <f t="shared" si="35"/>
        <v>0</v>
      </c>
      <c r="AS22" s="27"/>
      <c r="AT22" s="37">
        <f t="shared" si="7"/>
        <v>-1</v>
      </c>
      <c r="AU22" s="36">
        <f>'[1]STA CLARA'!$J22</f>
        <v>12609.512666666567</v>
      </c>
      <c r="AV22" s="31">
        <f t="shared" si="36"/>
        <v>11059.803559933247</v>
      </c>
      <c r="AW22" s="31">
        <f t="shared" si="37"/>
        <v>1549.7091067333211</v>
      </c>
      <c r="AX22" s="31">
        <f t="shared" si="38"/>
        <v>0</v>
      </c>
      <c r="AY22" s="31">
        <f t="shared" si="39"/>
        <v>0</v>
      </c>
      <c r="AZ22" s="33"/>
      <c r="BA22" s="37">
        <f t="shared" si="8"/>
        <v>-1</v>
      </c>
      <c r="BB22" s="36">
        <f>'[1]STA CLARA'!$K22</f>
        <v>12609.512666666567</v>
      </c>
      <c r="BC22" s="31">
        <f t="shared" si="40"/>
        <v>11059.803559933247</v>
      </c>
      <c r="BD22" s="31">
        <f t="shared" si="41"/>
        <v>1549.7091067333211</v>
      </c>
      <c r="BE22" s="31">
        <f t="shared" si="42"/>
        <v>0</v>
      </c>
      <c r="BF22" s="31">
        <f t="shared" si="43"/>
        <v>0</v>
      </c>
      <c r="BG22" s="27"/>
      <c r="BH22" s="37">
        <f t="shared" si="9"/>
        <v>-1</v>
      </c>
      <c r="BI22" s="36">
        <f>'[1]STA CLARA'!$L22</f>
        <v>12609.512666666567</v>
      </c>
      <c r="BJ22" s="31">
        <f t="shared" si="44"/>
        <v>11059.803559933247</v>
      </c>
      <c r="BK22" s="31">
        <f t="shared" si="45"/>
        <v>1549.7091067333211</v>
      </c>
      <c r="BL22" s="31">
        <f t="shared" si="46"/>
        <v>0</v>
      </c>
      <c r="BM22" s="31">
        <f t="shared" si="47"/>
        <v>0</v>
      </c>
      <c r="BN22" s="33"/>
      <c r="BO22" s="37">
        <f t="shared" si="10"/>
        <v>-1</v>
      </c>
      <c r="BP22" s="36">
        <f>'[1]STA CLARA'!$M22</f>
        <v>12609.512666666567</v>
      </c>
      <c r="BQ22" s="31">
        <f t="shared" si="48"/>
        <v>11059.803559933247</v>
      </c>
      <c r="BR22" s="31">
        <f t="shared" si="49"/>
        <v>1549.7091067333211</v>
      </c>
      <c r="BS22" s="31">
        <f t="shared" si="50"/>
        <v>0</v>
      </c>
      <c r="BT22" s="31">
        <f t="shared" si="51"/>
        <v>0</v>
      </c>
      <c r="BU22" s="33"/>
      <c r="BV22" s="37">
        <f t="shared" si="11"/>
        <v>-1</v>
      </c>
      <c r="BW22" s="36">
        <f>'[1]STA CLARA'!$N22</f>
        <v>12609.512666666567</v>
      </c>
      <c r="BX22" s="31">
        <f t="shared" si="52"/>
        <v>11059.803559933247</v>
      </c>
      <c r="BY22" s="31">
        <f t="shared" si="53"/>
        <v>1549.7091067333211</v>
      </c>
      <c r="BZ22" s="31">
        <f t="shared" si="54"/>
        <v>0</v>
      </c>
      <c r="CA22" s="31">
        <f t="shared" si="55"/>
        <v>0</v>
      </c>
      <c r="CB22" s="33"/>
      <c r="CC22" s="37">
        <f t="shared" si="12"/>
        <v>-1</v>
      </c>
      <c r="CD22" s="36">
        <f>'[1]STA CLARA'!$O22</f>
        <v>12609.512666666567</v>
      </c>
      <c r="CE22" s="31">
        <f t="shared" si="56"/>
        <v>11059.803559933247</v>
      </c>
      <c r="CF22" s="31">
        <f t="shared" si="57"/>
        <v>1549.7091067333211</v>
      </c>
      <c r="CG22" s="31">
        <f t="shared" si="58"/>
        <v>0</v>
      </c>
      <c r="CH22" s="31">
        <f t="shared" si="59"/>
        <v>0</v>
      </c>
      <c r="CI22" s="33"/>
      <c r="CJ22" s="37">
        <f t="shared" si="13"/>
        <v>-1</v>
      </c>
      <c r="CK22" s="36">
        <f>'[1]STA CLARA'!$P22</f>
        <v>12609.512666666567</v>
      </c>
      <c r="CL22" s="31">
        <f t="shared" si="60"/>
        <v>11059.803559933247</v>
      </c>
      <c r="CM22" s="31">
        <f t="shared" si="61"/>
        <v>1549.7091067333211</v>
      </c>
      <c r="CN22" s="31">
        <f t="shared" si="62"/>
        <v>0</v>
      </c>
      <c r="CO22" s="31">
        <f t="shared" si="63"/>
        <v>0</v>
      </c>
      <c r="CP22" s="33"/>
      <c r="CQ22" s="37">
        <f t="shared" si="14"/>
        <v>-1</v>
      </c>
    </row>
    <row r="23" spans="1:95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5"/>
        <v>0</v>
      </c>
      <c r="F23" s="33">
        <f t="shared" si="15"/>
        <v>0</v>
      </c>
      <c r="G23" s="34">
        <f t="shared" si="15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'[1]STA CLARA'!$E23</f>
        <v>0</v>
      </c>
      <c r="M23" s="31">
        <f t="shared" si="16"/>
        <v>0</v>
      </c>
      <c r="N23" s="31">
        <f t="shared" si="17"/>
        <v>0</v>
      </c>
      <c r="O23" s="31">
        <f t="shared" si="18"/>
        <v>0</v>
      </c>
      <c r="P23" s="31">
        <f t="shared" si="19"/>
        <v>0</v>
      </c>
      <c r="Q23" s="33"/>
      <c r="R23" s="37" t="str">
        <f t="shared" si="3"/>
        <v/>
      </c>
      <c r="S23" s="36">
        <f>'[1]STA CLARA'!$F23</f>
        <v>0</v>
      </c>
      <c r="T23" s="31">
        <f t="shared" si="20"/>
        <v>0</v>
      </c>
      <c r="U23" s="31">
        <f t="shared" si="21"/>
        <v>0</v>
      </c>
      <c r="V23" s="31">
        <f t="shared" si="22"/>
        <v>0</v>
      </c>
      <c r="W23" s="31">
        <f t="shared" si="23"/>
        <v>0</v>
      </c>
      <c r="X23" s="33"/>
      <c r="Y23" s="37" t="str">
        <f t="shared" si="4"/>
        <v/>
      </c>
      <c r="Z23" s="36">
        <f>'[1]STA CLARA'!$G23</f>
        <v>0</v>
      </c>
      <c r="AA23" s="31">
        <f t="shared" si="24"/>
        <v>0</v>
      </c>
      <c r="AB23" s="31">
        <f t="shared" si="25"/>
        <v>0</v>
      </c>
      <c r="AC23" s="31">
        <f t="shared" si="26"/>
        <v>0</v>
      </c>
      <c r="AD23" s="31">
        <f t="shared" si="27"/>
        <v>0</v>
      </c>
      <c r="AE23" s="33"/>
      <c r="AF23" s="37" t="str">
        <f t="shared" si="5"/>
        <v/>
      </c>
      <c r="AG23" s="36">
        <f>'[1]STA CLARA'!$H23</f>
        <v>0</v>
      </c>
      <c r="AH23" s="31">
        <f t="shared" si="28"/>
        <v>0</v>
      </c>
      <c r="AI23" s="31">
        <f t="shared" si="29"/>
        <v>0</v>
      </c>
      <c r="AJ23" s="31">
        <f t="shared" si="30"/>
        <v>0</v>
      </c>
      <c r="AK23" s="31">
        <f t="shared" si="31"/>
        <v>0</v>
      </c>
      <c r="AL23" s="33"/>
      <c r="AM23" s="37" t="str">
        <f t="shared" si="6"/>
        <v/>
      </c>
      <c r="AN23" s="36">
        <f>'[1]STA CLARA'!$I23</f>
        <v>0</v>
      </c>
      <c r="AO23" s="31">
        <f t="shared" si="32"/>
        <v>0</v>
      </c>
      <c r="AP23" s="31">
        <f t="shared" si="33"/>
        <v>0</v>
      </c>
      <c r="AQ23" s="31">
        <f t="shared" si="34"/>
        <v>0</v>
      </c>
      <c r="AR23" s="31">
        <f t="shared" si="35"/>
        <v>0</v>
      </c>
      <c r="AS23" s="27"/>
      <c r="AT23" s="37" t="str">
        <f t="shared" si="7"/>
        <v/>
      </c>
      <c r="AU23" s="36">
        <f>'[1]STA CLARA'!$J23</f>
        <v>0</v>
      </c>
      <c r="AV23" s="31">
        <f t="shared" si="36"/>
        <v>0</v>
      </c>
      <c r="AW23" s="31">
        <f t="shared" si="37"/>
        <v>0</v>
      </c>
      <c r="AX23" s="31">
        <f t="shared" si="38"/>
        <v>0</v>
      </c>
      <c r="AY23" s="31">
        <f t="shared" si="39"/>
        <v>0</v>
      </c>
      <c r="AZ23" s="33"/>
      <c r="BA23" s="37" t="str">
        <f t="shared" si="8"/>
        <v/>
      </c>
      <c r="BB23" s="36">
        <f>'[1]STA CLARA'!$K23</f>
        <v>0</v>
      </c>
      <c r="BC23" s="31">
        <f t="shared" si="40"/>
        <v>0</v>
      </c>
      <c r="BD23" s="31">
        <f t="shared" si="41"/>
        <v>0</v>
      </c>
      <c r="BE23" s="31">
        <f t="shared" si="42"/>
        <v>0</v>
      </c>
      <c r="BF23" s="31">
        <f t="shared" si="43"/>
        <v>0</v>
      </c>
      <c r="BG23" s="27"/>
      <c r="BH23" s="37" t="str">
        <f t="shared" si="9"/>
        <v/>
      </c>
      <c r="BI23" s="36">
        <f>'[1]STA CLARA'!$L23</f>
        <v>0</v>
      </c>
      <c r="BJ23" s="31">
        <f t="shared" si="44"/>
        <v>0</v>
      </c>
      <c r="BK23" s="31">
        <f t="shared" si="45"/>
        <v>0</v>
      </c>
      <c r="BL23" s="31">
        <f t="shared" si="46"/>
        <v>0</v>
      </c>
      <c r="BM23" s="31">
        <f t="shared" si="47"/>
        <v>0</v>
      </c>
      <c r="BN23" s="33"/>
      <c r="BO23" s="37" t="str">
        <f t="shared" si="10"/>
        <v/>
      </c>
      <c r="BP23" s="36">
        <f>'[1]STA CLARA'!$M23</f>
        <v>0</v>
      </c>
      <c r="BQ23" s="31">
        <f t="shared" si="48"/>
        <v>0</v>
      </c>
      <c r="BR23" s="31">
        <f t="shared" si="49"/>
        <v>0</v>
      </c>
      <c r="BS23" s="31">
        <f t="shared" si="50"/>
        <v>0</v>
      </c>
      <c r="BT23" s="31">
        <f t="shared" si="51"/>
        <v>0</v>
      </c>
      <c r="BU23" s="33"/>
      <c r="BV23" s="37" t="str">
        <f t="shared" si="11"/>
        <v/>
      </c>
      <c r="BW23" s="36">
        <f>'[1]STA CLARA'!$N23</f>
        <v>0</v>
      </c>
      <c r="BX23" s="31">
        <f t="shared" si="52"/>
        <v>0</v>
      </c>
      <c r="BY23" s="31">
        <f t="shared" si="53"/>
        <v>0</v>
      </c>
      <c r="BZ23" s="31">
        <f t="shared" si="54"/>
        <v>0</v>
      </c>
      <c r="CA23" s="31">
        <f t="shared" si="55"/>
        <v>0</v>
      </c>
      <c r="CB23" s="33"/>
      <c r="CC23" s="37" t="str">
        <f t="shared" si="12"/>
        <v/>
      </c>
      <c r="CD23" s="36">
        <f>'[1]STA CLARA'!$O23</f>
        <v>0</v>
      </c>
      <c r="CE23" s="31">
        <f t="shared" si="56"/>
        <v>0</v>
      </c>
      <c r="CF23" s="31">
        <f t="shared" si="57"/>
        <v>0</v>
      </c>
      <c r="CG23" s="31">
        <f t="shared" si="58"/>
        <v>0</v>
      </c>
      <c r="CH23" s="31">
        <f t="shared" si="59"/>
        <v>0</v>
      </c>
      <c r="CI23" s="33"/>
      <c r="CJ23" s="37" t="str">
        <f t="shared" si="13"/>
        <v/>
      </c>
      <c r="CK23" s="36">
        <f>'[1]STA CLARA'!$P23</f>
        <v>0</v>
      </c>
      <c r="CL23" s="31">
        <f t="shared" si="60"/>
        <v>0</v>
      </c>
      <c r="CM23" s="31">
        <f t="shared" si="61"/>
        <v>0</v>
      </c>
      <c r="CN23" s="31">
        <f t="shared" si="62"/>
        <v>0</v>
      </c>
      <c r="CO23" s="31">
        <f t="shared" si="63"/>
        <v>0</v>
      </c>
      <c r="CP23" s="33"/>
      <c r="CQ23" s="37" t="str">
        <f t="shared" si="14"/>
        <v/>
      </c>
    </row>
    <row r="24" spans="1:95" s="26" customFormat="1" ht="16" customHeight="1" x14ac:dyDescent="0.2">
      <c r="A24" s="29" t="s">
        <v>48</v>
      </c>
      <c r="B24" s="30">
        <f t="shared" si="0"/>
        <v>103562.54322746162</v>
      </c>
      <c r="C24" s="31">
        <f t="shared" si="0"/>
        <v>90834.706664806581</v>
      </c>
      <c r="D24" s="32">
        <f t="shared" si="0"/>
        <v>12727.836562655031</v>
      </c>
      <c r="E24" s="30">
        <f t="shared" si="15"/>
        <v>35028.009099287199</v>
      </c>
      <c r="F24" s="33">
        <f t="shared" si="15"/>
        <v>30723.066780984802</v>
      </c>
      <c r="G24" s="34">
        <f t="shared" si="15"/>
        <v>4304.9423183023964</v>
      </c>
      <c r="H24" s="31">
        <f t="shared" si="1"/>
        <v>0</v>
      </c>
      <c r="I24" s="33">
        <f t="shared" si="1"/>
        <v>52546.97</v>
      </c>
      <c r="J24" s="33">
        <f t="shared" si="1"/>
        <v>52546.97</v>
      </c>
      <c r="K24" s="37">
        <f t="shared" si="2"/>
        <v>0.50014149679632536</v>
      </c>
      <c r="L24" s="36">
        <f>'[1]STA CLARA'!$E24</f>
        <v>8757.0022748217998</v>
      </c>
      <c r="M24" s="31">
        <f t="shared" si="16"/>
        <v>7680.7666952462005</v>
      </c>
      <c r="N24" s="31">
        <f t="shared" si="17"/>
        <v>1076.2355795755991</v>
      </c>
      <c r="O24" s="31">
        <f t="shared" si="18"/>
        <v>0</v>
      </c>
      <c r="P24" s="31">
        <f t="shared" si="19"/>
        <v>144.74</v>
      </c>
      <c r="Q24" s="33">
        <f>144.74</f>
        <v>144.74</v>
      </c>
      <c r="R24" s="37">
        <f t="shared" si="3"/>
        <v>-0.98347151280111489</v>
      </c>
      <c r="S24" s="36">
        <f>'[1]STA CLARA'!$F24</f>
        <v>8757.0022748217998</v>
      </c>
      <c r="T24" s="31">
        <f t="shared" si="20"/>
        <v>7680.7666952462005</v>
      </c>
      <c r="U24" s="31">
        <f t="shared" si="21"/>
        <v>1076.2355795755991</v>
      </c>
      <c r="V24" s="31">
        <f t="shared" si="22"/>
        <v>0</v>
      </c>
      <c r="W24" s="31">
        <f t="shared" si="23"/>
        <v>8180.69</v>
      </c>
      <c r="X24" s="33">
        <f>8180.69</f>
        <v>8180.69</v>
      </c>
      <c r="Y24" s="37">
        <f t="shared" si="4"/>
        <v>-6.5811593595084261E-2</v>
      </c>
      <c r="Z24" s="36">
        <f>'[1]STA CLARA'!$G24</f>
        <v>8757.0022748217998</v>
      </c>
      <c r="AA24" s="31">
        <f t="shared" si="24"/>
        <v>7680.7666952462005</v>
      </c>
      <c r="AB24" s="31">
        <f t="shared" si="25"/>
        <v>1076.2355795755991</v>
      </c>
      <c r="AC24" s="31">
        <f t="shared" si="26"/>
        <v>0</v>
      </c>
      <c r="AD24" s="31">
        <f t="shared" si="27"/>
        <v>21968.09</v>
      </c>
      <c r="AE24" s="33">
        <v>21968.09</v>
      </c>
      <c r="AF24" s="37">
        <f t="shared" si="5"/>
        <v>1.5086312999098812</v>
      </c>
      <c r="AG24" s="36">
        <f>'[1]STA CLARA'!$H24</f>
        <v>8757.0022748217998</v>
      </c>
      <c r="AH24" s="31">
        <f t="shared" si="28"/>
        <v>7680.7666952462005</v>
      </c>
      <c r="AI24" s="31">
        <f t="shared" si="29"/>
        <v>1076.2355795755991</v>
      </c>
      <c r="AJ24" s="31">
        <f t="shared" si="30"/>
        <v>0</v>
      </c>
      <c r="AK24" s="31">
        <f t="shared" si="31"/>
        <v>22253.45</v>
      </c>
      <c r="AL24" s="33">
        <v>22253.45</v>
      </c>
      <c r="AM24" s="37">
        <f t="shared" si="6"/>
        <v>1.5412177936716187</v>
      </c>
      <c r="AN24" s="36">
        <f>'[1]STA CLARA'!$I24</f>
        <v>8757.0022748217998</v>
      </c>
      <c r="AO24" s="31">
        <f t="shared" si="32"/>
        <v>7680.7666952462005</v>
      </c>
      <c r="AP24" s="31">
        <f t="shared" si="33"/>
        <v>1076.2355795755991</v>
      </c>
      <c r="AQ24" s="31">
        <f t="shared" si="34"/>
        <v>0</v>
      </c>
      <c r="AR24" s="31">
        <f t="shared" si="35"/>
        <v>0</v>
      </c>
      <c r="AS24" s="27"/>
      <c r="AT24" s="37">
        <f t="shared" si="7"/>
        <v>-1</v>
      </c>
      <c r="AU24" s="36">
        <f>'[1]STA CLARA'!$J24</f>
        <v>8757.0022748217998</v>
      </c>
      <c r="AV24" s="31">
        <f t="shared" si="36"/>
        <v>7680.7666952462005</v>
      </c>
      <c r="AW24" s="31">
        <f t="shared" si="37"/>
        <v>1076.2355795755991</v>
      </c>
      <c r="AX24" s="31">
        <f t="shared" si="38"/>
        <v>0</v>
      </c>
      <c r="AY24" s="31">
        <f t="shared" si="39"/>
        <v>0</v>
      </c>
      <c r="AZ24" s="33"/>
      <c r="BA24" s="37">
        <f t="shared" si="8"/>
        <v>-1</v>
      </c>
      <c r="BB24" s="36">
        <f>'[1]STA CLARA'!$K24</f>
        <v>7235.5182044218</v>
      </c>
      <c r="BC24" s="31">
        <f t="shared" si="40"/>
        <v>6346.2730170983605</v>
      </c>
      <c r="BD24" s="31">
        <f t="shared" si="41"/>
        <v>889.24518732343915</v>
      </c>
      <c r="BE24" s="31">
        <f t="shared" si="42"/>
        <v>0</v>
      </c>
      <c r="BF24" s="31">
        <f t="shared" si="43"/>
        <v>0</v>
      </c>
      <c r="BG24" s="27"/>
      <c r="BH24" s="37">
        <f t="shared" si="9"/>
        <v>-1</v>
      </c>
      <c r="BI24" s="36">
        <f>'[1]STA CLARA'!$L24</f>
        <v>8757.0022748217998</v>
      </c>
      <c r="BJ24" s="31">
        <f t="shared" si="44"/>
        <v>7680.7666952462005</v>
      </c>
      <c r="BK24" s="31">
        <f t="shared" si="45"/>
        <v>1076.2355795755991</v>
      </c>
      <c r="BL24" s="31">
        <f t="shared" si="46"/>
        <v>0</v>
      </c>
      <c r="BM24" s="31">
        <f t="shared" si="47"/>
        <v>0</v>
      </c>
      <c r="BN24" s="33"/>
      <c r="BO24" s="37">
        <f t="shared" si="10"/>
        <v>-1</v>
      </c>
      <c r="BP24" s="36">
        <f>'[1]STA CLARA'!$M24</f>
        <v>8757.0022748217998</v>
      </c>
      <c r="BQ24" s="31">
        <f t="shared" si="48"/>
        <v>7680.7666952462005</v>
      </c>
      <c r="BR24" s="31">
        <f t="shared" si="49"/>
        <v>1076.2355795755991</v>
      </c>
      <c r="BS24" s="31">
        <f t="shared" si="50"/>
        <v>0</v>
      </c>
      <c r="BT24" s="31">
        <f t="shared" si="51"/>
        <v>0</v>
      </c>
      <c r="BU24" s="33"/>
      <c r="BV24" s="37">
        <f t="shared" si="11"/>
        <v>-1</v>
      </c>
      <c r="BW24" s="36">
        <f>'[1]STA CLARA'!$N24</f>
        <v>8757.0022748217998</v>
      </c>
      <c r="BX24" s="31">
        <f t="shared" si="52"/>
        <v>7680.7666952462005</v>
      </c>
      <c r="BY24" s="31">
        <f t="shared" si="53"/>
        <v>1076.2355795755991</v>
      </c>
      <c r="BZ24" s="31">
        <f t="shared" si="54"/>
        <v>0</v>
      </c>
      <c r="CA24" s="31">
        <f t="shared" si="55"/>
        <v>0</v>
      </c>
      <c r="CB24" s="33"/>
      <c r="CC24" s="37">
        <f t="shared" si="12"/>
        <v>-1</v>
      </c>
      <c r="CD24" s="36">
        <f>'[1]STA CLARA'!$O24</f>
        <v>8757.0022748217998</v>
      </c>
      <c r="CE24" s="31">
        <f t="shared" si="56"/>
        <v>7680.7666952462005</v>
      </c>
      <c r="CF24" s="31">
        <f t="shared" si="57"/>
        <v>1076.2355795755991</v>
      </c>
      <c r="CG24" s="31">
        <f t="shared" si="58"/>
        <v>0</v>
      </c>
      <c r="CH24" s="31">
        <f t="shared" si="59"/>
        <v>0</v>
      </c>
      <c r="CI24" s="33"/>
      <c r="CJ24" s="37">
        <f t="shared" si="13"/>
        <v>-1</v>
      </c>
      <c r="CK24" s="36">
        <f>'[1]STA CLARA'!$P24</f>
        <v>8757.0022748217998</v>
      </c>
      <c r="CL24" s="31">
        <f t="shared" si="60"/>
        <v>7680.7666952462005</v>
      </c>
      <c r="CM24" s="31">
        <f t="shared" si="61"/>
        <v>1076.2355795755991</v>
      </c>
      <c r="CN24" s="31">
        <f t="shared" si="62"/>
        <v>0</v>
      </c>
      <c r="CO24" s="31">
        <f t="shared" si="63"/>
        <v>0</v>
      </c>
      <c r="CP24" s="33"/>
      <c r="CQ24" s="37">
        <f t="shared" si="14"/>
        <v>-1</v>
      </c>
    </row>
    <row r="25" spans="1:95" s="26" customFormat="1" ht="16" customHeight="1" x14ac:dyDescent="0.2">
      <c r="A25" s="29" t="s">
        <v>49</v>
      </c>
      <c r="B25" s="30">
        <f t="shared" si="0"/>
        <v>244012.57772099998</v>
      </c>
      <c r="C25" s="31">
        <f t="shared" si="0"/>
        <v>214023.43191908908</v>
      </c>
      <c r="D25" s="32">
        <f t="shared" si="0"/>
        <v>29989.145801910894</v>
      </c>
      <c r="E25" s="30">
        <f t="shared" si="15"/>
        <v>98568.429101999995</v>
      </c>
      <c r="F25" s="33">
        <f t="shared" si="15"/>
        <v>86454.369165364187</v>
      </c>
      <c r="G25" s="34">
        <f t="shared" si="15"/>
        <v>12114.0599366358</v>
      </c>
      <c r="H25" s="31">
        <f t="shared" si="1"/>
        <v>0</v>
      </c>
      <c r="I25" s="33">
        <f t="shared" si="1"/>
        <v>106416.98999999999</v>
      </c>
      <c r="J25" s="33">
        <f t="shared" si="1"/>
        <v>106416.98999999999</v>
      </c>
      <c r="K25" s="37">
        <f t="shared" si="2"/>
        <v>7.9625504530240532E-2</v>
      </c>
      <c r="L25" s="36">
        <f>'[1]STA CLARA'!$E25</f>
        <v>0</v>
      </c>
      <c r="M25" s="31">
        <f t="shared" si="16"/>
        <v>0</v>
      </c>
      <c r="N25" s="31">
        <f t="shared" si="17"/>
        <v>0</v>
      </c>
      <c r="O25" s="31">
        <f t="shared" si="18"/>
        <v>0</v>
      </c>
      <c r="P25" s="31">
        <f t="shared" si="19"/>
        <v>5851.86</v>
      </c>
      <c r="Q25" s="33">
        <f>5851.86</f>
        <v>5851.86</v>
      </c>
      <c r="R25" s="37" t="str">
        <f t="shared" si="3"/>
        <v/>
      </c>
      <c r="S25" s="36">
        <f>'[1]STA CLARA'!$F25</f>
        <v>0</v>
      </c>
      <c r="T25" s="31">
        <f t="shared" si="20"/>
        <v>0</v>
      </c>
      <c r="U25" s="31">
        <f t="shared" si="21"/>
        <v>0</v>
      </c>
      <c r="V25" s="31">
        <f t="shared" si="22"/>
        <v>0</v>
      </c>
      <c r="W25" s="31">
        <f t="shared" si="23"/>
        <v>31226.26</v>
      </c>
      <c r="X25" s="33">
        <f>31226.26</f>
        <v>31226.26</v>
      </c>
      <c r="Y25" s="37" t="str">
        <f t="shared" si="4"/>
        <v/>
      </c>
      <c r="Z25" s="36">
        <f>'[1]STA CLARA'!$G25</f>
        <v>52773.072659999998</v>
      </c>
      <c r="AA25" s="31">
        <f t="shared" si="24"/>
        <v>46287.262030086</v>
      </c>
      <c r="AB25" s="31">
        <f t="shared" si="25"/>
        <v>6485.8106299139999</v>
      </c>
      <c r="AC25" s="31">
        <f t="shared" si="26"/>
        <v>0</v>
      </c>
      <c r="AD25" s="31">
        <f t="shared" si="27"/>
        <v>25579.42</v>
      </c>
      <c r="AE25" s="33">
        <v>25579.42</v>
      </c>
      <c r="AF25" s="37">
        <f t="shared" si="5"/>
        <v>-0.51529409392551373</v>
      </c>
      <c r="AG25" s="36">
        <f>'[1]STA CLARA'!$H25</f>
        <v>45795.356441999997</v>
      </c>
      <c r="AH25" s="31">
        <f t="shared" si="28"/>
        <v>40167.107135278195</v>
      </c>
      <c r="AI25" s="31">
        <f t="shared" si="29"/>
        <v>5628.2493067217993</v>
      </c>
      <c r="AJ25" s="31">
        <f t="shared" si="30"/>
        <v>0</v>
      </c>
      <c r="AK25" s="31">
        <f t="shared" si="31"/>
        <v>43759.45</v>
      </c>
      <c r="AL25" s="33">
        <v>43759.45</v>
      </c>
      <c r="AM25" s="37">
        <f t="shared" si="6"/>
        <v>-4.4456613075574247E-2</v>
      </c>
      <c r="AN25" s="36">
        <f>'[1]STA CLARA'!$I25</f>
        <v>45795.356441999997</v>
      </c>
      <c r="AO25" s="31">
        <f t="shared" si="32"/>
        <v>40167.107135278195</v>
      </c>
      <c r="AP25" s="31">
        <f t="shared" si="33"/>
        <v>5628.2493067217993</v>
      </c>
      <c r="AQ25" s="31">
        <f t="shared" si="34"/>
        <v>0</v>
      </c>
      <c r="AR25" s="31">
        <f t="shared" si="35"/>
        <v>0</v>
      </c>
      <c r="AS25" s="27"/>
      <c r="AT25" s="37">
        <f t="shared" si="7"/>
        <v>-1</v>
      </c>
      <c r="AU25" s="36">
        <f>'[1]STA CLARA'!$J25</f>
        <v>47994.328205999998</v>
      </c>
      <c r="AV25" s="31">
        <f t="shared" si="36"/>
        <v>42095.825269482601</v>
      </c>
      <c r="AW25" s="31">
        <f t="shared" si="37"/>
        <v>5898.5029365173996</v>
      </c>
      <c r="AX25" s="31">
        <f t="shared" si="38"/>
        <v>0</v>
      </c>
      <c r="AY25" s="31">
        <f t="shared" si="39"/>
        <v>0</v>
      </c>
      <c r="AZ25" s="33"/>
      <c r="BA25" s="37">
        <f t="shared" si="8"/>
        <v>-1</v>
      </c>
      <c r="BB25" s="36">
        <f>'[1]STA CLARA'!$K25</f>
        <v>11713.976406</v>
      </c>
      <c r="BC25" s="31">
        <f t="shared" si="40"/>
        <v>10274.328705702599</v>
      </c>
      <c r="BD25" s="31">
        <f t="shared" si="41"/>
        <v>1439.6477002974</v>
      </c>
      <c r="BE25" s="31">
        <f t="shared" si="42"/>
        <v>0</v>
      </c>
      <c r="BF25" s="31">
        <f t="shared" si="43"/>
        <v>0</v>
      </c>
      <c r="BG25" s="27"/>
      <c r="BH25" s="37">
        <f t="shared" si="9"/>
        <v>-1</v>
      </c>
      <c r="BI25" s="36">
        <f>'[1]STA CLARA'!$L25</f>
        <v>11713.976406</v>
      </c>
      <c r="BJ25" s="31">
        <f t="shared" si="44"/>
        <v>10274.328705702599</v>
      </c>
      <c r="BK25" s="31">
        <f t="shared" si="45"/>
        <v>1439.6477002974</v>
      </c>
      <c r="BL25" s="31">
        <f t="shared" si="46"/>
        <v>0</v>
      </c>
      <c r="BM25" s="31">
        <f t="shared" si="47"/>
        <v>0</v>
      </c>
      <c r="BN25" s="33"/>
      <c r="BO25" s="37">
        <f t="shared" si="10"/>
        <v>-1</v>
      </c>
      <c r="BP25" s="36">
        <f>'[1]STA CLARA'!$M25</f>
        <v>11713.976406</v>
      </c>
      <c r="BQ25" s="31">
        <f t="shared" si="48"/>
        <v>10274.328705702599</v>
      </c>
      <c r="BR25" s="31">
        <f t="shared" si="49"/>
        <v>1439.6477002974</v>
      </c>
      <c r="BS25" s="31">
        <f t="shared" si="50"/>
        <v>0</v>
      </c>
      <c r="BT25" s="31">
        <f t="shared" si="51"/>
        <v>0</v>
      </c>
      <c r="BU25" s="33"/>
      <c r="BV25" s="37">
        <f t="shared" si="11"/>
        <v>-1</v>
      </c>
      <c r="BW25" s="36">
        <f>'[1]STA CLARA'!$N25</f>
        <v>7226.4814050000004</v>
      </c>
      <c r="BX25" s="31">
        <f t="shared" si="52"/>
        <v>6338.3468403255001</v>
      </c>
      <c r="BY25" s="31">
        <f t="shared" si="53"/>
        <v>888.13456467449998</v>
      </c>
      <c r="BZ25" s="31">
        <f t="shared" si="54"/>
        <v>0</v>
      </c>
      <c r="CA25" s="31">
        <f t="shared" si="55"/>
        <v>0</v>
      </c>
      <c r="CB25" s="33"/>
      <c r="CC25" s="37">
        <f t="shared" si="12"/>
        <v>-1</v>
      </c>
      <c r="CD25" s="36">
        <f>'[1]STA CLARA'!$O25</f>
        <v>4643.0266739999997</v>
      </c>
      <c r="CE25" s="31">
        <f t="shared" si="56"/>
        <v>4072.3986957653997</v>
      </c>
      <c r="CF25" s="31">
        <f t="shared" si="57"/>
        <v>570.62797823459994</v>
      </c>
      <c r="CG25" s="31">
        <f t="shared" si="58"/>
        <v>0</v>
      </c>
      <c r="CH25" s="31">
        <f t="shared" si="59"/>
        <v>0</v>
      </c>
      <c r="CI25" s="33"/>
      <c r="CJ25" s="37">
        <f t="shared" si="13"/>
        <v>-1</v>
      </c>
      <c r="CK25" s="36">
        <f>'[1]STA CLARA'!$P25</f>
        <v>4643.0266739999997</v>
      </c>
      <c r="CL25" s="31">
        <f t="shared" si="60"/>
        <v>4072.3986957653997</v>
      </c>
      <c r="CM25" s="31">
        <f t="shared" si="61"/>
        <v>570.62797823459994</v>
      </c>
      <c r="CN25" s="31">
        <f t="shared" si="62"/>
        <v>0</v>
      </c>
      <c r="CO25" s="31">
        <f t="shared" si="63"/>
        <v>0</v>
      </c>
      <c r="CP25" s="33"/>
      <c r="CQ25" s="37">
        <f t="shared" si="14"/>
        <v>-1</v>
      </c>
    </row>
    <row r="26" spans="1:95" s="26" customFormat="1" ht="16" customHeight="1" x14ac:dyDescent="0.2">
      <c r="A26" s="29" t="s">
        <v>50</v>
      </c>
      <c r="B26" s="30">
        <f t="shared" si="0"/>
        <v>1685045.6763753952</v>
      </c>
      <c r="C26" s="31">
        <f t="shared" si="0"/>
        <v>1477953.5627488592</v>
      </c>
      <c r="D26" s="32">
        <f t="shared" si="0"/>
        <v>207092.1136265361</v>
      </c>
      <c r="E26" s="30">
        <f t="shared" si="15"/>
        <v>466138.77248147631</v>
      </c>
      <c r="F26" s="33">
        <f t="shared" si="15"/>
        <v>408850.31734350289</v>
      </c>
      <c r="G26" s="34">
        <f t="shared" si="15"/>
        <v>57288.45513797344</v>
      </c>
      <c r="H26" s="31">
        <f t="shared" si="1"/>
        <v>0</v>
      </c>
      <c r="I26" s="33">
        <f t="shared" si="1"/>
        <v>627964.22</v>
      </c>
      <c r="J26" s="33">
        <f t="shared" si="1"/>
        <v>627964.22</v>
      </c>
      <c r="K26" s="37">
        <f t="shared" si="2"/>
        <v>0.34716152586288973</v>
      </c>
      <c r="L26" s="36">
        <f>'[1]STA CLARA'!$E26</f>
        <v>57236.906202017053</v>
      </c>
      <c r="M26" s="31">
        <f t="shared" si="16"/>
        <v>50202.490429789155</v>
      </c>
      <c r="N26" s="31">
        <f t="shared" si="17"/>
        <v>7034.415772227896</v>
      </c>
      <c r="O26" s="31">
        <f t="shared" si="18"/>
        <v>0</v>
      </c>
      <c r="P26" s="31">
        <f t="shared" si="19"/>
        <v>73238.259999999995</v>
      </c>
      <c r="Q26" s="33">
        <f>73238.26</f>
        <v>73238.259999999995</v>
      </c>
      <c r="R26" s="37">
        <f t="shared" si="3"/>
        <v>0.2795635693778824</v>
      </c>
      <c r="S26" s="36">
        <f>'[1]STA CLARA'!$F26</f>
        <v>105625.47570601707</v>
      </c>
      <c r="T26" s="31">
        <f t="shared" si="20"/>
        <v>92644.104741747564</v>
      </c>
      <c r="U26" s="31">
        <f t="shared" si="21"/>
        <v>12981.370964269498</v>
      </c>
      <c r="V26" s="31">
        <f t="shared" si="22"/>
        <v>0</v>
      </c>
      <c r="W26" s="31">
        <f t="shared" si="23"/>
        <v>54647.040000000001</v>
      </c>
      <c r="X26" s="33">
        <f>53765.04+882</f>
        <v>54647.040000000001</v>
      </c>
      <c r="Y26" s="37">
        <f t="shared" si="4"/>
        <v>-0.48263390403943074</v>
      </c>
      <c r="Z26" s="36">
        <f>'[1]STA CLARA'!$G26</f>
        <v>157117.39872428909</v>
      </c>
      <c r="AA26" s="31">
        <f t="shared" si="24"/>
        <v>137807.67042107397</v>
      </c>
      <c r="AB26" s="31">
        <f t="shared" si="25"/>
        <v>19309.728303215128</v>
      </c>
      <c r="AC26" s="31">
        <f t="shared" si="26"/>
        <v>0</v>
      </c>
      <c r="AD26" s="31">
        <f t="shared" si="27"/>
        <v>269125.06</v>
      </c>
      <c r="AE26" s="33">
        <f>882+268243.06</f>
        <v>269125.06</v>
      </c>
      <c r="AF26" s="37">
        <f t="shared" si="5"/>
        <v>0.71289152051366944</v>
      </c>
      <c r="AG26" s="36">
        <f>'[1]STA CLARA'!$H26</f>
        <v>146158.9918491531</v>
      </c>
      <c r="AH26" s="31">
        <f t="shared" si="28"/>
        <v>128196.05175089219</v>
      </c>
      <c r="AI26" s="31">
        <f t="shared" si="29"/>
        <v>17962.940098260915</v>
      </c>
      <c r="AJ26" s="31">
        <f t="shared" si="30"/>
        <v>0</v>
      </c>
      <c r="AK26" s="31">
        <f t="shared" si="31"/>
        <v>230953.86</v>
      </c>
      <c r="AL26" s="33">
        <v>230953.86</v>
      </c>
      <c r="AM26" s="37">
        <f t="shared" si="6"/>
        <v>0.58015498792138276</v>
      </c>
      <c r="AN26" s="36">
        <f>'[1]STA CLARA'!$I26</f>
        <v>174841.08414601709</v>
      </c>
      <c r="AO26" s="31">
        <f t="shared" si="32"/>
        <v>153353.11490447159</v>
      </c>
      <c r="AP26" s="31">
        <f t="shared" si="33"/>
        <v>21487.969241545499</v>
      </c>
      <c r="AQ26" s="31">
        <f t="shared" si="34"/>
        <v>0</v>
      </c>
      <c r="AR26" s="31">
        <f t="shared" si="35"/>
        <v>0</v>
      </c>
      <c r="AS26" s="27"/>
      <c r="AT26" s="37">
        <f t="shared" si="7"/>
        <v>-1</v>
      </c>
      <c r="AU26" s="36">
        <f>'[1]STA CLARA'!$J26</f>
        <v>137599.84427228908</v>
      </c>
      <c r="AV26" s="31">
        <f t="shared" si="36"/>
        <v>120688.82341122474</v>
      </c>
      <c r="AW26" s="31">
        <f t="shared" si="37"/>
        <v>16911.020861064328</v>
      </c>
      <c r="AX26" s="31">
        <f t="shared" si="38"/>
        <v>0</v>
      </c>
      <c r="AY26" s="31">
        <f t="shared" si="39"/>
        <v>0</v>
      </c>
      <c r="AZ26" s="33"/>
      <c r="BA26" s="37">
        <f t="shared" si="8"/>
        <v>-1</v>
      </c>
      <c r="BB26" s="36">
        <f>'[1]STA CLARA'!$K26</f>
        <v>108917.75197542505</v>
      </c>
      <c r="BC26" s="31">
        <f t="shared" si="40"/>
        <v>95531.760257645321</v>
      </c>
      <c r="BD26" s="31">
        <f t="shared" si="41"/>
        <v>13385.991717779738</v>
      </c>
      <c r="BE26" s="31">
        <f t="shared" si="42"/>
        <v>0</v>
      </c>
      <c r="BF26" s="31">
        <f t="shared" si="43"/>
        <v>0</v>
      </c>
      <c r="BG26" s="27"/>
      <c r="BH26" s="37">
        <f t="shared" si="9"/>
        <v>-1</v>
      </c>
      <c r="BI26" s="36">
        <f>'[1]STA CLARA'!$L26</f>
        <v>157117.39872428909</v>
      </c>
      <c r="BJ26" s="31">
        <f t="shared" si="44"/>
        <v>137807.67042107397</v>
      </c>
      <c r="BK26" s="31">
        <f t="shared" si="45"/>
        <v>19309.728303215128</v>
      </c>
      <c r="BL26" s="31">
        <f t="shared" si="46"/>
        <v>0</v>
      </c>
      <c r="BM26" s="31">
        <f t="shared" si="47"/>
        <v>0</v>
      </c>
      <c r="BN26" s="33"/>
      <c r="BO26" s="37">
        <f t="shared" si="10"/>
        <v>-1</v>
      </c>
      <c r="BP26" s="36">
        <f>'[1]STA CLARA'!$M26</f>
        <v>194408.79808939464</v>
      </c>
      <c r="BQ26" s="31">
        <f t="shared" si="48"/>
        <v>170515.95680420805</v>
      </c>
      <c r="BR26" s="31">
        <f t="shared" si="49"/>
        <v>23892.841285186601</v>
      </c>
      <c r="BS26" s="31">
        <f t="shared" si="50"/>
        <v>0</v>
      </c>
      <c r="BT26" s="31">
        <f t="shared" si="51"/>
        <v>0</v>
      </c>
      <c r="BU26" s="33"/>
      <c r="BV26" s="37">
        <f t="shared" si="11"/>
        <v>-1</v>
      </c>
      <c r="BW26" s="36">
        <f>'[1]STA CLARA'!$N26</f>
        <v>175922.68846998666</v>
      </c>
      <c r="BX26" s="31">
        <f t="shared" si="52"/>
        <v>154301.7900570253</v>
      </c>
      <c r="BY26" s="31">
        <f t="shared" si="53"/>
        <v>21620.89841296136</v>
      </c>
      <c r="BZ26" s="31">
        <f t="shared" si="54"/>
        <v>0</v>
      </c>
      <c r="CA26" s="31">
        <f t="shared" si="55"/>
        <v>0</v>
      </c>
      <c r="CB26" s="33"/>
      <c r="CC26" s="37">
        <f t="shared" si="12"/>
        <v>-1</v>
      </c>
      <c r="CD26" s="36">
        <f>'[1]STA CLARA'!$O26</f>
        <v>136601.34586539469</v>
      </c>
      <c r="CE26" s="31">
        <f t="shared" si="56"/>
        <v>119813.04045853768</v>
      </c>
      <c r="CF26" s="31">
        <f t="shared" si="57"/>
        <v>16788.305406857005</v>
      </c>
      <c r="CG26" s="31">
        <f t="shared" si="58"/>
        <v>0</v>
      </c>
      <c r="CH26" s="31">
        <f t="shared" si="59"/>
        <v>0</v>
      </c>
      <c r="CI26" s="33"/>
      <c r="CJ26" s="37">
        <f t="shared" si="13"/>
        <v>-1</v>
      </c>
      <c r="CK26" s="36">
        <f>'[1]STA CLARA'!$P26</f>
        <v>133497.99235112267</v>
      </c>
      <c r="CL26" s="31">
        <f t="shared" si="60"/>
        <v>117091.08909116969</v>
      </c>
      <c r="CM26" s="31">
        <f t="shared" si="61"/>
        <v>16406.903259952975</v>
      </c>
      <c r="CN26" s="31">
        <f t="shared" si="62"/>
        <v>0</v>
      </c>
      <c r="CO26" s="31">
        <f t="shared" si="63"/>
        <v>0</v>
      </c>
      <c r="CP26" s="33"/>
      <c r="CQ26" s="37">
        <f t="shared" si="14"/>
        <v>-1</v>
      </c>
    </row>
    <row r="27" spans="1:95" s="26" customFormat="1" ht="16" customHeight="1" x14ac:dyDescent="0.2">
      <c r="A27" s="29" t="s">
        <v>51</v>
      </c>
      <c r="B27" s="30">
        <f t="shared" si="0"/>
        <v>98780.641894199798</v>
      </c>
      <c r="C27" s="31">
        <f t="shared" si="0"/>
        <v>86640.501005402635</v>
      </c>
      <c r="D27" s="32">
        <f t="shared" si="0"/>
        <v>12140.140888797156</v>
      </c>
      <c r="E27" s="30">
        <f t="shared" si="15"/>
        <v>34054.862701199803</v>
      </c>
      <c r="F27" s="33">
        <f t="shared" si="15"/>
        <v>29869.520075222346</v>
      </c>
      <c r="G27" s="34">
        <f t="shared" si="15"/>
        <v>4185.3426259774551</v>
      </c>
      <c r="H27" s="31">
        <f t="shared" si="1"/>
        <v>0</v>
      </c>
      <c r="I27" s="33">
        <f t="shared" si="1"/>
        <v>36526.94</v>
      </c>
      <c r="J27" s="33">
        <f t="shared" si="1"/>
        <v>36526.94</v>
      </c>
      <c r="K27" s="37">
        <f t="shared" si="2"/>
        <v>7.2591022330361854E-2</v>
      </c>
      <c r="L27" s="36">
        <f>'[1]STA CLARA'!$E27</f>
        <v>3161.1062735999999</v>
      </c>
      <c r="M27" s="31">
        <f t="shared" si="16"/>
        <v>2772.60631257456</v>
      </c>
      <c r="N27" s="31">
        <f t="shared" si="17"/>
        <v>388.49996102543997</v>
      </c>
      <c r="O27" s="31">
        <f t="shared" si="18"/>
        <v>0</v>
      </c>
      <c r="P27" s="31">
        <f t="shared" si="19"/>
        <v>0</v>
      </c>
      <c r="Q27" s="33"/>
      <c r="R27" s="37">
        <f t="shared" si="3"/>
        <v>-1</v>
      </c>
      <c r="S27" s="36">
        <f>'[1]STA CLARA'!$F27</f>
        <v>11411.810308799901</v>
      </c>
      <c r="T27" s="31">
        <f t="shared" si="20"/>
        <v>10009.298821848393</v>
      </c>
      <c r="U27" s="31">
        <f t="shared" si="21"/>
        <v>1402.5114869515078</v>
      </c>
      <c r="V27" s="31">
        <f t="shared" si="22"/>
        <v>0</v>
      </c>
      <c r="W27" s="31">
        <f t="shared" si="23"/>
        <v>14477.27</v>
      </c>
      <c r="X27" s="33">
        <f>14477.27</f>
        <v>14477.27</v>
      </c>
      <c r="Y27" s="37">
        <f t="shared" si="4"/>
        <v>0.26862168299767974</v>
      </c>
      <c r="Z27" s="36">
        <f>'[1]STA CLARA'!$G27</f>
        <v>11411.810308799901</v>
      </c>
      <c r="AA27" s="31">
        <f t="shared" si="24"/>
        <v>10009.298821848393</v>
      </c>
      <c r="AB27" s="31">
        <f t="shared" si="25"/>
        <v>1402.5114869515078</v>
      </c>
      <c r="AC27" s="31">
        <f t="shared" si="26"/>
        <v>0</v>
      </c>
      <c r="AD27" s="31">
        <f t="shared" si="27"/>
        <v>8462.3700000000008</v>
      </c>
      <c r="AE27" s="33">
        <v>8462.3700000000008</v>
      </c>
      <c r="AF27" s="37">
        <f t="shared" si="5"/>
        <v>-0.25845507671342216</v>
      </c>
      <c r="AG27" s="36">
        <f>'[1]STA CLARA'!$H27</f>
        <v>8070.1358099999998</v>
      </c>
      <c r="AH27" s="31">
        <f t="shared" si="28"/>
        <v>7078.3161189510001</v>
      </c>
      <c r="AI27" s="31">
        <f t="shared" si="29"/>
        <v>991.81969104899997</v>
      </c>
      <c r="AJ27" s="31">
        <f t="shared" si="30"/>
        <v>0</v>
      </c>
      <c r="AK27" s="31">
        <f t="shared" si="31"/>
        <v>13587.3</v>
      </c>
      <c r="AL27" s="33">
        <v>13587.3</v>
      </c>
      <c r="AM27" s="37">
        <f t="shared" si="6"/>
        <v>0.68365196322513921</v>
      </c>
      <c r="AN27" s="36">
        <f>'[1]STA CLARA'!$I27</f>
        <v>3161.22741</v>
      </c>
      <c r="AO27" s="31">
        <f t="shared" si="32"/>
        <v>2772.7125613110002</v>
      </c>
      <c r="AP27" s="31">
        <f t="shared" si="33"/>
        <v>388.51484868899996</v>
      </c>
      <c r="AQ27" s="31">
        <f t="shared" si="34"/>
        <v>0</v>
      </c>
      <c r="AR27" s="31">
        <f t="shared" si="35"/>
        <v>0</v>
      </c>
      <c r="AS27" s="27"/>
      <c r="AT27" s="37">
        <f t="shared" si="7"/>
        <v>-1</v>
      </c>
      <c r="AU27" s="36">
        <f>'[1]STA CLARA'!$J27</f>
        <v>11231.2420836</v>
      </c>
      <c r="AV27" s="31">
        <f t="shared" si="36"/>
        <v>9850.9224315255597</v>
      </c>
      <c r="AW27" s="31">
        <f t="shared" si="37"/>
        <v>1380.31965207444</v>
      </c>
      <c r="AX27" s="31">
        <f t="shared" si="38"/>
        <v>0</v>
      </c>
      <c r="AY27" s="31">
        <f t="shared" si="39"/>
        <v>0</v>
      </c>
      <c r="AZ27" s="33"/>
      <c r="BA27" s="37">
        <f t="shared" si="8"/>
        <v>-1</v>
      </c>
      <c r="BB27" s="36">
        <f>'[1]STA CLARA'!$K27</f>
        <v>6322.3336835999999</v>
      </c>
      <c r="BC27" s="31">
        <f t="shared" si="40"/>
        <v>5545.3188738855597</v>
      </c>
      <c r="BD27" s="31">
        <f t="shared" si="41"/>
        <v>777.01480971443993</v>
      </c>
      <c r="BE27" s="31">
        <f t="shared" si="42"/>
        <v>0</v>
      </c>
      <c r="BF27" s="31">
        <f t="shared" si="43"/>
        <v>0</v>
      </c>
      <c r="BG27" s="27"/>
      <c r="BH27" s="37">
        <f t="shared" si="9"/>
        <v>-1</v>
      </c>
      <c r="BI27" s="36">
        <f>'[1]STA CLARA'!$L27</f>
        <v>11231.2420836</v>
      </c>
      <c r="BJ27" s="31">
        <f t="shared" si="44"/>
        <v>9850.9224315255597</v>
      </c>
      <c r="BK27" s="31">
        <f t="shared" si="45"/>
        <v>1380.31965207444</v>
      </c>
      <c r="BL27" s="31">
        <f t="shared" si="46"/>
        <v>0</v>
      </c>
      <c r="BM27" s="31">
        <f t="shared" si="47"/>
        <v>0</v>
      </c>
      <c r="BN27" s="33"/>
      <c r="BO27" s="37">
        <f t="shared" si="10"/>
        <v>-1</v>
      </c>
      <c r="BP27" s="36">
        <f>'[1]STA CLARA'!$M27</f>
        <v>11231.2420836</v>
      </c>
      <c r="BQ27" s="31">
        <f t="shared" si="48"/>
        <v>9850.9224315255597</v>
      </c>
      <c r="BR27" s="31">
        <f t="shared" si="49"/>
        <v>1380.31965207444</v>
      </c>
      <c r="BS27" s="31">
        <f t="shared" si="50"/>
        <v>0</v>
      </c>
      <c r="BT27" s="31">
        <f t="shared" si="51"/>
        <v>0</v>
      </c>
      <c r="BU27" s="33"/>
      <c r="BV27" s="37">
        <f t="shared" si="11"/>
        <v>-1</v>
      </c>
      <c r="BW27" s="36">
        <f>'[1]STA CLARA'!$N27</f>
        <v>9290.2347986000004</v>
      </c>
      <c r="BX27" s="31">
        <f t="shared" si="52"/>
        <v>8148.4649418520603</v>
      </c>
      <c r="BY27" s="31">
        <f t="shared" si="53"/>
        <v>1141.7698567479399</v>
      </c>
      <c r="BZ27" s="31">
        <f t="shared" si="54"/>
        <v>0</v>
      </c>
      <c r="CA27" s="31">
        <f t="shared" si="55"/>
        <v>0</v>
      </c>
      <c r="CB27" s="33"/>
      <c r="CC27" s="37">
        <f t="shared" si="12"/>
        <v>-1</v>
      </c>
      <c r="CD27" s="36">
        <f>'[1]STA CLARA'!$O27</f>
        <v>6129.1285250000001</v>
      </c>
      <c r="CE27" s="31">
        <f t="shared" si="56"/>
        <v>5375.8586292774999</v>
      </c>
      <c r="CF27" s="31">
        <f t="shared" si="57"/>
        <v>753.2698957225</v>
      </c>
      <c r="CG27" s="31">
        <f t="shared" si="58"/>
        <v>0</v>
      </c>
      <c r="CH27" s="31">
        <f t="shared" si="59"/>
        <v>0</v>
      </c>
      <c r="CI27" s="33"/>
      <c r="CJ27" s="37">
        <f t="shared" si="13"/>
        <v>-1</v>
      </c>
      <c r="CK27" s="36">
        <f>'[1]STA CLARA'!$P27</f>
        <v>6129.1285250000001</v>
      </c>
      <c r="CL27" s="31">
        <f t="shared" si="60"/>
        <v>5375.8586292774999</v>
      </c>
      <c r="CM27" s="31">
        <f t="shared" si="61"/>
        <v>753.2698957225</v>
      </c>
      <c r="CN27" s="31">
        <f t="shared" si="62"/>
        <v>0</v>
      </c>
      <c r="CO27" s="31">
        <f t="shared" si="63"/>
        <v>0</v>
      </c>
      <c r="CP27" s="33"/>
      <c r="CQ27" s="37">
        <f t="shared" si="14"/>
        <v>-1</v>
      </c>
    </row>
    <row r="28" spans="1:95" s="26" customFormat="1" ht="16" customHeight="1" x14ac:dyDescent="0.2">
      <c r="A28" s="29" t="s">
        <v>52</v>
      </c>
      <c r="B28" s="30">
        <f t="shared" si="0"/>
        <v>90687.192915000007</v>
      </c>
      <c r="C28" s="31">
        <f t="shared" si="0"/>
        <v>79541.736905746526</v>
      </c>
      <c r="D28" s="32">
        <f t="shared" si="0"/>
        <v>11145.456009253501</v>
      </c>
      <c r="E28" s="30">
        <f t="shared" si="15"/>
        <v>31281.888989999999</v>
      </c>
      <c r="F28" s="33">
        <f t="shared" si="15"/>
        <v>27437.344833129002</v>
      </c>
      <c r="G28" s="34">
        <f t="shared" si="15"/>
        <v>3844.5441568709998</v>
      </c>
      <c r="H28" s="31">
        <f t="shared" si="1"/>
        <v>0</v>
      </c>
      <c r="I28" s="33">
        <f t="shared" si="1"/>
        <v>35582.29</v>
      </c>
      <c r="J28" s="33">
        <f t="shared" si="1"/>
        <v>35582.29</v>
      </c>
      <c r="K28" s="37">
        <f t="shared" si="2"/>
        <v>0.13747254877653736</v>
      </c>
      <c r="L28" s="36">
        <f>'[1]STA CLARA'!$E28</f>
        <v>6659.9062199999998</v>
      </c>
      <c r="M28" s="31">
        <f t="shared" si="16"/>
        <v>5841.403745562</v>
      </c>
      <c r="N28" s="31">
        <f t="shared" si="17"/>
        <v>818.50247443799992</v>
      </c>
      <c r="O28" s="31">
        <f t="shared" si="18"/>
        <v>0</v>
      </c>
      <c r="P28" s="31">
        <f t="shared" si="19"/>
        <v>9424.42</v>
      </c>
      <c r="Q28" s="33">
        <f>9424.42</f>
        <v>9424.42</v>
      </c>
      <c r="R28" s="37">
        <f t="shared" si="3"/>
        <v>0.41509800418781273</v>
      </c>
      <c r="S28" s="36">
        <f>'[1]STA CLARA'!$F28</f>
        <v>6659.9062199999998</v>
      </c>
      <c r="T28" s="31">
        <f t="shared" si="20"/>
        <v>5841.403745562</v>
      </c>
      <c r="U28" s="31">
        <f t="shared" si="21"/>
        <v>818.50247443799992</v>
      </c>
      <c r="V28" s="31">
        <f t="shared" si="22"/>
        <v>0</v>
      </c>
      <c r="W28" s="31">
        <f t="shared" si="23"/>
        <v>8190.72</v>
      </c>
      <c r="X28" s="33">
        <f>8190.72</f>
        <v>8190.72</v>
      </c>
      <c r="Y28" s="37">
        <f t="shared" si="4"/>
        <v>0.22985515552800084</v>
      </c>
      <c r="Z28" s="36">
        <f>'[1]STA CLARA'!$G28</f>
        <v>8879.8749599999992</v>
      </c>
      <c r="AA28" s="31">
        <f t="shared" si="24"/>
        <v>7788.5383274159994</v>
      </c>
      <c r="AB28" s="31">
        <f t="shared" si="25"/>
        <v>1091.336632584</v>
      </c>
      <c r="AC28" s="31">
        <f t="shared" si="26"/>
        <v>0</v>
      </c>
      <c r="AD28" s="31">
        <f t="shared" si="27"/>
        <v>6056.25</v>
      </c>
      <c r="AE28" s="33">
        <f>6056.25</f>
        <v>6056.25</v>
      </c>
      <c r="AF28" s="37">
        <f t="shared" si="5"/>
        <v>-0.31798026128962509</v>
      </c>
      <c r="AG28" s="36">
        <f>'[1]STA CLARA'!$H28</f>
        <v>9082.2015900000006</v>
      </c>
      <c r="AH28" s="31">
        <f t="shared" si="28"/>
        <v>7965.9990145890006</v>
      </c>
      <c r="AI28" s="31">
        <f t="shared" si="29"/>
        <v>1116.202575411</v>
      </c>
      <c r="AJ28" s="31">
        <f t="shared" si="30"/>
        <v>0</v>
      </c>
      <c r="AK28" s="31">
        <f t="shared" si="31"/>
        <v>11910.9</v>
      </c>
      <c r="AL28" s="33">
        <v>11910.9</v>
      </c>
      <c r="AM28" s="37">
        <f t="shared" si="6"/>
        <v>0.31145514465507462</v>
      </c>
      <c r="AN28" s="36">
        <f>'[1]STA CLARA'!$I28</f>
        <v>7769.89059</v>
      </c>
      <c r="AO28" s="31">
        <f t="shared" si="32"/>
        <v>6814.9710364889997</v>
      </c>
      <c r="AP28" s="31">
        <f t="shared" si="33"/>
        <v>954.919553511</v>
      </c>
      <c r="AQ28" s="31">
        <f t="shared" si="34"/>
        <v>0</v>
      </c>
      <c r="AR28" s="31">
        <f t="shared" si="35"/>
        <v>0</v>
      </c>
      <c r="AS28" s="27"/>
      <c r="AT28" s="37">
        <f t="shared" si="7"/>
        <v>-1</v>
      </c>
      <c r="AU28" s="36">
        <f>'[1]STA CLARA'!$J28</f>
        <v>6862.2328500000003</v>
      </c>
      <c r="AV28" s="31">
        <f t="shared" si="36"/>
        <v>6018.8644327350003</v>
      </c>
      <c r="AW28" s="31">
        <f t="shared" si="37"/>
        <v>843.36841726500006</v>
      </c>
      <c r="AX28" s="31">
        <f t="shared" si="38"/>
        <v>0</v>
      </c>
      <c r="AY28" s="31">
        <f t="shared" si="39"/>
        <v>0</v>
      </c>
      <c r="AZ28" s="33"/>
      <c r="BA28" s="37">
        <f t="shared" si="8"/>
        <v>-1</v>
      </c>
      <c r="BB28" s="36">
        <f>'[1]STA CLARA'!$K28</f>
        <v>5549.9218499999997</v>
      </c>
      <c r="BC28" s="31">
        <f t="shared" si="40"/>
        <v>4867.8364546349994</v>
      </c>
      <c r="BD28" s="31">
        <f t="shared" si="41"/>
        <v>682.08539536499995</v>
      </c>
      <c r="BE28" s="31">
        <f t="shared" si="42"/>
        <v>0</v>
      </c>
      <c r="BF28" s="31">
        <f t="shared" si="43"/>
        <v>0</v>
      </c>
      <c r="BG28" s="27"/>
      <c r="BH28" s="37">
        <f t="shared" si="9"/>
        <v>-1</v>
      </c>
      <c r="BI28" s="36">
        <f>'[1]STA CLARA'!$L28</f>
        <v>9082.2015900000006</v>
      </c>
      <c r="BJ28" s="31">
        <f t="shared" si="44"/>
        <v>7965.9990145890006</v>
      </c>
      <c r="BK28" s="31">
        <f t="shared" si="45"/>
        <v>1116.202575411</v>
      </c>
      <c r="BL28" s="31">
        <f t="shared" si="46"/>
        <v>0</v>
      </c>
      <c r="BM28" s="31">
        <f t="shared" si="47"/>
        <v>0</v>
      </c>
      <c r="BN28" s="33"/>
      <c r="BO28" s="37">
        <f t="shared" si="10"/>
        <v>-1</v>
      </c>
      <c r="BP28" s="36">
        <f>'[1]STA CLARA'!$M28</f>
        <v>9082.2015900000006</v>
      </c>
      <c r="BQ28" s="31">
        <f t="shared" si="48"/>
        <v>7965.9990145890006</v>
      </c>
      <c r="BR28" s="31">
        <f t="shared" si="49"/>
        <v>1116.202575411</v>
      </c>
      <c r="BS28" s="31">
        <f t="shared" si="50"/>
        <v>0</v>
      </c>
      <c r="BT28" s="31">
        <f t="shared" si="51"/>
        <v>0</v>
      </c>
      <c r="BU28" s="33"/>
      <c r="BV28" s="37">
        <f t="shared" si="11"/>
        <v>-1</v>
      </c>
      <c r="BW28" s="36">
        <f>'[1]STA CLARA'!$N28</f>
        <v>8499.5976449999998</v>
      </c>
      <c r="BX28" s="31">
        <f t="shared" si="52"/>
        <v>7454.9970944295001</v>
      </c>
      <c r="BY28" s="31">
        <f t="shared" si="53"/>
        <v>1044.6005505705</v>
      </c>
      <c r="BZ28" s="31">
        <f t="shared" si="54"/>
        <v>0</v>
      </c>
      <c r="CA28" s="31">
        <f t="shared" si="55"/>
        <v>0</v>
      </c>
      <c r="CB28" s="33"/>
      <c r="CC28" s="37">
        <f t="shared" si="12"/>
        <v>-1</v>
      </c>
      <c r="CD28" s="36">
        <f>'[1]STA CLARA'!$O28</f>
        <v>6279.6289049999996</v>
      </c>
      <c r="CE28" s="31">
        <f t="shared" si="56"/>
        <v>5507.8625125754997</v>
      </c>
      <c r="CF28" s="31">
        <f t="shared" si="57"/>
        <v>771.76639242449994</v>
      </c>
      <c r="CG28" s="31">
        <f t="shared" si="58"/>
        <v>0</v>
      </c>
      <c r="CH28" s="31">
        <f t="shared" si="59"/>
        <v>0</v>
      </c>
      <c r="CI28" s="33"/>
      <c r="CJ28" s="37">
        <f t="shared" si="13"/>
        <v>-1</v>
      </c>
      <c r="CK28" s="36">
        <f>'[1]STA CLARA'!$P28</f>
        <v>6279.6289049999996</v>
      </c>
      <c r="CL28" s="31">
        <f t="shared" si="60"/>
        <v>5507.8625125754997</v>
      </c>
      <c r="CM28" s="31">
        <f t="shared" si="61"/>
        <v>771.76639242449994</v>
      </c>
      <c r="CN28" s="31">
        <f t="shared" si="62"/>
        <v>0</v>
      </c>
      <c r="CO28" s="31">
        <f t="shared" si="63"/>
        <v>0</v>
      </c>
      <c r="CP28" s="33"/>
      <c r="CQ28" s="37">
        <f t="shared" si="14"/>
        <v>-1</v>
      </c>
    </row>
    <row r="29" spans="1:95" s="26" customFormat="1" ht="16" customHeight="1" x14ac:dyDescent="0.2">
      <c r="A29" s="29" t="s">
        <v>53</v>
      </c>
      <c r="B29" s="30">
        <f t="shared" si="0"/>
        <v>238536.65999999939</v>
      </c>
      <c r="C29" s="31">
        <f t="shared" si="0"/>
        <v>209220.50448599944</v>
      </c>
      <c r="D29" s="32">
        <f t="shared" si="0"/>
        <v>29316.155513999925</v>
      </c>
      <c r="E29" s="30">
        <f t="shared" si="15"/>
        <v>79512.219999999797</v>
      </c>
      <c r="F29" s="33">
        <f t="shared" si="15"/>
        <v>69740.168161999827</v>
      </c>
      <c r="G29" s="34">
        <f t="shared" si="15"/>
        <v>9772.0518379999739</v>
      </c>
      <c r="H29" s="31">
        <f t="shared" si="1"/>
        <v>0</v>
      </c>
      <c r="I29" s="33">
        <f t="shared" si="1"/>
        <v>738.88</v>
      </c>
      <c r="J29" s="33">
        <f t="shared" si="1"/>
        <v>738.88</v>
      </c>
      <c r="K29" s="37">
        <f t="shared" si="2"/>
        <v>-0.99070734033083219</v>
      </c>
      <c r="L29" s="36">
        <f>'[1]STA CLARA'!$E29</f>
        <v>11623.25</v>
      </c>
      <c r="M29" s="31">
        <f t="shared" si="16"/>
        <v>10194.752575</v>
      </c>
      <c r="N29" s="31">
        <f t="shared" si="17"/>
        <v>1428.497425</v>
      </c>
      <c r="O29" s="31">
        <f t="shared" si="18"/>
        <v>0</v>
      </c>
      <c r="P29" s="31">
        <f t="shared" si="19"/>
        <v>0</v>
      </c>
      <c r="Q29" s="33"/>
      <c r="R29" s="37">
        <f t="shared" si="3"/>
        <v>-1</v>
      </c>
      <c r="S29" s="36">
        <f>'[1]STA CLARA'!$F29</f>
        <v>28132.859999999899</v>
      </c>
      <c r="T29" s="31">
        <f t="shared" si="20"/>
        <v>24675.331505999911</v>
      </c>
      <c r="U29" s="31">
        <f t="shared" si="21"/>
        <v>3457.5284939999874</v>
      </c>
      <c r="V29" s="31">
        <f t="shared" si="22"/>
        <v>0</v>
      </c>
      <c r="W29" s="31">
        <f t="shared" si="23"/>
        <v>0</v>
      </c>
      <c r="X29" s="33"/>
      <c r="Y29" s="37">
        <f t="shared" si="4"/>
        <v>-1</v>
      </c>
      <c r="Z29" s="36">
        <f>'[1]STA CLARA'!$G29</f>
        <v>11623.25</v>
      </c>
      <c r="AA29" s="31">
        <f t="shared" si="24"/>
        <v>10194.752575</v>
      </c>
      <c r="AB29" s="31">
        <f t="shared" si="25"/>
        <v>1428.497425</v>
      </c>
      <c r="AC29" s="31">
        <f t="shared" si="26"/>
        <v>0</v>
      </c>
      <c r="AD29" s="31">
        <f t="shared" si="27"/>
        <v>738.88</v>
      </c>
      <c r="AE29" s="33">
        <v>738.88</v>
      </c>
      <c r="AF29" s="37">
        <f t="shared" si="5"/>
        <v>-0.93643086055965419</v>
      </c>
      <c r="AG29" s="36">
        <f>'[1]STA CLARA'!$H29</f>
        <v>28132.859999999899</v>
      </c>
      <c r="AH29" s="31">
        <f t="shared" si="28"/>
        <v>24675.331505999911</v>
      </c>
      <c r="AI29" s="31">
        <f t="shared" si="29"/>
        <v>3457.5284939999874</v>
      </c>
      <c r="AJ29" s="31">
        <f t="shared" si="30"/>
        <v>0</v>
      </c>
      <c r="AK29" s="31">
        <f t="shared" si="31"/>
        <v>0</v>
      </c>
      <c r="AL29" s="33"/>
      <c r="AM29" s="37">
        <f t="shared" si="6"/>
        <v>-1</v>
      </c>
      <c r="AN29" s="36">
        <f>'[1]STA CLARA'!$I29</f>
        <v>11623.25</v>
      </c>
      <c r="AO29" s="31">
        <f t="shared" si="32"/>
        <v>10194.752575</v>
      </c>
      <c r="AP29" s="31">
        <f t="shared" si="33"/>
        <v>1428.497425</v>
      </c>
      <c r="AQ29" s="31">
        <f t="shared" si="34"/>
        <v>0</v>
      </c>
      <c r="AR29" s="31">
        <f t="shared" si="35"/>
        <v>0</v>
      </c>
      <c r="AS29" s="27"/>
      <c r="AT29" s="37">
        <f t="shared" si="7"/>
        <v>-1</v>
      </c>
      <c r="AU29" s="36">
        <f>'[1]STA CLARA'!$J29</f>
        <v>28132.859999999899</v>
      </c>
      <c r="AV29" s="31">
        <f t="shared" si="36"/>
        <v>24675.331505999911</v>
      </c>
      <c r="AW29" s="31">
        <f t="shared" si="37"/>
        <v>3457.5284939999874</v>
      </c>
      <c r="AX29" s="31">
        <f t="shared" si="38"/>
        <v>0</v>
      </c>
      <c r="AY29" s="31">
        <f t="shared" si="39"/>
        <v>0</v>
      </c>
      <c r="AZ29" s="33"/>
      <c r="BA29" s="37">
        <f t="shared" si="8"/>
        <v>-1</v>
      </c>
      <c r="BB29" s="36">
        <f>'[1]STA CLARA'!$K29</f>
        <v>11623.25</v>
      </c>
      <c r="BC29" s="31">
        <f t="shared" si="40"/>
        <v>10194.752575</v>
      </c>
      <c r="BD29" s="31">
        <f t="shared" si="41"/>
        <v>1428.497425</v>
      </c>
      <c r="BE29" s="31">
        <f t="shared" si="42"/>
        <v>0</v>
      </c>
      <c r="BF29" s="31">
        <f t="shared" si="43"/>
        <v>0</v>
      </c>
      <c r="BG29" s="27"/>
      <c r="BH29" s="37">
        <f t="shared" si="9"/>
        <v>-1</v>
      </c>
      <c r="BI29" s="36">
        <f>'[1]STA CLARA'!$L29</f>
        <v>28132.859999999899</v>
      </c>
      <c r="BJ29" s="31">
        <f t="shared" si="44"/>
        <v>24675.331505999911</v>
      </c>
      <c r="BK29" s="31">
        <f t="shared" si="45"/>
        <v>3457.5284939999874</v>
      </c>
      <c r="BL29" s="31">
        <f t="shared" si="46"/>
        <v>0</v>
      </c>
      <c r="BM29" s="31">
        <f t="shared" si="47"/>
        <v>0</v>
      </c>
      <c r="BN29" s="33"/>
      <c r="BO29" s="37">
        <f t="shared" si="10"/>
        <v>-1</v>
      </c>
      <c r="BP29" s="36">
        <f>'[1]STA CLARA'!$M29</f>
        <v>11623.25</v>
      </c>
      <c r="BQ29" s="31">
        <f t="shared" si="48"/>
        <v>10194.752575</v>
      </c>
      <c r="BR29" s="31">
        <f t="shared" si="49"/>
        <v>1428.497425</v>
      </c>
      <c r="BS29" s="31">
        <f t="shared" si="50"/>
        <v>0</v>
      </c>
      <c r="BT29" s="31">
        <f t="shared" si="51"/>
        <v>0</v>
      </c>
      <c r="BU29" s="33"/>
      <c r="BV29" s="37">
        <f t="shared" si="11"/>
        <v>-1</v>
      </c>
      <c r="BW29" s="36">
        <f>'[1]STA CLARA'!$N29</f>
        <v>28132.859999999899</v>
      </c>
      <c r="BX29" s="31">
        <f t="shared" si="52"/>
        <v>24675.331505999911</v>
      </c>
      <c r="BY29" s="31">
        <f t="shared" si="53"/>
        <v>3457.5284939999874</v>
      </c>
      <c r="BZ29" s="31">
        <f t="shared" si="54"/>
        <v>0</v>
      </c>
      <c r="CA29" s="31">
        <f t="shared" si="55"/>
        <v>0</v>
      </c>
      <c r="CB29" s="33"/>
      <c r="CC29" s="37">
        <f t="shared" si="12"/>
        <v>-1</v>
      </c>
      <c r="CD29" s="36">
        <f>'[1]STA CLARA'!$O29</f>
        <v>11623.25</v>
      </c>
      <c r="CE29" s="31">
        <f t="shared" si="56"/>
        <v>10194.752575</v>
      </c>
      <c r="CF29" s="31">
        <f t="shared" si="57"/>
        <v>1428.497425</v>
      </c>
      <c r="CG29" s="31">
        <f t="shared" si="58"/>
        <v>0</v>
      </c>
      <c r="CH29" s="31">
        <f t="shared" si="59"/>
        <v>0</v>
      </c>
      <c r="CI29" s="33"/>
      <c r="CJ29" s="37">
        <f t="shared" si="13"/>
        <v>-1</v>
      </c>
      <c r="CK29" s="36">
        <f>'[1]STA CLARA'!$P29</f>
        <v>28132.859999999899</v>
      </c>
      <c r="CL29" s="31">
        <f t="shared" si="60"/>
        <v>24675.331505999911</v>
      </c>
      <c r="CM29" s="31">
        <f t="shared" si="61"/>
        <v>3457.5284939999874</v>
      </c>
      <c r="CN29" s="31">
        <f t="shared" si="62"/>
        <v>0</v>
      </c>
      <c r="CO29" s="31">
        <f t="shared" si="63"/>
        <v>0</v>
      </c>
      <c r="CP29" s="33"/>
      <c r="CQ29" s="37">
        <f t="shared" si="14"/>
        <v>-1</v>
      </c>
    </row>
    <row r="30" spans="1:95" s="26" customFormat="1" ht="16" customHeight="1" x14ac:dyDescent="0.2">
      <c r="A30" s="29" t="s">
        <v>54</v>
      </c>
      <c r="B30" s="30">
        <f t="shared" si="0"/>
        <v>5000</v>
      </c>
      <c r="C30" s="31">
        <f t="shared" si="0"/>
        <v>4385.5000000000009</v>
      </c>
      <c r="D30" s="32">
        <f t="shared" si="0"/>
        <v>614.5</v>
      </c>
      <c r="E30" s="30">
        <f t="shared" si="15"/>
        <v>1666.6666666666667</v>
      </c>
      <c r="F30" s="33">
        <f t="shared" si="15"/>
        <v>1461.8333333333335</v>
      </c>
      <c r="G30" s="34">
        <f t="shared" si="15"/>
        <v>204.83333333333334</v>
      </c>
      <c r="H30" s="31">
        <f t="shared" si="1"/>
        <v>0</v>
      </c>
      <c r="I30" s="33">
        <f t="shared" si="1"/>
        <v>10280.6</v>
      </c>
      <c r="J30" s="33">
        <f t="shared" si="1"/>
        <v>10280.6</v>
      </c>
      <c r="K30" s="37">
        <f t="shared" si="2"/>
        <v>5.1683599999999998</v>
      </c>
      <c r="L30" s="36">
        <f>'[1]STA CLARA'!$E30</f>
        <v>416.66666666666669</v>
      </c>
      <c r="M30" s="31">
        <f t="shared" si="16"/>
        <v>365.45833333333337</v>
      </c>
      <c r="N30" s="31">
        <f t="shared" si="17"/>
        <v>51.208333333333336</v>
      </c>
      <c r="O30" s="31">
        <f t="shared" si="18"/>
        <v>0</v>
      </c>
      <c r="P30" s="31">
        <f t="shared" si="19"/>
        <v>0</v>
      </c>
      <c r="Q30" s="33"/>
      <c r="R30" s="37">
        <f t="shared" si="3"/>
        <v>-1</v>
      </c>
      <c r="S30" s="36">
        <f>'[1]STA CLARA'!$F30</f>
        <v>416.66666666666669</v>
      </c>
      <c r="T30" s="31">
        <f t="shared" si="20"/>
        <v>365.45833333333337</v>
      </c>
      <c r="U30" s="31">
        <f t="shared" si="21"/>
        <v>51.208333333333336</v>
      </c>
      <c r="V30" s="31">
        <f t="shared" si="22"/>
        <v>0</v>
      </c>
      <c r="W30" s="31">
        <f t="shared" si="23"/>
        <v>10280.6</v>
      </c>
      <c r="X30" s="33">
        <f>10280.6</f>
        <v>10280.6</v>
      </c>
      <c r="Y30" s="37">
        <f t="shared" si="4"/>
        <v>23.673439999999999</v>
      </c>
      <c r="Z30" s="36">
        <f>'[1]STA CLARA'!$G30</f>
        <v>416.66666666666669</v>
      </c>
      <c r="AA30" s="31">
        <f t="shared" si="24"/>
        <v>365.45833333333337</v>
      </c>
      <c r="AB30" s="31">
        <f t="shared" si="25"/>
        <v>51.208333333333336</v>
      </c>
      <c r="AC30" s="31">
        <f t="shared" si="26"/>
        <v>0</v>
      </c>
      <c r="AD30" s="31">
        <f t="shared" si="27"/>
        <v>0</v>
      </c>
      <c r="AE30" s="27"/>
      <c r="AF30" s="37">
        <f t="shared" si="5"/>
        <v>-1</v>
      </c>
      <c r="AG30" s="36">
        <f>'[1]STA CLARA'!$H30</f>
        <v>416.66666666666669</v>
      </c>
      <c r="AH30" s="31">
        <f t="shared" si="28"/>
        <v>365.45833333333337</v>
      </c>
      <c r="AI30" s="31">
        <f t="shared" si="29"/>
        <v>51.208333333333336</v>
      </c>
      <c r="AJ30" s="31">
        <f t="shared" si="30"/>
        <v>0</v>
      </c>
      <c r="AK30" s="31">
        <f t="shared" si="31"/>
        <v>0</v>
      </c>
      <c r="AL30" s="33"/>
      <c r="AM30" s="37">
        <f t="shared" si="6"/>
        <v>-1</v>
      </c>
      <c r="AN30" s="36">
        <f>'[1]STA CLARA'!$I30</f>
        <v>416.66666666666669</v>
      </c>
      <c r="AO30" s="31">
        <f t="shared" si="32"/>
        <v>365.45833333333337</v>
      </c>
      <c r="AP30" s="31">
        <f t="shared" si="33"/>
        <v>51.208333333333336</v>
      </c>
      <c r="AQ30" s="31">
        <f t="shared" si="34"/>
        <v>0</v>
      </c>
      <c r="AR30" s="31">
        <f t="shared" si="35"/>
        <v>0</v>
      </c>
      <c r="AS30" s="27"/>
      <c r="AT30" s="37">
        <f t="shared" si="7"/>
        <v>-1</v>
      </c>
      <c r="AU30" s="36">
        <f>'[1]STA CLARA'!$J30</f>
        <v>416.66666666666669</v>
      </c>
      <c r="AV30" s="31">
        <f t="shared" si="36"/>
        <v>365.45833333333337</v>
      </c>
      <c r="AW30" s="31">
        <f t="shared" si="37"/>
        <v>51.208333333333336</v>
      </c>
      <c r="AX30" s="31">
        <f t="shared" si="38"/>
        <v>0</v>
      </c>
      <c r="AY30" s="31">
        <f t="shared" si="39"/>
        <v>0</v>
      </c>
      <c r="AZ30" s="27"/>
      <c r="BA30" s="37">
        <f t="shared" si="8"/>
        <v>-1</v>
      </c>
      <c r="BB30" s="36">
        <f>'[1]STA CLARA'!$K30</f>
        <v>416.66666666666669</v>
      </c>
      <c r="BC30" s="31">
        <f t="shared" si="40"/>
        <v>365.45833333333337</v>
      </c>
      <c r="BD30" s="31">
        <f t="shared" si="41"/>
        <v>51.208333333333336</v>
      </c>
      <c r="BE30" s="31">
        <f t="shared" si="42"/>
        <v>0</v>
      </c>
      <c r="BF30" s="31">
        <f t="shared" si="43"/>
        <v>0</v>
      </c>
      <c r="BG30" s="33"/>
      <c r="BH30" s="37">
        <f t="shared" si="9"/>
        <v>-1</v>
      </c>
      <c r="BI30" s="36">
        <f>'[1]STA CLARA'!$L30</f>
        <v>416.66666666666669</v>
      </c>
      <c r="BJ30" s="31">
        <f t="shared" si="44"/>
        <v>365.45833333333337</v>
      </c>
      <c r="BK30" s="31">
        <f t="shared" si="45"/>
        <v>51.208333333333336</v>
      </c>
      <c r="BL30" s="31">
        <f t="shared" si="46"/>
        <v>0</v>
      </c>
      <c r="BM30" s="31">
        <f t="shared" si="47"/>
        <v>0</v>
      </c>
      <c r="BN30" s="33"/>
      <c r="BO30" s="37">
        <f t="shared" si="10"/>
        <v>-1</v>
      </c>
      <c r="BP30" s="36">
        <f>'[1]STA CLARA'!$M30</f>
        <v>416.66666666666669</v>
      </c>
      <c r="BQ30" s="31">
        <f t="shared" si="48"/>
        <v>365.45833333333337</v>
      </c>
      <c r="BR30" s="31">
        <f t="shared" si="49"/>
        <v>51.208333333333336</v>
      </c>
      <c r="BS30" s="31">
        <f t="shared" si="50"/>
        <v>0</v>
      </c>
      <c r="BT30" s="31">
        <f t="shared" si="51"/>
        <v>0</v>
      </c>
      <c r="BU30" s="33"/>
      <c r="BV30" s="37">
        <f t="shared" si="11"/>
        <v>-1</v>
      </c>
      <c r="BW30" s="36">
        <f>'[1]STA CLARA'!$N30</f>
        <v>416.66666666666669</v>
      </c>
      <c r="BX30" s="31">
        <f t="shared" si="52"/>
        <v>365.45833333333337</v>
      </c>
      <c r="BY30" s="31">
        <f t="shared" si="53"/>
        <v>51.208333333333336</v>
      </c>
      <c r="BZ30" s="31">
        <f t="shared" si="54"/>
        <v>0</v>
      </c>
      <c r="CA30" s="31">
        <f t="shared" si="55"/>
        <v>0</v>
      </c>
      <c r="CB30" s="33"/>
      <c r="CC30" s="37">
        <f t="shared" si="12"/>
        <v>-1</v>
      </c>
      <c r="CD30" s="36">
        <f>'[1]STA CLARA'!$O30</f>
        <v>416.66666666666669</v>
      </c>
      <c r="CE30" s="31">
        <f t="shared" si="56"/>
        <v>365.45833333333337</v>
      </c>
      <c r="CF30" s="31">
        <f t="shared" si="57"/>
        <v>51.208333333333336</v>
      </c>
      <c r="CG30" s="31">
        <f t="shared" si="58"/>
        <v>0</v>
      </c>
      <c r="CH30" s="31">
        <f t="shared" si="59"/>
        <v>0</v>
      </c>
      <c r="CI30" s="33"/>
      <c r="CJ30" s="37">
        <f t="shared" si="13"/>
        <v>-1</v>
      </c>
      <c r="CK30" s="36">
        <f>'[1]STA CLARA'!$P30</f>
        <v>416.66666666666669</v>
      </c>
      <c r="CL30" s="31">
        <f t="shared" si="60"/>
        <v>365.45833333333337</v>
      </c>
      <c r="CM30" s="31">
        <f t="shared" si="61"/>
        <v>51.208333333333336</v>
      </c>
      <c r="CN30" s="31">
        <f t="shared" si="62"/>
        <v>0</v>
      </c>
      <c r="CO30" s="31">
        <f t="shared" si="63"/>
        <v>0</v>
      </c>
      <c r="CP30" s="33"/>
      <c r="CQ30" s="37">
        <f t="shared" si="14"/>
        <v>-1</v>
      </c>
    </row>
    <row r="31" spans="1:95" s="26" customFormat="1" ht="16" customHeight="1" x14ac:dyDescent="0.2">
      <c r="A31" s="38" t="s">
        <v>55</v>
      </c>
      <c r="B31" s="30">
        <f t="shared" si="0"/>
        <v>5000</v>
      </c>
      <c r="C31" s="31">
        <f t="shared" si="0"/>
        <v>4385.5000000000009</v>
      </c>
      <c r="D31" s="32">
        <f t="shared" si="0"/>
        <v>614.5</v>
      </c>
      <c r="E31" s="30">
        <f t="shared" si="15"/>
        <v>1666.6666666666667</v>
      </c>
      <c r="F31" s="33">
        <f t="shared" si="15"/>
        <v>1461.8333333333335</v>
      </c>
      <c r="G31" s="34">
        <f t="shared" si="15"/>
        <v>204.83333333333334</v>
      </c>
      <c r="H31" s="31">
        <f t="shared" si="1"/>
        <v>0</v>
      </c>
      <c r="I31" s="33">
        <f t="shared" si="1"/>
        <v>44863.979999999996</v>
      </c>
      <c r="J31" s="33">
        <f t="shared" si="1"/>
        <v>44863.979999999996</v>
      </c>
      <c r="K31" s="37">
        <f t="shared" si="2"/>
        <v>25.918387999999997</v>
      </c>
      <c r="L31" s="36">
        <f>'[1]STA CLARA'!$E31</f>
        <v>416.66666666666669</v>
      </c>
      <c r="M31" s="31">
        <f t="shared" si="16"/>
        <v>365.45833333333337</v>
      </c>
      <c r="N31" s="31">
        <f t="shared" si="17"/>
        <v>51.208333333333336</v>
      </c>
      <c r="O31" s="31">
        <f t="shared" si="18"/>
        <v>0</v>
      </c>
      <c r="P31" s="31">
        <f t="shared" si="19"/>
        <v>2415</v>
      </c>
      <c r="Q31" s="33">
        <v>2415</v>
      </c>
      <c r="R31" s="37">
        <f t="shared" si="3"/>
        <v>4.7959999999999994</v>
      </c>
      <c r="S31" s="36">
        <f>'[1]STA CLARA'!$F31</f>
        <v>416.66666666666669</v>
      </c>
      <c r="T31" s="31">
        <f t="shared" si="20"/>
        <v>365.45833333333337</v>
      </c>
      <c r="U31" s="31">
        <f t="shared" si="21"/>
        <v>51.208333333333336</v>
      </c>
      <c r="V31" s="31">
        <f t="shared" si="22"/>
        <v>0</v>
      </c>
      <c r="W31" s="31">
        <f t="shared" si="23"/>
        <v>2723.4</v>
      </c>
      <c r="X31" s="33">
        <f>2723.4</f>
        <v>2723.4</v>
      </c>
      <c r="Y31" s="37">
        <f t="shared" si="4"/>
        <v>5.5361599999999997</v>
      </c>
      <c r="Z31" s="36">
        <f>'[1]STA CLARA'!$G31</f>
        <v>416.66666666666669</v>
      </c>
      <c r="AA31" s="31">
        <f t="shared" si="24"/>
        <v>365.45833333333337</v>
      </c>
      <c r="AB31" s="31">
        <f t="shared" si="25"/>
        <v>51.208333333333336</v>
      </c>
      <c r="AC31" s="31">
        <f t="shared" si="26"/>
        <v>0</v>
      </c>
      <c r="AD31" s="31">
        <f t="shared" si="27"/>
        <v>19048.099999999999</v>
      </c>
      <c r="AE31" s="33">
        <v>19048.099999999999</v>
      </c>
      <c r="AF31" s="37">
        <f t="shared" si="5"/>
        <v>44.715439999999994</v>
      </c>
      <c r="AG31" s="36">
        <f>'[1]STA CLARA'!$H31</f>
        <v>416.66666666666669</v>
      </c>
      <c r="AH31" s="31">
        <f t="shared" si="28"/>
        <v>365.45833333333337</v>
      </c>
      <c r="AI31" s="31">
        <f t="shared" si="29"/>
        <v>51.208333333333336</v>
      </c>
      <c r="AJ31" s="31">
        <f t="shared" si="30"/>
        <v>0</v>
      </c>
      <c r="AK31" s="31">
        <f t="shared" si="31"/>
        <v>20677.48</v>
      </c>
      <c r="AL31" s="33">
        <f>200+850+19627.48</f>
        <v>20677.48</v>
      </c>
      <c r="AM31" s="37">
        <f t="shared" si="6"/>
        <v>48.625951999999998</v>
      </c>
      <c r="AN31" s="36">
        <f>'[1]STA CLARA'!$I31</f>
        <v>416.66666666666669</v>
      </c>
      <c r="AO31" s="31">
        <f t="shared" si="32"/>
        <v>365.45833333333337</v>
      </c>
      <c r="AP31" s="31">
        <f t="shared" si="33"/>
        <v>51.208333333333336</v>
      </c>
      <c r="AQ31" s="31">
        <f t="shared" si="34"/>
        <v>0</v>
      </c>
      <c r="AR31" s="31">
        <f t="shared" si="35"/>
        <v>0</v>
      </c>
      <c r="AS31" s="27"/>
      <c r="AT31" s="37">
        <f t="shared" si="7"/>
        <v>-1</v>
      </c>
      <c r="AU31" s="36">
        <f>'[1]STA CLARA'!$J31</f>
        <v>416.66666666666669</v>
      </c>
      <c r="AV31" s="31">
        <f t="shared" si="36"/>
        <v>365.45833333333337</v>
      </c>
      <c r="AW31" s="31">
        <f t="shared" si="37"/>
        <v>51.208333333333336</v>
      </c>
      <c r="AX31" s="31">
        <f t="shared" si="38"/>
        <v>0</v>
      </c>
      <c r="AY31" s="31">
        <f t="shared" si="39"/>
        <v>0</v>
      </c>
      <c r="AZ31" s="33"/>
      <c r="BA31" s="37">
        <f t="shared" si="8"/>
        <v>-1</v>
      </c>
      <c r="BB31" s="36">
        <f>'[1]STA CLARA'!$K31</f>
        <v>416.66666666666669</v>
      </c>
      <c r="BC31" s="31">
        <f t="shared" si="40"/>
        <v>365.45833333333337</v>
      </c>
      <c r="BD31" s="31">
        <f t="shared" si="41"/>
        <v>51.208333333333336</v>
      </c>
      <c r="BE31" s="31">
        <f t="shared" si="42"/>
        <v>0</v>
      </c>
      <c r="BF31" s="31">
        <f t="shared" si="43"/>
        <v>0</v>
      </c>
      <c r="BG31" s="27"/>
      <c r="BH31" s="37">
        <f t="shared" si="9"/>
        <v>-1</v>
      </c>
      <c r="BI31" s="36">
        <f>'[1]STA CLARA'!$L31</f>
        <v>416.66666666666669</v>
      </c>
      <c r="BJ31" s="31">
        <f t="shared" si="44"/>
        <v>365.45833333333337</v>
      </c>
      <c r="BK31" s="31">
        <f t="shared" si="45"/>
        <v>51.208333333333336</v>
      </c>
      <c r="BL31" s="31">
        <f t="shared" si="46"/>
        <v>0</v>
      </c>
      <c r="BM31" s="31">
        <f t="shared" si="47"/>
        <v>0</v>
      </c>
      <c r="BN31" s="33"/>
      <c r="BO31" s="37">
        <f t="shared" si="10"/>
        <v>-1</v>
      </c>
      <c r="BP31" s="36">
        <f>'[1]STA CLARA'!$M31</f>
        <v>416.66666666666669</v>
      </c>
      <c r="BQ31" s="31">
        <f t="shared" si="48"/>
        <v>365.45833333333337</v>
      </c>
      <c r="BR31" s="31">
        <f t="shared" si="49"/>
        <v>51.208333333333336</v>
      </c>
      <c r="BS31" s="31">
        <f t="shared" si="50"/>
        <v>0</v>
      </c>
      <c r="BT31" s="31">
        <f t="shared" si="51"/>
        <v>0</v>
      </c>
      <c r="BU31" s="33"/>
      <c r="BV31" s="37">
        <f t="shared" si="11"/>
        <v>-1</v>
      </c>
      <c r="BW31" s="36">
        <f>'[1]STA CLARA'!$N31</f>
        <v>416.66666666666669</v>
      </c>
      <c r="BX31" s="31">
        <f t="shared" si="52"/>
        <v>365.45833333333337</v>
      </c>
      <c r="BY31" s="31">
        <f t="shared" si="53"/>
        <v>51.208333333333336</v>
      </c>
      <c r="BZ31" s="31">
        <f t="shared" si="54"/>
        <v>0</v>
      </c>
      <c r="CA31" s="31">
        <f t="shared" si="55"/>
        <v>0</v>
      </c>
      <c r="CB31" s="33"/>
      <c r="CC31" s="37">
        <f t="shared" si="12"/>
        <v>-1</v>
      </c>
      <c r="CD31" s="36">
        <f>'[1]STA CLARA'!$O31</f>
        <v>416.66666666666669</v>
      </c>
      <c r="CE31" s="31">
        <f t="shared" si="56"/>
        <v>365.45833333333337</v>
      </c>
      <c r="CF31" s="31">
        <f t="shared" si="57"/>
        <v>51.208333333333336</v>
      </c>
      <c r="CG31" s="31">
        <f t="shared" si="58"/>
        <v>0</v>
      </c>
      <c r="CH31" s="31">
        <f t="shared" si="59"/>
        <v>0</v>
      </c>
      <c r="CI31" s="33"/>
      <c r="CJ31" s="37">
        <f t="shared" si="13"/>
        <v>-1</v>
      </c>
      <c r="CK31" s="36">
        <f>'[1]STA CLARA'!$P31</f>
        <v>416.66666666666669</v>
      </c>
      <c r="CL31" s="31">
        <f t="shared" si="60"/>
        <v>365.45833333333337</v>
      </c>
      <c r="CM31" s="31">
        <f t="shared" si="61"/>
        <v>51.208333333333336</v>
      </c>
      <c r="CN31" s="31">
        <f t="shared" si="62"/>
        <v>0</v>
      </c>
      <c r="CO31" s="31">
        <f t="shared" si="63"/>
        <v>0</v>
      </c>
      <c r="CP31" s="33"/>
      <c r="CQ31" s="37">
        <f t="shared" si="14"/>
        <v>-1</v>
      </c>
    </row>
    <row r="32" spans="1:95" s="26" customFormat="1" ht="16" customHeight="1" x14ac:dyDescent="0.2">
      <c r="A32" s="29" t="s">
        <v>218</v>
      </c>
      <c r="B32" s="30">
        <f t="shared" si="0"/>
        <v>516622.48</v>
      </c>
      <c r="C32" s="31">
        <f t="shared" si="0"/>
        <v>453129.57720799994</v>
      </c>
      <c r="D32" s="32">
        <f t="shared" si="0"/>
        <v>63492.902791999986</v>
      </c>
      <c r="E32" s="30">
        <f t="shared" si="15"/>
        <v>217292.56559999997</v>
      </c>
      <c r="F32" s="33">
        <f t="shared" si="15"/>
        <v>190587.30928775994</v>
      </c>
      <c r="G32" s="34">
        <f t="shared" si="15"/>
        <v>26705.256312239999</v>
      </c>
      <c r="H32" s="31">
        <f t="shared" si="1"/>
        <v>0</v>
      </c>
      <c r="I32" s="33">
        <f t="shared" si="1"/>
        <v>279561.03000000003</v>
      </c>
      <c r="J32" s="33">
        <f t="shared" si="1"/>
        <v>279561.03000000003</v>
      </c>
      <c r="K32" s="37">
        <f t="shared" si="2"/>
        <v>0.28656509360115945</v>
      </c>
      <c r="L32" s="36">
        <f>'[1]STA CLARA'!$E32</f>
        <v>1760</v>
      </c>
      <c r="M32" s="31">
        <f t="shared" si="16"/>
        <v>1543.6959999999999</v>
      </c>
      <c r="N32" s="31">
        <f t="shared" si="17"/>
        <v>216.304</v>
      </c>
      <c r="O32" s="31">
        <f t="shared" si="18"/>
        <v>0</v>
      </c>
      <c r="P32" s="31">
        <f t="shared" si="19"/>
        <v>82330.840000000011</v>
      </c>
      <c r="Q32" s="33">
        <f>68915.46+12102.88+1312.5</f>
        <v>82330.840000000011</v>
      </c>
      <c r="R32" s="37">
        <f t="shared" si="3"/>
        <v>45.778886363636367</v>
      </c>
      <c r="S32" s="36">
        <f>'[1]STA CLARA'!$F32</f>
        <v>100456.94559999999</v>
      </c>
      <c r="T32" s="31">
        <f t="shared" si="20"/>
        <v>88110.786985759987</v>
      </c>
      <c r="U32" s="31">
        <f t="shared" si="21"/>
        <v>12346.158614239999</v>
      </c>
      <c r="V32" s="31">
        <f t="shared" si="22"/>
        <v>0</v>
      </c>
      <c r="W32" s="31">
        <f t="shared" si="23"/>
        <v>56335.869999999995</v>
      </c>
      <c r="X32" s="33">
        <f>51994.45+4341.42</f>
        <v>56335.869999999995</v>
      </c>
      <c r="Y32" s="37">
        <f t="shared" si="4"/>
        <v>-0.4392038334082099</v>
      </c>
      <c r="Z32" s="36">
        <f>'[1]STA CLARA'!$G32</f>
        <v>113315.61999999998</v>
      </c>
      <c r="AA32" s="31">
        <f t="shared" si="24"/>
        <v>99389.130301999976</v>
      </c>
      <c r="AB32" s="31">
        <f t="shared" si="25"/>
        <v>13926.489697999998</v>
      </c>
      <c r="AC32" s="31">
        <f t="shared" si="26"/>
        <v>0</v>
      </c>
      <c r="AD32" s="31">
        <f t="shared" si="27"/>
        <v>66471.86</v>
      </c>
      <c r="AE32" s="33">
        <f>53155.57+10154.28+3162.01</f>
        <v>66471.86</v>
      </c>
      <c r="AF32" s="37">
        <f t="shared" si="5"/>
        <v>-0.41339190484065647</v>
      </c>
      <c r="AG32" s="36">
        <f>'[1]STA CLARA'!$H32</f>
        <v>1760</v>
      </c>
      <c r="AH32" s="31">
        <f t="shared" si="28"/>
        <v>1543.6959999999999</v>
      </c>
      <c r="AI32" s="31">
        <f t="shared" si="29"/>
        <v>216.304</v>
      </c>
      <c r="AJ32" s="31">
        <f t="shared" si="30"/>
        <v>0</v>
      </c>
      <c r="AK32" s="31">
        <f t="shared" si="31"/>
        <v>74422.460000000006</v>
      </c>
      <c r="AL32" s="33">
        <f>74422.46</f>
        <v>74422.460000000006</v>
      </c>
      <c r="AM32" s="37">
        <f t="shared" si="6"/>
        <v>41.285488636363638</v>
      </c>
      <c r="AN32" s="36">
        <f>'[1]STA CLARA'!$I32</f>
        <v>126515.62</v>
      </c>
      <c r="AO32" s="31">
        <f t="shared" si="32"/>
        <v>110966.85030199999</v>
      </c>
      <c r="AP32" s="31">
        <f t="shared" si="33"/>
        <v>15548.769697999998</v>
      </c>
      <c r="AQ32" s="31">
        <f t="shared" si="34"/>
        <v>0</v>
      </c>
      <c r="AR32" s="31">
        <f t="shared" si="35"/>
        <v>0</v>
      </c>
      <c r="AS32" s="27"/>
      <c r="AT32" s="37">
        <f t="shared" si="7"/>
        <v>-1</v>
      </c>
      <c r="AU32" s="36">
        <f>'[1]STA CLARA'!$J32</f>
        <v>165774.29440000001</v>
      </c>
      <c r="AV32" s="31">
        <f t="shared" si="36"/>
        <v>145400.63361824001</v>
      </c>
      <c r="AW32" s="31">
        <f t="shared" si="37"/>
        <v>20373.660781760002</v>
      </c>
      <c r="AX32" s="31">
        <f t="shared" si="38"/>
        <v>0</v>
      </c>
      <c r="AY32" s="31">
        <f t="shared" si="39"/>
        <v>0</v>
      </c>
      <c r="AZ32" s="27"/>
      <c r="BA32" s="37">
        <f t="shared" si="8"/>
        <v>-1</v>
      </c>
      <c r="BB32" s="36">
        <f>'[1]STA CLARA'!$K32</f>
        <v>1760</v>
      </c>
      <c r="BC32" s="31">
        <f t="shared" si="40"/>
        <v>1543.6959999999999</v>
      </c>
      <c r="BD32" s="31">
        <f t="shared" si="41"/>
        <v>216.304</v>
      </c>
      <c r="BE32" s="31">
        <f t="shared" si="42"/>
        <v>0</v>
      </c>
      <c r="BF32" s="31">
        <f t="shared" si="43"/>
        <v>0</v>
      </c>
      <c r="BG32" s="33"/>
      <c r="BH32" s="37">
        <f t="shared" si="9"/>
        <v>-1</v>
      </c>
      <c r="BI32" s="36">
        <f>'[1]STA CLARA'!$L32</f>
        <v>1760</v>
      </c>
      <c r="BJ32" s="31">
        <f t="shared" si="44"/>
        <v>1543.6959999999999</v>
      </c>
      <c r="BK32" s="31">
        <f t="shared" si="45"/>
        <v>216.304</v>
      </c>
      <c r="BL32" s="31">
        <f t="shared" si="46"/>
        <v>0</v>
      </c>
      <c r="BM32" s="31">
        <f t="shared" si="47"/>
        <v>0</v>
      </c>
      <c r="BN32" s="33"/>
      <c r="BO32" s="37">
        <f t="shared" si="10"/>
        <v>-1</v>
      </c>
      <c r="BP32" s="36">
        <f>'[1]STA CLARA'!$M32</f>
        <v>1760</v>
      </c>
      <c r="BQ32" s="31">
        <f t="shared" si="48"/>
        <v>1543.6959999999999</v>
      </c>
      <c r="BR32" s="31">
        <f t="shared" si="49"/>
        <v>216.304</v>
      </c>
      <c r="BS32" s="31">
        <f t="shared" si="50"/>
        <v>0</v>
      </c>
      <c r="BT32" s="31">
        <f t="shared" si="51"/>
        <v>0</v>
      </c>
      <c r="BU32" s="33"/>
      <c r="BV32" s="37">
        <f t="shared" si="11"/>
        <v>-1</v>
      </c>
      <c r="BW32" s="36">
        <f>'[1]STA CLARA'!$N32</f>
        <v>1760</v>
      </c>
      <c r="BX32" s="31">
        <f t="shared" si="52"/>
        <v>1543.6959999999999</v>
      </c>
      <c r="BY32" s="31">
        <f t="shared" si="53"/>
        <v>216.304</v>
      </c>
      <c r="BZ32" s="31">
        <f t="shared" si="54"/>
        <v>0</v>
      </c>
      <c r="CA32" s="31">
        <f t="shared" si="55"/>
        <v>0</v>
      </c>
      <c r="CB32" s="33"/>
      <c r="CC32" s="37">
        <f t="shared" si="12"/>
        <v>-1</v>
      </c>
      <c r="CD32" s="36">
        <f>'[1]STA CLARA'!$O32</f>
        <v>0</v>
      </c>
      <c r="CE32" s="31">
        <f t="shared" si="56"/>
        <v>0</v>
      </c>
      <c r="CF32" s="31">
        <f t="shared" si="57"/>
        <v>0</v>
      </c>
      <c r="CG32" s="31">
        <f t="shared" si="58"/>
        <v>0</v>
      </c>
      <c r="CH32" s="31">
        <f t="shared" si="59"/>
        <v>0</v>
      </c>
      <c r="CI32" s="33"/>
      <c r="CJ32" s="37" t="str">
        <f t="shared" si="13"/>
        <v/>
      </c>
      <c r="CK32" s="36">
        <f>'[1]STA CLARA'!$P32</f>
        <v>0</v>
      </c>
      <c r="CL32" s="31">
        <f t="shared" si="60"/>
        <v>0</v>
      </c>
      <c r="CM32" s="31">
        <f t="shared" si="61"/>
        <v>0</v>
      </c>
      <c r="CN32" s="31">
        <f t="shared" si="62"/>
        <v>0</v>
      </c>
      <c r="CO32" s="31">
        <f t="shared" si="63"/>
        <v>0</v>
      </c>
      <c r="CP32" s="33"/>
      <c r="CQ32" s="37" t="str">
        <f t="shared" si="14"/>
        <v/>
      </c>
    </row>
    <row r="33" spans="1:95" s="26" customFormat="1" ht="16" customHeight="1" x14ac:dyDescent="0.2">
      <c r="A33" s="29" t="s">
        <v>57</v>
      </c>
      <c r="B33" s="30">
        <f t="shared" si="0"/>
        <v>408163.26530612248</v>
      </c>
      <c r="C33" s="31">
        <f t="shared" si="0"/>
        <v>358000</v>
      </c>
      <c r="D33" s="32">
        <f t="shared" si="0"/>
        <v>50163.265306122456</v>
      </c>
      <c r="E33" s="30">
        <f t="shared" si="15"/>
        <v>191836.73469387757</v>
      </c>
      <c r="F33" s="33">
        <f t="shared" si="15"/>
        <v>168260</v>
      </c>
      <c r="G33" s="34">
        <f t="shared" si="15"/>
        <v>23576.734693877552</v>
      </c>
      <c r="H33" s="31">
        <f t="shared" si="1"/>
        <v>0</v>
      </c>
      <c r="I33" s="33">
        <f t="shared" si="1"/>
        <v>450662.57999999996</v>
      </c>
      <c r="J33" s="33">
        <f t="shared" si="1"/>
        <v>450662.57999999996</v>
      </c>
      <c r="K33" s="37">
        <f t="shared" si="2"/>
        <v>1.3491985553191483</v>
      </c>
      <c r="L33" s="36">
        <f>'[1]STA CLARA'!$E33</f>
        <v>0</v>
      </c>
      <c r="M33" s="31">
        <f t="shared" si="16"/>
        <v>0</v>
      </c>
      <c r="N33" s="31">
        <f t="shared" si="17"/>
        <v>0</v>
      </c>
      <c r="O33" s="31">
        <f t="shared" si="18"/>
        <v>0</v>
      </c>
      <c r="P33" s="31">
        <f t="shared" si="19"/>
        <v>83361.69</v>
      </c>
      <c r="Q33" s="33">
        <f>83361.69</f>
        <v>83361.69</v>
      </c>
      <c r="R33" s="37" t="str">
        <f t="shared" si="3"/>
        <v/>
      </c>
      <c r="S33" s="36">
        <f>'[1]STA CLARA'!$F33</f>
        <v>89795.918367346938</v>
      </c>
      <c r="T33" s="31">
        <f t="shared" si="20"/>
        <v>78760</v>
      </c>
      <c r="U33" s="31">
        <f t="shared" si="21"/>
        <v>11035.918367346938</v>
      </c>
      <c r="V33" s="31">
        <f t="shared" si="22"/>
        <v>0</v>
      </c>
      <c r="W33" s="31">
        <f t="shared" si="23"/>
        <v>122448.43</v>
      </c>
      <c r="X33" s="33">
        <v>122448.43</v>
      </c>
      <c r="Y33" s="37">
        <f t="shared" si="4"/>
        <v>0.36363024318181814</v>
      </c>
      <c r="Z33" s="36">
        <f>'[1]STA CLARA'!$G33</f>
        <v>102040.81632653062</v>
      </c>
      <c r="AA33" s="31">
        <f t="shared" si="24"/>
        <v>89500.000000000015</v>
      </c>
      <c r="AB33" s="31">
        <f t="shared" si="25"/>
        <v>12540.816326530612</v>
      </c>
      <c r="AC33" s="31">
        <f t="shared" si="26"/>
        <v>0</v>
      </c>
      <c r="AD33" s="31">
        <f t="shared" si="27"/>
        <v>244852.46</v>
      </c>
      <c r="AE33" s="33">
        <v>244852.46</v>
      </c>
      <c r="AF33" s="37">
        <f t="shared" si="5"/>
        <v>1.3995541079999998</v>
      </c>
      <c r="AG33" s="36">
        <f>'[1]STA CLARA'!$H33</f>
        <v>0</v>
      </c>
      <c r="AH33" s="31">
        <f t="shared" si="28"/>
        <v>0</v>
      </c>
      <c r="AI33" s="31">
        <f t="shared" si="29"/>
        <v>0</v>
      </c>
      <c r="AJ33" s="31">
        <f t="shared" si="30"/>
        <v>0</v>
      </c>
      <c r="AK33" s="31">
        <f t="shared" si="31"/>
        <v>0</v>
      </c>
      <c r="AL33" s="33"/>
      <c r="AM33" s="37" t="str">
        <f t="shared" si="6"/>
        <v/>
      </c>
      <c r="AN33" s="36">
        <f>'[1]STA CLARA'!$I33</f>
        <v>102040.81632653062</v>
      </c>
      <c r="AO33" s="31">
        <f t="shared" si="32"/>
        <v>89500.000000000015</v>
      </c>
      <c r="AP33" s="31">
        <f t="shared" si="33"/>
        <v>12540.816326530612</v>
      </c>
      <c r="AQ33" s="31">
        <f t="shared" si="34"/>
        <v>0</v>
      </c>
      <c r="AR33" s="31">
        <f t="shared" si="35"/>
        <v>0</v>
      </c>
      <c r="AS33" s="27"/>
      <c r="AT33" s="37">
        <f t="shared" si="7"/>
        <v>-1</v>
      </c>
      <c r="AU33" s="36">
        <f>'[1]STA CLARA'!$J33</f>
        <v>114285.71428571429</v>
      </c>
      <c r="AV33" s="31">
        <f t="shared" si="36"/>
        <v>100240</v>
      </c>
      <c r="AW33" s="31">
        <f t="shared" si="37"/>
        <v>14045.714285714286</v>
      </c>
      <c r="AX33" s="31">
        <f t="shared" si="38"/>
        <v>0</v>
      </c>
      <c r="AY33" s="31">
        <f t="shared" si="39"/>
        <v>0</v>
      </c>
      <c r="AZ33" s="27"/>
      <c r="BA33" s="37">
        <f t="shared" si="8"/>
        <v>-1</v>
      </c>
      <c r="BB33" s="36">
        <f>'[1]STA CLARA'!$K33</f>
        <v>0</v>
      </c>
      <c r="BC33" s="31">
        <f t="shared" si="40"/>
        <v>0</v>
      </c>
      <c r="BD33" s="31">
        <f t="shared" si="41"/>
        <v>0</v>
      </c>
      <c r="BE33" s="31">
        <f t="shared" si="42"/>
        <v>0</v>
      </c>
      <c r="BF33" s="31">
        <f t="shared" si="43"/>
        <v>0</v>
      </c>
      <c r="BG33" s="27"/>
      <c r="BH33" s="37" t="str">
        <f t="shared" si="9"/>
        <v/>
      </c>
      <c r="BI33" s="36">
        <f>'[1]STA CLARA'!$L33</f>
        <v>0</v>
      </c>
      <c r="BJ33" s="31">
        <f t="shared" si="44"/>
        <v>0</v>
      </c>
      <c r="BK33" s="31">
        <f t="shared" si="45"/>
        <v>0</v>
      </c>
      <c r="BL33" s="31">
        <f t="shared" si="46"/>
        <v>0</v>
      </c>
      <c r="BM33" s="31">
        <f t="shared" si="47"/>
        <v>0</v>
      </c>
      <c r="BN33" s="33"/>
      <c r="BO33" s="37" t="str">
        <f t="shared" si="10"/>
        <v/>
      </c>
      <c r="BP33" s="36">
        <f>'[1]STA CLARA'!$M33</f>
        <v>0</v>
      </c>
      <c r="BQ33" s="31">
        <f t="shared" si="48"/>
        <v>0</v>
      </c>
      <c r="BR33" s="31">
        <f t="shared" si="49"/>
        <v>0</v>
      </c>
      <c r="BS33" s="31">
        <f t="shared" si="50"/>
        <v>0</v>
      </c>
      <c r="BT33" s="31">
        <f t="shared" si="51"/>
        <v>0</v>
      </c>
      <c r="BU33" s="33"/>
      <c r="BV33" s="37" t="str">
        <f t="shared" si="11"/>
        <v/>
      </c>
      <c r="BW33" s="36">
        <f>'[1]STA CLARA'!$N33</f>
        <v>0</v>
      </c>
      <c r="BX33" s="31">
        <f t="shared" si="52"/>
        <v>0</v>
      </c>
      <c r="BY33" s="31">
        <f t="shared" si="53"/>
        <v>0</v>
      </c>
      <c r="BZ33" s="31">
        <f t="shared" si="54"/>
        <v>0</v>
      </c>
      <c r="CA33" s="31">
        <f t="shared" si="55"/>
        <v>0</v>
      </c>
      <c r="CB33" s="33"/>
      <c r="CC33" s="37" t="str">
        <f t="shared" si="12"/>
        <v/>
      </c>
      <c r="CD33" s="36">
        <f>'[1]STA CLARA'!$O33</f>
        <v>0</v>
      </c>
      <c r="CE33" s="31">
        <f t="shared" si="56"/>
        <v>0</v>
      </c>
      <c r="CF33" s="31">
        <f t="shared" si="57"/>
        <v>0</v>
      </c>
      <c r="CG33" s="31">
        <f t="shared" si="58"/>
        <v>0</v>
      </c>
      <c r="CH33" s="31">
        <f t="shared" si="59"/>
        <v>0</v>
      </c>
      <c r="CI33" s="33"/>
      <c r="CJ33" s="37" t="str">
        <f t="shared" si="13"/>
        <v/>
      </c>
      <c r="CK33" s="36">
        <f>'[1]STA CLARA'!$P33</f>
        <v>0</v>
      </c>
      <c r="CL33" s="31">
        <f t="shared" si="60"/>
        <v>0</v>
      </c>
      <c r="CM33" s="31">
        <f t="shared" si="61"/>
        <v>0</v>
      </c>
      <c r="CN33" s="31">
        <f t="shared" si="62"/>
        <v>0</v>
      </c>
      <c r="CO33" s="31">
        <f t="shared" si="63"/>
        <v>0</v>
      </c>
      <c r="CP33" s="33"/>
      <c r="CQ33" s="37" t="str">
        <f t="shared" si="14"/>
        <v/>
      </c>
    </row>
    <row r="34" spans="1:95" s="26" customFormat="1" ht="16" customHeight="1" x14ac:dyDescent="0.2">
      <c r="A34" s="29" t="s">
        <v>105</v>
      </c>
      <c r="B34" s="30">
        <f t="shared" si="0"/>
        <v>0</v>
      </c>
      <c r="C34" s="31">
        <f t="shared" si="0"/>
        <v>0</v>
      </c>
      <c r="D34" s="32">
        <f t="shared" si="0"/>
        <v>0</v>
      </c>
      <c r="E34" s="30">
        <f t="shared" si="15"/>
        <v>0</v>
      </c>
      <c r="F34" s="33">
        <f t="shared" si="15"/>
        <v>0</v>
      </c>
      <c r="G34" s="34">
        <f t="shared" si="15"/>
        <v>0</v>
      </c>
      <c r="H34" s="31">
        <f t="shared" si="1"/>
        <v>0</v>
      </c>
      <c r="I34" s="33">
        <f t="shared" si="1"/>
        <v>0</v>
      </c>
      <c r="J34" s="33">
        <f t="shared" si="1"/>
        <v>0</v>
      </c>
      <c r="K34" s="37" t="str">
        <f t="shared" si="2"/>
        <v/>
      </c>
      <c r="L34" s="36">
        <f>'[1]STA CLARA'!$E34</f>
        <v>0</v>
      </c>
      <c r="M34" s="31">
        <f t="shared" si="16"/>
        <v>0</v>
      </c>
      <c r="N34" s="31">
        <f t="shared" si="17"/>
        <v>0</v>
      </c>
      <c r="O34" s="31">
        <f t="shared" si="18"/>
        <v>0</v>
      </c>
      <c r="P34" s="31">
        <f t="shared" si="19"/>
        <v>0</v>
      </c>
      <c r="Q34" s="33"/>
      <c r="R34" s="37" t="str">
        <f t="shared" si="3"/>
        <v/>
      </c>
      <c r="S34" s="36">
        <f>'[1]STA CLARA'!$F34</f>
        <v>0</v>
      </c>
      <c r="T34" s="31">
        <f t="shared" si="20"/>
        <v>0</v>
      </c>
      <c r="U34" s="31">
        <f t="shared" si="21"/>
        <v>0</v>
      </c>
      <c r="V34" s="31">
        <f t="shared" si="22"/>
        <v>0</v>
      </c>
      <c r="W34" s="31">
        <f t="shared" si="23"/>
        <v>0</v>
      </c>
      <c r="X34" s="33"/>
      <c r="Y34" s="37" t="str">
        <f t="shared" si="4"/>
        <v/>
      </c>
      <c r="Z34" s="36">
        <f>'[1]STA CLARA'!$G34</f>
        <v>0</v>
      </c>
      <c r="AA34" s="31">
        <f t="shared" si="24"/>
        <v>0</v>
      </c>
      <c r="AB34" s="31">
        <f t="shared" si="25"/>
        <v>0</v>
      </c>
      <c r="AC34" s="31">
        <f t="shared" si="26"/>
        <v>0</v>
      </c>
      <c r="AD34" s="31">
        <f t="shared" si="27"/>
        <v>0</v>
      </c>
      <c r="AE34" s="27"/>
      <c r="AF34" s="37" t="str">
        <f t="shared" si="5"/>
        <v/>
      </c>
      <c r="AG34" s="36">
        <f>'[1]STA CLARA'!$H34</f>
        <v>0</v>
      </c>
      <c r="AH34" s="31">
        <f t="shared" si="28"/>
        <v>0</v>
      </c>
      <c r="AI34" s="31">
        <f t="shared" si="29"/>
        <v>0</v>
      </c>
      <c r="AJ34" s="31">
        <f t="shared" si="30"/>
        <v>0</v>
      </c>
      <c r="AK34" s="31">
        <f t="shared" si="31"/>
        <v>0</v>
      </c>
      <c r="AL34" s="33"/>
      <c r="AM34" s="37" t="str">
        <f t="shared" si="6"/>
        <v/>
      </c>
      <c r="AN34" s="36">
        <f>'[1]STA CLARA'!$I34</f>
        <v>0</v>
      </c>
      <c r="AO34" s="31">
        <f t="shared" si="32"/>
        <v>0</v>
      </c>
      <c r="AP34" s="31">
        <f t="shared" si="33"/>
        <v>0</v>
      </c>
      <c r="AQ34" s="31">
        <f t="shared" si="34"/>
        <v>0</v>
      </c>
      <c r="AR34" s="31">
        <f t="shared" si="35"/>
        <v>0</v>
      </c>
      <c r="AS34" s="27"/>
      <c r="AT34" s="37" t="str">
        <f t="shared" si="7"/>
        <v/>
      </c>
      <c r="AU34" s="36">
        <f>'[1]STA CLARA'!$J34</f>
        <v>0</v>
      </c>
      <c r="AV34" s="31">
        <f t="shared" si="36"/>
        <v>0</v>
      </c>
      <c r="AW34" s="31">
        <f t="shared" si="37"/>
        <v>0</v>
      </c>
      <c r="AX34" s="31">
        <f t="shared" si="38"/>
        <v>0</v>
      </c>
      <c r="AY34" s="31">
        <f t="shared" si="39"/>
        <v>0</v>
      </c>
      <c r="AZ34" s="27"/>
      <c r="BA34" s="37" t="str">
        <f t="shared" si="8"/>
        <v/>
      </c>
      <c r="BB34" s="36">
        <f>'[1]STA CLARA'!$K34</f>
        <v>0</v>
      </c>
      <c r="BC34" s="31">
        <f t="shared" si="40"/>
        <v>0</v>
      </c>
      <c r="BD34" s="31">
        <f t="shared" si="41"/>
        <v>0</v>
      </c>
      <c r="BE34" s="31">
        <f t="shared" si="42"/>
        <v>0</v>
      </c>
      <c r="BF34" s="31">
        <f t="shared" si="43"/>
        <v>0</v>
      </c>
      <c r="BG34" s="27"/>
      <c r="BH34" s="37" t="str">
        <f t="shared" si="9"/>
        <v/>
      </c>
      <c r="BI34" s="36">
        <f>'[1]STA CLARA'!$L34</f>
        <v>0</v>
      </c>
      <c r="BJ34" s="31">
        <f t="shared" si="44"/>
        <v>0</v>
      </c>
      <c r="BK34" s="31">
        <f t="shared" si="45"/>
        <v>0</v>
      </c>
      <c r="BL34" s="31">
        <f t="shared" si="46"/>
        <v>0</v>
      </c>
      <c r="BM34" s="31">
        <f t="shared" si="47"/>
        <v>0</v>
      </c>
      <c r="BN34" s="33"/>
      <c r="BO34" s="37" t="str">
        <f t="shared" si="10"/>
        <v/>
      </c>
      <c r="BP34" s="36">
        <f>'[1]STA CLARA'!$M34</f>
        <v>0</v>
      </c>
      <c r="BQ34" s="31">
        <f t="shared" si="48"/>
        <v>0</v>
      </c>
      <c r="BR34" s="31">
        <f t="shared" si="49"/>
        <v>0</v>
      </c>
      <c r="BS34" s="31">
        <f t="shared" si="50"/>
        <v>0</v>
      </c>
      <c r="BT34" s="31">
        <f t="shared" si="51"/>
        <v>0</v>
      </c>
      <c r="BU34" s="33"/>
      <c r="BV34" s="37" t="str">
        <f t="shared" si="11"/>
        <v/>
      </c>
      <c r="BW34" s="36">
        <f>'[1]STA CLARA'!$N34</f>
        <v>0</v>
      </c>
      <c r="BX34" s="31">
        <f t="shared" si="52"/>
        <v>0</v>
      </c>
      <c r="BY34" s="31">
        <f t="shared" si="53"/>
        <v>0</v>
      </c>
      <c r="BZ34" s="31">
        <f t="shared" si="54"/>
        <v>0</v>
      </c>
      <c r="CA34" s="31">
        <f t="shared" si="55"/>
        <v>0</v>
      </c>
      <c r="CB34" s="33"/>
      <c r="CC34" s="37" t="str">
        <f t="shared" si="12"/>
        <v/>
      </c>
      <c r="CD34" s="36">
        <f>'[1]STA CLARA'!$O34</f>
        <v>0</v>
      </c>
      <c r="CE34" s="31">
        <f t="shared" si="56"/>
        <v>0</v>
      </c>
      <c r="CF34" s="31">
        <f t="shared" si="57"/>
        <v>0</v>
      </c>
      <c r="CG34" s="31">
        <f t="shared" si="58"/>
        <v>0</v>
      </c>
      <c r="CH34" s="31">
        <f t="shared" si="59"/>
        <v>0</v>
      </c>
      <c r="CI34" s="33"/>
      <c r="CJ34" s="37" t="str">
        <f t="shared" si="13"/>
        <v/>
      </c>
      <c r="CK34" s="36">
        <f>'[1]STA CLARA'!$P34</f>
        <v>0</v>
      </c>
      <c r="CL34" s="31">
        <f t="shared" si="60"/>
        <v>0</v>
      </c>
      <c r="CM34" s="31">
        <f t="shared" si="61"/>
        <v>0</v>
      </c>
      <c r="CN34" s="31">
        <f t="shared" si="62"/>
        <v>0</v>
      </c>
      <c r="CO34" s="31">
        <f t="shared" si="63"/>
        <v>0</v>
      </c>
      <c r="CP34" s="33"/>
      <c r="CQ34" s="37" t="str">
        <f t="shared" si="14"/>
        <v/>
      </c>
    </row>
    <row r="35" spans="1:95" s="26" customFormat="1" ht="16" customHeight="1" x14ac:dyDescent="0.2">
      <c r="A35" s="29" t="s">
        <v>59</v>
      </c>
      <c r="B35" s="30">
        <f t="shared" si="0"/>
        <v>0</v>
      </c>
      <c r="C35" s="31">
        <f t="shared" si="0"/>
        <v>0</v>
      </c>
      <c r="D35" s="32">
        <f t="shared" si="0"/>
        <v>0</v>
      </c>
      <c r="E35" s="30">
        <f t="shared" si="15"/>
        <v>0</v>
      </c>
      <c r="F35" s="33">
        <f t="shared" si="15"/>
        <v>0</v>
      </c>
      <c r="G35" s="34">
        <f t="shared" si="15"/>
        <v>0</v>
      </c>
      <c r="H35" s="31">
        <f t="shared" si="1"/>
        <v>0</v>
      </c>
      <c r="I35" s="33">
        <f t="shared" si="1"/>
        <v>0</v>
      </c>
      <c r="J35" s="33">
        <f t="shared" si="1"/>
        <v>0</v>
      </c>
      <c r="K35" s="37" t="str">
        <f t="shared" si="2"/>
        <v/>
      </c>
      <c r="L35" s="36">
        <f>'[1]STA CLARA'!$E35</f>
        <v>0</v>
      </c>
      <c r="M35" s="31">
        <f t="shared" si="16"/>
        <v>0</v>
      </c>
      <c r="N35" s="31">
        <f t="shared" si="17"/>
        <v>0</v>
      </c>
      <c r="O35" s="31">
        <f t="shared" si="18"/>
        <v>0</v>
      </c>
      <c r="P35" s="31">
        <f t="shared" si="19"/>
        <v>0</v>
      </c>
      <c r="Q35" s="33"/>
      <c r="R35" s="37" t="str">
        <f t="shared" si="3"/>
        <v/>
      </c>
      <c r="S35" s="36">
        <f>'[1]STA CLARA'!$F35</f>
        <v>0</v>
      </c>
      <c r="T35" s="31">
        <f t="shared" si="20"/>
        <v>0</v>
      </c>
      <c r="U35" s="31">
        <f t="shared" si="21"/>
        <v>0</v>
      </c>
      <c r="V35" s="31">
        <f t="shared" si="22"/>
        <v>0</v>
      </c>
      <c r="W35" s="31">
        <f t="shared" si="23"/>
        <v>0</v>
      </c>
      <c r="X35" s="33"/>
      <c r="Y35" s="37" t="str">
        <f t="shared" si="4"/>
        <v/>
      </c>
      <c r="Z35" s="36">
        <f>'[1]STA CLARA'!$G35</f>
        <v>0</v>
      </c>
      <c r="AA35" s="31">
        <f t="shared" si="24"/>
        <v>0</v>
      </c>
      <c r="AB35" s="31">
        <f t="shared" si="25"/>
        <v>0</v>
      </c>
      <c r="AC35" s="31">
        <f t="shared" si="26"/>
        <v>0</v>
      </c>
      <c r="AD35" s="31">
        <f t="shared" si="27"/>
        <v>0</v>
      </c>
      <c r="AE35" s="27"/>
      <c r="AF35" s="37" t="str">
        <f t="shared" si="5"/>
        <v/>
      </c>
      <c r="AG35" s="36">
        <f>'[1]STA CLARA'!$H35</f>
        <v>0</v>
      </c>
      <c r="AH35" s="31">
        <f t="shared" si="28"/>
        <v>0</v>
      </c>
      <c r="AI35" s="31">
        <f t="shared" si="29"/>
        <v>0</v>
      </c>
      <c r="AJ35" s="31">
        <f t="shared" si="30"/>
        <v>0</v>
      </c>
      <c r="AK35" s="31">
        <f t="shared" si="31"/>
        <v>0</v>
      </c>
      <c r="AL35" s="33"/>
      <c r="AM35" s="37" t="str">
        <f t="shared" si="6"/>
        <v/>
      </c>
      <c r="AN35" s="36">
        <f>'[1]STA CLARA'!$I35</f>
        <v>0</v>
      </c>
      <c r="AO35" s="31">
        <f t="shared" si="32"/>
        <v>0</v>
      </c>
      <c r="AP35" s="31">
        <f t="shared" si="33"/>
        <v>0</v>
      </c>
      <c r="AQ35" s="31">
        <f t="shared" si="34"/>
        <v>0</v>
      </c>
      <c r="AR35" s="31">
        <f t="shared" si="35"/>
        <v>0</v>
      </c>
      <c r="AS35" s="27"/>
      <c r="AT35" s="37" t="str">
        <f t="shared" si="7"/>
        <v/>
      </c>
      <c r="AU35" s="36">
        <f>'[1]STA CLARA'!$J35</f>
        <v>0</v>
      </c>
      <c r="AV35" s="31">
        <f t="shared" si="36"/>
        <v>0</v>
      </c>
      <c r="AW35" s="31">
        <f t="shared" si="37"/>
        <v>0</v>
      </c>
      <c r="AX35" s="31">
        <f t="shared" si="38"/>
        <v>0</v>
      </c>
      <c r="AY35" s="31">
        <f t="shared" si="39"/>
        <v>0</v>
      </c>
      <c r="AZ35" s="27"/>
      <c r="BA35" s="37" t="str">
        <f t="shared" si="8"/>
        <v/>
      </c>
      <c r="BB35" s="36">
        <f>'[1]STA CLARA'!$K35</f>
        <v>0</v>
      </c>
      <c r="BC35" s="31">
        <f t="shared" si="40"/>
        <v>0</v>
      </c>
      <c r="BD35" s="31">
        <f t="shared" si="41"/>
        <v>0</v>
      </c>
      <c r="BE35" s="31">
        <f t="shared" si="42"/>
        <v>0</v>
      </c>
      <c r="BF35" s="31">
        <f t="shared" si="43"/>
        <v>0</v>
      </c>
      <c r="BG35" s="27"/>
      <c r="BH35" s="37" t="str">
        <f t="shared" si="9"/>
        <v/>
      </c>
      <c r="BI35" s="36">
        <f>'[1]STA CLARA'!$L35</f>
        <v>0</v>
      </c>
      <c r="BJ35" s="31">
        <f t="shared" si="44"/>
        <v>0</v>
      </c>
      <c r="BK35" s="31">
        <f t="shared" si="45"/>
        <v>0</v>
      </c>
      <c r="BL35" s="31">
        <f t="shared" si="46"/>
        <v>0</v>
      </c>
      <c r="BM35" s="31">
        <f t="shared" si="47"/>
        <v>0</v>
      </c>
      <c r="BN35" s="33"/>
      <c r="BO35" s="37" t="str">
        <f t="shared" si="10"/>
        <v/>
      </c>
      <c r="BP35" s="36">
        <f>'[1]STA CLARA'!$M35</f>
        <v>0</v>
      </c>
      <c r="BQ35" s="31">
        <f t="shared" si="48"/>
        <v>0</v>
      </c>
      <c r="BR35" s="31">
        <f t="shared" si="49"/>
        <v>0</v>
      </c>
      <c r="BS35" s="31">
        <f t="shared" si="50"/>
        <v>0</v>
      </c>
      <c r="BT35" s="31">
        <f t="shared" si="51"/>
        <v>0</v>
      </c>
      <c r="BU35" s="33"/>
      <c r="BV35" s="37" t="str">
        <f t="shared" si="11"/>
        <v/>
      </c>
      <c r="BW35" s="36">
        <f>'[1]STA CLARA'!$N35</f>
        <v>0</v>
      </c>
      <c r="BX35" s="31">
        <f t="shared" si="52"/>
        <v>0</v>
      </c>
      <c r="BY35" s="31">
        <f t="shared" si="53"/>
        <v>0</v>
      </c>
      <c r="BZ35" s="31">
        <f t="shared" si="54"/>
        <v>0</v>
      </c>
      <c r="CA35" s="31">
        <f t="shared" si="55"/>
        <v>0</v>
      </c>
      <c r="CB35" s="33"/>
      <c r="CC35" s="37" t="str">
        <f t="shared" si="12"/>
        <v/>
      </c>
      <c r="CD35" s="36">
        <f>'[1]STA CLARA'!$O35</f>
        <v>0</v>
      </c>
      <c r="CE35" s="31">
        <f t="shared" si="56"/>
        <v>0</v>
      </c>
      <c r="CF35" s="31">
        <f t="shared" si="57"/>
        <v>0</v>
      </c>
      <c r="CG35" s="31">
        <f t="shared" si="58"/>
        <v>0</v>
      </c>
      <c r="CH35" s="31">
        <f t="shared" si="59"/>
        <v>0</v>
      </c>
      <c r="CI35" s="33"/>
      <c r="CJ35" s="37" t="str">
        <f t="shared" si="13"/>
        <v/>
      </c>
      <c r="CK35" s="36">
        <f>'[1]STA CLARA'!$P35</f>
        <v>0</v>
      </c>
      <c r="CL35" s="31">
        <f t="shared" si="60"/>
        <v>0</v>
      </c>
      <c r="CM35" s="31">
        <f t="shared" si="61"/>
        <v>0</v>
      </c>
      <c r="CN35" s="31">
        <f t="shared" si="62"/>
        <v>0</v>
      </c>
      <c r="CO35" s="31">
        <f t="shared" si="63"/>
        <v>0</v>
      </c>
      <c r="CP35" s="33"/>
      <c r="CQ35" s="37" t="str">
        <f t="shared" si="14"/>
        <v/>
      </c>
    </row>
    <row r="36" spans="1:95" s="26" customFormat="1" ht="16" customHeight="1" x14ac:dyDescent="0.2">
      <c r="A36" s="38" t="s">
        <v>60</v>
      </c>
      <c r="B36" s="30">
        <f t="shared" ref="B36:D54" si="64">+L36+S36+Z36+AG36+AN36+AU36+BB36+BI36+BP36+BW36+CD36+CK36</f>
        <v>90000</v>
      </c>
      <c r="C36" s="31">
        <f t="shared" si="64"/>
        <v>78939</v>
      </c>
      <c r="D36" s="32">
        <f t="shared" si="64"/>
        <v>11061</v>
      </c>
      <c r="E36" s="30">
        <f t="shared" si="15"/>
        <v>30000</v>
      </c>
      <c r="F36" s="33">
        <f t="shared" si="15"/>
        <v>26313</v>
      </c>
      <c r="G36" s="34">
        <f t="shared" si="15"/>
        <v>3687</v>
      </c>
      <c r="H36" s="31">
        <f t="shared" ref="H36:J54" si="65">+O36+V36+AC36+AJ36+AQ36+AX36+BE36+BL36+BS36+BZ36+CG36+CN36</f>
        <v>0</v>
      </c>
      <c r="I36" s="33">
        <f t="shared" si="65"/>
        <v>37941.890000000007</v>
      </c>
      <c r="J36" s="33">
        <f t="shared" si="65"/>
        <v>37941.890000000007</v>
      </c>
      <c r="K36" s="37">
        <f t="shared" si="2"/>
        <v>0.26472966666666697</v>
      </c>
      <c r="L36" s="36">
        <f>'[1]STA CLARA'!$E36</f>
        <v>7500</v>
      </c>
      <c r="M36" s="31">
        <f t="shared" si="16"/>
        <v>6578.25</v>
      </c>
      <c r="N36" s="31">
        <f t="shared" si="17"/>
        <v>921.75</v>
      </c>
      <c r="O36" s="31">
        <f t="shared" si="18"/>
        <v>0</v>
      </c>
      <c r="P36" s="31">
        <f t="shared" si="19"/>
        <v>5622.3499999999995</v>
      </c>
      <c r="Q36" s="33">
        <f>44.34+341+175.97+5.22+60.27+450+39.28+19.1+37.78+15.87+118.81+608+44.38+43.05+600+173.92+37.25+110+138+42.51+999.2+999.2+519.2</f>
        <v>5622.3499999999995</v>
      </c>
      <c r="R36" s="37">
        <f t="shared" si="3"/>
        <v>-0.25035333333333343</v>
      </c>
      <c r="S36" s="36">
        <f>'[1]STA CLARA'!$F36</f>
        <v>7500</v>
      </c>
      <c r="T36" s="31">
        <f t="shared" si="20"/>
        <v>6578.25</v>
      </c>
      <c r="U36" s="31">
        <f t="shared" si="21"/>
        <v>921.75</v>
      </c>
      <c r="V36" s="31">
        <f t="shared" si="22"/>
        <v>0</v>
      </c>
      <c r="W36" s="31">
        <f t="shared" si="23"/>
        <v>7825.6799999999994</v>
      </c>
      <c r="X36" s="33">
        <f>462.94+770.58+780.36+47.89+32.95+60.42+28+450+67.35+26.91+76.89+900+40.73+28.2+139.5+802.86+548.35+844.41+55+318.3+531.28+812.76</f>
        <v>7825.6799999999994</v>
      </c>
      <c r="Y36" s="37">
        <f t="shared" si="4"/>
        <v>4.3423999999999907E-2</v>
      </c>
      <c r="Z36" s="36">
        <f>'[1]STA CLARA'!$G36</f>
        <v>7500</v>
      </c>
      <c r="AA36" s="31">
        <f t="shared" si="24"/>
        <v>6578.25</v>
      </c>
      <c r="AB36" s="31">
        <f t="shared" si="25"/>
        <v>921.75</v>
      </c>
      <c r="AC36" s="31">
        <f t="shared" si="26"/>
        <v>0</v>
      </c>
      <c r="AD36" s="31">
        <f t="shared" si="27"/>
        <v>12714.460000000005</v>
      </c>
      <c r="AE36" s="33">
        <f>237.69+201.36+951+42.2+980+85+85+147+464.54+240+1550+880+1550+880+327+34.29+45.51+3.77+3.87+26.37+66+180+39.82+20.72+19.37+5.2+21.52+352.35+343.34+48.66+2251.65+17.03+32.82+33.31+512+36.07</f>
        <v>12714.460000000005</v>
      </c>
      <c r="AF36" s="37">
        <f t="shared" si="5"/>
        <v>0.69526133333333395</v>
      </c>
      <c r="AG36" s="36">
        <f>'[1]STA CLARA'!$H36</f>
        <v>7500</v>
      </c>
      <c r="AH36" s="31">
        <f t="shared" si="28"/>
        <v>6578.25</v>
      </c>
      <c r="AI36" s="31">
        <f t="shared" si="29"/>
        <v>921.75</v>
      </c>
      <c r="AJ36" s="31">
        <f t="shared" si="30"/>
        <v>0</v>
      </c>
      <c r="AK36" s="31">
        <f t="shared" si="31"/>
        <v>11779.400000000001</v>
      </c>
      <c r="AL36" s="33">
        <f>337.99+3698.17+596+41.54+542+560+1.88+16.67+159.6+30.54+13.05+85+370+6.46+31.33+28.2+50.13+31.33+24.61+1550+880+560+713.6+37.6+115+401.7+825+72</f>
        <v>11779.400000000001</v>
      </c>
      <c r="AM36" s="37">
        <f t="shared" si="6"/>
        <v>0.5705866666666668</v>
      </c>
      <c r="AN36" s="36">
        <f>'[1]STA CLARA'!$I36</f>
        <v>7500</v>
      </c>
      <c r="AO36" s="31">
        <f t="shared" si="32"/>
        <v>6578.25</v>
      </c>
      <c r="AP36" s="31">
        <f t="shared" si="33"/>
        <v>921.75</v>
      </c>
      <c r="AQ36" s="31">
        <f t="shared" si="34"/>
        <v>0</v>
      </c>
      <c r="AR36" s="31">
        <f t="shared" si="35"/>
        <v>0</v>
      </c>
      <c r="AS36" s="27"/>
      <c r="AT36" s="37">
        <f t="shared" si="7"/>
        <v>-1</v>
      </c>
      <c r="AU36" s="36">
        <f>'[1]STA CLARA'!$J36</f>
        <v>7500</v>
      </c>
      <c r="AV36" s="31">
        <f t="shared" si="36"/>
        <v>6578.25</v>
      </c>
      <c r="AW36" s="31">
        <f t="shared" si="37"/>
        <v>921.75</v>
      </c>
      <c r="AX36" s="31">
        <f t="shared" si="38"/>
        <v>0</v>
      </c>
      <c r="AY36" s="31">
        <f t="shared" si="39"/>
        <v>0</v>
      </c>
      <c r="AZ36" s="27"/>
      <c r="BA36" s="37">
        <f t="shared" si="8"/>
        <v>-1</v>
      </c>
      <c r="BB36" s="36">
        <f>'[1]STA CLARA'!$K36</f>
        <v>7500</v>
      </c>
      <c r="BC36" s="31">
        <f t="shared" si="40"/>
        <v>6578.25</v>
      </c>
      <c r="BD36" s="31">
        <f t="shared" si="41"/>
        <v>921.75</v>
      </c>
      <c r="BE36" s="31">
        <f t="shared" si="42"/>
        <v>0</v>
      </c>
      <c r="BF36" s="31">
        <f t="shared" si="43"/>
        <v>0</v>
      </c>
      <c r="BG36" s="27"/>
      <c r="BH36" s="37">
        <f t="shared" si="9"/>
        <v>-1</v>
      </c>
      <c r="BI36" s="36">
        <f>'[1]STA CLARA'!$L36</f>
        <v>7500</v>
      </c>
      <c r="BJ36" s="31">
        <f t="shared" si="44"/>
        <v>6578.25</v>
      </c>
      <c r="BK36" s="31">
        <f t="shared" si="45"/>
        <v>921.75</v>
      </c>
      <c r="BL36" s="31">
        <f t="shared" si="46"/>
        <v>0</v>
      </c>
      <c r="BM36" s="31">
        <f t="shared" si="47"/>
        <v>0</v>
      </c>
      <c r="BN36" s="33"/>
      <c r="BO36" s="37">
        <f t="shared" si="10"/>
        <v>-1</v>
      </c>
      <c r="BP36" s="36">
        <f>'[1]STA CLARA'!$M36</f>
        <v>7500</v>
      </c>
      <c r="BQ36" s="31">
        <f t="shared" si="48"/>
        <v>6578.25</v>
      </c>
      <c r="BR36" s="31">
        <f t="shared" si="49"/>
        <v>921.75</v>
      </c>
      <c r="BS36" s="31">
        <f t="shared" si="50"/>
        <v>0</v>
      </c>
      <c r="BT36" s="31">
        <f t="shared" si="51"/>
        <v>0</v>
      </c>
      <c r="BU36" s="33"/>
      <c r="BV36" s="37">
        <f t="shared" si="11"/>
        <v>-1</v>
      </c>
      <c r="BW36" s="36">
        <f>'[1]STA CLARA'!$N36</f>
        <v>7500</v>
      </c>
      <c r="BX36" s="31">
        <f t="shared" si="52"/>
        <v>6578.25</v>
      </c>
      <c r="BY36" s="31">
        <f t="shared" si="53"/>
        <v>921.75</v>
      </c>
      <c r="BZ36" s="31">
        <f t="shared" si="54"/>
        <v>0</v>
      </c>
      <c r="CA36" s="31">
        <f t="shared" si="55"/>
        <v>0</v>
      </c>
      <c r="CB36" s="33"/>
      <c r="CC36" s="37">
        <f t="shared" si="12"/>
        <v>-1</v>
      </c>
      <c r="CD36" s="36">
        <f>'[1]STA CLARA'!$O36</f>
        <v>7500</v>
      </c>
      <c r="CE36" s="31">
        <f t="shared" si="56"/>
        <v>6578.25</v>
      </c>
      <c r="CF36" s="31">
        <f t="shared" si="57"/>
        <v>921.75</v>
      </c>
      <c r="CG36" s="31">
        <f t="shared" si="58"/>
        <v>0</v>
      </c>
      <c r="CH36" s="31">
        <f t="shared" si="59"/>
        <v>0</v>
      </c>
      <c r="CI36" s="33"/>
      <c r="CJ36" s="37">
        <f t="shared" si="13"/>
        <v>-1</v>
      </c>
      <c r="CK36" s="36">
        <f>'[1]STA CLARA'!$P36</f>
        <v>7500</v>
      </c>
      <c r="CL36" s="31">
        <f t="shared" si="60"/>
        <v>6578.25</v>
      </c>
      <c r="CM36" s="31">
        <f t="shared" si="61"/>
        <v>921.75</v>
      </c>
      <c r="CN36" s="31">
        <f t="shared" si="62"/>
        <v>0</v>
      </c>
      <c r="CO36" s="31">
        <f t="shared" si="63"/>
        <v>0</v>
      </c>
      <c r="CP36" s="33"/>
      <c r="CQ36" s="37">
        <f t="shared" si="14"/>
        <v>-1</v>
      </c>
    </row>
    <row r="37" spans="1:95" s="26" customFormat="1" ht="16" customHeight="1" x14ac:dyDescent="0.2">
      <c r="A37" s="38" t="s">
        <v>61</v>
      </c>
      <c r="B37" s="30">
        <f t="shared" si="64"/>
        <v>129999.99999999999</v>
      </c>
      <c r="C37" s="31">
        <f t="shared" si="64"/>
        <v>114023.00000000004</v>
      </c>
      <c r="D37" s="32">
        <f t="shared" si="64"/>
        <v>15976.999999999998</v>
      </c>
      <c r="E37" s="30">
        <f t="shared" ref="E37:G54" si="66">+L37+S37+Z37+AG37</f>
        <v>43333.333333333336</v>
      </c>
      <c r="F37" s="33">
        <f t="shared" si="66"/>
        <v>38007.666666666672</v>
      </c>
      <c r="G37" s="34">
        <f t="shared" si="66"/>
        <v>5325.666666666667</v>
      </c>
      <c r="H37" s="31">
        <f t="shared" si="65"/>
        <v>0</v>
      </c>
      <c r="I37" s="33">
        <f t="shared" si="65"/>
        <v>43604.189999999995</v>
      </c>
      <c r="J37" s="33">
        <f t="shared" si="65"/>
        <v>43604.189999999995</v>
      </c>
      <c r="K37" s="37">
        <f t="shared" si="2"/>
        <v>6.2505384615383353E-3</v>
      </c>
      <c r="L37" s="36">
        <f>'[1]STA CLARA'!$E37</f>
        <v>10833.333333333334</v>
      </c>
      <c r="M37" s="31">
        <f t="shared" si="16"/>
        <v>9501.9166666666679</v>
      </c>
      <c r="N37" s="31">
        <f t="shared" si="17"/>
        <v>1331.4166666666667</v>
      </c>
      <c r="O37" s="31">
        <f t="shared" si="18"/>
        <v>0</v>
      </c>
      <c r="P37" s="31">
        <f t="shared" si="19"/>
        <v>5973.2600000000011</v>
      </c>
      <c r="Q37" s="33">
        <f>11595.61-Q36</f>
        <v>5973.2600000000011</v>
      </c>
      <c r="R37" s="37">
        <f t="shared" si="3"/>
        <v>-0.44862215384615378</v>
      </c>
      <c r="S37" s="36">
        <f>'[1]STA CLARA'!$F37</f>
        <v>10833.333333333334</v>
      </c>
      <c r="T37" s="31">
        <f t="shared" si="20"/>
        <v>9501.9166666666679</v>
      </c>
      <c r="U37" s="31">
        <f t="shared" si="21"/>
        <v>1331.4166666666667</v>
      </c>
      <c r="V37" s="31">
        <f t="shared" si="22"/>
        <v>0</v>
      </c>
      <c r="W37" s="31">
        <f t="shared" si="23"/>
        <v>14157.189999999999</v>
      </c>
      <c r="X37" s="33">
        <f>21982.87-X36</f>
        <v>14157.189999999999</v>
      </c>
      <c r="Y37" s="37">
        <f t="shared" si="4"/>
        <v>0.30681753846153836</v>
      </c>
      <c r="Z37" s="36">
        <f>'[1]STA CLARA'!$G37</f>
        <v>10833.333333333334</v>
      </c>
      <c r="AA37" s="31">
        <f t="shared" si="24"/>
        <v>9501.9166666666679</v>
      </c>
      <c r="AB37" s="31">
        <f t="shared" si="25"/>
        <v>1331.4166666666667</v>
      </c>
      <c r="AC37" s="31">
        <f t="shared" si="26"/>
        <v>0</v>
      </c>
      <c r="AD37" s="31">
        <f t="shared" si="27"/>
        <v>14067.669999999996</v>
      </c>
      <c r="AE37" s="33">
        <f>26782.13-AE36</f>
        <v>14067.669999999996</v>
      </c>
      <c r="AF37" s="37">
        <f t="shared" si="5"/>
        <v>0.29855415384615336</v>
      </c>
      <c r="AG37" s="36">
        <f>'[1]STA CLARA'!$H37</f>
        <v>10833.333333333334</v>
      </c>
      <c r="AH37" s="31">
        <f t="shared" si="28"/>
        <v>9501.9166666666679</v>
      </c>
      <c r="AI37" s="31">
        <f t="shared" si="29"/>
        <v>1331.4166666666667</v>
      </c>
      <c r="AJ37" s="31">
        <f t="shared" si="30"/>
        <v>0</v>
      </c>
      <c r="AK37" s="31">
        <f t="shared" si="31"/>
        <v>9406.07</v>
      </c>
      <c r="AL37" s="33">
        <f>21185.47-AL36</f>
        <v>9406.07</v>
      </c>
      <c r="AM37" s="37">
        <f t="shared" si="6"/>
        <v>-0.13174738461538471</v>
      </c>
      <c r="AN37" s="36">
        <f>'[1]STA CLARA'!$I37</f>
        <v>10833.333333333334</v>
      </c>
      <c r="AO37" s="31">
        <f t="shared" si="32"/>
        <v>9501.9166666666679</v>
      </c>
      <c r="AP37" s="31">
        <f t="shared" si="33"/>
        <v>1331.4166666666667</v>
      </c>
      <c r="AQ37" s="31">
        <f t="shared" si="34"/>
        <v>0</v>
      </c>
      <c r="AR37" s="31">
        <f t="shared" si="35"/>
        <v>0</v>
      </c>
      <c r="AS37" s="27"/>
      <c r="AT37" s="37">
        <f t="shared" si="7"/>
        <v>-1</v>
      </c>
      <c r="AU37" s="36">
        <f>'[1]STA CLARA'!$J37</f>
        <v>10833.333333333334</v>
      </c>
      <c r="AV37" s="31">
        <f t="shared" si="36"/>
        <v>9501.9166666666679</v>
      </c>
      <c r="AW37" s="31">
        <f t="shared" si="37"/>
        <v>1331.4166666666667</v>
      </c>
      <c r="AX37" s="31">
        <f t="shared" si="38"/>
        <v>0</v>
      </c>
      <c r="AY37" s="31">
        <f t="shared" si="39"/>
        <v>0</v>
      </c>
      <c r="AZ37" s="27"/>
      <c r="BA37" s="37">
        <f t="shared" si="8"/>
        <v>-1</v>
      </c>
      <c r="BB37" s="36">
        <f>'[1]STA CLARA'!$K37</f>
        <v>10833.333333333334</v>
      </c>
      <c r="BC37" s="31">
        <f t="shared" si="40"/>
        <v>9501.9166666666679</v>
      </c>
      <c r="BD37" s="31">
        <f t="shared" si="41"/>
        <v>1331.4166666666667</v>
      </c>
      <c r="BE37" s="31">
        <f t="shared" si="42"/>
        <v>0</v>
      </c>
      <c r="BF37" s="31">
        <f t="shared" si="43"/>
        <v>0</v>
      </c>
      <c r="BG37" s="27"/>
      <c r="BH37" s="37">
        <f t="shared" si="9"/>
        <v>-1</v>
      </c>
      <c r="BI37" s="36">
        <f>'[1]STA CLARA'!$L37</f>
        <v>10833.333333333334</v>
      </c>
      <c r="BJ37" s="31">
        <f t="shared" si="44"/>
        <v>9501.9166666666679</v>
      </c>
      <c r="BK37" s="31">
        <f t="shared" si="45"/>
        <v>1331.4166666666667</v>
      </c>
      <c r="BL37" s="31">
        <f t="shared" si="46"/>
        <v>0</v>
      </c>
      <c r="BM37" s="31">
        <f t="shared" si="47"/>
        <v>0</v>
      </c>
      <c r="BN37" s="33"/>
      <c r="BO37" s="37">
        <f t="shared" si="10"/>
        <v>-1</v>
      </c>
      <c r="BP37" s="36">
        <f>'[1]STA CLARA'!$M37</f>
        <v>10833.333333333334</v>
      </c>
      <c r="BQ37" s="31">
        <f t="shared" si="48"/>
        <v>9501.9166666666679</v>
      </c>
      <c r="BR37" s="31">
        <f t="shared" si="49"/>
        <v>1331.4166666666667</v>
      </c>
      <c r="BS37" s="31">
        <f t="shared" si="50"/>
        <v>0</v>
      </c>
      <c r="BT37" s="31">
        <f t="shared" si="51"/>
        <v>0</v>
      </c>
      <c r="BU37" s="33"/>
      <c r="BV37" s="37">
        <f t="shared" si="11"/>
        <v>-1</v>
      </c>
      <c r="BW37" s="36">
        <f>'[1]STA CLARA'!$N37</f>
        <v>10833.333333333334</v>
      </c>
      <c r="BX37" s="31">
        <f t="shared" si="52"/>
        <v>9501.9166666666679</v>
      </c>
      <c r="BY37" s="31">
        <f t="shared" si="53"/>
        <v>1331.4166666666667</v>
      </c>
      <c r="BZ37" s="31">
        <f t="shared" si="54"/>
        <v>0</v>
      </c>
      <c r="CA37" s="31">
        <f t="shared" si="55"/>
        <v>0</v>
      </c>
      <c r="CB37" s="33"/>
      <c r="CC37" s="37">
        <f t="shared" si="12"/>
        <v>-1</v>
      </c>
      <c r="CD37" s="36">
        <f>'[1]STA CLARA'!$O37</f>
        <v>10833.333333333334</v>
      </c>
      <c r="CE37" s="31">
        <f t="shared" si="56"/>
        <v>9501.9166666666679</v>
      </c>
      <c r="CF37" s="31">
        <f t="shared" si="57"/>
        <v>1331.4166666666667</v>
      </c>
      <c r="CG37" s="31">
        <f t="shared" si="58"/>
        <v>0</v>
      </c>
      <c r="CH37" s="31">
        <f t="shared" si="59"/>
        <v>0</v>
      </c>
      <c r="CI37" s="33"/>
      <c r="CJ37" s="37">
        <f t="shared" si="13"/>
        <v>-1</v>
      </c>
      <c r="CK37" s="36">
        <f>'[1]STA CLARA'!$P37</f>
        <v>10833.333333333334</v>
      </c>
      <c r="CL37" s="31">
        <f t="shared" si="60"/>
        <v>9501.9166666666679</v>
      </c>
      <c r="CM37" s="31">
        <f t="shared" si="61"/>
        <v>1331.4166666666667</v>
      </c>
      <c r="CN37" s="31">
        <f t="shared" si="62"/>
        <v>0</v>
      </c>
      <c r="CO37" s="31">
        <f t="shared" si="63"/>
        <v>0</v>
      </c>
      <c r="CP37" s="33"/>
      <c r="CQ37" s="37">
        <f t="shared" si="14"/>
        <v>-1</v>
      </c>
    </row>
    <row r="38" spans="1:95" s="26" customFormat="1" ht="16" customHeight="1" x14ac:dyDescent="0.2">
      <c r="A38" s="38" t="s">
        <v>62</v>
      </c>
      <c r="B38" s="30">
        <f t="shared" si="64"/>
        <v>15000</v>
      </c>
      <c r="C38" s="31">
        <f t="shared" si="64"/>
        <v>13156.5</v>
      </c>
      <c r="D38" s="32">
        <f t="shared" si="64"/>
        <v>1843.5</v>
      </c>
      <c r="E38" s="30">
        <f t="shared" si="66"/>
        <v>5000</v>
      </c>
      <c r="F38" s="33">
        <f t="shared" si="66"/>
        <v>4385.5</v>
      </c>
      <c r="G38" s="34">
        <f t="shared" si="66"/>
        <v>614.5</v>
      </c>
      <c r="H38" s="31">
        <f t="shared" si="65"/>
        <v>0</v>
      </c>
      <c r="I38" s="33">
        <f t="shared" si="65"/>
        <v>5899.48</v>
      </c>
      <c r="J38" s="33">
        <f t="shared" si="65"/>
        <v>5899.48</v>
      </c>
      <c r="K38" s="37">
        <f t="shared" si="2"/>
        <v>0.17989599999999983</v>
      </c>
      <c r="L38" s="36">
        <f>'[1]STA CLARA'!$E38</f>
        <v>1250</v>
      </c>
      <c r="M38" s="31">
        <f t="shared" si="16"/>
        <v>1096.375</v>
      </c>
      <c r="N38" s="31">
        <f t="shared" si="17"/>
        <v>153.625</v>
      </c>
      <c r="O38" s="31">
        <f t="shared" si="18"/>
        <v>0</v>
      </c>
      <c r="P38" s="31">
        <f t="shared" si="19"/>
        <v>2074.8200000000002</v>
      </c>
      <c r="Q38" s="33">
        <f>2074.82</f>
        <v>2074.8200000000002</v>
      </c>
      <c r="R38" s="37">
        <f t="shared" si="3"/>
        <v>0.65985600000000022</v>
      </c>
      <c r="S38" s="36">
        <f>'[1]STA CLARA'!$F38</f>
        <v>1250</v>
      </c>
      <c r="T38" s="31">
        <f t="shared" si="20"/>
        <v>1096.375</v>
      </c>
      <c r="U38" s="31">
        <f t="shared" si="21"/>
        <v>153.625</v>
      </c>
      <c r="V38" s="31">
        <f t="shared" si="22"/>
        <v>0</v>
      </c>
      <c r="W38" s="31">
        <f t="shared" si="23"/>
        <v>2632.08</v>
      </c>
      <c r="X38" s="33">
        <f>2632.08</f>
        <v>2632.08</v>
      </c>
      <c r="Y38" s="37">
        <f t="shared" si="4"/>
        <v>1.105664</v>
      </c>
      <c r="Z38" s="36">
        <f>'[1]STA CLARA'!$G38</f>
        <v>1250</v>
      </c>
      <c r="AA38" s="31">
        <f t="shared" si="24"/>
        <v>1096.375</v>
      </c>
      <c r="AB38" s="31">
        <f t="shared" si="25"/>
        <v>153.625</v>
      </c>
      <c r="AC38" s="31">
        <f t="shared" si="26"/>
        <v>0</v>
      </c>
      <c r="AD38" s="31">
        <f t="shared" si="27"/>
        <v>1062.58</v>
      </c>
      <c r="AE38" s="33">
        <f>1062.58</f>
        <v>1062.58</v>
      </c>
      <c r="AF38" s="37">
        <f t="shared" si="5"/>
        <v>-0.14993600000000007</v>
      </c>
      <c r="AG38" s="36">
        <f>'[1]STA CLARA'!$H38</f>
        <v>1250</v>
      </c>
      <c r="AH38" s="31">
        <f t="shared" si="28"/>
        <v>1096.375</v>
      </c>
      <c r="AI38" s="31">
        <f t="shared" si="29"/>
        <v>153.625</v>
      </c>
      <c r="AJ38" s="31">
        <f t="shared" si="30"/>
        <v>0</v>
      </c>
      <c r="AK38" s="31">
        <f t="shared" si="31"/>
        <v>130</v>
      </c>
      <c r="AL38" s="33">
        <v>130</v>
      </c>
      <c r="AM38" s="37">
        <f t="shared" si="6"/>
        <v>-0.89600000000000002</v>
      </c>
      <c r="AN38" s="36">
        <f>'[1]STA CLARA'!$I38</f>
        <v>1250</v>
      </c>
      <c r="AO38" s="31">
        <f t="shared" si="32"/>
        <v>1096.375</v>
      </c>
      <c r="AP38" s="31">
        <f t="shared" si="33"/>
        <v>153.625</v>
      </c>
      <c r="AQ38" s="31">
        <f t="shared" si="34"/>
        <v>0</v>
      </c>
      <c r="AR38" s="31">
        <f t="shared" si="35"/>
        <v>0</v>
      </c>
      <c r="AS38" s="27"/>
      <c r="AT38" s="37">
        <f t="shared" si="7"/>
        <v>-1</v>
      </c>
      <c r="AU38" s="36">
        <f>'[1]STA CLARA'!$J38</f>
        <v>1250</v>
      </c>
      <c r="AV38" s="31">
        <f t="shared" si="36"/>
        <v>1096.375</v>
      </c>
      <c r="AW38" s="31">
        <f t="shared" si="37"/>
        <v>153.625</v>
      </c>
      <c r="AX38" s="31">
        <f t="shared" si="38"/>
        <v>0</v>
      </c>
      <c r="AY38" s="31">
        <f t="shared" si="39"/>
        <v>0</v>
      </c>
      <c r="AZ38" s="27"/>
      <c r="BA38" s="37">
        <f t="shared" si="8"/>
        <v>-1</v>
      </c>
      <c r="BB38" s="36">
        <f>'[1]STA CLARA'!$K38</f>
        <v>1250</v>
      </c>
      <c r="BC38" s="31">
        <f t="shared" si="40"/>
        <v>1096.375</v>
      </c>
      <c r="BD38" s="31">
        <f t="shared" si="41"/>
        <v>153.625</v>
      </c>
      <c r="BE38" s="31">
        <f t="shared" si="42"/>
        <v>0</v>
      </c>
      <c r="BF38" s="31">
        <f t="shared" si="43"/>
        <v>0</v>
      </c>
      <c r="BG38" s="27"/>
      <c r="BH38" s="37">
        <f t="shared" si="9"/>
        <v>-1</v>
      </c>
      <c r="BI38" s="36">
        <f>'[1]STA CLARA'!$L38</f>
        <v>1250</v>
      </c>
      <c r="BJ38" s="31">
        <f t="shared" si="44"/>
        <v>1096.375</v>
      </c>
      <c r="BK38" s="31">
        <f t="shared" si="45"/>
        <v>153.625</v>
      </c>
      <c r="BL38" s="31">
        <f t="shared" si="46"/>
        <v>0</v>
      </c>
      <c r="BM38" s="31">
        <f t="shared" si="47"/>
        <v>0</v>
      </c>
      <c r="BN38" s="33"/>
      <c r="BO38" s="37">
        <f t="shared" si="10"/>
        <v>-1</v>
      </c>
      <c r="BP38" s="36">
        <f>'[1]STA CLARA'!$M38</f>
        <v>1250</v>
      </c>
      <c r="BQ38" s="31">
        <f t="shared" si="48"/>
        <v>1096.375</v>
      </c>
      <c r="BR38" s="31">
        <f t="shared" si="49"/>
        <v>153.625</v>
      </c>
      <c r="BS38" s="31">
        <f t="shared" si="50"/>
        <v>0</v>
      </c>
      <c r="BT38" s="31">
        <f t="shared" si="51"/>
        <v>0</v>
      </c>
      <c r="BU38" s="33"/>
      <c r="BV38" s="37">
        <f t="shared" si="11"/>
        <v>-1</v>
      </c>
      <c r="BW38" s="36">
        <f>'[1]STA CLARA'!$N38</f>
        <v>1250</v>
      </c>
      <c r="BX38" s="31">
        <f t="shared" si="52"/>
        <v>1096.375</v>
      </c>
      <c r="BY38" s="31">
        <f t="shared" si="53"/>
        <v>153.625</v>
      </c>
      <c r="BZ38" s="31">
        <f t="shared" si="54"/>
        <v>0</v>
      </c>
      <c r="CA38" s="31">
        <f t="shared" si="55"/>
        <v>0</v>
      </c>
      <c r="CB38" s="33"/>
      <c r="CC38" s="37">
        <f t="shared" si="12"/>
        <v>-1</v>
      </c>
      <c r="CD38" s="36">
        <f>'[1]STA CLARA'!$O38</f>
        <v>1250</v>
      </c>
      <c r="CE38" s="31">
        <f t="shared" si="56"/>
        <v>1096.375</v>
      </c>
      <c r="CF38" s="31">
        <f t="shared" si="57"/>
        <v>153.625</v>
      </c>
      <c r="CG38" s="31">
        <f t="shared" si="58"/>
        <v>0</v>
      </c>
      <c r="CH38" s="31">
        <f t="shared" si="59"/>
        <v>0</v>
      </c>
      <c r="CI38" s="33"/>
      <c r="CJ38" s="37">
        <f t="shared" si="13"/>
        <v>-1</v>
      </c>
      <c r="CK38" s="36">
        <f>'[1]STA CLARA'!$P38</f>
        <v>1250</v>
      </c>
      <c r="CL38" s="31">
        <f t="shared" si="60"/>
        <v>1096.375</v>
      </c>
      <c r="CM38" s="31">
        <f t="shared" si="61"/>
        <v>153.625</v>
      </c>
      <c r="CN38" s="31">
        <f t="shared" si="62"/>
        <v>0</v>
      </c>
      <c r="CO38" s="31">
        <f t="shared" si="63"/>
        <v>0</v>
      </c>
      <c r="CP38" s="33"/>
      <c r="CQ38" s="37">
        <f t="shared" si="14"/>
        <v>-1</v>
      </c>
    </row>
    <row r="39" spans="1:95" s="26" customFormat="1" ht="16" customHeight="1" x14ac:dyDescent="0.2">
      <c r="A39" s="38" t="s">
        <v>63</v>
      </c>
      <c r="B39" s="30">
        <f t="shared" si="64"/>
        <v>10000</v>
      </c>
      <c r="C39" s="31">
        <f t="shared" si="64"/>
        <v>8771.0000000000018</v>
      </c>
      <c r="D39" s="32">
        <f t="shared" si="64"/>
        <v>1229</v>
      </c>
      <c r="E39" s="30">
        <f t="shared" si="66"/>
        <v>3333.3333333333335</v>
      </c>
      <c r="F39" s="33">
        <f t="shared" si="66"/>
        <v>2923.666666666667</v>
      </c>
      <c r="G39" s="34">
        <f t="shared" si="66"/>
        <v>409.66666666666669</v>
      </c>
      <c r="H39" s="31">
        <f t="shared" si="65"/>
        <v>0</v>
      </c>
      <c r="I39" s="33">
        <f t="shared" si="65"/>
        <v>10849.980000000001</v>
      </c>
      <c r="J39" s="33">
        <f t="shared" si="65"/>
        <v>10849.980000000001</v>
      </c>
      <c r="K39" s="37">
        <f t="shared" si="2"/>
        <v>2.2549940000000004</v>
      </c>
      <c r="L39" s="36">
        <f>'[1]STA CLARA'!$E39</f>
        <v>833.33333333333337</v>
      </c>
      <c r="M39" s="31">
        <f t="shared" si="16"/>
        <v>730.91666666666674</v>
      </c>
      <c r="N39" s="31">
        <f t="shared" si="17"/>
        <v>102.41666666666667</v>
      </c>
      <c r="O39" s="31">
        <f t="shared" si="18"/>
        <v>0</v>
      </c>
      <c r="P39" s="31">
        <f t="shared" si="19"/>
        <v>0</v>
      </c>
      <c r="Q39" s="33"/>
      <c r="R39" s="37">
        <f t="shared" si="3"/>
        <v>-1</v>
      </c>
      <c r="S39" s="36">
        <f>'[1]STA CLARA'!$F39</f>
        <v>833.33333333333337</v>
      </c>
      <c r="T39" s="31">
        <f t="shared" si="20"/>
        <v>730.91666666666674</v>
      </c>
      <c r="U39" s="31">
        <f t="shared" si="21"/>
        <v>102.41666666666667</v>
      </c>
      <c r="V39" s="31">
        <f t="shared" si="22"/>
        <v>0</v>
      </c>
      <c r="W39" s="31">
        <f t="shared" si="23"/>
        <v>2217.6500000000015</v>
      </c>
      <c r="X39" s="33">
        <f>52217.65-50000</f>
        <v>2217.6500000000015</v>
      </c>
      <c r="Y39" s="37">
        <f t="shared" si="4"/>
        <v>1.6611800000000017</v>
      </c>
      <c r="Z39" s="36">
        <f>'[1]STA CLARA'!$G39</f>
        <v>833.33333333333337</v>
      </c>
      <c r="AA39" s="31">
        <f t="shared" si="24"/>
        <v>730.91666666666674</v>
      </c>
      <c r="AB39" s="31">
        <f t="shared" si="25"/>
        <v>102.41666666666667</v>
      </c>
      <c r="AC39" s="31">
        <f t="shared" si="26"/>
        <v>0</v>
      </c>
      <c r="AD39" s="31">
        <f t="shared" si="27"/>
        <v>6353.18</v>
      </c>
      <c r="AE39" s="33">
        <f>6353.18</f>
        <v>6353.18</v>
      </c>
      <c r="AF39" s="37">
        <f t="shared" si="5"/>
        <v>6.6238159999999997</v>
      </c>
      <c r="AG39" s="36">
        <f>'[1]STA CLARA'!$H39</f>
        <v>833.33333333333337</v>
      </c>
      <c r="AH39" s="31">
        <f t="shared" si="28"/>
        <v>730.91666666666674</v>
      </c>
      <c r="AI39" s="31">
        <f t="shared" si="29"/>
        <v>102.41666666666667</v>
      </c>
      <c r="AJ39" s="31">
        <f t="shared" si="30"/>
        <v>0</v>
      </c>
      <c r="AK39" s="31">
        <f t="shared" si="31"/>
        <v>2279.15</v>
      </c>
      <c r="AL39" s="33">
        <f>2279.15</f>
        <v>2279.15</v>
      </c>
      <c r="AM39" s="37">
        <f t="shared" si="6"/>
        <v>1.7349800000000002</v>
      </c>
      <c r="AN39" s="36">
        <f>'[1]STA CLARA'!$I39</f>
        <v>833.33333333333337</v>
      </c>
      <c r="AO39" s="31">
        <f t="shared" si="32"/>
        <v>730.91666666666674</v>
      </c>
      <c r="AP39" s="31">
        <f t="shared" si="33"/>
        <v>102.41666666666667</v>
      </c>
      <c r="AQ39" s="31">
        <f t="shared" si="34"/>
        <v>0</v>
      </c>
      <c r="AR39" s="31">
        <f t="shared" si="35"/>
        <v>0</v>
      </c>
      <c r="AS39" s="27"/>
      <c r="AT39" s="37">
        <f t="shared" si="7"/>
        <v>-1</v>
      </c>
      <c r="AU39" s="36">
        <f>'[1]STA CLARA'!$J39</f>
        <v>833.33333333333337</v>
      </c>
      <c r="AV39" s="31">
        <f t="shared" si="36"/>
        <v>730.91666666666674</v>
      </c>
      <c r="AW39" s="31">
        <f t="shared" si="37"/>
        <v>102.41666666666667</v>
      </c>
      <c r="AX39" s="31">
        <f t="shared" si="38"/>
        <v>0</v>
      </c>
      <c r="AY39" s="31">
        <f t="shared" si="39"/>
        <v>0</v>
      </c>
      <c r="AZ39" s="27"/>
      <c r="BA39" s="37">
        <f t="shared" si="8"/>
        <v>-1</v>
      </c>
      <c r="BB39" s="36">
        <f>'[1]STA CLARA'!$K39</f>
        <v>833.33333333333337</v>
      </c>
      <c r="BC39" s="31">
        <f t="shared" si="40"/>
        <v>730.91666666666674</v>
      </c>
      <c r="BD39" s="31">
        <f t="shared" si="41"/>
        <v>102.41666666666667</v>
      </c>
      <c r="BE39" s="31">
        <f t="shared" si="42"/>
        <v>0</v>
      </c>
      <c r="BF39" s="31">
        <f t="shared" si="43"/>
        <v>0</v>
      </c>
      <c r="BG39" s="27"/>
      <c r="BH39" s="37">
        <f t="shared" si="9"/>
        <v>-1</v>
      </c>
      <c r="BI39" s="36">
        <f>'[1]STA CLARA'!$L39</f>
        <v>833.33333333333337</v>
      </c>
      <c r="BJ39" s="31">
        <f t="shared" si="44"/>
        <v>730.91666666666674</v>
      </c>
      <c r="BK39" s="31">
        <f t="shared" si="45"/>
        <v>102.41666666666667</v>
      </c>
      <c r="BL39" s="31">
        <f t="shared" si="46"/>
        <v>0</v>
      </c>
      <c r="BM39" s="31">
        <f t="shared" si="47"/>
        <v>0</v>
      </c>
      <c r="BN39" s="33"/>
      <c r="BO39" s="37">
        <f t="shared" si="10"/>
        <v>-1</v>
      </c>
      <c r="BP39" s="36">
        <f>'[1]STA CLARA'!$M39</f>
        <v>833.33333333333337</v>
      </c>
      <c r="BQ39" s="31">
        <f t="shared" si="48"/>
        <v>730.91666666666674</v>
      </c>
      <c r="BR39" s="31">
        <f t="shared" si="49"/>
        <v>102.41666666666667</v>
      </c>
      <c r="BS39" s="31">
        <f t="shared" si="50"/>
        <v>0</v>
      </c>
      <c r="BT39" s="31">
        <f t="shared" si="51"/>
        <v>0</v>
      </c>
      <c r="BU39" s="33"/>
      <c r="BV39" s="37">
        <f t="shared" si="11"/>
        <v>-1</v>
      </c>
      <c r="BW39" s="36">
        <f>'[1]STA CLARA'!$N39</f>
        <v>833.33333333333337</v>
      </c>
      <c r="BX39" s="31">
        <f t="shared" si="52"/>
        <v>730.91666666666674</v>
      </c>
      <c r="BY39" s="31">
        <f t="shared" si="53"/>
        <v>102.41666666666667</v>
      </c>
      <c r="BZ39" s="31">
        <f t="shared" si="54"/>
        <v>0</v>
      </c>
      <c r="CA39" s="31">
        <f t="shared" si="55"/>
        <v>0</v>
      </c>
      <c r="CB39" s="33"/>
      <c r="CC39" s="37">
        <f t="shared" si="12"/>
        <v>-1</v>
      </c>
      <c r="CD39" s="36">
        <f>'[1]STA CLARA'!$O39</f>
        <v>833.33333333333337</v>
      </c>
      <c r="CE39" s="31">
        <f t="shared" si="56"/>
        <v>730.91666666666674</v>
      </c>
      <c r="CF39" s="31">
        <f t="shared" si="57"/>
        <v>102.41666666666667</v>
      </c>
      <c r="CG39" s="31">
        <f t="shared" si="58"/>
        <v>0</v>
      </c>
      <c r="CH39" s="31">
        <f t="shared" si="59"/>
        <v>0</v>
      </c>
      <c r="CI39" s="33"/>
      <c r="CJ39" s="37">
        <f t="shared" si="13"/>
        <v>-1</v>
      </c>
      <c r="CK39" s="36">
        <f>'[1]STA CLARA'!$P39</f>
        <v>833.33333333333337</v>
      </c>
      <c r="CL39" s="31">
        <f t="shared" si="60"/>
        <v>730.91666666666674</v>
      </c>
      <c r="CM39" s="31">
        <f t="shared" si="61"/>
        <v>102.41666666666667</v>
      </c>
      <c r="CN39" s="31">
        <f t="shared" si="62"/>
        <v>0</v>
      </c>
      <c r="CO39" s="31">
        <f t="shared" si="63"/>
        <v>0</v>
      </c>
      <c r="CP39" s="33"/>
      <c r="CQ39" s="37">
        <f t="shared" si="14"/>
        <v>-1</v>
      </c>
    </row>
    <row r="40" spans="1:95" s="26" customFormat="1" ht="16" customHeight="1" x14ac:dyDescent="0.2">
      <c r="A40" s="38" t="s">
        <v>64</v>
      </c>
      <c r="B40" s="30">
        <f t="shared" si="64"/>
        <v>20000</v>
      </c>
      <c r="C40" s="31">
        <f t="shared" si="64"/>
        <v>17542.000000000004</v>
      </c>
      <c r="D40" s="32">
        <f t="shared" si="64"/>
        <v>2458</v>
      </c>
      <c r="E40" s="30">
        <f t="shared" si="66"/>
        <v>6666.666666666667</v>
      </c>
      <c r="F40" s="33">
        <f t="shared" si="66"/>
        <v>5847.3333333333339</v>
      </c>
      <c r="G40" s="34">
        <f t="shared" si="66"/>
        <v>819.33333333333337</v>
      </c>
      <c r="H40" s="31">
        <f t="shared" si="65"/>
        <v>0</v>
      </c>
      <c r="I40" s="33">
        <f t="shared" si="65"/>
        <v>3313.92</v>
      </c>
      <c r="J40" s="33">
        <f t="shared" si="65"/>
        <v>3313.92</v>
      </c>
      <c r="K40" s="37">
        <f t="shared" si="2"/>
        <v>-0.50291200000000003</v>
      </c>
      <c r="L40" s="36">
        <f>'[1]STA CLARA'!$E40</f>
        <v>1666.6666666666667</v>
      </c>
      <c r="M40" s="31">
        <f t="shared" si="16"/>
        <v>1461.8333333333335</v>
      </c>
      <c r="N40" s="31">
        <f t="shared" si="17"/>
        <v>204.83333333333334</v>
      </c>
      <c r="O40" s="31">
        <f t="shared" si="18"/>
        <v>0</v>
      </c>
      <c r="P40" s="31">
        <f t="shared" si="19"/>
        <v>2315</v>
      </c>
      <c r="Q40" s="33">
        <f>2315</f>
        <v>2315</v>
      </c>
      <c r="R40" s="37">
        <f t="shared" si="3"/>
        <v>0.38900000000000001</v>
      </c>
      <c r="S40" s="36">
        <f>'[1]STA CLARA'!$F40</f>
        <v>1666.6666666666667</v>
      </c>
      <c r="T40" s="31">
        <f t="shared" si="20"/>
        <v>1461.8333333333335</v>
      </c>
      <c r="U40" s="31">
        <f t="shared" si="21"/>
        <v>204.83333333333334</v>
      </c>
      <c r="V40" s="31">
        <f t="shared" si="22"/>
        <v>0</v>
      </c>
      <c r="W40" s="31">
        <f t="shared" si="23"/>
        <v>332.98</v>
      </c>
      <c r="X40" s="33">
        <f>332.98</f>
        <v>332.98</v>
      </c>
      <c r="Y40" s="37">
        <f t="shared" si="4"/>
        <v>-0.80021200000000003</v>
      </c>
      <c r="Z40" s="36">
        <f>'[1]STA CLARA'!$G40</f>
        <v>1666.6666666666667</v>
      </c>
      <c r="AA40" s="31">
        <f t="shared" si="24"/>
        <v>1461.8333333333335</v>
      </c>
      <c r="AB40" s="31">
        <f t="shared" si="25"/>
        <v>204.83333333333334</v>
      </c>
      <c r="AC40" s="31">
        <f t="shared" si="26"/>
        <v>0</v>
      </c>
      <c r="AD40" s="31">
        <f t="shared" si="27"/>
        <v>332.97</v>
      </c>
      <c r="AE40" s="33">
        <f>332.97</f>
        <v>332.97</v>
      </c>
      <c r="AF40" s="37">
        <f t="shared" si="5"/>
        <v>-0.80021799999999998</v>
      </c>
      <c r="AG40" s="36">
        <f>'[1]STA CLARA'!$H40</f>
        <v>1666.6666666666667</v>
      </c>
      <c r="AH40" s="31">
        <f t="shared" si="28"/>
        <v>1461.8333333333335</v>
      </c>
      <c r="AI40" s="31">
        <f t="shared" si="29"/>
        <v>204.83333333333334</v>
      </c>
      <c r="AJ40" s="31">
        <f t="shared" si="30"/>
        <v>0</v>
      </c>
      <c r="AK40" s="31">
        <f t="shared" si="31"/>
        <v>332.97</v>
      </c>
      <c r="AL40" s="33">
        <f>332.97</f>
        <v>332.97</v>
      </c>
      <c r="AM40" s="37">
        <f t="shared" si="6"/>
        <v>-0.80021799999999998</v>
      </c>
      <c r="AN40" s="36">
        <f>'[1]STA CLARA'!$I40</f>
        <v>1666.6666666666667</v>
      </c>
      <c r="AO40" s="31">
        <f t="shared" si="32"/>
        <v>1461.8333333333335</v>
      </c>
      <c r="AP40" s="31">
        <f t="shared" si="33"/>
        <v>204.83333333333334</v>
      </c>
      <c r="AQ40" s="31">
        <f t="shared" si="34"/>
        <v>0</v>
      </c>
      <c r="AR40" s="31">
        <f t="shared" si="35"/>
        <v>0</v>
      </c>
      <c r="AS40" s="27"/>
      <c r="AT40" s="37">
        <f t="shared" si="7"/>
        <v>-1</v>
      </c>
      <c r="AU40" s="36">
        <f>'[1]STA CLARA'!$J40</f>
        <v>1666.6666666666667</v>
      </c>
      <c r="AV40" s="31">
        <f t="shared" si="36"/>
        <v>1461.8333333333335</v>
      </c>
      <c r="AW40" s="31">
        <f t="shared" si="37"/>
        <v>204.83333333333334</v>
      </c>
      <c r="AX40" s="31">
        <f t="shared" si="38"/>
        <v>0</v>
      </c>
      <c r="AY40" s="31">
        <f t="shared" si="39"/>
        <v>0</v>
      </c>
      <c r="AZ40" s="27"/>
      <c r="BA40" s="37">
        <f t="shared" si="8"/>
        <v>-1</v>
      </c>
      <c r="BB40" s="36">
        <f>'[1]STA CLARA'!$K40</f>
        <v>1666.6666666666667</v>
      </c>
      <c r="BC40" s="31">
        <f t="shared" si="40"/>
        <v>1461.8333333333335</v>
      </c>
      <c r="BD40" s="31">
        <f t="shared" si="41"/>
        <v>204.83333333333334</v>
      </c>
      <c r="BE40" s="31">
        <f t="shared" si="42"/>
        <v>0</v>
      </c>
      <c r="BF40" s="31">
        <f t="shared" si="43"/>
        <v>0</v>
      </c>
      <c r="BG40" s="27"/>
      <c r="BH40" s="37">
        <f t="shared" si="9"/>
        <v>-1</v>
      </c>
      <c r="BI40" s="36">
        <f>'[1]STA CLARA'!$L40</f>
        <v>1666.6666666666667</v>
      </c>
      <c r="BJ40" s="31">
        <f t="shared" si="44"/>
        <v>1461.8333333333335</v>
      </c>
      <c r="BK40" s="31">
        <f t="shared" si="45"/>
        <v>204.83333333333334</v>
      </c>
      <c r="BL40" s="31">
        <f t="shared" si="46"/>
        <v>0</v>
      </c>
      <c r="BM40" s="31">
        <f t="shared" si="47"/>
        <v>0</v>
      </c>
      <c r="BN40" s="33"/>
      <c r="BO40" s="37">
        <f t="shared" si="10"/>
        <v>-1</v>
      </c>
      <c r="BP40" s="36">
        <f>'[1]STA CLARA'!$M40</f>
        <v>1666.6666666666667</v>
      </c>
      <c r="BQ40" s="31">
        <f t="shared" si="48"/>
        <v>1461.8333333333335</v>
      </c>
      <c r="BR40" s="31">
        <f t="shared" si="49"/>
        <v>204.83333333333334</v>
      </c>
      <c r="BS40" s="31">
        <f t="shared" si="50"/>
        <v>0</v>
      </c>
      <c r="BT40" s="31">
        <f t="shared" si="51"/>
        <v>0</v>
      </c>
      <c r="BU40" s="33"/>
      <c r="BV40" s="37">
        <f t="shared" si="11"/>
        <v>-1</v>
      </c>
      <c r="BW40" s="36">
        <f>'[1]STA CLARA'!$N40</f>
        <v>1666.6666666666667</v>
      </c>
      <c r="BX40" s="31">
        <f t="shared" si="52"/>
        <v>1461.8333333333335</v>
      </c>
      <c r="BY40" s="31">
        <f t="shared" si="53"/>
        <v>204.83333333333334</v>
      </c>
      <c r="BZ40" s="31">
        <f t="shared" si="54"/>
        <v>0</v>
      </c>
      <c r="CA40" s="31">
        <f t="shared" si="55"/>
        <v>0</v>
      </c>
      <c r="CB40" s="33"/>
      <c r="CC40" s="37">
        <f t="shared" si="12"/>
        <v>-1</v>
      </c>
      <c r="CD40" s="36">
        <f>'[1]STA CLARA'!$O40</f>
        <v>1666.6666666666667</v>
      </c>
      <c r="CE40" s="31">
        <f t="shared" si="56"/>
        <v>1461.8333333333335</v>
      </c>
      <c r="CF40" s="31">
        <f t="shared" si="57"/>
        <v>204.83333333333334</v>
      </c>
      <c r="CG40" s="31">
        <f t="shared" si="58"/>
        <v>0</v>
      </c>
      <c r="CH40" s="31">
        <f t="shared" si="59"/>
        <v>0</v>
      </c>
      <c r="CI40" s="33"/>
      <c r="CJ40" s="37">
        <f t="shared" si="13"/>
        <v>-1</v>
      </c>
      <c r="CK40" s="36">
        <f>'[1]STA CLARA'!$P40</f>
        <v>1666.6666666666667</v>
      </c>
      <c r="CL40" s="31">
        <f t="shared" si="60"/>
        <v>1461.8333333333335</v>
      </c>
      <c r="CM40" s="31">
        <f t="shared" si="61"/>
        <v>204.83333333333334</v>
      </c>
      <c r="CN40" s="31">
        <f t="shared" si="62"/>
        <v>0</v>
      </c>
      <c r="CO40" s="31">
        <f t="shared" si="63"/>
        <v>0</v>
      </c>
      <c r="CP40" s="33"/>
      <c r="CQ40" s="37">
        <f t="shared" si="14"/>
        <v>-1</v>
      </c>
    </row>
    <row r="41" spans="1:95" s="26" customFormat="1" ht="16" customHeight="1" x14ac:dyDescent="0.2">
      <c r="A41" s="29" t="s">
        <v>65</v>
      </c>
      <c r="B41" s="30">
        <f t="shared" si="64"/>
        <v>327000</v>
      </c>
      <c r="C41" s="31">
        <f t="shared" si="64"/>
        <v>286811.7</v>
      </c>
      <c r="D41" s="32">
        <f t="shared" si="64"/>
        <v>40188.30000000001</v>
      </c>
      <c r="E41" s="30">
        <f t="shared" si="66"/>
        <v>109000</v>
      </c>
      <c r="F41" s="33">
        <f t="shared" si="66"/>
        <v>95603.9</v>
      </c>
      <c r="G41" s="34">
        <f t="shared" si="66"/>
        <v>13396.1</v>
      </c>
      <c r="H41" s="31">
        <f t="shared" si="65"/>
        <v>0</v>
      </c>
      <c r="I41" s="33">
        <f t="shared" si="65"/>
        <v>109000</v>
      </c>
      <c r="J41" s="33">
        <f t="shared" si="65"/>
        <v>109000</v>
      </c>
      <c r="K41" s="37">
        <f t="shared" si="2"/>
        <v>0</v>
      </c>
      <c r="L41" s="46">
        <f>'[1]STA CLARA'!$E41</f>
        <v>27250</v>
      </c>
      <c r="M41" s="47">
        <f t="shared" si="16"/>
        <v>23900.974999999999</v>
      </c>
      <c r="N41" s="47">
        <f t="shared" si="17"/>
        <v>3349.0250000000001</v>
      </c>
      <c r="O41" s="47">
        <f t="shared" si="18"/>
        <v>0</v>
      </c>
      <c r="P41" s="47">
        <f t="shared" si="19"/>
        <v>27250</v>
      </c>
      <c r="Q41" s="45">
        <v>27250</v>
      </c>
      <c r="R41" s="37">
        <f t="shared" si="3"/>
        <v>0</v>
      </c>
      <c r="S41" s="46">
        <f>'[1]STA CLARA'!$F41</f>
        <v>27250</v>
      </c>
      <c r="T41" s="47">
        <f t="shared" si="20"/>
        <v>23900.974999999999</v>
      </c>
      <c r="U41" s="47">
        <f t="shared" si="21"/>
        <v>3349.0250000000001</v>
      </c>
      <c r="V41" s="47">
        <f t="shared" si="22"/>
        <v>0</v>
      </c>
      <c r="W41" s="47">
        <f t="shared" si="23"/>
        <v>27250</v>
      </c>
      <c r="X41" s="45">
        <v>27250</v>
      </c>
      <c r="Y41" s="37">
        <f t="shared" si="4"/>
        <v>0</v>
      </c>
      <c r="Z41" s="46">
        <f>'[1]STA CLARA'!$G41</f>
        <v>27250</v>
      </c>
      <c r="AA41" s="47">
        <f t="shared" si="24"/>
        <v>23900.974999999999</v>
      </c>
      <c r="AB41" s="47">
        <f t="shared" si="25"/>
        <v>3349.0250000000001</v>
      </c>
      <c r="AC41" s="47">
        <f t="shared" si="26"/>
        <v>0</v>
      </c>
      <c r="AD41" s="47">
        <f t="shared" si="27"/>
        <v>27250</v>
      </c>
      <c r="AE41" s="45">
        <v>27250</v>
      </c>
      <c r="AF41" s="37">
        <f t="shared" si="5"/>
        <v>0</v>
      </c>
      <c r="AG41" s="46">
        <f>'[1]STA CLARA'!$H41</f>
        <v>27250</v>
      </c>
      <c r="AH41" s="47">
        <f t="shared" si="28"/>
        <v>23900.974999999999</v>
      </c>
      <c r="AI41" s="47">
        <f t="shared" si="29"/>
        <v>3349.0250000000001</v>
      </c>
      <c r="AJ41" s="47">
        <f t="shared" si="30"/>
        <v>0</v>
      </c>
      <c r="AK41" s="47">
        <f t="shared" si="31"/>
        <v>27250</v>
      </c>
      <c r="AL41" s="45">
        <v>27250</v>
      </c>
      <c r="AM41" s="37">
        <f t="shared" si="6"/>
        <v>0</v>
      </c>
      <c r="AN41" s="46">
        <f>'[1]STA CLARA'!$I41</f>
        <v>27250</v>
      </c>
      <c r="AO41" s="47">
        <f t="shared" si="32"/>
        <v>23900.974999999999</v>
      </c>
      <c r="AP41" s="47">
        <f t="shared" si="33"/>
        <v>3349.0250000000001</v>
      </c>
      <c r="AQ41" s="47">
        <f t="shared" si="34"/>
        <v>0</v>
      </c>
      <c r="AR41" s="47">
        <f t="shared" si="35"/>
        <v>0</v>
      </c>
      <c r="AS41" s="48"/>
      <c r="AT41" s="37">
        <f t="shared" si="7"/>
        <v>-1</v>
      </c>
      <c r="AU41" s="46">
        <f>'[1]STA CLARA'!$J41</f>
        <v>27250</v>
      </c>
      <c r="AV41" s="47">
        <f t="shared" si="36"/>
        <v>23900.974999999999</v>
      </c>
      <c r="AW41" s="47">
        <f t="shared" si="37"/>
        <v>3349.0250000000001</v>
      </c>
      <c r="AX41" s="47">
        <f t="shared" si="38"/>
        <v>0</v>
      </c>
      <c r="AY41" s="47">
        <f t="shared" si="39"/>
        <v>0</v>
      </c>
      <c r="AZ41" s="48"/>
      <c r="BA41" s="37">
        <f t="shared" si="8"/>
        <v>-1</v>
      </c>
      <c r="BB41" s="46">
        <f>'[1]STA CLARA'!$K41</f>
        <v>27250</v>
      </c>
      <c r="BC41" s="47">
        <f t="shared" si="40"/>
        <v>23900.974999999999</v>
      </c>
      <c r="BD41" s="47">
        <f t="shared" si="41"/>
        <v>3349.0250000000001</v>
      </c>
      <c r="BE41" s="47">
        <f t="shared" si="42"/>
        <v>0</v>
      </c>
      <c r="BF41" s="47">
        <f t="shared" si="43"/>
        <v>0</v>
      </c>
      <c r="BG41" s="48"/>
      <c r="BH41" s="37">
        <f t="shared" si="9"/>
        <v>-1</v>
      </c>
      <c r="BI41" s="46">
        <f>'[1]STA CLARA'!$L41</f>
        <v>27250</v>
      </c>
      <c r="BJ41" s="47">
        <f t="shared" si="44"/>
        <v>23900.974999999999</v>
      </c>
      <c r="BK41" s="47">
        <f t="shared" si="45"/>
        <v>3349.0250000000001</v>
      </c>
      <c r="BL41" s="47">
        <f t="shared" si="46"/>
        <v>0</v>
      </c>
      <c r="BM41" s="47">
        <f t="shared" si="47"/>
        <v>0</v>
      </c>
      <c r="BN41" s="46"/>
      <c r="BO41" s="37">
        <f t="shared" si="10"/>
        <v>-1</v>
      </c>
      <c r="BP41" s="46">
        <f>'[1]STA CLARA'!$M41</f>
        <v>27250</v>
      </c>
      <c r="BQ41" s="47">
        <f t="shared" si="48"/>
        <v>23900.974999999999</v>
      </c>
      <c r="BR41" s="47">
        <f t="shared" si="49"/>
        <v>3349.0250000000001</v>
      </c>
      <c r="BS41" s="47">
        <f t="shared" si="50"/>
        <v>0</v>
      </c>
      <c r="BT41" s="47">
        <f t="shared" si="51"/>
        <v>0</v>
      </c>
      <c r="BU41" s="45"/>
      <c r="BV41" s="37">
        <f t="shared" si="11"/>
        <v>-1</v>
      </c>
      <c r="BW41" s="46">
        <f>'[1]STA CLARA'!$N41</f>
        <v>27250</v>
      </c>
      <c r="BX41" s="47">
        <f t="shared" si="52"/>
        <v>23900.974999999999</v>
      </c>
      <c r="BY41" s="47">
        <f t="shared" si="53"/>
        <v>3349.0250000000001</v>
      </c>
      <c r="BZ41" s="47">
        <f t="shared" si="54"/>
        <v>0</v>
      </c>
      <c r="CA41" s="47">
        <f t="shared" si="55"/>
        <v>0</v>
      </c>
      <c r="CB41" s="45"/>
      <c r="CC41" s="37">
        <f t="shared" si="12"/>
        <v>-1</v>
      </c>
      <c r="CD41" s="46">
        <f>'[1]STA CLARA'!$O41</f>
        <v>27250</v>
      </c>
      <c r="CE41" s="47">
        <f t="shared" si="56"/>
        <v>23900.974999999999</v>
      </c>
      <c r="CF41" s="47">
        <f t="shared" si="57"/>
        <v>3349.0250000000001</v>
      </c>
      <c r="CG41" s="47">
        <f t="shared" si="58"/>
        <v>0</v>
      </c>
      <c r="CH41" s="47">
        <f t="shared" si="59"/>
        <v>0</v>
      </c>
      <c r="CI41" s="45"/>
      <c r="CJ41" s="37">
        <f t="shared" si="13"/>
        <v>-1</v>
      </c>
      <c r="CK41" s="46">
        <f>'[1]STA CLARA'!$P41</f>
        <v>27250</v>
      </c>
      <c r="CL41" s="47">
        <f t="shared" si="60"/>
        <v>23900.974999999999</v>
      </c>
      <c r="CM41" s="47">
        <f t="shared" si="61"/>
        <v>3349.0250000000001</v>
      </c>
      <c r="CN41" s="47">
        <f t="shared" si="62"/>
        <v>0</v>
      </c>
      <c r="CO41" s="47">
        <f t="shared" si="63"/>
        <v>0</v>
      </c>
      <c r="CP41" s="46"/>
      <c r="CQ41" s="37">
        <f t="shared" si="14"/>
        <v>-1</v>
      </c>
    </row>
    <row r="42" spans="1:95" s="26" customFormat="1" ht="16" customHeight="1" x14ac:dyDescent="0.2">
      <c r="A42" s="29" t="s">
        <v>66</v>
      </c>
      <c r="B42" s="30">
        <f t="shared" si="64"/>
        <v>519649.99999999994</v>
      </c>
      <c r="C42" s="31">
        <f t="shared" si="64"/>
        <v>455785.0149999999</v>
      </c>
      <c r="D42" s="32">
        <f t="shared" si="64"/>
        <v>63864.984999999986</v>
      </c>
      <c r="E42" s="30">
        <f t="shared" si="66"/>
        <v>41571.999999999993</v>
      </c>
      <c r="F42" s="33">
        <f t="shared" si="66"/>
        <v>36462.801199999994</v>
      </c>
      <c r="G42" s="34">
        <f t="shared" si="66"/>
        <v>5109.1987999999992</v>
      </c>
      <c r="H42" s="31">
        <f t="shared" si="65"/>
        <v>0</v>
      </c>
      <c r="I42" s="33">
        <f t="shared" si="65"/>
        <v>40176.800000000003</v>
      </c>
      <c r="J42" s="33">
        <f t="shared" si="65"/>
        <v>40176.800000000003</v>
      </c>
      <c r="K42" s="37">
        <f t="shared" si="2"/>
        <v>-3.3561050707206497E-2</v>
      </c>
      <c r="L42" s="36">
        <f>'[1]STA CLARA'!$E42</f>
        <v>0</v>
      </c>
      <c r="M42" s="31">
        <f t="shared" si="16"/>
        <v>0</v>
      </c>
      <c r="N42" s="31">
        <f t="shared" si="17"/>
        <v>0</v>
      </c>
      <c r="O42" s="31">
        <f t="shared" si="18"/>
        <v>0</v>
      </c>
      <c r="P42" s="31">
        <f t="shared" si="19"/>
        <v>0</v>
      </c>
      <c r="Q42" s="33"/>
      <c r="R42" s="37" t="str">
        <f t="shared" si="3"/>
        <v/>
      </c>
      <c r="S42" s="36">
        <f>'[1]STA CLARA'!$F42</f>
        <v>0</v>
      </c>
      <c r="T42" s="31">
        <f t="shared" si="20"/>
        <v>0</v>
      </c>
      <c r="U42" s="31">
        <f t="shared" si="21"/>
        <v>0</v>
      </c>
      <c r="V42" s="31">
        <f t="shared" si="22"/>
        <v>0</v>
      </c>
      <c r="W42" s="31">
        <f t="shared" si="23"/>
        <v>0</v>
      </c>
      <c r="X42" s="33"/>
      <c r="Y42" s="37" t="str">
        <f t="shared" si="4"/>
        <v/>
      </c>
      <c r="Z42" s="36">
        <f>'[1]STA CLARA'!$G42</f>
        <v>41571.999999999993</v>
      </c>
      <c r="AA42" s="31">
        <f t="shared" si="24"/>
        <v>36462.801199999994</v>
      </c>
      <c r="AB42" s="31">
        <f t="shared" si="25"/>
        <v>5109.1987999999992</v>
      </c>
      <c r="AC42" s="31">
        <f t="shared" si="26"/>
        <v>0</v>
      </c>
      <c r="AD42" s="31">
        <f t="shared" si="27"/>
        <v>40176.800000000003</v>
      </c>
      <c r="AE42" s="33">
        <f>40176.8</f>
        <v>40176.800000000003</v>
      </c>
      <c r="AF42" s="37">
        <f t="shared" si="5"/>
        <v>-3.3561050707206497E-2</v>
      </c>
      <c r="AG42" s="36">
        <f>'[1]STA CLARA'!$H42</f>
        <v>0</v>
      </c>
      <c r="AH42" s="31">
        <f t="shared" si="28"/>
        <v>0</v>
      </c>
      <c r="AI42" s="31">
        <f t="shared" si="29"/>
        <v>0</v>
      </c>
      <c r="AJ42" s="31">
        <f t="shared" si="30"/>
        <v>0</v>
      </c>
      <c r="AK42" s="31">
        <f t="shared" si="31"/>
        <v>0</v>
      </c>
      <c r="AL42" s="33"/>
      <c r="AM42" s="37" t="str">
        <f t="shared" si="6"/>
        <v/>
      </c>
      <c r="AN42" s="36">
        <f>'[1]STA CLARA'!$I42</f>
        <v>436505.99999999994</v>
      </c>
      <c r="AO42" s="31">
        <f t="shared" si="32"/>
        <v>382859.41259999992</v>
      </c>
      <c r="AP42" s="31">
        <f t="shared" si="33"/>
        <v>53646.587399999989</v>
      </c>
      <c r="AQ42" s="31">
        <f t="shared" si="34"/>
        <v>0</v>
      </c>
      <c r="AR42" s="31">
        <f t="shared" si="35"/>
        <v>0</v>
      </c>
      <c r="AS42" s="27"/>
      <c r="AT42" s="37">
        <f t="shared" si="7"/>
        <v>-1</v>
      </c>
      <c r="AU42" s="36">
        <f>'[1]STA CLARA'!$J42</f>
        <v>0</v>
      </c>
      <c r="AV42" s="31">
        <f t="shared" si="36"/>
        <v>0</v>
      </c>
      <c r="AW42" s="31">
        <f t="shared" si="37"/>
        <v>0</v>
      </c>
      <c r="AX42" s="31">
        <f t="shared" si="38"/>
        <v>0</v>
      </c>
      <c r="AY42" s="31">
        <f t="shared" si="39"/>
        <v>0</v>
      </c>
      <c r="AZ42" s="27"/>
      <c r="BA42" s="37" t="str">
        <f t="shared" si="8"/>
        <v/>
      </c>
      <c r="BB42" s="36">
        <f>'[1]STA CLARA'!$K42</f>
        <v>0</v>
      </c>
      <c r="BC42" s="31">
        <f t="shared" si="40"/>
        <v>0</v>
      </c>
      <c r="BD42" s="31">
        <f t="shared" si="41"/>
        <v>0</v>
      </c>
      <c r="BE42" s="31">
        <f t="shared" si="42"/>
        <v>0</v>
      </c>
      <c r="BF42" s="31">
        <f t="shared" si="43"/>
        <v>0</v>
      </c>
      <c r="BG42" s="27"/>
      <c r="BH42" s="37" t="str">
        <f t="shared" si="9"/>
        <v/>
      </c>
      <c r="BI42" s="36">
        <f>'[1]STA CLARA'!$L42</f>
        <v>0</v>
      </c>
      <c r="BJ42" s="31">
        <f t="shared" si="44"/>
        <v>0</v>
      </c>
      <c r="BK42" s="31">
        <f t="shared" si="45"/>
        <v>0</v>
      </c>
      <c r="BL42" s="31">
        <f t="shared" si="46"/>
        <v>0</v>
      </c>
      <c r="BM42" s="31">
        <f t="shared" si="47"/>
        <v>0</v>
      </c>
      <c r="BN42" s="33"/>
      <c r="BO42" s="37" t="str">
        <f t="shared" si="10"/>
        <v/>
      </c>
      <c r="BP42" s="36">
        <f>'[1]STA CLARA'!$M42</f>
        <v>41571.999999999993</v>
      </c>
      <c r="BQ42" s="31">
        <f t="shared" si="48"/>
        <v>36462.801199999994</v>
      </c>
      <c r="BR42" s="31">
        <f t="shared" si="49"/>
        <v>5109.1987999999992</v>
      </c>
      <c r="BS42" s="31">
        <f t="shared" si="50"/>
        <v>0</v>
      </c>
      <c r="BT42" s="31">
        <f t="shared" si="51"/>
        <v>0</v>
      </c>
      <c r="BU42" s="33"/>
      <c r="BV42" s="37">
        <f t="shared" si="11"/>
        <v>-1</v>
      </c>
      <c r="BW42" s="36">
        <f>'[1]STA CLARA'!$N42</f>
        <v>0</v>
      </c>
      <c r="BX42" s="31">
        <f t="shared" si="52"/>
        <v>0</v>
      </c>
      <c r="BY42" s="31">
        <f t="shared" si="53"/>
        <v>0</v>
      </c>
      <c r="BZ42" s="31">
        <f t="shared" si="54"/>
        <v>0</v>
      </c>
      <c r="CA42" s="31">
        <f t="shared" si="55"/>
        <v>0</v>
      </c>
      <c r="CB42" s="33"/>
      <c r="CC42" s="37" t="str">
        <f t="shared" si="12"/>
        <v/>
      </c>
      <c r="CD42" s="36">
        <f>'[1]STA CLARA'!$O42</f>
        <v>0</v>
      </c>
      <c r="CE42" s="31">
        <f t="shared" si="56"/>
        <v>0</v>
      </c>
      <c r="CF42" s="31">
        <f t="shared" si="57"/>
        <v>0</v>
      </c>
      <c r="CG42" s="31">
        <f t="shared" si="58"/>
        <v>0</v>
      </c>
      <c r="CH42" s="31">
        <f t="shared" si="59"/>
        <v>0</v>
      </c>
      <c r="CI42" s="33"/>
      <c r="CJ42" s="37" t="str">
        <f t="shared" si="13"/>
        <v/>
      </c>
      <c r="CK42" s="36">
        <f>'[1]STA CLARA'!$P42</f>
        <v>0</v>
      </c>
      <c r="CL42" s="31">
        <f t="shared" si="60"/>
        <v>0</v>
      </c>
      <c r="CM42" s="31">
        <f t="shared" si="61"/>
        <v>0</v>
      </c>
      <c r="CN42" s="31">
        <f t="shared" si="62"/>
        <v>0</v>
      </c>
      <c r="CO42" s="31">
        <f t="shared" si="63"/>
        <v>0</v>
      </c>
      <c r="CP42" s="33"/>
      <c r="CQ42" s="37" t="str">
        <f t="shared" si="14"/>
        <v/>
      </c>
    </row>
    <row r="43" spans="1:95" s="26" customFormat="1" ht="16" customHeight="1" x14ac:dyDescent="0.2">
      <c r="A43" s="38" t="s">
        <v>67</v>
      </c>
      <c r="B43" s="30">
        <f t="shared" si="64"/>
        <v>45570</v>
      </c>
      <c r="C43" s="31">
        <f t="shared" si="64"/>
        <v>39969.447000000007</v>
      </c>
      <c r="D43" s="32">
        <f t="shared" si="64"/>
        <v>5600.552999999999</v>
      </c>
      <c r="E43" s="30">
        <f t="shared" si="66"/>
        <v>15190</v>
      </c>
      <c r="F43" s="33">
        <f t="shared" si="66"/>
        <v>13323.148999999999</v>
      </c>
      <c r="G43" s="34">
        <f t="shared" si="66"/>
        <v>1866.8509999999999</v>
      </c>
      <c r="H43" s="31">
        <f t="shared" si="65"/>
        <v>0</v>
      </c>
      <c r="I43" s="33">
        <f t="shared" si="65"/>
        <v>17026.8</v>
      </c>
      <c r="J43" s="33">
        <f t="shared" si="65"/>
        <v>17026.8</v>
      </c>
      <c r="K43" s="37">
        <f t="shared" si="2"/>
        <v>0.12092165898617502</v>
      </c>
      <c r="L43" s="36">
        <f>'[1]STA CLARA'!$E43</f>
        <v>3797.5</v>
      </c>
      <c r="M43" s="31">
        <f t="shared" si="16"/>
        <v>3330.7872499999999</v>
      </c>
      <c r="N43" s="31">
        <f t="shared" si="17"/>
        <v>466.71274999999997</v>
      </c>
      <c r="O43" s="31">
        <f t="shared" si="18"/>
        <v>0</v>
      </c>
      <c r="P43" s="31">
        <f t="shared" si="19"/>
        <v>4575.17</v>
      </c>
      <c r="Q43" s="33">
        <f>4575.17</f>
        <v>4575.17</v>
      </c>
      <c r="R43" s="37">
        <f t="shared" si="3"/>
        <v>0.20478472679394333</v>
      </c>
      <c r="S43" s="36">
        <f>'[1]STA CLARA'!$F43</f>
        <v>3797.5</v>
      </c>
      <c r="T43" s="31">
        <f t="shared" si="20"/>
        <v>3330.7872499999999</v>
      </c>
      <c r="U43" s="31">
        <f t="shared" si="21"/>
        <v>466.71274999999997</v>
      </c>
      <c r="V43" s="31">
        <f t="shared" si="22"/>
        <v>0</v>
      </c>
      <c r="W43" s="31">
        <f t="shared" si="23"/>
        <v>3913.2</v>
      </c>
      <c r="X43" s="33">
        <f>3913.2</f>
        <v>3913.2</v>
      </c>
      <c r="Y43" s="37">
        <f t="shared" si="4"/>
        <v>3.0467412771560287E-2</v>
      </c>
      <c r="Z43" s="36">
        <f>'[1]STA CLARA'!$G43</f>
        <v>3797.5</v>
      </c>
      <c r="AA43" s="31">
        <f t="shared" si="24"/>
        <v>3330.7872499999999</v>
      </c>
      <c r="AB43" s="31">
        <f t="shared" si="25"/>
        <v>466.71274999999997</v>
      </c>
      <c r="AC43" s="31">
        <f t="shared" si="26"/>
        <v>0</v>
      </c>
      <c r="AD43" s="31">
        <f t="shared" si="27"/>
        <v>4099.2</v>
      </c>
      <c r="AE43" s="33">
        <f>4099.2</f>
        <v>4099.2</v>
      </c>
      <c r="AF43" s="37">
        <f t="shared" si="5"/>
        <v>7.9447004608294902E-2</v>
      </c>
      <c r="AG43" s="36">
        <f>'[1]STA CLARA'!$H43</f>
        <v>3797.5</v>
      </c>
      <c r="AH43" s="31">
        <f t="shared" si="28"/>
        <v>3330.7872499999999</v>
      </c>
      <c r="AI43" s="31">
        <f t="shared" si="29"/>
        <v>466.71274999999997</v>
      </c>
      <c r="AJ43" s="31">
        <f t="shared" si="30"/>
        <v>0</v>
      </c>
      <c r="AK43" s="31">
        <f t="shared" si="31"/>
        <v>4439.2299999999996</v>
      </c>
      <c r="AL43" s="33">
        <f>4439.23</f>
        <v>4439.2299999999996</v>
      </c>
      <c r="AM43" s="37">
        <f t="shared" si="6"/>
        <v>0.16898749177090178</v>
      </c>
      <c r="AN43" s="36">
        <f>'[1]STA CLARA'!$I43</f>
        <v>3797.5</v>
      </c>
      <c r="AO43" s="31">
        <f t="shared" si="32"/>
        <v>3330.7872499999999</v>
      </c>
      <c r="AP43" s="31">
        <f t="shared" si="33"/>
        <v>466.71274999999997</v>
      </c>
      <c r="AQ43" s="31">
        <f t="shared" si="34"/>
        <v>0</v>
      </c>
      <c r="AR43" s="31">
        <f t="shared" si="35"/>
        <v>0</v>
      </c>
      <c r="AS43" s="27"/>
      <c r="AT43" s="37">
        <f t="shared" si="7"/>
        <v>-1</v>
      </c>
      <c r="AU43" s="36">
        <f>'[1]STA CLARA'!$J43</f>
        <v>3797.5</v>
      </c>
      <c r="AV43" s="31">
        <f t="shared" si="36"/>
        <v>3330.7872499999999</v>
      </c>
      <c r="AW43" s="31">
        <f t="shared" si="37"/>
        <v>466.71274999999997</v>
      </c>
      <c r="AX43" s="31">
        <f t="shared" si="38"/>
        <v>0</v>
      </c>
      <c r="AY43" s="31">
        <f t="shared" si="39"/>
        <v>0</v>
      </c>
      <c r="AZ43" s="27"/>
      <c r="BA43" s="37">
        <f t="shared" si="8"/>
        <v>-1</v>
      </c>
      <c r="BB43" s="36">
        <f>'[1]STA CLARA'!$K43</f>
        <v>3797.5</v>
      </c>
      <c r="BC43" s="31">
        <f t="shared" si="40"/>
        <v>3330.7872499999999</v>
      </c>
      <c r="BD43" s="31">
        <f t="shared" si="41"/>
        <v>466.71274999999997</v>
      </c>
      <c r="BE43" s="31">
        <f t="shared" si="42"/>
        <v>0</v>
      </c>
      <c r="BF43" s="31">
        <f t="shared" si="43"/>
        <v>0</v>
      </c>
      <c r="BG43" s="27"/>
      <c r="BH43" s="37">
        <f t="shared" si="9"/>
        <v>-1</v>
      </c>
      <c r="BI43" s="36">
        <f>'[1]STA CLARA'!$L43</f>
        <v>3797.5</v>
      </c>
      <c r="BJ43" s="31">
        <f t="shared" si="44"/>
        <v>3330.7872499999999</v>
      </c>
      <c r="BK43" s="31">
        <f t="shared" si="45"/>
        <v>466.71274999999997</v>
      </c>
      <c r="BL43" s="31">
        <f t="shared" si="46"/>
        <v>0</v>
      </c>
      <c r="BM43" s="31">
        <f t="shared" si="47"/>
        <v>0</v>
      </c>
      <c r="BN43" s="33"/>
      <c r="BO43" s="37">
        <f t="shared" si="10"/>
        <v>-1</v>
      </c>
      <c r="BP43" s="36">
        <f>'[1]STA CLARA'!$M43</f>
        <v>3797.5</v>
      </c>
      <c r="BQ43" s="31">
        <f t="shared" si="48"/>
        <v>3330.7872499999999</v>
      </c>
      <c r="BR43" s="31">
        <f t="shared" si="49"/>
        <v>466.71274999999997</v>
      </c>
      <c r="BS43" s="31">
        <f t="shared" si="50"/>
        <v>0</v>
      </c>
      <c r="BT43" s="31">
        <f t="shared" si="51"/>
        <v>0</v>
      </c>
      <c r="BU43" s="33"/>
      <c r="BV43" s="37">
        <f t="shared" si="11"/>
        <v>-1</v>
      </c>
      <c r="BW43" s="36">
        <f>'[1]STA CLARA'!$N43</f>
        <v>3797.5</v>
      </c>
      <c r="BX43" s="31">
        <f t="shared" si="52"/>
        <v>3330.7872499999999</v>
      </c>
      <c r="BY43" s="31">
        <f t="shared" si="53"/>
        <v>466.71274999999997</v>
      </c>
      <c r="BZ43" s="31">
        <f t="shared" si="54"/>
        <v>0</v>
      </c>
      <c r="CA43" s="31">
        <f t="shared" si="55"/>
        <v>0</v>
      </c>
      <c r="CB43" s="33"/>
      <c r="CC43" s="37">
        <f t="shared" si="12"/>
        <v>-1</v>
      </c>
      <c r="CD43" s="36">
        <f>'[1]STA CLARA'!$O43</f>
        <v>3797.5</v>
      </c>
      <c r="CE43" s="31">
        <f t="shared" si="56"/>
        <v>3330.7872499999999</v>
      </c>
      <c r="CF43" s="31">
        <f t="shared" si="57"/>
        <v>466.71274999999997</v>
      </c>
      <c r="CG43" s="31">
        <f t="shared" si="58"/>
        <v>0</v>
      </c>
      <c r="CH43" s="31">
        <f t="shared" si="59"/>
        <v>0</v>
      </c>
      <c r="CI43" s="33"/>
      <c r="CJ43" s="37">
        <f t="shared" si="13"/>
        <v>-1</v>
      </c>
      <c r="CK43" s="36">
        <f>'[1]STA CLARA'!$P43</f>
        <v>3797.5</v>
      </c>
      <c r="CL43" s="31">
        <f t="shared" si="60"/>
        <v>3330.7872499999999</v>
      </c>
      <c r="CM43" s="31">
        <f t="shared" si="61"/>
        <v>466.71274999999997</v>
      </c>
      <c r="CN43" s="31">
        <f t="shared" si="62"/>
        <v>0</v>
      </c>
      <c r="CO43" s="31">
        <f t="shared" si="63"/>
        <v>0</v>
      </c>
      <c r="CP43" s="33"/>
      <c r="CQ43" s="37">
        <f t="shared" si="14"/>
        <v>-1</v>
      </c>
    </row>
    <row r="44" spans="1:95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'[1]STA CLARA'!$E44</f>
        <v>0</v>
      </c>
      <c r="M44" s="31">
        <f t="shared" si="16"/>
        <v>0</v>
      </c>
      <c r="N44" s="31">
        <f t="shared" si="17"/>
        <v>0</v>
      </c>
      <c r="O44" s="31">
        <f t="shared" si="18"/>
        <v>0</v>
      </c>
      <c r="P44" s="31">
        <f t="shared" si="19"/>
        <v>0</v>
      </c>
      <c r="Q44" s="33"/>
      <c r="R44" s="37" t="str">
        <f t="shared" si="3"/>
        <v/>
      </c>
      <c r="S44" s="36">
        <f>'[1]STA CLARA'!$F44</f>
        <v>0</v>
      </c>
      <c r="T44" s="31">
        <f t="shared" si="20"/>
        <v>0</v>
      </c>
      <c r="U44" s="31">
        <f t="shared" si="21"/>
        <v>0</v>
      </c>
      <c r="V44" s="31">
        <f t="shared" si="22"/>
        <v>0</v>
      </c>
      <c r="W44" s="31">
        <f t="shared" si="23"/>
        <v>0</v>
      </c>
      <c r="X44" s="33"/>
      <c r="Y44" s="37" t="str">
        <f t="shared" si="4"/>
        <v/>
      </c>
      <c r="Z44" s="36">
        <f>'[1]STA CLARA'!$G44</f>
        <v>0</v>
      </c>
      <c r="AA44" s="31">
        <f t="shared" si="24"/>
        <v>0</v>
      </c>
      <c r="AB44" s="31">
        <f t="shared" si="25"/>
        <v>0</v>
      </c>
      <c r="AC44" s="31">
        <f t="shared" si="26"/>
        <v>0</v>
      </c>
      <c r="AD44" s="31">
        <f t="shared" si="27"/>
        <v>0</v>
      </c>
      <c r="AE44" s="27"/>
      <c r="AF44" s="37" t="str">
        <f t="shared" si="5"/>
        <v/>
      </c>
      <c r="AG44" s="36">
        <f>'[1]STA CLARA'!$H44</f>
        <v>0</v>
      </c>
      <c r="AH44" s="31">
        <f t="shared" si="28"/>
        <v>0</v>
      </c>
      <c r="AI44" s="31">
        <f t="shared" si="29"/>
        <v>0</v>
      </c>
      <c r="AJ44" s="31">
        <f t="shared" si="30"/>
        <v>0</v>
      </c>
      <c r="AK44" s="31">
        <f t="shared" si="31"/>
        <v>0</v>
      </c>
      <c r="AL44" s="33"/>
      <c r="AM44" s="37" t="str">
        <f t="shared" si="6"/>
        <v/>
      </c>
      <c r="AN44" s="36">
        <f>'[1]STA CLARA'!$I44</f>
        <v>0</v>
      </c>
      <c r="AO44" s="31">
        <f t="shared" si="32"/>
        <v>0</v>
      </c>
      <c r="AP44" s="31">
        <f t="shared" si="33"/>
        <v>0</v>
      </c>
      <c r="AQ44" s="31">
        <f t="shared" si="34"/>
        <v>0</v>
      </c>
      <c r="AR44" s="31">
        <f t="shared" si="35"/>
        <v>0</v>
      </c>
      <c r="AS44" s="27"/>
      <c r="AT44" s="37" t="str">
        <f t="shared" si="7"/>
        <v/>
      </c>
      <c r="AU44" s="36">
        <f>'[1]STA CLARA'!$J44</f>
        <v>0</v>
      </c>
      <c r="AV44" s="31">
        <f t="shared" si="36"/>
        <v>0</v>
      </c>
      <c r="AW44" s="31">
        <f t="shared" si="37"/>
        <v>0</v>
      </c>
      <c r="AX44" s="31">
        <f t="shared" si="38"/>
        <v>0</v>
      </c>
      <c r="AY44" s="31">
        <f t="shared" si="39"/>
        <v>0</v>
      </c>
      <c r="AZ44" s="27"/>
      <c r="BA44" s="37" t="str">
        <f t="shared" si="8"/>
        <v/>
      </c>
      <c r="BB44" s="36">
        <f>'[1]STA CLARA'!$K44</f>
        <v>0</v>
      </c>
      <c r="BC44" s="31">
        <f t="shared" si="40"/>
        <v>0</v>
      </c>
      <c r="BD44" s="31">
        <f t="shared" si="41"/>
        <v>0</v>
      </c>
      <c r="BE44" s="31">
        <f t="shared" si="42"/>
        <v>0</v>
      </c>
      <c r="BF44" s="31">
        <f t="shared" si="43"/>
        <v>0</v>
      </c>
      <c r="BG44" s="27"/>
      <c r="BH44" s="37" t="str">
        <f t="shared" si="9"/>
        <v/>
      </c>
      <c r="BI44" s="36">
        <f>'[1]STA CLARA'!$L44</f>
        <v>0</v>
      </c>
      <c r="BJ44" s="31">
        <f t="shared" si="44"/>
        <v>0</v>
      </c>
      <c r="BK44" s="31">
        <f t="shared" si="45"/>
        <v>0</v>
      </c>
      <c r="BL44" s="31">
        <f t="shared" si="46"/>
        <v>0</v>
      </c>
      <c r="BM44" s="31">
        <f t="shared" si="47"/>
        <v>0</v>
      </c>
      <c r="BN44" s="33"/>
      <c r="BO44" s="37" t="str">
        <f t="shared" si="10"/>
        <v/>
      </c>
      <c r="BP44" s="36">
        <f>'[1]STA CLARA'!$M44</f>
        <v>0</v>
      </c>
      <c r="BQ44" s="31">
        <f t="shared" si="48"/>
        <v>0</v>
      </c>
      <c r="BR44" s="31">
        <f t="shared" si="49"/>
        <v>0</v>
      </c>
      <c r="BS44" s="31">
        <f t="shared" si="50"/>
        <v>0</v>
      </c>
      <c r="BT44" s="31">
        <f t="shared" si="51"/>
        <v>0</v>
      </c>
      <c r="BU44" s="33"/>
      <c r="BV44" s="37" t="str">
        <f t="shared" si="11"/>
        <v/>
      </c>
      <c r="BW44" s="36">
        <f>'[1]STA CLARA'!$N44</f>
        <v>0</v>
      </c>
      <c r="BX44" s="31">
        <f t="shared" si="52"/>
        <v>0</v>
      </c>
      <c r="BY44" s="31">
        <f t="shared" si="53"/>
        <v>0</v>
      </c>
      <c r="BZ44" s="31">
        <f t="shared" si="54"/>
        <v>0</v>
      </c>
      <c r="CA44" s="31">
        <f t="shared" si="55"/>
        <v>0</v>
      </c>
      <c r="CB44" s="33"/>
      <c r="CC44" s="37" t="str">
        <f t="shared" si="12"/>
        <v/>
      </c>
      <c r="CD44" s="36">
        <f>'[1]STA CLARA'!$O44</f>
        <v>0</v>
      </c>
      <c r="CE44" s="31">
        <f t="shared" si="56"/>
        <v>0</v>
      </c>
      <c r="CF44" s="31">
        <f t="shared" si="57"/>
        <v>0</v>
      </c>
      <c r="CG44" s="31">
        <f t="shared" si="58"/>
        <v>0</v>
      </c>
      <c r="CH44" s="31">
        <f t="shared" si="59"/>
        <v>0</v>
      </c>
      <c r="CI44" s="33"/>
      <c r="CJ44" s="37" t="str">
        <f t="shared" si="13"/>
        <v/>
      </c>
      <c r="CK44" s="36">
        <f>'[1]STA CLARA'!$P44</f>
        <v>0</v>
      </c>
      <c r="CL44" s="31">
        <f t="shared" si="60"/>
        <v>0</v>
      </c>
      <c r="CM44" s="31">
        <f t="shared" si="61"/>
        <v>0</v>
      </c>
      <c r="CN44" s="31">
        <f t="shared" si="62"/>
        <v>0</v>
      </c>
      <c r="CO44" s="31">
        <f t="shared" si="63"/>
        <v>0</v>
      </c>
      <c r="CP44" s="33"/>
      <c r="CQ44" s="37" t="str">
        <f t="shared" si="14"/>
        <v/>
      </c>
    </row>
    <row r="45" spans="1:95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'[1]STA CLARA'!$E45</f>
        <v>0</v>
      </c>
      <c r="M45" s="31">
        <f t="shared" si="16"/>
        <v>0</v>
      </c>
      <c r="N45" s="31">
        <f t="shared" si="17"/>
        <v>0</v>
      </c>
      <c r="O45" s="31">
        <f t="shared" si="18"/>
        <v>0</v>
      </c>
      <c r="P45" s="31">
        <f t="shared" si="19"/>
        <v>0</v>
      </c>
      <c r="Q45" s="33"/>
      <c r="R45" s="37" t="str">
        <f t="shared" si="3"/>
        <v/>
      </c>
      <c r="S45" s="36">
        <f>'[1]STA CLARA'!$F45</f>
        <v>0</v>
      </c>
      <c r="T45" s="31">
        <f t="shared" si="20"/>
        <v>0</v>
      </c>
      <c r="U45" s="31">
        <f t="shared" si="21"/>
        <v>0</v>
      </c>
      <c r="V45" s="31">
        <f t="shared" si="22"/>
        <v>0</v>
      </c>
      <c r="W45" s="31">
        <f t="shared" si="23"/>
        <v>0</v>
      </c>
      <c r="X45" s="33"/>
      <c r="Y45" s="37" t="str">
        <f t="shared" si="4"/>
        <v/>
      </c>
      <c r="Z45" s="36">
        <f>'[1]STA CLARA'!$G45</f>
        <v>0</v>
      </c>
      <c r="AA45" s="31">
        <f t="shared" si="24"/>
        <v>0</v>
      </c>
      <c r="AB45" s="31">
        <f t="shared" si="25"/>
        <v>0</v>
      </c>
      <c r="AC45" s="31">
        <f t="shared" si="26"/>
        <v>0</v>
      </c>
      <c r="AD45" s="31">
        <f t="shared" si="27"/>
        <v>0</v>
      </c>
      <c r="AE45" s="27"/>
      <c r="AF45" s="37" t="str">
        <f t="shared" si="5"/>
        <v/>
      </c>
      <c r="AG45" s="36">
        <f>'[1]STA CLARA'!$H45</f>
        <v>0</v>
      </c>
      <c r="AH45" s="31">
        <f t="shared" si="28"/>
        <v>0</v>
      </c>
      <c r="AI45" s="31">
        <f t="shared" si="29"/>
        <v>0</v>
      </c>
      <c r="AJ45" s="31">
        <f t="shared" si="30"/>
        <v>0</v>
      </c>
      <c r="AK45" s="31">
        <f t="shared" si="31"/>
        <v>0</v>
      </c>
      <c r="AL45" s="33"/>
      <c r="AM45" s="37" t="str">
        <f t="shared" si="6"/>
        <v/>
      </c>
      <c r="AN45" s="36">
        <f>'[1]STA CLARA'!$I45</f>
        <v>0</v>
      </c>
      <c r="AO45" s="31">
        <f t="shared" si="32"/>
        <v>0</v>
      </c>
      <c r="AP45" s="31">
        <f t="shared" si="33"/>
        <v>0</v>
      </c>
      <c r="AQ45" s="31">
        <f t="shared" si="34"/>
        <v>0</v>
      </c>
      <c r="AR45" s="31">
        <f t="shared" si="35"/>
        <v>0</v>
      </c>
      <c r="AS45" s="27"/>
      <c r="AT45" s="37" t="str">
        <f t="shared" si="7"/>
        <v/>
      </c>
      <c r="AU45" s="36">
        <f>'[1]STA CLARA'!$J45</f>
        <v>0</v>
      </c>
      <c r="AV45" s="31">
        <f t="shared" si="36"/>
        <v>0</v>
      </c>
      <c r="AW45" s="31">
        <f t="shared" si="37"/>
        <v>0</v>
      </c>
      <c r="AX45" s="31">
        <f t="shared" si="38"/>
        <v>0</v>
      </c>
      <c r="AY45" s="31">
        <f t="shared" si="39"/>
        <v>0</v>
      </c>
      <c r="AZ45" s="27"/>
      <c r="BA45" s="37" t="str">
        <f t="shared" si="8"/>
        <v/>
      </c>
      <c r="BB45" s="36">
        <f>'[1]STA CLARA'!$K45</f>
        <v>0</v>
      </c>
      <c r="BC45" s="31">
        <f t="shared" si="40"/>
        <v>0</v>
      </c>
      <c r="BD45" s="31">
        <f t="shared" si="41"/>
        <v>0</v>
      </c>
      <c r="BE45" s="31">
        <f t="shared" si="42"/>
        <v>0</v>
      </c>
      <c r="BF45" s="31">
        <f t="shared" si="43"/>
        <v>0</v>
      </c>
      <c r="BG45" s="27"/>
      <c r="BH45" s="37" t="str">
        <f t="shared" si="9"/>
        <v/>
      </c>
      <c r="BI45" s="36">
        <f>'[1]STA CLARA'!$L45</f>
        <v>0</v>
      </c>
      <c r="BJ45" s="31">
        <f t="shared" si="44"/>
        <v>0</v>
      </c>
      <c r="BK45" s="31">
        <f t="shared" si="45"/>
        <v>0</v>
      </c>
      <c r="BL45" s="31">
        <f t="shared" si="46"/>
        <v>0</v>
      </c>
      <c r="BM45" s="31">
        <f t="shared" si="47"/>
        <v>0</v>
      </c>
      <c r="BN45" s="33"/>
      <c r="BO45" s="37" t="str">
        <f t="shared" si="10"/>
        <v/>
      </c>
      <c r="BP45" s="36">
        <f>'[1]STA CLARA'!$M45</f>
        <v>0</v>
      </c>
      <c r="BQ45" s="31">
        <f t="shared" si="48"/>
        <v>0</v>
      </c>
      <c r="BR45" s="31">
        <f t="shared" si="49"/>
        <v>0</v>
      </c>
      <c r="BS45" s="31">
        <f t="shared" si="50"/>
        <v>0</v>
      </c>
      <c r="BT45" s="31">
        <f t="shared" si="51"/>
        <v>0</v>
      </c>
      <c r="BU45" s="33"/>
      <c r="BV45" s="37" t="str">
        <f t="shared" si="11"/>
        <v/>
      </c>
      <c r="BW45" s="36">
        <f>'[1]STA CLARA'!$N45</f>
        <v>0</v>
      </c>
      <c r="BX45" s="31">
        <f t="shared" si="52"/>
        <v>0</v>
      </c>
      <c r="BY45" s="31">
        <f t="shared" si="53"/>
        <v>0</v>
      </c>
      <c r="BZ45" s="31">
        <f t="shared" si="54"/>
        <v>0</v>
      </c>
      <c r="CA45" s="31">
        <f t="shared" si="55"/>
        <v>0</v>
      </c>
      <c r="CB45" s="33"/>
      <c r="CC45" s="37" t="str">
        <f t="shared" si="12"/>
        <v/>
      </c>
      <c r="CD45" s="36">
        <f>'[1]STA CLARA'!$O45</f>
        <v>0</v>
      </c>
      <c r="CE45" s="31">
        <f t="shared" si="56"/>
        <v>0</v>
      </c>
      <c r="CF45" s="31">
        <f t="shared" si="57"/>
        <v>0</v>
      </c>
      <c r="CG45" s="31">
        <f t="shared" si="58"/>
        <v>0</v>
      </c>
      <c r="CH45" s="31">
        <f t="shared" si="59"/>
        <v>0</v>
      </c>
      <c r="CI45" s="33"/>
      <c r="CJ45" s="37" t="str">
        <f t="shared" si="13"/>
        <v/>
      </c>
      <c r="CK45" s="36">
        <f>'[1]STA CLARA'!$P45</f>
        <v>0</v>
      </c>
      <c r="CL45" s="31">
        <f t="shared" si="60"/>
        <v>0</v>
      </c>
      <c r="CM45" s="31">
        <f t="shared" si="61"/>
        <v>0</v>
      </c>
      <c r="CN45" s="31">
        <f t="shared" si="62"/>
        <v>0</v>
      </c>
      <c r="CO45" s="31">
        <f t="shared" si="63"/>
        <v>0</v>
      </c>
      <c r="CP45" s="33"/>
      <c r="CQ45" s="37" t="str">
        <f t="shared" si="14"/>
        <v/>
      </c>
    </row>
    <row r="46" spans="1:95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'[1]STA CLARA'!$E46</f>
        <v>0</v>
      </c>
      <c r="M46" s="31">
        <f t="shared" si="16"/>
        <v>0</v>
      </c>
      <c r="N46" s="31">
        <f t="shared" si="17"/>
        <v>0</v>
      </c>
      <c r="O46" s="31">
        <f t="shared" si="18"/>
        <v>0</v>
      </c>
      <c r="P46" s="31">
        <f t="shared" si="19"/>
        <v>0</v>
      </c>
      <c r="Q46" s="33"/>
      <c r="R46" s="37" t="str">
        <f t="shared" si="3"/>
        <v/>
      </c>
      <c r="S46" s="36">
        <f>'[1]STA CLARA'!$F46</f>
        <v>0</v>
      </c>
      <c r="T46" s="31">
        <f t="shared" si="20"/>
        <v>0</v>
      </c>
      <c r="U46" s="31">
        <f t="shared" si="21"/>
        <v>0</v>
      </c>
      <c r="V46" s="31">
        <f t="shared" si="22"/>
        <v>0</v>
      </c>
      <c r="W46" s="31">
        <f t="shared" si="23"/>
        <v>0</v>
      </c>
      <c r="X46" s="33"/>
      <c r="Y46" s="37" t="str">
        <f t="shared" si="4"/>
        <v/>
      </c>
      <c r="Z46" s="36">
        <f>'[1]STA CLARA'!$G46</f>
        <v>0</v>
      </c>
      <c r="AA46" s="31">
        <f t="shared" si="24"/>
        <v>0</v>
      </c>
      <c r="AB46" s="31">
        <f t="shared" si="25"/>
        <v>0</v>
      </c>
      <c r="AC46" s="31">
        <f t="shared" si="26"/>
        <v>0</v>
      </c>
      <c r="AD46" s="31">
        <f t="shared" si="27"/>
        <v>0</v>
      </c>
      <c r="AE46" s="27"/>
      <c r="AF46" s="37" t="str">
        <f t="shared" si="5"/>
        <v/>
      </c>
      <c r="AG46" s="36">
        <f>'[1]STA CLARA'!$H46</f>
        <v>0</v>
      </c>
      <c r="AH46" s="31">
        <f t="shared" si="28"/>
        <v>0</v>
      </c>
      <c r="AI46" s="31">
        <f t="shared" si="29"/>
        <v>0</v>
      </c>
      <c r="AJ46" s="31">
        <f t="shared" si="30"/>
        <v>0</v>
      </c>
      <c r="AK46" s="31">
        <f t="shared" si="31"/>
        <v>0</v>
      </c>
      <c r="AL46" s="33"/>
      <c r="AM46" s="37" t="str">
        <f t="shared" si="6"/>
        <v/>
      </c>
      <c r="AN46" s="36">
        <f>'[1]STA CLARA'!$I46</f>
        <v>0</v>
      </c>
      <c r="AO46" s="31">
        <f t="shared" si="32"/>
        <v>0</v>
      </c>
      <c r="AP46" s="31">
        <f t="shared" si="33"/>
        <v>0</v>
      </c>
      <c r="AQ46" s="31">
        <f t="shared" si="34"/>
        <v>0</v>
      </c>
      <c r="AR46" s="31">
        <f t="shared" si="35"/>
        <v>0</v>
      </c>
      <c r="AS46" s="27"/>
      <c r="AT46" s="37" t="str">
        <f t="shared" si="7"/>
        <v/>
      </c>
      <c r="AU46" s="36">
        <f>'[1]STA CLARA'!$J46</f>
        <v>0</v>
      </c>
      <c r="AV46" s="31">
        <f t="shared" si="36"/>
        <v>0</v>
      </c>
      <c r="AW46" s="31">
        <f t="shared" si="37"/>
        <v>0</v>
      </c>
      <c r="AX46" s="31">
        <f t="shared" si="38"/>
        <v>0</v>
      </c>
      <c r="AY46" s="31">
        <f t="shared" si="39"/>
        <v>0</v>
      </c>
      <c r="AZ46" s="27"/>
      <c r="BA46" s="37" t="str">
        <f t="shared" si="8"/>
        <v/>
      </c>
      <c r="BB46" s="36">
        <f>'[1]STA CLARA'!$K46</f>
        <v>0</v>
      </c>
      <c r="BC46" s="31">
        <f t="shared" si="40"/>
        <v>0</v>
      </c>
      <c r="BD46" s="31">
        <f t="shared" si="41"/>
        <v>0</v>
      </c>
      <c r="BE46" s="31">
        <f t="shared" si="42"/>
        <v>0</v>
      </c>
      <c r="BF46" s="31">
        <f t="shared" si="43"/>
        <v>0</v>
      </c>
      <c r="BG46" s="27"/>
      <c r="BH46" s="37" t="str">
        <f t="shared" si="9"/>
        <v/>
      </c>
      <c r="BI46" s="36">
        <f>'[1]STA CLARA'!$L46</f>
        <v>0</v>
      </c>
      <c r="BJ46" s="31">
        <f t="shared" si="44"/>
        <v>0</v>
      </c>
      <c r="BK46" s="31">
        <f t="shared" si="45"/>
        <v>0</v>
      </c>
      <c r="BL46" s="31">
        <f t="shared" si="46"/>
        <v>0</v>
      </c>
      <c r="BM46" s="31">
        <f t="shared" si="47"/>
        <v>0</v>
      </c>
      <c r="BN46" s="33"/>
      <c r="BO46" s="37" t="str">
        <f t="shared" si="10"/>
        <v/>
      </c>
      <c r="BP46" s="36">
        <f>'[1]STA CLARA'!$M46</f>
        <v>0</v>
      </c>
      <c r="BQ46" s="31">
        <f t="shared" si="48"/>
        <v>0</v>
      </c>
      <c r="BR46" s="31">
        <f t="shared" si="49"/>
        <v>0</v>
      </c>
      <c r="BS46" s="31">
        <f t="shared" si="50"/>
        <v>0</v>
      </c>
      <c r="BT46" s="31">
        <f t="shared" si="51"/>
        <v>0</v>
      </c>
      <c r="BU46" s="33"/>
      <c r="BV46" s="37" t="str">
        <f t="shared" si="11"/>
        <v/>
      </c>
      <c r="BW46" s="36">
        <f>'[1]STA CLARA'!$N46</f>
        <v>0</v>
      </c>
      <c r="BX46" s="31">
        <f t="shared" si="52"/>
        <v>0</v>
      </c>
      <c r="BY46" s="31">
        <f t="shared" si="53"/>
        <v>0</v>
      </c>
      <c r="BZ46" s="31">
        <f t="shared" si="54"/>
        <v>0</v>
      </c>
      <c r="CA46" s="31">
        <f t="shared" si="55"/>
        <v>0</v>
      </c>
      <c r="CB46" s="33"/>
      <c r="CC46" s="37" t="str">
        <f t="shared" si="12"/>
        <v/>
      </c>
      <c r="CD46" s="36">
        <f>'[1]STA CLARA'!$O46</f>
        <v>0</v>
      </c>
      <c r="CE46" s="31">
        <f t="shared" si="56"/>
        <v>0</v>
      </c>
      <c r="CF46" s="31">
        <f t="shared" si="57"/>
        <v>0</v>
      </c>
      <c r="CG46" s="31">
        <f t="shared" si="58"/>
        <v>0</v>
      </c>
      <c r="CH46" s="31">
        <f t="shared" si="59"/>
        <v>0</v>
      </c>
      <c r="CI46" s="33"/>
      <c r="CJ46" s="37" t="str">
        <f t="shared" si="13"/>
        <v/>
      </c>
      <c r="CK46" s="36">
        <f>'[1]STA CLARA'!$P46</f>
        <v>0</v>
      </c>
      <c r="CL46" s="31">
        <f t="shared" si="60"/>
        <v>0</v>
      </c>
      <c r="CM46" s="31">
        <f t="shared" si="61"/>
        <v>0</v>
      </c>
      <c r="CN46" s="31">
        <f t="shared" si="62"/>
        <v>0</v>
      </c>
      <c r="CO46" s="31">
        <f t="shared" si="63"/>
        <v>0</v>
      </c>
      <c r="CP46" s="33"/>
      <c r="CQ46" s="37" t="str">
        <f t="shared" si="14"/>
        <v/>
      </c>
    </row>
    <row r="47" spans="1:95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'[1]STA CLARA'!$E47</f>
        <v>0</v>
      </c>
      <c r="M47" s="31">
        <f t="shared" si="16"/>
        <v>0</v>
      </c>
      <c r="N47" s="31">
        <f t="shared" si="17"/>
        <v>0</v>
      </c>
      <c r="O47" s="31">
        <f t="shared" si="18"/>
        <v>0</v>
      </c>
      <c r="P47" s="31">
        <f t="shared" si="19"/>
        <v>0</v>
      </c>
      <c r="Q47" s="33"/>
      <c r="R47" s="37" t="str">
        <f t="shared" si="3"/>
        <v/>
      </c>
      <c r="S47" s="36">
        <f>'[1]STA CLARA'!$F47</f>
        <v>0</v>
      </c>
      <c r="T47" s="31">
        <f t="shared" si="20"/>
        <v>0</v>
      </c>
      <c r="U47" s="31">
        <f t="shared" si="21"/>
        <v>0</v>
      </c>
      <c r="V47" s="31">
        <f t="shared" si="22"/>
        <v>0</v>
      </c>
      <c r="W47" s="31">
        <f t="shared" si="23"/>
        <v>0</v>
      </c>
      <c r="X47" s="33"/>
      <c r="Y47" s="37" t="str">
        <f t="shared" si="4"/>
        <v/>
      </c>
      <c r="Z47" s="36">
        <f>'[1]STA CLARA'!$G47</f>
        <v>0</v>
      </c>
      <c r="AA47" s="31">
        <f t="shared" si="24"/>
        <v>0</v>
      </c>
      <c r="AB47" s="31">
        <f t="shared" si="25"/>
        <v>0</v>
      </c>
      <c r="AC47" s="31">
        <f t="shared" si="26"/>
        <v>0</v>
      </c>
      <c r="AD47" s="31">
        <f t="shared" si="27"/>
        <v>0</v>
      </c>
      <c r="AE47" s="27"/>
      <c r="AF47" s="37" t="str">
        <f t="shared" si="5"/>
        <v/>
      </c>
      <c r="AG47" s="36">
        <f>'[1]STA CLARA'!$H47</f>
        <v>0</v>
      </c>
      <c r="AH47" s="31">
        <f t="shared" si="28"/>
        <v>0</v>
      </c>
      <c r="AI47" s="31">
        <f t="shared" si="29"/>
        <v>0</v>
      </c>
      <c r="AJ47" s="31">
        <f t="shared" si="30"/>
        <v>0</v>
      </c>
      <c r="AK47" s="31">
        <f t="shared" si="31"/>
        <v>0</v>
      </c>
      <c r="AL47" s="33"/>
      <c r="AM47" s="37" t="str">
        <f t="shared" si="6"/>
        <v/>
      </c>
      <c r="AN47" s="36">
        <f>'[1]STA CLARA'!$I47</f>
        <v>0</v>
      </c>
      <c r="AO47" s="31">
        <f t="shared" si="32"/>
        <v>0</v>
      </c>
      <c r="AP47" s="31">
        <f t="shared" si="33"/>
        <v>0</v>
      </c>
      <c r="AQ47" s="31">
        <f t="shared" si="34"/>
        <v>0</v>
      </c>
      <c r="AR47" s="31">
        <f t="shared" si="35"/>
        <v>0</v>
      </c>
      <c r="AS47" s="27"/>
      <c r="AT47" s="37" t="str">
        <f t="shared" si="7"/>
        <v/>
      </c>
      <c r="AU47" s="36">
        <f>'[1]STA CLARA'!$J47</f>
        <v>0</v>
      </c>
      <c r="AV47" s="31">
        <f t="shared" si="36"/>
        <v>0</v>
      </c>
      <c r="AW47" s="31">
        <f t="shared" si="37"/>
        <v>0</v>
      </c>
      <c r="AX47" s="31">
        <f t="shared" si="38"/>
        <v>0</v>
      </c>
      <c r="AY47" s="31">
        <f t="shared" si="39"/>
        <v>0</v>
      </c>
      <c r="AZ47" s="27"/>
      <c r="BA47" s="37" t="str">
        <f t="shared" si="8"/>
        <v/>
      </c>
      <c r="BB47" s="36">
        <f>'[1]STA CLARA'!$K47</f>
        <v>0</v>
      </c>
      <c r="BC47" s="31">
        <f t="shared" si="40"/>
        <v>0</v>
      </c>
      <c r="BD47" s="31">
        <f t="shared" si="41"/>
        <v>0</v>
      </c>
      <c r="BE47" s="31">
        <f t="shared" si="42"/>
        <v>0</v>
      </c>
      <c r="BF47" s="31">
        <f t="shared" si="43"/>
        <v>0</v>
      </c>
      <c r="BG47" s="27"/>
      <c r="BH47" s="37" t="str">
        <f t="shared" si="9"/>
        <v/>
      </c>
      <c r="BI47" s="36">
        <f>'[1]STA CLARA'!$L47</f>
        <v>0</v>
      </c>
      <c r="BJ47" s="31">
        <f t="shared" si="44"/>
        <v>0</v>
      </c>
      <c r="BK47" s="31">
        <f t="shared" si="45"/>
        <v>0</v>
      </c>
      <c r="BL47" s="31">
        <f t="shared" si="46"/>
        <v>0</v>
      </c>
      <c r="BM47" s="31">
        <f t="shared" si="47"/>
        <v>0</v>
      </c>
      <c r="BN47" s="33"/>
      <c r="BO47" s="37" t="str">
        <f t="shared" si="10"/>
        <v/>
      </c>
      <c r="BP47" s="36">
        <f>'[1]STA CLARA'!$M47</f>
        <v>0</v>
      </c>
      <c r="BQ47" s="31">
        <f t="shared" si="48"/>
        <v>0</v>
      </c>
      <c r="BR47" s="31">
        <f t="shared" si="49"/>
        <v>0</v>
      </c>
      <c r="BS47" s="31">
        <f t="shared" si="50"/>
        <v>0</v>
      </c>
      <c r="BT47" s="31">
        <f t="shared" si="51"/>
        <v>0</v>
      </c>
      <c r="BU47" s="33"/>
      <c r="BV47" s="37" t="str">
        <f t="shared" si="11"/>
        <v/>
      </c>
      <c r="BW47" s="36">
        <f>'[1]STA CLARA'!$N47</f>
        <v>0</v>
      </c>
      <c r="BX47" s="31">
        <f t="shared" si="52"/>
        <v>0</v>
      </c>
      <c r="BY47" s="31">
        <f t="shared" si="53"/>
        <v>0</v>
      </c>
      <c r="BZ47" s="31">
        <f t="shared" si="54"/>
        <v>0</v>
      </c>
      <c r="CA47" s="31">
        <f t="shared" si="55"/>
        <v>0</v>
      </c>
      <c r="CB47" s="33"/>
      <c r="CC47" s="37" t="str">
        <f t="shared" si="12"/>
        <v/>
      </c>
      <c r="CD47" s="36">
        <f>'[1]STA CLARA'!$O47</f>
        <v>0</v>
      </c>
      <c r="CE47" s="31">
        <f t="shared" si="56"/>
        <v>0</v>
      </c>
      <c r="CF47" s="31">
        <f t="shared" si="57"/>
        <v>0</v>
      </c>
      <c r="CG47" s="31">
        <f t="shared" si="58"/>
        <v>0</v>
      </c>
      <c r="CH47" s="31">
        <f t="shared" si="59"/>
        <v>0</v>
      </c>
      <c r="CI47" s="33"/>
      <c r="CJ47" s="37" t="str">
        <f t="shared" si="13"/>
        <v/>
      </c>
      <c r="CK47" s="36">
        <f>'[1]STA CLARA'!$P47</f>
        <v>0</v>
      </c>
      <c r="CL47" s="31">
        <f t="shared" si="60"/>
        <v>0</v>
      </c>
      <c r="CM47" s="31">
        <f t="shared" si="61"/>
        <v>0</v>
      </c>
      <c r="CN47" s="31">
        <f t="shared" si="62"/>
        <v>0</v>
      </c>
      <c r="CO47" s="31">
        <f t="shared" si="63"/>
        <v>0</v>
      </c>
      <c r="CP47" s="33"/>
      <c r="CQ47" s="37" t="str">
        <f t="shared" si="14"/>
        <v/>
      </c>
    </row>
    <row r="48" spans="1:95" s="26" customFormat="1" ht="16" customHeight="1" x14ac:dyDescent="0.2">
      <c r="A48" s="38" t="s">
        <v>72</v>
      </c>
      <c r="B48" s="30">
        <f t="shared" si="64"/>
        <v>20000</v>
      </c>
      <c r="C48" s="31">
        <f t="shared" si="64"/>
        <v>17542.000000000004</v>
      </c>
      <c r="D48" s="32">
        <f t="shared" si="64"/>
        <v>2458</v>
      </c>
      <c r="E48" s="30">
        <f t="shared" si="66"/>
        <v>6666.666666666667</v>
      </c>
      <c r="F48" s="33">
        <f t="shared" si="66"/>
        <v>5847.3333333333339</v>
      </c>
      <c r="G48" s="34">
        <f t="shared" si="66"/>
        <v>819.33333333333337</v>
      </c>
      <c r="H48" s="31">
        <f t="shared" si="65"/>
        <v>0</v>
      </c>
      <c r="I48" s="33">
        <f t="shared" si="65"/>
        <v>3091.15</v>
      </c>
      <c r="J48" s="33">
        <f t="shared" si="65"/>
        <v>3091.15</v>
      </c>
      <c r="K48" s="37">
        <f t="shared" si="2"/>
        <v>-0.53632750000000007</v>
      </c>
      <c r="L48" s="36">
        <f>'[1]STA CLARA'!$E48</f>
        <v>1666.6666666666667</v>
      </c>
      <c r="M48" s="31">
        <f t="shared" si="16"/>
        <v>1461.8333333333335</v>
      </c>
      <c r="N48" s="31">
        <f t="shared" si="17"/>
        <v>204.83333333333334</v>
      </c>
      <c r="O48" s="31">
        <f t="shared" si="18"/>
        <v>0</v>
      </c>
      <c r="P48" s="31">
        <f t="shared" si="19"/>
        <v>1512.5</v>
      </c>
      <c r="Q48" s="33">
        <f>1512.5</f>
        <v>1512.5</v>
      </c>
      <c r="R48" s="37">
        <f t="shared" si="3"/>
        <v>-9.2500000000000027E-2</v>
      </c>
      <c r="S48" s="36">
        <f>'[1]STA CLARA'!$F48</f>
        <v>1666.6666666666667</v>
      </c>
      <c r="T48" s="31">
        <f t="shared" si="20"/>
        <v>1461.8333333333335</v>
      </c>
      <c r="U48" s="31">
        <f t="shared" si="21"/>
        <v>204.83333333333334</v>
      </c>
      <c r="V48" s="31">
        <f t="shared" si="22"/>
        <v>0</v>
      </c>
      <c r="W48" s="31">
        <f t="shared" si="23"/>
        <v>287.5</v>
      </c>
      <c r="X48" s="33">
        <f>287.5</f>
        <v>287.5</v>
      </c>
      <c r="Y48" s="37">
        <f t="shared" si="4"/>
        <v>-0.82750000000000001</v>
      </c>
      <c r="Z48" s="36">
        <f>'[1]STA CLARA'!$G48</f>
        <v>1666.6666666666667</v>
      </c>
      <c r="AA48" s="31">
        <f t="shared" si="24"/>
        <v>1461.8333333333335</v>
      </c>
      <c r="AB48" s="31">
        <f t="shared" si="25"/>
        <v>204.83333333333334</v>
      </c>
      <c r="AC48" s="31">
        <f t="shared" si="26"/>
        <v>0</v>
      </c>
      <c r="AD48" s="31">
        <f t="shared" si="27"/>
        <v>891.15</v>
      </c>
      <c r="AE48" s="33">
        <f>891.15</f>
        <v>891.15</v>
      </c>
      <c r="AF48" s="37">
        <f t="shared" si="5"/>
        <v>-0.46531</v>
      </c>
      <c r="AG48" s="36">
        <f>'[1]STA CLARA'!$H48</f>
        <v>1666.6666666666667</v>
      </c>
      <c r="AH48" s="31">
        <f t="shared" si="28"/>
        <v>1461.8333333333335</v>
      </c>
      <c r="AI48" s="31">
        <f t="shared" si="29"/>
        <v>204.83333333333334</v>
      </c>
      <c r="AJ48" s="31">
        <f t="shared" si="30"/>
        <v>0</v>
      </c>
      <c r="AK48" s="31">
        <f t="shared" si="31"/>
        <v>400</v>
      </c>
      <c r="AL48" s="33">
        <v>400</v>
      </c>
      <c r="AM48" s="37">
        <f t="shared" si="6"/>
        <v>-0.76</v>
      </c>
      <c r="AN48" s="36">
        <f>'[1]STA CLARA'!$I48</f>
        <v>1666.6666666666667</v>
      </c>
      <c r="AO48" s="31">
        <f t="shared" si="32"/>
        <v>1461.8333333333335</v>
      </c>
      <c r="AP48" s="31">
        <f t="shared" si="33"/>
        <v>204.83333333333334</v>
      </c>
      <c r="AQ48" s="31">
        <f t="shared" si="34"/>
        <v>0</v>
      </c>
      <c r="AR48" s="31">
        <f t="shared" si="35"/>
        <v>0</v>
      </c>
      <c r="AS48" s="27"/>
      <c r="AT48" s="37">
        <f t="shared" si="7"/>
        <v>-1</v>
      </c>
      <c r="AU48" s="36">
        <f>'[1]STA CLARA'!$J48</f>
        <v>1666.6666666666667</v>
      </c>
      <c r="AV48" s="31">
        <f t="shared" si="36"/>
        <v>1461.8333333333335</v>
      </c>
      <c r="AW48" s="31">
        <f t="shared" si="37"/>
        <v>204.83333333333334</v>
      </c>
      <c r="AX48" s="31">
        <f t="shared" si="38"/>
        <v>0</v>
      </c>
      <c r="AY48" s="31">
        <f t="shared" si="39"/>
        <v>0</v>
      </c>
      <c r="AZ48" s="27"/>
      <c r="BA48" s="37">
        <f t="shared" si="8"/>
        <v>-1</v>
      </c>
      <c r="BB48" s="36">
        <f>'[1]STA CLARA'!$K48</f>
        <v>1666.6666666666667</v>
      </c>
      <c r="BC48" s="31">
        <f t="shared" si="40"/>
        <v>1461.8333333333335</v>
      </c>
      <c r="BD48" s="31">
        <f t="shared" si="41"/>
        <v>204.83333333333334</v>
      </c>
      <c r="BE48" s="31">
        <f t="shared" si="42"/>
        <v>0</v>
      </c>
      <c r="BF48" s="31">
        <f t="shared" si="43"/>
        <v>0</v>
      </c>
      <c r="BG48" s="27"/>
      <c r="BH48" s="37">
        <f t="shared" si="9"/>
        <v>-1</v>
      </c>
      <c r="BI48" s="36">
        <f>'[1]STA CLARA'!$L48</f>
        <v>1666.6666666666667</v>
      </c>
      <c r="BJ48" s="31">
        <f t="shared" si="44"/>
        <v>1461.8333333333335</v>
      </c>
      <c r="BK48" s="31">
        <f t="shared" si="45"/>
        <v>204.83333333333334</v>
      </c>
      <c r="BL48" s="31">
        <f t="shared" si="46"/>
        <v>0</v>
      </c>
      <c r="BM48" s="31">
        <f t="shared" si="47"/>
        <v>0</v>
      </c>
      <c r="BN48" s="33"/>
      <c r="BO48" s="37">
        <f t="shared" si="10"/>
        <v>-1</v>
      </c>
      <c r="BP48" s="36">
        <f>'[1]STA CLARA'!$M48</f>
        <v>1666.6666666666667</v>
      </c>
      <c r="BQ48" s="31">
        <f t="shared" si="48"/>
        <v>1461.8333333333335</v>
      </c>
      <c r="BR48" s="31">
        <f t="shared" si="49"/>
        <v>204.83333333333334</v>
      </c>
      <c r="BS48" s="31">
        <f t="shared" si="50"/>
        <v>0</v>
      </c>
      <c r="BT48" s="31">
        <f t="shared" si="51"/>
        <v>0</v>
      </c>
      <c r="BU48" s="33"/>
      <c r="BV48" s="37">
        <f t="shared" si="11"/>
        <v>-1</v>
      </c>
      <c r="BW48" s="36">
        <f>'[1]STA CLARA'!$N48</f>
        <v>1666.6666666666667</v>
      </c>
      <c r="BX48" s="31">
        <f t="shared" si="52"/>
        <v>1461.8333333333335</v>
      </c>
      <c r="BY48" s="31">
        <f t="shared" si="53"/>
        <v>204.83333333333334</v>
      </c>
      <c r="BZ48" s="31">
        <f t="shared" si="54"/>
        <v>0</v>
      </c>
      <c r="CA48" s="31">
        <f t="shared" si="55"/>
        <v>0</v>
      </c>
      <c r="CB48" s="33"/>
      <c r="CC48" s="37">
        <f t="shared" si="12"/>
        <v>-1</v>
      </c>
      <c r="CD48" s="36">
        <f>'[1]STA CLARA'!$O48</f>
        <v>1666.6666666666667</v>
      </c>
      <c r="CE48" s="31">
        <f t="shared" si="56"/>
        <v>1461.8333333333335</v>
      </c>
      <c r="CF48" s="31">
        <f t="shared" si="57"/>
        <v>204.83333333333334</v>
      </c>
      <c r="CG48" s="31">
        <f t="shared" si="58"/>
        <v>0</v>
      </c>
      <c r="CH48" s="31">
        <f t="shared" si="59"/>
        <v>0</v>
      </c>
      <c r="CI48" s="33"/>
      <c r="CJ48" s="37">
        <f t="shared" si="13"/>
        <v>-1</v>
      </c>
      <c r="CK48" s="36">
        <f>'[1]STA CLARA'!$P48</f>
        <v>1666.6666666666667</v>
      </c>
      <c r="CL48" s="31">
        <f t="shared" si="60"/>
        <v>1461.8333333333335</v>
      </c>
      <c r="CM48" s="31">
        <f t="shared" si="61"/>
        <v>204.83333333333334</v>
      </c>
      <c r="CN48" s="31">
        <f t="shared" si="62"/>
        <v>0</v>
      </c>
      <c r="CO48" s="31">
        <f t="shared" si="63"/>
        <v>0</v>
      </c>
      <c r="CP48" s="33"/>
      <c r="CQ48" s="37">
        <f t="shared" si="14"/>
        <v>-1</v>
      </c>
    </row>
    <row r="49" spans="1:99" s="26" customFormat="1" ht="16" customHeight="1" x14ac:dyDescent="0.2">
      <c r="A49" s="29" t="s">
        <v>73</v>
      </c>
      <c r="B49" s="30">
        <f t="shared" si="64"/>
        <v>62599.999999999993</v>
      </c>
      <c r="C49" s="31">
        <f t="shared" si="64"/>
        <v>54906.459999999992</v>
      </c>
      <c r="D49" s="32">
        <f t="shared" si="64"/>
        <v>7693.5399999999981</v>
      </c>
      <c r="E49" s="30">
        <f t="shared" si="66"/>
        <v>20866.666666666668</v>
      </c>
      <c r="F49" s="33">
        <f t="shared" si="66"/>
        <v>18302.153333333335</v>
      </c>
      <c r="G49" s="34">
        <f t="shared" si="66"/>
        <v>2564.5133333333333</v>
      </c>
      <c r="H49" s="31">
        <f t="shared" si="65"/>
        <v>0</v>
      </c>
      <c r="I49" s="33">
        <f t="shared" si="65"/>
        <v>42644.87</v>
      </c>
      <c r="J49" s="33">
        <f t="shared" si="65"/>
        <v>42644.87</v>
      </c>
      <c r="K49" s="37">
        <f t="shared" si="2"/>
        <v>1.0436838658146965</v>
      </c>
      <c r="L49" s="36">
        <f>'[1]STA CLARA'!$E49</f>
        <v>5216.666666666667</v>
      </c>
      <c r="M49" s="31">
        <f t="shared" si="16"/>
        <v>4575.5383333333339</v>
      </c>
      <c r="N49" s="31">
        <f t="shared" si="17"/>
        <v>641.12833333333333</v>
      </c>
      <c r="O49" s="31">
        <f t="shared" si="18"/>
        <v>0</v>
      </c>
      <c r="P49" s="31">
        <f t="shared" si="19"/>
        <v>10156.750000000002</v>
      </c>
      <c r="Q49" s="33">
        <f>R81</f>
        <v>10156.750000000002</v>
      </c>
      <c r="R49" s="37">
        <f t="shared" si="3"/>
        <v>0.94698083067092664</v>
      </c>
      <c r="S49" s="36">
        <f>'[1]STA CLARA'!$F49</f>
        <v>5216.666666666667</v>
      </c>
      <c r="T49" s="31">
        <f t="shared" si="20"/>
        <v>4575.5383333333339</v>
      </c>
      <c r="U49" s="31">
        <f t="shared" si="21"/>
        <v>641.12833333333333</v>
      </c>
      <c r="V49" s="31">
        <f t="shared" si="22"/>
        <v>0</v>
      </c>
      <c r="W49" s="31">
        <f t="shared" si="23"/>
        <v>19842.719999999998</v>
      </c>
      <c r="X49" s="33">
        <f>Y81</f>
        <v>19842.719999999998</v>
      </c>
      <c r="Y49" s="37">
        <f t="shared" si="4"/>
        <v>2.8037162939297118</v>
      </c>
      <c r="Z49" s="36">
        <f>'[1]STA CLARA'!$G49</f>
        <v>5216.666666666667</v>
      </c>
      <c r="AA49" s="31">
        <f t="shared" si="24"/>
        <v>4575.5383333333339</v>
      </c>
      <c r="AB49" s="31">
        <f t="shared" si="25"/>
        <v>641.12833333333333</v>
      </c>
      <c r="AC49" s="31">
        <f t="shared" si="26"/>
        <v>0</v>
      </c>
      <c r="AD49" s="31">
        <f t="shared" si="27"/>
        <v>7396.22</v>
      </c>
      <c r="AE49" s="27">
        <f>AF81</f>
        <v>7396.22</v>
      </c>
      <c r="AF49" s="37">
        <f t="shared" si="5"/>
        <v>0.41780575079872206</v>
      </c>
      <c r="AG49" s="36">
        <f>'[1]STA CLARA'!$H49</f>
        <v>5216.666666666667</v>
      </c>
      <c r="AH49" s="31">
        <f t="shared" si="28"/>
        <v>4575.5383333333339</v>
      </c>
      <c r="AI49" s="31">
        <f t="shared" si="29"/>
        <v>641.12833333333333</v>
      </c>
      <c r="AJ49" s="31">
        <f t="shared" si="30"/>
        <v>0</v>
      </c>
      <c r="AK49" s="31">
        <f t="shared" si="31"/>
        <v>5249.1799999999994</v>
      </c>
      <c r="AL49" s="33">
        <f>AM81</f>
        <v>5249.1799999999994</v>
      </c>
      <c r="AM49" s="37">
        <f t="shared" si="6"/>
        <v>6.2325878594247097E-3</v>
      </c>
      <c r="AN49" s="36">
        <f>'[1]STA CLARA'!$I49</f>
        <v>5216.666666666667</v>
      </c>
      <c r="AO49" s="31">
        <f t="shared" si="32"/>
        <v>4575.5383333333339</v>
      </c>
      <c r="AP49" s="31">
        <f t="shared" si="33"/>
        <v>641.12833333333333</v>
      </c>
      <c r="AQ49" s="31">
        <f t="shared" si="34"/>
        <v>0</v>
      </c>
      <c r="AR49" s="31">
        <f t="shared" si="35"/>
        <v>0</v>
      </c>
      <c r="AS49" s="27"/>
      <c r="AT49" s="37">
        <f t="shared" si="7"/>
        <v>-1</v>
      </c>
      <c r="AU49" s="36">
        <f>'[1]STA CLARA'!$J49</f>
        <v>5216.666666666667</v>
      </c>
      <c r="AV49" s="31">
        <f t="shared" si="36"/>
        <v>4575.5383333333339</v>
      </c>
      <c r="AW49" s="31">
        <f t="shared" si="37"/>
        <v>641.12833333333333</v>
      </c>
      <c r="AX49" s="31">
        <f t="shared" si="38"/>
        <v>0</v>
      </c>
      <c r="AY49" s="31">
        <f t="shared" si="39"/>
        <v>0</v>
      </c>
      <c r="AZ49" s="27"/>
      <c r="BA49" s="37">
        <f t="shared" si="8"/>
        <v>-1</v>
      </c>
      <c r="BB49" s="36">
        <f>'[1]STA CLARA'!$K49</f>
        <v>5216.666666666667</v>
      </c>
      <c r="BC49" s="31">
        <f t="shared" si="40"/>
        <v>4575.5383333333339</v>
      </c>
      <c r="BD49" s="31">
        <f t="shared" si="41"/>
        <v>641.12833333333333</v>
      </c>
      <c r="BE49" s="31">
        <f t="shared" si="42"/>
        <v>0</v>
      </c>
      <c r="BF49" s="31">
        <f t="shared" si="43"/>
        <v>0</v>
      </c>
      <c r="BG49" s="27"/>
      <c r="BH49" s="37">
        <f t="shared" si="9"/>
        <v>-1</v>
      </c>
      <c r="BI49" s="36">
        <f>'[1]STA CLARA'!$L49</f>
        <v>5216.666666666667</v>
      </c>
      <c r="BJ49" s="31">
        <f t="shared" si="44"/>
        <v>4575.5383333333339</v>
      </c>
      <c r="BK49" s="31">
        <f t="shared" si="45"/>
        <v>641.12833333333333</v>
      </c>
      <c r="BL49" s="31">
        <f t="shared" si="46"/>
        <v>0</v>
      </c>
      <c r="BM49" s="31">
        <f t="shared" si="47"/>
        <v>0</v>
      </c>
      <c r="BN49" s="33"/>
      <c r="BO49" s="37">
        <f t="shared" si="10"/>
        <v>-1</v>
      </c>
      <c r="BP49" s="36">
        <f>'[1]STA CLARA'!$M49</f>
        <v>5216.666666666667</v>
      </c>
      <c r="BQ49" s="31">
        <f t="shared" si="48"/>
        <v>4575.5383333333339</v>
      </c>
      <c r="BR49" s="31">
        <f t="shared" si="49"/>
        <v>641.12833333333333</v>
      </c>
      <c r="BS49" s="31">
        <f t="shared" si="50"/>
        <v>0</v>
      </c>
      <c r="BT49" s="31">
        <f t="shared" si="51"/>
        <v>0</v>
      </c>
      <c r="BU49" s="33"/>
      <c r="BV49" s="37">
        <f t="shared" si="11"/>
        <v>-1</v>
      </c>
      <c r="BW49" s="36">
        <f>'[1]STA CLARA'!$N49</f>
        <v>5216.666666666667</v>
      </c>
      <c r="BX49" s="31">
        <f t="shared" si="52"/>
        <v>4575.5383333333339</v>
      </c>
      <c r="BY49" s="31">
        <f t="shared" si="53"/>
        <v>641.12833333333333</v>
      </c>
      <c r="BZ49" s="31">
        <f t="shared" si="54"/>
        <v>0</v>
      </c>
      <c r="CA49" s="31">
        <f t="shared" si="55"/>
        <v>0</v>
      </c>
      <c r="CB49" s="33"/>
      <c r="CC49" s="37">
        <f t="shared" si="12"/>
        <v>-1</v>
      </c>
      <c r="CD49" s="36">
        <f>'[1]STA CLARA'!$O49</f>
        <v>5216.666666666667</v>
      </c>
      <c r="CE49" s="31">
        <f t="shared" si="56"/>
        <v>4575.5383333333339</v>
      </c>
      <c r="CF49" s="31">
        <f t="shared" si="57"/>
        <v>641.12833333333333</v>
      </c>
      <c r="CG49" s="31">
        <f t="shared" si="58"/>
        <v>0</v>
      </c>
      <c r="CH49" s="31">
        <f t="shared" si="59"/>
        <v>0</v>
      </c>
      <c r="CI49" s="33"/>
      <c r="CJ49" s="37">
        <f t="shared" si="13"/>
        <v>-1</v>
      </c>
      <c r="CK49" s="36">
        <f>'[1]STA CLARA'!$P49</f>
        <v>5216.666666666667</v>
      </c>
      <c r="CL49" s="31">
        <f t="shared" si="60"/>
        <v>4575.5383333333339</v>
      </c>
      <c r="CM49" s="31">
        <f t="shared" si="61"/>
        <v>641.12833333333333</v>
      </c>
      <c r="CN49" s="31">
        <f t="shared" si="62"/>
        <v>0</v>
      </c>
      <c r="CO49" s="31">
        <f t="shared" si="63"/>
        <v>0</v>
      </c>
      <c r="CP49" s="33"/>
      <c r="CQ49" s="37">
        <f t="shared" si="14"/>
        <v>-1</v>
      </c>
    </row>
    <row r="50" spans="1:99" s="26" customFormat="1" ht="16" customHeight="1" x14ac:dyDescent="0.2">
      <c r="A50" s="29" t="s">
        <v>74</v>
      </c>
      <c r="B50" s="30">
        <f t="shared" si="64"/>
        <v>5427.2000000000007</v>
      </c>
      <c r="C50" s="31">
        <f t="shared" si="64"/>
        <v>4760.1971200000007</v>
      </c>
      <c r="D50" s="32">
        <f t="shared" si="64"/>
        <v>667.00288</v>
      </c>
      <c r="E50" s="30">
        <f t="shared" si="66"/>
        <v>1809.0666666666668</v>
      </c>
      <c r="F50" s="33">
        <f t="shared" si="66"/>
        <v>1586.7323733333335</v>
      </c>
      <c r="G50" s="34">
        <f t="shared" si="66"/>
        <v>222.33429333333333</v>
      </c>
      <c r="H50" s="31">
        <f t="shared" si="65"/>
        <v>0</v>
      </c>
      <c r="I50" s="33">
        <f t="shared" si="65"/>
        <v>2231.13</v>
      </c>
      <c r="J50" s="33">
        <f t="shared" si="65"/>
        <v>2231.13</v>
      </c>
      <c r="K50" s="37">
        <f t="shared" si="2"/>
        <v>0.23330446639150937</v>
      </c>
      <c r="L50" s="36">
        <f>'[1]STA CLARA'!$E50</f>
        <v>452.26666666666671</v>
      </c>
      <c r="M50" s="28">
        <f t="shared" si="16"/>
        <v>396.68309333333337</v>
      </c>
      <c r="N50" s="28">
        <f t="shared" si="17"/>
        <v>55.583573333333334</v>
      </c>
      <c r="O50" s="28">
        <f t="shared" si="18"/>
        <v>0</v>
      </c>
      <c r="P50" s="28">
        <f t="shared" si="19"/>
        <v>422.85</v>
      </c>
      <c r="Q50" s="151">
        <f>422.85</f>
        <v>422.85</v>
      </c>
      <c r="R50" s="37">
        <f t="shared" si="3"/>
        <v>-6.5042747641509524E-2</v>
      </c>
      <c r="S50" s="36">
        <f>'[1]STA CLARA'!$F50</f>
        <v>452.26666666666671</v>
      </c>
      <c r="T50" s="28">
        <f t="shared" si="20"/>
        <v>396.68309333333337</v>
      </c>
      <c r="U50" s="28">
        <f t="shared" si="21"/>
        <v>55.583573333333334</v>
      </c>
      <c r="V50" s="28">
        <f t="shared" si="22"/>
        <v>0</v>
      </c>
      <c r="W50" s="28">
        <f t="shared" si="23"/>
        <v>544.76</v>
      </c>
      <c r="X50" s="151">
        <f>489.69+55.07</f>
        <v>544.76</v>
      </c>
      <c r="Y50" s="37">
        <f t="shared" si="4"/>
        <v>0.20451061320754693</v>
      </c>
      <c r="Z50" s="36">
        <f>'[1]STA CLARA'!$G50</f>
        <v>452.26666666666671</v>
      </c>
      <c r="AA50" s="28">
        <f t="shared" si="24"/>
        <v>396.68309333333337</v>
      </c>
      <c r="AB50" s="28">
        <f t="shared" si="25"/>
        <v>55.583573333333334</v>
      </c>
      <c r="AC50" s="28">
        <f t="shared" si="26"/>
        <v>0</v>
      </c>
      <c r="AD50" s="28">
        <f t="shared" si="27"/>
        <v>863.62</v>
      </c>
      <c r="AE50" s="151">
        <f>863.62</f>
        <v>863.62</v>
      </c>
      <c r="AF50" s="37">
        <f t="shared" si="5"/>
        <v>0.90953714622641502</v>
      </c>
      <c r="AG50" s="36">
        <f>'[1]STA CLARA'!$H50</f>
        <v>452.26666666666671</v>
      </c>
      <c r="AH50" s="28">
        <f t="shared" si="28"/>
        <v>396.68309333333337</v>
      </c>
      <c r="AI50" s="28">
        <f t="shared" si="29"/>
        <v>55.583573333333334</v>
      </c>
      <c r="AJ50" s="28">
        <f t="shared" si="30"/>
        <v>0</v>
      </c>
      <c r="AK50" s="28">
        <f t="shared" si="31"/>
        <v>399.9</v>
      </c>
      <c r="AL50" s="151">
        <f>399.9</f>
        <v>399.9</v>
      </c>
      <c r="AM50" s="37">
        <f t="shared" si="6"/>
        <v>-0.11578714622641517</v>
      </c>
      <c r="AN50" s="36">
        <f>'[1]STA CLARA'!$I50</f>
        <v>452.26666666666671</v>
      </c>
      <c r="AO50" s="28">
        <f t="shared" si="32"/>
        <v>396.68309333333337</v>
      </c>
      <c r="AP50" s="28">
        <f t="shared" si="33"/>
        <v>55.583573333333334</v>
      </c>
      <c r="AQ50" s="28">
        <f t="shared" si="34"/>
        <v>0</v>
      </c>
      <c r="AR50" s="28">
        <f t="shared" si="35"/>
        <v>0</v>
      </c>
      <c r="AS50" s="153"/>
      <c r="AT50" s="37">
        <f t="shared" si="7"/>
        <v>-1</v>
      </c>
      <c r="AU50" s="36">
        <f>'[1]STA CLARA'!$J50</f>
        <v>452.26666666666671</v>
      </c>
      <c r="AV50" s="28">
        <f t="shared" si="36"/>
        <v>396.68309333333337</v>
      </c>
      <c r="AW50" s="28">
        <f t="shared" si="37"/>
        <v>55.583573333333334</v>
      </c>
      <c r="AX50" s="28">
        <f t="shared" si="38"/>
        <v>0</v>
      </c>
      <c r="AY50" s="28">
        <f t="shared" si="39"/>
        <v>0</v>
      </c>
      <c r="AZ50" s="153"/>
      <c r="BA50" s="37">
        <f t="shared" si="8"/>
        <v>-1</v>
      </c>
      <c r="BB50" s="36">
        <f>'[1]STA CLARA'!$K50</f>
        <v>452.26666666666671</v>
      </c>
      <c r="BC50" s="28">
        <f t="shared" si="40"/>
        <v>396.68309333333337</v>
      </c>
      <c r="BD50" s="28">
        <f t="shared" si="41"/>
        <v>55.583573333333334</v>
      </c>
      <c r="BE50" s="28">
        <f t="shared" si="42"/>
        <v>0</v>
      </c>
      <c r="BF50" s="28">
        <f t="shared" si="43"/>
        <v>0</v>
      </c>
      <c r="BG50" s="153"/>
      <c r="BH50" s="37">
        <f t="shared" si="9"/>
        <v>-1</v>
      </c>
      <c r="BI50" s="36">
        <f>'[1]STA CLARA'!$L50</f>
        <v>452.26666666666671</v>
      </c>
      <c r="BJ50" s="28">
        <f t="shared" si="44"/>
        <v>396.68309333333337</v>
      </c>
      <c r="BK50" s="28">
        <f t="shared" si="45"/>
        <v>55.583573333333334</v>
      </c>
      <c r="BL50" s="28">
        <f t="shared" si="46"/>
        <v>0</v>
      </c>
      <c r="BM50" s="28">
        <f t="shared" si="47"/>
        <v>0</v>
      </c>
      <c r="BN50" s="151"/>
      <c r="BO50" s="37">
        <f t="shared" si="10"/>
        <v>-1</v>
      </c>
      <c r="BP50" s="36">
        <f>'[1]STA CLARA'!$M50</f>
        <v>452.26666666666671</v>
      </c>
      <c r="BQ50" s="28">
        <f t="shared" si="48"/>
        <v>396.68309333333337</v>
      </c>
      <c r="BR50" s="28">
        <f t="shared" si="49"/>
        <v>55.583573333333334</v>
      </c>
      <c r="BS50" s="28">
        <f t="shared" si="50"/>
        <v>0</v>
      </c>
      <c r="BT50" s="28">
        <f t="shared" si="51"/>
        <v>0</v>
      </c>
      <c r="BU50" s="151"/>
      <c r="BV50" s="37">
        <f t="shared" si="11"/>
        <v>-1</v>
      </c>
      <c r="BW50" s="36">
        <f>'[1]STA CLARA'!$N50</f>
        <v>452.26666666666671</v>
      </c>
      <c r="BX50" s="28">
        <f t="shared" si="52"/>
        <v>396.68309333333337</v>
      </c>
      <c r="BY50" s="28">
        <f t="shared" si="53"/>
        <v>55.583573333333334</v>
      </c>
      <c r="BZ50" s="28">
        <f t="shared" si="54"/>
        <v>0</v>
      </c>
      <c r="CA50" s="28">
        <f t="shared" si="55"/>
        <v>0</v>
      </c>
      <c r="CB50" s="151"/>
      <c r="CC50" s="37">
        <f t="shared" si="12"/>
        <v>-1</v>
      </c>
      <c r="CD50" s="36">
        <f>'[1]STA CLARA'!$O50</f>
        <v>452.26666666666671</v>
      </c>
      <c r="CE50" s="28">
        <f t="shared" si="56"/>
        <v>396.68309333333337</v>
      </c>
      <c r="CF50" s="28">
        <f t="shared" si="57"/>
        <v>55.583573333333334</v>
      </c>
      <c r="CG50" s="28">
        <f t="shared" si="58"/>
        <v>0</v>
      </c>
      <c r="CH50" s="28">
        <f t="shared" si="59"/>
        <v>0</v>
      </c>
      <c r="CI50" s="151"/>
      <c r="CJ50" s="37">
        <f t="shared" si="13"/>
        <v>-1</v>
      </c>
      <c r="CK50" s="36">
        <f>'[1]STA CLARA'!$P50</f>
        <v>452.26666666666671</v>
      </c>
      <c r="CL50" s="28">
        <f t="shared" si="60"/>
        <v>396.68309333333337</v>
      </c>
      <c r="CM50" s="28">
        <f t="shared" si="61"/>
        <v>55.583573333333334</v>
      </c>
      <c r="CN50" s="28">
        <f t="shared" si="62"/>
        <v>0</v>
      </c>
      <c r="CO50" s="28">
        <f t="shared" si="63"/>
        <v>0</v>
      </c>
      <c r="CP50" s="151"/>
      <c r="CQ50" s="37">
        <f t="shared" si="14"/>
        <v>-1</v>
      </c>
    </row>
    <row r="51" spans="1:99" s="26" customFormat="1" ht="16" customHeight="1" x14ac:dyDescent="0.2">
      <c r="A51" s="29" t="s">
        <v>75</v>
      </c>
      <c r="B51" s="30">
        <f t="shared" si="64"/>
        <v>4079.1551999999997</v>
      </c>
      <c r="C51" s="31">
        <f t="shared" si="64"/>
        <v>3577.8270259199999</v>
      </c>
      <c r="D51" s="32">
        <f t="shared" si="64"/>
        <v>501.32817408</v>
      </c>
      <c r="E51" s="30">
        <f t="shared" si="66"/>
        <v>1359.7184</v>
      </c>
      <c r="F51" s="33">
        <f t="shared" si="66"/>
        <v>1192.60900864</v>
      </c>
      <c r="G51" s="34">
        <f t="shared" si="66"/>
        <v>167.10939135999999</v>
      </c>
      <c r="H51" s="31">
        <f t="shared" si="65"/>
        <v>0</v>
      </c>
      <c r="I51" s="33">
        <f t="shared" si="65"/>
        <v>1376.31</v>
      </c>
      <c r="J51" s="33">
        <f t="shared" si="65"/>
        <v>1376.31</v>
      </c>
      <c r="K51" s="37">
        <f t="shared" si="2"/>
        <v>1.220223246225105E-2</v>
      </c>
      <c r="L51" s="36">
        <f>'[1]STA CLARA'!$E51</f>
        <v>339.92959999999999</v>
      </c>
      <c r="M51" s="31">
        <f t="shared" si="16"/>
        <v>298.15225215999999</v>
      </c>
      <c r="N51" s="31">
        <f t="shared" si="17"/>
        <v>41.777347839999997</v>
      </c>
      <c r="O51" s="31">
        <f t="shared" si="18"/>
        <v>0</v>
      </c>
      <c r="P51" s="31">
        <f t="shared" si="19"/>
        <v>336.68</v>
      </c>
      <c r="Q51" s="45">
        <f>336.68</f>
        <v>336.68</v>
      </c>
      <c r="R51" s="37">
        <f t="shared" si="3"/>
        <v>-9.5596264638324602E-3</v>
      </c>
      <c r="S51" s="36">
        <f>'[1]STA CLARA'!$F51</f>
        <v>339.92959999999999</v>
      </c>
      <c r="T51" s="31">
        <f t="shared" si="20"/>
        <v>298.15225215999999</v>
      </c>
      <c r="U51" s="31">
        <f t="shared" si="21"/>
        <v>41.777347839999997</v>
      </c>
      <c r="V51" s="31">
        <f t="shared" si="22"/>
        <v>0</v>
      </c>
      <c r="W51" s="31">
        <f t="shared" si="23"/>
        <v>327.91</v>
      </c>
      <c r="X51" s="45">
        <f>327.91</f>
        <v>327.91</v>
      </c>
      <c r="Y51" s="37">
        <f t="shared" si="4"/>
        <v>-3.5359086116654614E-2</v>
      </c>
      <c r="Z51" s="36">
        <f>'[1]STA CLARA'!$G51</f>
        <v>339.92959999999999</v>
      </c>
      <c r="AA51" s="31">
        <f t="shared" si="24"/>
        <v>298.15225215999999</v>
      </c>
      <c r="AB51" s="31">
        <f t="shared" si="25"/>
        <v>41.777347839999997</v>
      </c>
      <c r="AC51" s="31">
        <f t="shared" si="26"/>
        <v>0</v>
      </c>
      <c r="AD51" s="31">
        <f t="shared" si="27"/>
        <v>304.98</v>
      </c>
      <c r="AE51" s="45">
        <f>304.98</f>
        <v>304.98</v>
      </c>
      <c r="AF51" s="37">
        <f t="shared" si="5"/>
        <v>-0.10281422976992871</v>
      </c>
      <c r="AG51" s="36">
        <f>'[1]STA CLARA'!$H51</f>
        <v>339.92959999999999</v>
      </c>
      <c r="AH51" s="31">
        <f t="shared" si="28"/>
        <v>298.15225215999999</v>
      </c>
      <c r="AI51" s="31">
        <f t="shared" si="29"/>
        <v>41.777347839999997</v>
      </c>
      <c r="AJ51" s="31">
        <f t="shared" si="30"/>
        <v>0</v>
      </c>
      <c r="AK51" s="31">
        <f t="shared" si="31"/>
        <v>406.74</v>
      </c>
      <c r="AL51" s="45">
        <f>406.74</f>
        <v>406.74</v>
      </c>
      <c r="AM51" s="37">
        <f t="shared" si="6"/>
        <v>0.1965418721994201</v>
      </c>
      <c r="AN51" s="36">
        <f>'[1]STA CLARA'!$I51</f>
        <v>339.92959999999999</v>
      </c>
      <c r="AO51" s="31">
        <f t="shared" si="32"/>
        <v>298.15225215999999</v>
      </c>
      <c r="AP51" s="31">
        <f t="shared" si="33"/>
        <v>41.777347839999997</v>
      </c>
      <c r="AQ51" s="31">
        <f t="shared" si="34"/>
        <v>0</v>
      </c>
      <c r="AR51" s="31">
        <f t="shared" si="35"/>
        <v>0</v>
      </c>
      <c r="AS51" s="48"/>
      <c r="AT51" s="37">
        <f t="shared" si="7"/>
        <v>-1</v>
      </c>
      <c r="AU51" s="36">
        <f>'[1]STA CLARA'!$J51</f>
        <v>339.92959999999999</v>
      </c>
      <c r="AV51" s="31">
        <f t="shared" si="36"/>
        <v>298.15225215999999</v>
      </c>
      <c r="AW51" s="31">
        <f t="shared" si="37"/>
        <v>41.777347839999997</v>
      </c>
      <c r="AX51" s="31">
        <f t="shared" si="38"/>
        <v>0</v>
      </c>
      <c r="AY51" s="31">
        <f t="shared" si="39"/>
        <v>0</v>
      </c>
      <c r="AZ51" s="48"/>
      <c r="BA51" s="37">
        <f t="shared" si="8"/>
        <v>-1</v>
      </c>
      <c r="BB51" s="36">
        <f>'[1]STA CLARA'!$K51</f>
        <v>339.92959999999999</v>
      </c>
      <c r="BC51" s="31">
        <f t="shared" si="40"/>
        <v>298.15225215999999</v>
      </c>
      <c r="BD51" s="31">
        <f t="shared" si="41"/>
        <v>41.777347839999997</v>
      </c>
      <c r="BE51" s="31">
        <f t="shared" si="42"/>
        <v>0</v>
      </c>
      <c r="BF51" s="31">
        <f t="shared" si="43"/>
        <v>0</v>
      </c>
      <c r="BG51" s="48"/>
      <c r="BH51" s="37">
        <f t="shared" si="9"/>
        <v>-1</v>
      </c>
      <c r="BI51" s="36">
        <f>'[1]STA CLARA'!$L51</f>
        <v>339.92959999999999</v>
      </c>
      <c r="BJ51" s="31">
        <f t="shared" si="44"/>
        <v>298.15225215999999</v>
      </c>
      <c r="BK51" s="31">
        <f t="shared" si="45"/>
        <v>41.777347839999997</v>
      </c>
      <c r="BL51" s="31">
        <f t="shared" si="46"/>
        <v>0</v>
      </c>
      <c r="BM51" s="31">
        <f t="shared" si="47"/>
        <v>0</v>
      </c>
      <c r="BN51" s="45"/>
      <c r="BO51" s="37">
        <f t="shared" si="10"/>
        <v>-1</v>
      </c>
      <c r="BP51" s="36">
        <f>'[1]STA CLARA'!$M51</f>
        <v>339.92959999999999</v>
      </c>
      <c r="BQ51" s="31">
        <f t="shared" si="48"/>
        <v>298.15225215999999</v>
      </c>
      <c r="BR51" s="31">
        <f t="shared" si="49"/>
        <v>41.777347839999997</v>
      </c>
      <c r="BS51" s="31">
        <f t="shared" si="50"/>
        <v>0</v>
      </c>
      <c r="BT51" s="31">
        <f t="shared" si="51"/>
        <v>0</v>
      </c>
      <c r="BU51" s="45"/>
      <c r="BV51" s="37">
        <f t="shared" si="11"/>
        <v>-1</v>
      </c>
      <c r="BW51" s="36">
        <f>'[1]STA CLARA'!$N51</f>
        <v>339.92959999999999</v>
      </c>
      <c r="BX51" s="31">
        <f t="shared" si="52"/>
        <v>298.15225215999999</v>
      </c>
      <c r="BY51" s="31">
        <f t="shared" si="53"/>
        <v>41.777347839999997</v>
      </c>
      <c r="BZ51" s="31">
        <f t="shared" si="54"/>
        <v>0</v>
      </c>
      <c r="CA51" s="31">
        <f t="shared" si="55"/>
        <v>0</v>
      </c>
      <c r="CB51" s="45"/>
      <c r="CC51" s="37">
        <f t="shared" si="12"/>
        <v>-1</v>
      </c>
      <c r="CD51" s="36">
        <f>'[1]STA CLARA'!$O51</f>
        <v>339.92959999999999</v>
      </c>
      <c r="CE51" s="31">
        <f t="shared" si="56"/>
        <v>298.15225215999999</v>
      </c>
      <c r="CF51" s="31">
        <f t="shared" si="57"/>
        <v>41.777347839999997</v>
      </c>
      <c r="CG51" s="31">
        <f t="shared" si="58"/>
        <v>0</v>
      </c>
      <c r="CH51" s="31">
        <f t="shared" si="59"/>
        <v>0</v>
      </c>
      <c r="CI51" s="45"/>
      <c r="CJ51" s="37">
        <f t="shared" si="13"/>
        <v>-1</v>
      </c>
      <c r="CK51" s="36">
        <f>'[1]STA CLARA'!$P51</f>
        <v>339.92959999999999</v>
      </c>
      <c r="CL51" s="31">
        <f t="shared" si="60"/>
        <v>298.15225215999999</v>
      </c>
      <c r="CM51" s="31">
        <f t="shared" si="61"/>
        <v>41.777347839999997</v>
      </c>
      <c r="CN51" s="31">
        <f t="shared" si="62"/>
        <v>0</v>
      </c>
      <c r="CO51" s="31">
        <f t="shared" si="63"/>
        <v>0</v>
      </c>
      <c r="CP51" s="45"/>
      <c r="CQ51" s="37">
        <f t="shared" si="14"/>
        <v>-1</v>
      </c>
    </row>
    <row r="52" spans="1:99" s="26" customFormat="1" ht="16" customHeight="1" x14ac:dyDescent="0.2">
      <c r="A52" s="29" t="s">
        <v>76</v>
      </c>
      <c r="B52" s="30">
        <f t="shared" si="64"/>
        <v>15000</v>
      </c>
      <c r="C52" s="31">
        <f t="shared" si="64"/>
        <v>13156.5</v>
      </c>
      <c r="D52" s="32">
        <f t="shared" si="64"/>
        <v>1843.5</v>
      </c>
      <c r="E52" s="30">
        <f t="shared" si="66"/>
        <v>5000</v>
      </c>
      <c r="F52" s="33">
        <f t="shared" si="66"/>
        <v>4385.5</v>
      </c>
      <c r="G52" s="34">
        <f t="shared" si="66"/>
        <v>614.5</v>
      </c>
      <c r="H52" s="31">
        <f t="shared" si="65"/>
        <v>0</v>
      </c>
      <c r="I52" s="33">
        <f t="shared" si="65"/>
        <v>19001.810000000001</v>
      </c>
      <c r="J52" s="33">
        <f t="shared" si="65"/>
        <v>19001.810000000001</v>
      </c>
      <c r="K52" s="37">
        <f t="shared" si="2"/>
        <v>2.8003620000000002</v>
      </c>
      <c r="L52" s="36">
        <f>'[1]STA CLARA'!$E52</f>
        <v>1250</v>
      </c>
      <c r="M52" s="31">
        <f t="shared" si="16"/>
        <v>1096.375</v>
      </c>
      <c r="N52" s="31">
        <f t="shared" si="17"/>
        <v>153.625</v>
      </c>
      <c r="O52" s="31">
        <f t="shared" si="18"/>
        <v>0</v>
      </c>
      <c r="P52" s="31">
        <f t="shared" si="19"/>
        <v>233.95</v>
      </c>
      <c r="Q52" s="33">
        <f>233.95</f>
        <v>233.95</v>
      </c>
      <c r="R52" s="37">
        <f t="shared" si="3"/>
        <v>-0.81284000000000001</v>
      </c>
      <c r="S52" s="36">
        <f>'[1]STA CLARA'!$F52</f>
        <v>1250</v>
      </c>
      <c r="T52" s="31">
        <f t="shared" si="20"/>
        <v>1096.375</v>
      </c>
      <c r="U52" s="31">
        <f t="shared" si="21"/>
        <v>153.625</v>
      </c>
      <c r="V52" s="31">
        <f t="shared" si="22"/>
        <v>0</v>
      </c>
      <c r="W52" s="31">
        <f t="shared" si="23"/>
        <v>410.16</v>
      </c>
      <c r="X52" s="33">
        <f>410.16</f>
        <v>410.16</v>
      </c>
      <c r="Y52" s="37">
        <f t="shared" si="4"/>
        <v>-0.67187200000000002</v>
      </c>
      <c r="Z52" s="36">
        <f>'[1]STA CLARA'!$G52</f>
        <v>1250</v>
      </c>
      <c r="AA52" s="31">
        <f t="shared" si="24"/>
        <v>1096.375</v>
      </c>
      <c r="AB52" s="31">
        <f t="shared" si="25"/>
        <v>153.625</v>
      </c>
      <c r="AC52" s="31">
        <f t="shared" si="26"/>
        <v>0</v>
      </c>
      <c r="AD52" s="31">
        <f t="shared" si="27"/>
        <v>12939.73</v>
      </c>
      <c r="AE52" s="33">
        <f>12939.73</f>
        <v>12939.73</v>
      </c>
      <c r="AF52" s="37">
        <f t="shared" si="5"/>
        <v>9.3517840000000003</v>
      </c>
      <c r="AG52" s="36">
        <f>'[1]STA CLARA'!$H52</f>
        <v>1250</v>
      </c>
      <c r="AH52" s="31">
        <f t="shared" si="28"/>
        <v>1096.375</v>
      </c>
      <c r="AI52" s="31">
        <f t="shared" si="29"/>
        <v>153.625</v>
      </c>
      <c r="AJ52" s="31">
        <f t="shared" si="30"/>
        <v>0</v>
      </c>
      <c r="AK52" s="31">
        <f t="shared" si="31"/>
        <v>5417.97</v>
      </c>
      <c r="AL52" s="33">
        <f>5417.97</f>
        <v>5417.97</v>
      </c>
      <c r="AM52" s="37">
        <f t="shared" si="6"/>
        <v>3.3343759999999998</v>
      </c>
      <c r="AN52" s="36">
        <f>'[1]STA CLARA'!$I52</f>
        <v>1250</v>
      </c>
      <c r="AO52" s="31">
        <f t="shared" si="32"/>
        <v>1096.375</v>
      </c>
      <c r="AP52" s="31">
        <f t="shared" si="33"/>
        <v>153.625</v>
      </c>
      <c r="AQ52" s="31">
        <f t="shared" si="34"/>
        <v>0</v>
      </c>
      <c r="AR52" s="31">
        <f t="shared" si="35"/>
        <v>0</v>
      </c>
      <c r="AS52" s="27"/>
      <c r="AT52" s="37">
        <f t="shared" si="7"/>
        <v>-1</v>
      </c>
      <c r="AU52" s="36">
        <f>'[1]STA CLARA'!$J52</f>
        <v>1250</v>
      </c>
      <c r="AV52" s="31">
        <f t="shared" si="36"/>
        <v>1096.375</v>
      </c>
      <c r="AW52" s="31">
        <f t="shared" si="37"/>
        <v>153.625</v>
      </c>
      <c r="AX52" s="31">
        <f t="shared" si="38"/>
        <v>0</v>
      </c>
      <c r="AY52" s="31">
        <f t="shared" si="39"/>
        <v>0</v>
      </c>
      <c r="AZ52" s="27"/>
      <c r="BA52" s="37">
        <f t="shared" si="8"/>
        <v>-1</v>
      </c>
      <c r="BB52" s="36">
        <f>'[1]STA CLARA'!$K52</f>
        <v>1250</v>
      </c>
      <c r="BC52" s="31">
        <f t="shared" si="40"/>
        <v>1096.375</v>
      </c>
      <c r="BD52" s="31">
        <f t="shared" si="41"/>
        <v>153.625</v>
      </c>
      <c r="BE52" s="31">
        <f t="shared" si="42"/>
        <v>0</v>
      </c>
      <c r="BF52" s="31">
        <f t="shared" si="43"/>
        <v>0</v>
      </c>
      <c r="BG52" s="27"/>
      <c r="BH52" s="37">
        <f t="shared" si="9"/>
        <v>-1</v>
      </c>
      <c r="BI52" s="36">
        <f>'[1]STA CLARA'!$L52</f>
        <v>1250</v>
      </c>
      <c r="BJ52" s="31">
        <f t="shared" si="44"/>
        <v>1096.375</v>
      </c>
      <c r="BK52" s="31">
        <f t="shared" si="45"/>
        <v>153.625</v>
      </c>
      <c r="BL52" s="31">
        <f t="shared" si="46"/>
        <v>0</v>
      </c>
      <c r="BM52" s="31">
        <f t="shared" si="47"/>
        <v>0</v>
      </c>
      <c r="BN52" s="33"/>
      <c r="BO52" s="37">
        <f t="shared" si="10"/>
        <v>-1</v>
      </c>
      <c r="BP52" s="36">
        <f>'[1]STA CLARA'!$M52</f>
        <v>1250</v>
      </c>
      <c r="BQ52" s="31">
        <f t="shared" si="48"/>
        <v>1096.375</v>
      </c>
      <c r="BR52" s="31">
        <f t="shared" si="49"/>
        <v>153.625</v>
      </c>
      <c r="BS52" s="31">
        <f t="shared" si="50"/>
        <v>0</v>
      </c>
      <c r="BT52" s="31">
        <f t="shared" si="51"/>
        <v>0</v>
      </c>
      <c r="BU52" s="33"/>
      <c r="BV52" s="37">
        <f t="shared" si="11"/>
        <v>-1</v>
      </c>
      <c r="BW52" s="36">
        <f>'[1]STA CLARA'!$N52</f>
        <v>1250</v>
      </c>
      <c r="BX52" s="31">
        <f t="shared" si="52"/>
        <v>1096.375</v>
      </c>
      <c r="BY52" s="31">
        <f t="shared" si="53"/>
        <v>153.625</v>
      </c>
      <c r="BZ52" s="31">
        <f t="shared" si="54"/>
        <v>0</v>
      </c>
      <c r="CA52" s="31">
        <f t="shared" si="55"/>
        <v>0</v>
      </c>
      <c r="CB52" s="33"/>
      <c r="CC52" s="37">
        <f t="shared" si="12"/>
        <v>-1</v>
      </c>
      <c r="CD52" s="36">
        <f>'[1]STA CLARA'!$O52</f>
        <v>1250</v>
      </c>
      <c r="CE52" s="31">
        <f t="shared" si="56"/>
        <v>1096.375</v>
      </c>
      <c r="CF52" s="31">
        <f t="shared" si="57"/>
        <v>153.625</v>
      </c>
      <c r="CG52" s="31">
        <f t="shared" si="58"/>
        <v>0</v>
      </c>
      <c r="CH52" s="31">
        <f t="shared" si="59"/>
        <v>0</v>
      </c>
      <c r="CI52" s="33"/>
      <c r="CJ52" s="37">
        <f t="shared" si="13"/>
        <v>-1</v>
      </c>
      <c r="CK52" s="36">
        <f>'[1]STA CLARA'!$P52</f>
        <v>1250</v>
      </c>
      <c r="CL52" s="31">
        <f t="shared" si="60"/>
        <v>1096.375</v>
      </c>
      <c r="CM52" s="31">
        <f t="shared" si="61"/>
        <v>153.625</v>
      </c>
      <c r="CN52" s="31">
        <f t="shared" si="62"/>
        <v>0</v>
      </c>
      <c r="CO52" s="31">
        <f t="shared" si="63"/>
        <v>0</v>
      </c>
      <c r="CP52" s="33"/>
      <c r="CQ52" s="37">
        <f t="shared" si="14"/>
        <v>-1</v>
      </c>
    </row>
    <row r="53" spans="1:99" s="26" customFormat="1" ht="16" customHeight="1" x14ac:dyDescent="0.2">
      <c r="A53" s="38" t="s">
        <v>77</v>
      </c>
      <c r="B53" s="30">
        <f t="shared" si="64"/>
        <v>15000</v>
      </c>
      <c r="C53" s="31">
        <f t="shared" si="64"/>
        <v>13156.5</v>
      </c>
      <c r="D53" s="32">
        <f t="shared" si="64"/>
        <v>1843.5</v>
      </c>
      <c r="E53" s="30">
        <f t="shared" si="66"/>
        <v>5000</v>
      </c>
      <c r="F53" s="33">
        <f t="shared" si="66"/>
        <v>4385.5</v>
      </c>
      <c r="G53" s="34">
        <f t="shared" si="66"/>
        <v>614.5</v>
      </c>
      <c r="H53" s="31">
        <f t="shared" si="65"/>
        <v>0</v>
      </c>
      <c r="I53" s="33">
        <f t="shared" si="65"/>
        <v>241.57</v>
      </c>
      <c r="J53" s="33">
        <f t="shared" si="65"/>
        <v>241.57</v>
      </c>
      <c r="K53" s="37">
        <f t="shared" si="2"/>
        <v>-0.95168600000000003</v>
      </c>
      <c r="L53" s="36">
        <f>'[1]STA CLARA'!$E53</f>
        <v>1250</v>
      </c>
      <c r="M53" s="31">
        <f t="shared" si="16"/>
        <v>1096.375</v>
      </c>
      <c r="N53" s="31">
        <f t="shared" si="17"/>
        <v>153.625</v>
      </c>
      <c r="O53" s="31">
        <f t="shared" si="18"/>
        <v>0</v>
      </c>
      <c r="P53" s="31">
        <f t="shared" si="19"/>
        <v>0</v>
      </c>
      <c r="Q53" s="33"/>
      <c r="R53" s="37">
        <f t="shared" si="3"/>
        <v>-1</v>
      </c>
      <c r="S53" s="36">
        <f>'[1]STA CLARA'!$F53</f>
        <v>1250</v>
      </c>
      <c r="T53" s="31">
        <f t="shared" si="20"/>
        <v>1096.375</v>
      </c>
      <c r="U53" s="31">
        <f t="shared" si="21"/>
        <v>153.625</v>
      </c>
      <c r="V53" s="31">
        <f t="shared" si="22"/>
        <v>0</v>
      </c>
      <c r="W53" s="31">
        <f t="shared" si="23"/>
        <v>21.57</v>
      </c>
      <c r="X53" s="33">
        <f>21.57</f>
        <v>21.57</v>
      </c>
      <c r="Y53" s="37">
        <f t="shared" si="4"/>
        <v>-0.98274399999999995</v>
      </c>
      <c r="Z53" s="36">
        <f>'[1]STA CLARA'!$G53</f>
        <v>1250</v>
      </c>
      <c r="AA53" s="31">
        <f t="shared" si="24"/>
        <v>1096.375</v>
      </c>
      <c r="AB53" s="31">
        <f t="shared" si="25"/>
        <v>153.625</v>
      </c>
      <c r="AC53" s="31">
        <f t="shared" si="26"/>
        <v>0</v>
      </c>
      <c r="AD53" s="31">
        <f t="shared" si="27"/>
        <v>220</v>
      </c>
      <c r="AE53" s="33">
        <f>220</f>
        <v>220</v>
      </c>
      <c r="AF53" s="37">
        <f t="shared" si="5"/>
        <v>-0.82400000000000007</v>
      </c>
      <c r="AG53" s="36">
        <f>'[1]STA CLARA'!$H53</f>
        <v>1250</v>
      </c>
      <c r="AH53" s="31">
        <f t="shared" si="28"/>
        <v>1096.375</v>
      </c>
      <c r="AI53" s="31">
        <f t="shared" si="29"/>
        <v>153.625</v>
      </c>
      <c r="AJ53" s="31">
        <f t="shared" si="30"/>
        <v>0</v>
      </c>
      <c r="AK53" s="31">
        <f t="shared" si="31"/>
        <v>0</v>
      </c>
      <c r="AL53" s="33"/>
      <c r="AM53" s="37">
        <f t="shared" si="6"/>
        <v>-1</v>
      </c>
      <c r="AN53" s="36">
        <f>'[1]STA CLARA'!$I53</f>
        <v>1250</v>
      </c>
      <c r="AO53" s="31">
        <f t="shared" si="32"/>
        <v>1096.375</v>
      </c>
      <c r="AP53" s="31">
        <f t="shared" si="33"/>
        <v>153.625</v>
      </c>
      <c r="AQ53" s="31">
        <f t="shared" si="34"/>
        <v>0</v>
      </c>
      <c r="AR53" s="31">
        <f t="shared" si="35"/>
        <v>0</v>
      </c>
      <c r="AS53" s="27"/>
      <c r="AT53" s="37">
        <f t="shared" si="7"/>
        <v>-1</v>
      </c>
      <c r="AU53" s="36">
        <f>'[1]STA CLARA'!$J53</f>
        <v>1250</v>
      </c>
      <c r="AV53" s="31">
        <f t="shared" si="36"/>
        <v>1096.375</v>
      </c>
      <c r="AW53" s="31">
        <f t="shared" si="37"/>
        <v>153.625</v>
      </c>
      <c r="AX53" s="31">
        <f t="shared" si="38"/>
        <v>0</v>
      </c>
      <c r="AY53" s="31">
        <f t="shared" si="39"/>
        <v>0</v>
      </c>
      <c r="AZ53" s="27"/>
      <c r="BA53" s="37">
        <f t="shared" si="8"/>
        <v>-1</v>
      </c>
      <c r="BB53" s="36">
        <f>'[1]STA CLARA'!$K53</f>
        <v>1250</v>
      </c>
      <c r="BC53" s="31">
        <f t="shared" si="40"/>
        <v>1096.375</v>
      </c>
      <c r="BD53" s="31">
        <f t="shared" si="41"/>
        <v>153.625</v>
      </c>
      <c r="BE53" s="31">
        <f t="shared" si="42"/>
        <v>0</v>
      </c>
      <c r="BF53" s="31">
        <f t="shared" si="43"/>
        <v>0</v>
      </c>
      <c r="BG53" s="27"/>
      <c r="BH53" s="37">
        <f t="shared" si="9"/>
        <v>-1</v>
      </c>
      <c r="BI53" s="36">
        <f>'[1]STA CLARA'!$L53</f>
        <v>1250</v>
      </c>
      <c r="BJ53" s="31">
        <f t="shared" si="44"/>
        <v>1096.375</v>
      </c>
      <c r="BK53" s="31">
        <f t="shared" si="45"/>
        <v>153.625</v>
      </c>
      <c r="BL53" s="31">
        <f t="shared" si="46"/>
        <v>0</v>
      </c>
      <c r="BM53" s="31">
        <f t="shared" si="47"/>
        <v>0</v>
      </c>
      <c r="BN53" s="33"/>
      <c r="BO53" s="37">
        <f t="shared" si="10"/>
        <v>-1</v>
      </c>
      <c r="BP53" s="36">
        <f>'[1]STA CLARA'!$M53</f>
        <v>1250</v>
      </c>
      <c r="BQ53" s="31">
        <f t="shared" si="48"/>
        <v>1096.375</v>
      </c>
      <c r="BR53" s="31">
        <f t="shared" si="49"/>
        <v>153.625</v>
      </c>
      <c r="BS53" s="31">
        <f t="shared" si="50"/>
        <v>0</v>
      </c>
      <c r="BT53" s="31">
        <f t="shared" si="51"/>
        <v>0</v>
      </c>
      <c r="BU53" s="33"/>
      <c r="BV53" s="37">
        <f t="shared" si="11"/>
        <v>-1</v>
      </c>
      <c r="BW53" s="36">
        <f>'[1]STA CLARA'!$N53</f>
        <v>1250</v>
      </c>
      <c r="BX53" s="31">
        <f t="shared" si="52"/>
        <v>1096.375</v>
      </c>
      <c r="BY53" s="31">
        <f t="shared" si="53"/>
        <v>153.625</v>
      </c>
      <c r="BZ53" s="31">
        <f t="shared" si="54"/>
        <v>0</v>
      </c>
      <c r="CA53" s="31">
        <f t="shared" si="55"/>
        <v>0</v>
      </c>
      <c r="CB53" s="33"/>
      <c r="CC53" s="37">
        <f t="shared" si="12"/>
        <v>-1</v>
      </c>
      <c r="CD53" s="36">
        <f>'[1]STA CLARA'!$O53</f>
        <v>1250</v>
      </c>
      <c r="CE53" s="31">
        <f t="shared" si="56"/>
        <v>1096.375</v>
      </c>
      <c r="CF53" s="31">
        <f t="shared" si="57"/>
        <v>153.625</v>
      </c>
      <c r="CG53" s="31">
        <f t="shared" si="58"/>
        <v>0</v>
      </c>
      <c r="CH53" s="31">
        <f t="shared" si="59"/>
        <v>0</v>
      </c>
      <c r="CI53" s="33"/>
      <c r="CJ53" s="37">
        <f t="shared" si="13"/>
        <v>-1</v>
      </c>
      <c r="CK53" s="36">
        <f>'[1]STA CLARA'!$P53</f>
        <v>1250</v>
      </c>
      <c r="CL53" s="31">
        <f t="shared" si="60"/>
        <v>1096.375</v>
      </c>
      <c r="CM53" s="31">
        <f t="shared" si="61"/>
        <v>153.625</v>
      </c>
      <c r="CN53" s="31">
        <f t="shared" si="62"/>
        <v>0</v>
      </c>
      <c r="CO53" s="31">
        <f t="shared" si="63"/>
        <v>0</v>
      </c>
      <c r="CP53" s="33"/>
      <c r="CQ53" s="37">
        <f t="shared" si="14"/>
        <v>-1</v>
      </c>
    </row>
    <row r="54" spans="1:99" s="26" customFormat="1" ht="16" customHeight="1" thickBot="1" x14ac:dyDescent="0.25">
      <c r="A54" s="39" t="s">
        <v>78</v>
      </c>
      <c r="B54" s="50">
        <f t="shared" si="64"/>
        <v>55250.000000000007</v>
      </c>
      <c r="C54" s="40">
        <f t="shared" si="64"/>
        <v>48459.774999999994</v>
      </c>
      <c r="D54" s="51">
        <f t="shared" si="64"/>
        <v>6790.2249999999985</v>
      </c>
      <c r="E54" s="52">
        <f t="shared" si="66"/>
        <v>31571.428571428572</v>
      </c>
      <c r="F54" s="53">
        <f t="shared" si="66"/>
        <v>27691.300000000003</v>
      </c>
      <c r="G54" s="54">
        <f t="shared" si="66"/>
        <v>3880.1285714285714</v>
      </c>
      <c r="H54" s="40">
        <f t="shared" si="65"/>
        <v>0</v>
      </c>
      <c r="I54" s="53">
        <f t="shared" si="65"/>
        <v>33015.180000000058</v>
      </c>
      <c r="J54" s="53">
        <f t="shared" si="65"/>
        <v>33015.180000000058</v>
      </c>
      <c r="K54" s="60">
        <f t="shared" si="2"/>
        <v>4.5729683257920373E-2</v>
      </c>
      <c r="L54" s="87">
        <f>'[1]STA CLARA'!$E54</f>
        <v>7892.8571428571431</v>
      </c>
      <c r="M54" s="40">
        <f t="shared" si="16"/>
        <v>6922.8250000000007</v>
      </c>
      <c r="N54" s="40">
        <f t="shared" si="17"/>
        <v>970.03214285714284</v>
      </c>
      <c r="O54" s="40">
        <f t="shared" si="18"/>
        <v>0</v>
      </c>
      <c r="P54" s="40">
        <f t="shared" si="19"/>
        <v>0</v>
      </c>
      <c r="Q54" s="53"/>
      <c r="R54" s="60">
        <f t="shared" si="3"/>
        <v>-1</v>
      </c>
      <c r="S54" s="87">
        <f>'[1]STA CLARA'!$F54</f>
        <v>7892.8571428571431</v>
      </c>
      <c r="T54" s="40">
        <f t="shared" si="20"/>
        <v>6922.8250000000007</v>
      </c>
      <c r="U54" s="40">
        <f t="shared" si="21"/>
        <v>970.03214285714284</v>
      </c>
      <c r="V54" s="40">
        <f t="shared" si="22"/>
        <v>0</v>
      </c>
      <c r="W54" s="40">
        <f t="shared" si="23"/>
        <v>24832.43</v>
      </c>
      <c r="X54" s="53">
        <v>24832.43</v>
      </c>
      <c r="Y54" s="60">
        <f t="shared" si="4"/>
        <v>2.146190226244344</v>
      </c>
      <c r="Z54" s="87">
        <f>'[1]STA CLARA'!$G54</f>
        <v>7892.8571428571431</v>
      </c>
      <c r="AA54" s="40">
        <f t="shared" si="24"/>
        <v>6922.8250000000007</v>
      </c>
      <c r="AB54" s="40">
        <f t="shared" si="25"/>
        <v>970.03214285714284</v>
      </c>
      <c r="AC54" s="40">
        <f t="shared" si="26"/>
        <v>0</v>
      </c>
      <c r="AD54" s="40">
        <f t="shared" si="27"/>
        <v>8182.7500000000582</v>
      </c>
      <c r="AE54" s="61">
        <v>8182.7500000000582</v>
      </c>
      <c r="AF54" s="60">
        <f t="shared" si="5"/>
        <v>3.6728506787337745E-2</v>
      </c>
      <c r="AG54" s="87">
        <f>'[1]STA CLARA'!$H54</f>
        <v>7892.8571428571431</v>
      </c>
      <c r="AH54" s="40">
        <f t="shared" si="28"/>
        <v>6922.8250000000007</v>
      </c>
      <c r="AI54" s="40">
        <f t="shared" si="29"/>
        <v>970.03214285714284</v>
      </c>
      <c r="AJ54" s="40">
        <f t="shared" si="30"/>
        <v>0</v>
      </c>
      <c r="AK54" s="40">
        <f t="shared" si="31"/>
        <v>0</v>
      </c>
      <c r="AL54" s="53"/>
      <c r="AM54" s="60">
        <f t="shared" si="6"/>
        <v>-1</v>
      </c>
      <c r="AN54" s="56">
        <f>'[1]STA CLARA'!$I54</f>
        <v>7892.8571428571431</v>
      </c>
      <c r="AO54" s="40">
        <f t="shared" si="32"/>
        <v>6922.8250000000007</v>
      </c>
      <c r="AP54" s="40">
        <f t="shared" si="33"/>
        <v>970.03214285714284</v>
      </c>
      <c r="AQ54" s="40">
        <f t="shared" si="34"/>
        <v>0</v>
      </c>
      <c r="AR54" s="40">
        <f t="shared" si="35"/>
        <v>0</v>
      </c>
      <c r="AS54" s="59"/>
      <c r="AT54" s="60">
        <f t="shared" si="7"/>
        <v>-1</v>
      </c>
      <c r="AU54" s="56">
        <f>'[1]STA CLARA'!$J54</f>
        <v>7892.8571428571431</v>
      </c>
      <c r="AV54" s="40">
        <f t="shared" si="36"/>
        <v>6922.8250000000007</v>
      </c>
      <c r="AW54" s="40">
        <f t="shared" si="37"/>
        <v>970.03214285714284</v>
      </c>
      <c r="AX54" s="40">
        <f t="shared" si="38"/>
        <v>0</v>
      </c>
      <c r="AY54" s="40">
        <f t="shared" si="39"/>
        <v>0</v>
      </c>
      <c r="AZ54" s="59"/>
      <c r="BA54" s="60">
        <f t="shared" si="8"/>
        <v>-1</v>
      </c>
      <c r="BB54" s="56">
        <f>'[1]STA CLARA'!$K54</f>
        <v>7892.8571428571431</v>
      </c>
      <c r="BC54" s="40">
        <f t="shared" si="40"/>
        <v>6922.8250000000007</v>
      </c>
      <c r="BD54" s="40">
        <f t="shared" si="41"/>
        <v>970.03214285714284</v>
      </c>
      <c r="BE54" s="40">
        <f t="shared" si="42"/>
        <v>0</v>
      </c>
      <c r="BF54" s="40">
        <f t="shared" si="43"/>
        <v>0</v>
      </c>
      <c r="BG54" s="59"/>
      <c r="BH54" s="60">
        <f t="shared" si="9"/>
        <v>-1</v>
      </c>
      <c r="BI54" s="56">
        <f>'[1]STA CLARA'!$L54</f>
        <v>0</v>
      </c>
      <c r="BJ54" s="40">
        <f t="shared" si="44"/>
        <v>0</v>
      </c>
      <c r="BK54" s="40">
        <f t="shared" si="45"/>
        <v>0</v>
      </c>
      <c r="BL54" s="40">
        <f t="shared" si="46"/>
        <v>0</v>
      </c>
      <c r="BM54" s="40">
        <f t="shared" si="47"/>
        <v>0</v>
      </c>
      <c r="BN54" s="58"/>
      <c r="BO54" s="60" t="str">
        <f t="shared" si="10"/>
        <v/>
      </c>
      <c r="BP54" s="56">
        <f>'[1]STA CLARA'!$M54</f>
        <v>0</v>
      </c>
      <c r="BQ54" s="40">
        <f t="shared" si="48"/>
        <v>0</v>
      </c>
      <c r="BR54" s="40">
        <f t="shared" si="49"/>
        <v>0</v>
      </c>
      <c r="BS54" s="40">
        <f t="shared" si="50"/>
        <v>0</v>
      </c>
      <c r="BT54" s="40">
        <f t="shared" si="51"/>
        <v>0</v>
      </c>
      <c r="BU54" s="58"/>
      <c r="BV54" s="60" t="str">
        <f t="shared" si="11"/>
        <v/>
      </c>
      <c r="BW54" s="87">
        <f>'[1]STA CLARA'!$N54</f>
        <v>0</v>
      </c>
      <c r="BX54" s="40">
        <f t="shared" si="52"/>
        <v>0</v>
      </c>
      <c r="BY54" s="40">
        <f t="shared" si="53"/>
        <v>0</v>
      </c>
      <c r="BZ54" s="40">
        <f t="shared" si="54"/>
        <v>0</v>
      </c>
      <c r="CA54" s="40">
        <f t="shared" si="55"/>
        <v>0</v>
      </c>
      <c r="CB54" s="53"/>
      <c r="CC54" s="60" t="str">
        <f t="shared" si="12"/>
        <v/>
      </c>
      <c r="CD54" s="87">
        <f>'[1]STA CLARA'!$O54</f>
        <v>0</v>
      </c>
      <c r="CE54" s="40">
        <f t="shared" si="56"/>
        <v>0</v>
      </c>
      <c r="CF54" s="40">
        <f t="shared" si="57"/>
        <v>0</v>
      </c>
      <c r="CG54" s="40">
        <f t="shared" si="58"/>
        <v>0</v>
      </c>
      <c r="CH54" s="40">
        <f t="shared" si="59"/>
        <v>0</v>
      </c>
      <c r="CI54" s="53"/>
      <c r="CJ54" s="60" t="str">
        <f t="shared" si="13"/>
        <v/>
      </c>
      <c r="CK54" s="87">
        <f>'[1]STA CLARA'!$P54</f>
        <v>0</v>
      </c>
      <c r="CL54" s="40">
        <f t="shared" si="60"/>
        <v>0</v>
      </c>
      <c r="CM54" s="40">
        <f t="shared" si="61"/>
        <v>0</v>
      </c>
      <c r="CN54" s="40">
        <f t="shared" si="62"/>
        <v>0</v>
      </c>
      <c r="CO54" s="40">
        <f t="shared" si="63"/>
        <v>0</v>
      </c>
      <c r="CP54" s="53"/>
      <c r="CQ54" s="60" t="str">
        <f t="shared" si="14"/>
        <v/>
      </c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6928960.4985383861</v>
      </c>
      <c r="C55" s="64">
        <f t="shared" si="67"/>
        <v>6077391.2532680174</v>
      </c>
      <c r="D55" s="65">
        <f t="shared" si="67"/>
        <v>851569.24527036771</v>
      </c>
      <c r="E55" s="63">
        <f t="shared" si="67"/>
        <v>2266570.4831953878</v>
      </c>
      <c r="F55" s="66">
        <f t="shared" si="67"/>
        <v>1988008.9708106744</v>
      </c>
      <c r="G55" s="67">
        <f t="shared" si="67"/>
        <v>278561.51238471322</v>
      </c>
      <c r="H55" s="64">
        <f t="shared" si="67"/>
        <v>0</v>
      </c>
      <c r="I55" s="66">
        <f t="shared" si="67"/>
        <v>2724897.8099999996</v>
      </c>
      <c r="J55" s="66">
        <f t="shared" si="67"/>
        <v>2724897.8099999996</v>
      </c>
      <c r="K55" s="120">
        <f>+J55/E55-1</f>
        <v>0.20221181304649605</v>
      </c>
      <c r="L55" s="121">
        <f t="shared" ref="L55:X55" si="68">SUM(L4:L54)</f>
        <v>347873.14740857593</v>
      </c>
      <c r="M55" s="121">
        <f t="shared" si="68"/>
        <v>305119.53759206191</v>
      </c>
      <c r="N55" s="121">
        <f t="shared" si="68"/>
        <v>42753.60981651397</v>
      </c>
      <c r="O55" s="122">
        <f t="shared" si="68"/>
        <v>0</v>
      </c>
      <c r="P55" s="122">
        <f t="shared" si="68"/>
        <v>481675.47</v>
      </c>
      <c r="Q55" s="123">
        <f t="shared" si="68"/>
        <v>481675.47</v>
      </c>
      <c r="R55" s="120">
        <f>+Q55/L55-1</f>
        <v>0.38462963752207546</v>
      </c>
      <c r="S55" s="121">
        <f t="shared" si="68"/>
        <v>573185.24304012267</v>
      </c>
      <c r="T55" s="121">
        <f t="shared" si="68"/>
        <v>502740.7766704915</v>
      </c>
      <c r="U55" s="121">
        <f t="shared" si="68"/>
        <v>70444.466369631074</v>
      </c>
      <c r="V55" s="122">
        <f t="shared" si="68"/>
        <v>0</v>
      </c>
      <c r="W55" s="122">
        <f t="shared" si="68"/>
        <v>563507.75000000012</v>
      </c>
      <c r="X55" s="123">
        <f t="shared" si="68"/>
        <v>563507.75000000012</v>
      </c>
      <c r="Y55" s="120">
        <f>+X55/S55-1</f>
        <v>-1.6883709337654929E-2</v>
      </c>
      <c r="Z55" s="121">
        <f t="shared" ref="Z55:AE55" si="69">SUM(Z4:Z54)</f>
        <v>898890.22021757741</v>
      </c>
      <c r="AA55" s="121">
        <f t="shared" si="69"/>
        <v>788416.61215283722</v>
      </c>
      <c r="AB55" s="121">
        <f t="shared" si="69"/>
        <v>110473.60806474024</v>
      </c>
      <c r="AC55" s="122">
        <f t="shared" si="69"/>
        <v>0</v>
      </c>
      <c r="AD55" s="122">
        <f t="shared" si="69"/>
        <v>1003068.8200000001</v>
      </c>
      <c r="AE55" s="123">
        <f t="shared" si="69"/>
        <v>1003068.8200000001</v>
      </c>
      <c r="AF55" s="120">
        <f>+AE55/Z55-1</f>
        <v>0.1158969109233452</v>
      </c>
      <c r="AG55" s="121">
        <f t="shared" ref="AG55:AL55" si="70">SUM(AG4:AG54)</f>
        <v>446621.87252911186</v>
      </c>
      <c r="AH55" s="121">
        <f t="shared" si="70"/>
        <v>391732.04439528397</v>
      </c>
      <c r="AI55" s="121">
        <f t="shared" si="70"/>
        <v>54889.828133827847</v>
      </c>
      <c r="AJ55" s="122">
        <f t="shared" si="70"/>
        <v>0</v>
      </c>
      <c r="AK55" s="122">
        <f t="shared" si="70"/>
        <v>676645.77</v>
      </c>
      <c r="AL55" s="123">
        <f t="shared" si="70"/>
        <v>676645.77</v>
      </c>
      <c r="AM55" s="120">
        <f>+AL55/AG55-1</f>
        <v>0.51503052496806379</v>
      </c>
      <c r="AN55" s="121">
        <f t="shared" ref="AN55:AS55" si="71">SUM(AN4:AN54)</f>
        <v>1121850.4804725065</v>
      </c>
      <c r="AO55" s="121">
        <f t="shared" si="71"/>
        <v>983975.05642243545</v>
      </c>
      <c r="AP55" s="121">
        <f t="shared" si="71"/>
        <v>137875.42405007104</v>
      </c>
      <c r="AQ55" s="122">
        <f t="shared" si="71"/>
        <v>0</v>
      </c>
      <c r="AR55" s="122">
        <f t="shared" si="71"/>
        <v>0</v>
      </c>
      <c r="AS55" s="124">
        <f t="shared" si="71"/>
        <v>0</v>
      </c>
      <c r="AT55" s="120">
        <f>+AS55/AN55-1</f>
        <v>-1</v>
      </c>
      <c r="AU55" s="121">
        <f t="shared" ref="AU55:AZ55" si="72">SUM(AU4:AU54)</f>
        <v>725477.75165556232</v>
      </c>
      <c r="AV55" s="121">
        <f t="shared" si="72"/>
        <v>636316.53597709362</v>
      </c>
      <c r="AW55" s="121">
        <f t="shared" si="72"/>
        <v>89161.215678468609</v>
      </c>
      <c r="AX55" s="122">
        <f t="shared" si="72"/>
        <v>0</v>
      </c>
      <c r="AY55" s="122">
        <f t="shared" si="72"/>
        <v>0</v>
      </c>
      <c r="AZ55" s="123">
        <f t="shared" si="72"/>
        <v>0</v>
      </c>
      <c r="BA55" s="120">
        <f>+AZ55/AU55-1</f>
        <v>-1</v>
      </c>
      <c r="BB55" s="121">
        <f t="shared" ref="BB55:BG55" si="73">SUM(BB4:BB54)</f>
        <v>535117.61411329301</v>
      </c>
      <c r="BC55" s="121">
        <f t="shared" si="73"/>
        <v>469351.65933876921</v>
      </c>
      <c r="BD55" s="121">
        <f t="shared" si="73"/>
        <v>65765.954774523707</v>
      </c>
      <c r="BE55" s="122">
        <f t="shared" si="73"/>
        <v>0</v>
      </c>
      <c r="BF55" s="122">
        <f t="shared" si="73"/>
        <v>0</v>
      </c>
      <c r="BG55" s="123">
        <f t="shared" si="73"/>
        <v>0</v>
      </c>
      <c r="BH55" s="120">
        <f>+BG55/BB55-1</f>
        <v>-1</v>
      </c>
      <c r="BI55" s="121">
        <f t="shared" ref="BI55:BN55" si="74">SUM(BI4:BI54)</f>
        <v>438440.94780101877</v>
      </c>
      <c r="BJ55" s="121">
        <f t="shared" si="74"/>
        <v>384556.55531627341</v>
      </c>
      <c r="BK55" s="121">
        <f t="shared" si="74"/>
        <v>53884.392484745193</v>
      </c>
      <c r="BL55" s="122">
        <f t="shared" si="74"/>
        <v>0</v>
      </c>
      <c r="BM55" s="122">
        <f t="shared" si="74"/>
        <v>0</v>
      </c>
      <c r="BN55" s="123">
        <f t="shared" si="74"/>
        <v>0</v>
      </c>
      <c r="BO55" s="120">
        <f>+BN55/BI55-1</f>
        <v>-1</v>
      </c>
      <c r="BP55" s="121">
        <f t="shared" ref="BP55:BU55" si="75">SUM(BP4:BP54)</f>
        <v>631704.68676612433</v>
      </c>
      <c r="BQ55" s="121">
        <f t="shared" si="75"/>
        <v>554068.18076256767</v>
      </c>
      <c r="BR55" s="121">
        <f t="shared" si="75"/>
        <v>77636.506003556686</v>
      </c>
      <c r="BS55" s="122">
        <f t="shared" si="75"/>
        <v>0</v>
      </c>
      <c r="BT55" s="122">
        <f t="shared" si="75"/>
        <v>0</v>
      </c>
      <c r="BU55" s="123">
        <f t="shared" si="75"/>
        <v>0</v>
      </c>
      <c r="BV55" s="120">
        <f>+BU55/BP55-1</f>
        <v>-1</v>
      </c>
      <c r="BW55" s="121">
        <f t="shared" ref="BW55:CB55" si="76">SUM(BW4:BW54)</f>
        <v>442501.0809157163</v>
      </c>
      <c r="BX55" s="121">
        <f t="shared" si="76"/>
        <v>388117.69807117467</v>
      </c>
      <c r="BY55" s="121">
        <f t="shared" si="76"/>
        <v>54383.382844541535</v>
      </c>
      <c r="BZ55" s="122">
        <f t="shared" si="76"/>
        <v>0</v>
      </c>
      <c r="CA55" s="122">
        <f t="shared" si="76"/>
        <v>0</v>
      </c>
      <c r="CB55" s="123">
        <f t="shared" si="76"/>
        <v>0</v>
      </c>
      <c r="CC55" s="120">
        <f>+CB55/BW55-1</f>
        <v>-1</v>
      </c>
      <c r="CD55" s="121">
        <f t="shared" ref="CD55:CI55" si="77">SUM(CD4:CD54)</f>
        <v>376945.59856652439</v>
      </c>
      <c r="CE55" s="121">
        <f t="shared" si="77"/>
        <v>330618.98450269853</v>
      </c>
      <c r="CF55" s="121">
        <f t="shared" si="77"/>
        <v>46326.614063825844</v>
      </c>
      <c r="CG55" s="122">
        <f t="shared" si="77"/>
        <v>0</v>
      </c>
      <c r="CH55" s="122">
        <f t="shared" si="77"/>
        <v>0</v>
      </c>
      <c r="CI55" s="123">
        <f t="shared" si="77"/>
        <v>0</v>
      </c>
      <c r="CJ55" s="120">
        <f>+CI55/CD55-1</f>
        <v>-1</v>
      </c>
      <c r="CK55" s="121">
        <f t="shared" ref="CK55:CP55" si="78">SUM(CK4:CK54)</f>
        <v>390351.85505225224</v>
      </c>
      <c r="CL55" s="121">
        <f t="shared" si="78"/>
        <v>342377.61206633045</v>
      </c>
      <c r="CM55" s="121">
        <f t="shared" si="78"/>
        <v>47974.242985921803</v>
      </c>
      <c r="CN55" s="122">
        <f t="shared" si="78"/>
        <v>0</v>
      </c>
      <c r="CO55" s="122">
        <f t="shared" si="78"/>
        <v>0</v>
      </c>
      <c r="CP55" s="123">
        <f t="shared" si="78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-51903.114186851213</v>
      </c>
      <c r="C56" s="76">
        <f t="shared" ref="C56:D57" si="79">+M56+T56+AA56+AH56+AO56+AV56+BC56+BJ56+BQ56+BX56+CE56+CL56</f>
        <v>-45524.22145328718</v>
      </c>
      <c r="D56" s="77">
        <f t="shared" si="79"/>
        <v>-6378.8927335640137</v>
      </c>
      <c r="E56" s="75">
        <f>+L56+S56+Z56+AG56</f>
        <v>-17301.038062283737</v>
      </c>
      <c r="F56" s="78">
        <f t="shared" ref="F56:G57" si="80">+M56+T56+AA56+AH56</f>
        <v>-15174.740484429065</v>
      </c>
      <c r="G56" s="79">
        <f t="shared" si="80"/>
        <v>-2126.2975778546711</v>
      </c>
      <c r="H56" s="76">
        <f t="shared" ref="H56:J57" si="81">+O56+V56+AC56+AJ56+AQ56+AX56+BE56+BL56+BS56+BZ56+CG56+CN56</f>
        <v>0</v>
      </c>
      <c r="I56" s="78">
        <f t="shared" si="81"/>
        <v>-68935.62000000001</v>
      </c>
      <c r="J56" s="78">
        <f t="shared" si="81"/>
        <v>-68935.62000000001</v>
      </c>
      <c r="K56" s="25">
        <f t="shared" ref="K56:K57" si="82">IF(E56=0,"",(+J56/E56-1))</f>
        <v>2.9844788360000005</v>
      </c>
      <c r="L56" s="23">
        <f>'[1]STA CLARA'!$E56</f>
        <v>-4325.2595155709341</v>
      </c>
      <c r="M56" s="18">
        <f t="shared" ref="M56:M57" si="83">L56-N56</f>
        <v>-3793.6851211072662</v>
      </c>
      <c r="N56" s="18">
        <f t="shared" ref="N56:N57" si="84">+L56*12.29%</f>
        <v>-531.57439446366777</v>
      </c>
      <c r="O56" s="18">
        <f t="shared" ref="O56:O57" si="85">+Q56-P56</f>
        <v>0</v>
      </c>
      <c r="P56" s="18">
        <f t="shared" ref="P56:P57" si="86">+Q56*100%</f>
        <v>0</v>
      </c>
      <c r="Q56" s="20"/>
      <c r="R56" s="25">
        <f t="shared" ref="R56:R57" si="87">IF(L56=0,"",(+Q56/L56-1))</f>
        <v>-1</v>
      </c>
      <c r="S56" s="23">
        <f>'[1]STA CLARA'!$F56</f>
        <v>-4325.2595155709341</v>
      </c>
      <c r="T56" s="18">
        <f t="shared" ref="T56:T57" si="88">S56-U56</f>
        <v>-3793.6851211072662</v>
      </c>
      <c r="U56" s="18">
        <f t="shared" ref="U56:U57" si="89">+S56*12.29%</f>
        <v>-531.57439446366777</v>
      </c>
      <c r="V56" s="18">
        <f t="shared" ref="V56:V57" si="90">+X56-W56</f>
        <v>0</v>
      </c>
      <c r="W56" s="18">
        <f t="shared" ref="W56:W57" si="91">+X56*100%</f>
        <v>-21998.23</v>
      </c>
      <c r="X56" s="20">
        <v>-21998.23</v>
      </c>
      <c r="Y56" s="25">
        <f>IF(S56=0,"",(+X56/S56-1))</f>
        <v>4.085990776</v>
      </c>
      <c r="Z56" s="23">
        <f>'[1]STA CLARA'!$G56</f>
        <v>-4325.2595155709341</v>
      </c>
      <c r="AA56" s="18">
        <f t="shared" ref="AA56:AA57" si="92">Z56-AB56</f>
        <v>-3793.6851211072662</v>
      </c>
      <c r="AB56" s="18">
        <f t="shared" ref="AB56:AB57" si="93">+Z56*12.29%</f>
        <v>-531.57439446366777</v>
      </c>
      <c r="AC56" s="18">
        <f t="shared" ref="AC56:AC57" si="94">+AE56-AD56</f>
        <v>0</v>
      </c>
      <c r="AD56" s="18">
        <f t="shared" ref="AD56:AD57" si="95">+AE56*100%</f>
        <v>408.17</v>
      </c>
      <c r="AE56" s="20">
        <f>408.17</f>
        <v>408.17</v>
      </c>
      <c r="AF56" s="25">
        <f t="shared" ref="AF56:AF57" si="96">IF(Z56=0,"",(+AE56/Z56-1))</f>
        <v>-1.094368904</v>
      </c>
      <c r="AG56" s="23">
        <f>'[1]STA CLARA'!$H56</f>
        <v>-4325.2595155709341</v>
      </c>
      <c r="AH56" s="18">
        <f t="shared" ref="AH56:AH57" si="97">AG56-AI56</f>
        <v>-3793.6851211072662</v>
      </c>
      <c r="AI56" s="18">
        <f t="shared" ref="AI56:AI57" si="98">+AG56*12.29%</f>
        <v>-531.57439446366777</v>
      </c>
      <c r="AJ56" s="18">
        <f t="shared" ref="AJ56:AJ57" si="99">+AL56-AK56</f>
        <v>0</v>
      </c>
      <c r="AK56" s="18">
        <f t="shared" ref="AK56:AK57" si="100">+AL56*100%</f>
        <v>-47345.560000000005</v>
      </c>
      <c r="AL56" s="20">
        <f>-47825.94+480.38</f>
        <v>-47345.560000000005</v>
      </c>
      <c r="AM56" s="25">
        <f t="shared" ref="AM56:AM57" si="101">IF(AG56=0,"",(+AL56/AG56-1))</f>
        <v>9.9462934720000007</v>
      </c>
      <c r="AN56" s="23">
        <f>'[1]STA CLARA'!$I56</f>
        <v>-4325.2595155709341</v>
      </c>
      <c r="AO56" s="18">
        <f t="shared" ref="AO56:AO57" si="102">AN56-AP56</f>
        <v>-3793.6851211072662</v>
      </c>
      <c r="AP56" s="18">
        <f t="shared" ref="AP56:AP57" si="103">+AN56*12.29%</f>
        <v>-531.57439446366777</v>
      </c>
      <c r="AQ56" s="18">
        <f t="shared" ref="AQ56:AQ57" si="104">+AS56-AR56</f>
        <v>0</v>
      </c>
      <c r="AR56" s="18">
        <f t="shared" ref="AR56:AR57" si="105">+AS56*100%</f>
        <v>0</v>
      </c>
      <c r="AS56" s="24"/>
      <c r="AT56" s="25">
        <f t="shared" ref="AT56:AT57" si="106">IF(AN56=0,"",(+AS56/AN56-1))</f>
        <v>-1</v>
      </c>
      <c r="AU56" s="23">
        <f>'[1]STA CLARA'!$J56</f>
        <v>-4325.2595155709341</v>
      </c>
      <c r="AV56" s="18">
        <f t="shared" ref="AV56:AV57" si="107">AU56-AW56</f>
        <v>-3793.6851211072662</v>
      </c>
      <c r="AW56" s="18">
        <f t="shared" ref="AW56:AW57" si="108">+AU56*12.29%</f>
        <v>-531.57439446366777</v>
      </c>
      <c r="AX56" s="18">
        <f t="shared" ref="AX56:AX57" si="109">+AZ56-AY56</f>
        <v>0</v>
      </c>
      <c r="AY56" s="18">
        <f t="shared" ref="AY56:AY57" si="110">+AZ56*100%</f>
        <v>0</v>
      </c>
      <c r="AZ56" s="24"/>
      <c r="BA56" s="25">
        <f t="shared" ref="BA56:BA57" si="111">IF(AU56=0,"",(+AZ56/AU56-1))</f>
        <v>-1</v>
      </c>
      <c r="BB56" s="23">
        <f>'[1]STA CLARA'!$K56</f>
        <v>-4325.2595155709341</v>
      </c>
      <c r="BC56" s="18">
        <f t="shared" ref="BC56:BC57" si="112">BB56-BD56</f>
        <v>-3793.6851211072662</v>
      </c>
      <c r="BD56" s="18">
        <f t="shared" ref="BD56:BD57" si="113">+BB56*12.29%</f>
        <v>-531.57439446366777</v>
      </c>
      <c r="BE56" s="18">
        <f t="shared" ref="BE56:BE57" si="114">+BG56-BF56</f>
        <v>0</v>
      </c>
      <c r="BF56" s="18">
        <f t="shared" ref="BF56:BF57" si="115">+BG56*100%</f>
        <v>0</v>
      </c>
      <c r="BG56" s="20"/>
      <c r="BH56" s="25">
        <f t="shared" ref="BH56:BH57" si="116">IF(BB56=0,"",(+BG56/BB56-1))</f>
        <v>-1</v>
      </c>
      <c r="BI56" s="23">
        <f>'[1]STA CLARA'!$L56</f>
        <v>-4325.2595155709341</v>
      </c>
      <c r="BJ56" s="18">
        <f t="shared" ref="BJ56:BJ57" si="117">BI56-BK56</f>
        <v>-3793.6851211072662</v>
      </c>
      <c r="BK56" s="18">
        <f t="shared" ref="BK56:BK57" si="118">+BI56*12.29%</f>
        <v>-531.57439446366777</v>
      </c>
      <c r="BL56" s="18">
        <f t="shared" ref="BL56:BL57" si="119">+BN56-BM56</f>
        <v>0</v>
      </c>
      <c r="BM56" s="18">
        <f t="shared" ref="BM56:BM57" si="120">+BN56*100%</f>
        <v>0</v>
      </c>
      <c r="BN56" s="20"/>
      <c r="BO56" s="25">
        <f t="shared" ref="BO56:BO57" si="121">IF(BI56=0,"",(+BN56/BI56-1))</f>
        <v>-1</v>
      </c>
      <c r="BP56" s="23">
        <f>'[1]STA CLARA'!$M56</f>
        <v>-4325.2595155709341</v>
      </c>
      <c r="BQ56" s="18">
        <f t="shared" ref="BQ56:BQ57" si="122">BP56-BR56</f>
        <v>-3793.6851211072662</v>
      </c>
      <c r="BR56" s="18">
        <f t="shared" ref="BR56:BR57" si="123">+BP56*12.29%</f>
        <v>-531.57439446366777</v>
      </c>
      <c r="BS56" s="18">
        <f t="shared" ref="BS56:BS57" si="124">+BU56-BT56</f>
        <v>0</v>
      </c>
      <c r="BT56" s="18">
        <f t="shared" ref="BT56:BT57" si="125">+BU56*100%</f>
        <v>0</v>
      </c>
      <c r="BU56" s="20"/>
      <c r="BV56" s="25">
        <f t="shared" ref="BV56:BV57" si="126">IF(BP56=0,"",(+BU56/BP56-1))</f>
        <v>-1</v>
      </c>
      <c r="BW56" s="23">
        <f>'[1]STA CLARA'!$N56</f>
        <v>-4325.2595155709341</v>
      </c>
      <c r="BX56" s="18">
        <f t="shared" ref="BX56:BX57" si="127">BW56-BY56</f>
        <v>-3793.6851211072662</v>
      </c>
      <c r="BY56" s="18">
        <f t="shared" ref="BY56:BY57" si="128">+BW56*12.29%</f>
        <v>-531.57439446366777</v>
      </c>
      <c r="BZ56" s="18">
        <f t="shared" ref="BZ56:BZ57" si="129">+CB56-CA56</f>
        <v>0</v>
      </c>
      <c r="CA56" s="18">
        <f t="shared" ref="CA56:CA57" si="130">+CB56*100%</f>
        <v>0</v>
      </c>
      <c r="CB56" s="20"/>
      <c r="CC56" s="25">
        <f t="shared" ref="CC56:CC57" si="131">IF(BW56=0,"",(+CB56/BW56-1))</f>
        <v>-1</v>
      </c>
      <c r="CD56" s="23">
        <f>'[1]STA CLARA'!$O56</f>
        <v>-4325.2595155709341</v>
      </c>
      <c r="CE56" s="18">
        <f t="shared" ref="CE56:CE57" si="132">CD56-CF56</f>
        <v>-3793.6851211072662</v>
      </c>
      <c r="CF56" s="18">
        <f t="shared" ref="CF56:CF57" si="133">+CD56*12.29%</f>
        <v>-531.57439446366777</v>
      </c>
      <c r="CG56" s="18">
        <f t="shared" ref="CG56:CG57" si="134">+CI56-CH56</f>
        <v>0</v>
      </c>
      <c r="CH56" s="18">
        <f t="shared" ref="CH56:CH57" si="135">+CI56*100%</f>
        <v>0</v>
      </c>
      <c r="CI56" s="20"/>
      <c r="CJ56" s="25">
        <f t="shared" ref="CJ56:CJ57" si="136">IF(CD56=0,"",(+CI56/CD56-1))</f>
        <v>-1</v>
      </c>
      <c r="CK56" s="23">
        <f>'[1]STA CLARA'!$P56</f>
        <v>-4325.2595155709341</v>
      </c>
      <c r="CL56" s="18">
        <f t="shared" ref="CL56:CL57" si="137">CK56-CM56</f>
        <v>-3793.6851211072662</v>
      </c>
      <c r="CM56" s="18">
        <f t="shared" ref="CM56:CM57" si="138">+CK56*12.29%</f>
        <v>-531.57439446366777</v>
      </c>
      <c r="CN56" s="18">
        <f t="shared" ref="CN56:CN57" si="139">+CP56-CO56</f>
        <v>0</v>
      </c>
      <c r="CO56" s="18">
        <f t="shared" ref="CO56:CO57" si="140">+CP56*100%</f>
        <v>0</v>
      </c>
      <c r="CP56" s="20"/>
      <c r="CQ56" s="25">
        <f t="shared" ref="CQ56:CQ57" si="141">IF(CK56=0,"",(+CP56/CK56-1))</f>
        <v>-1</v>
      </c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-17301.038062283733</v>
      </c>
      <c r="C57" s="40">
        <f t="shared" si="79"/>
        <v>-15174.740484429063</v>
      </c>
      <c r="D57" s="51">
        <f t="shared" si="79"/>
        <v>-2126.2975778546711</v>
      </c>
      <c r="E57" s="50">
        <f>+L57+S57+Z57+AG57</f>
        <v>-5767.0126874279122</v>
      </c>
      <c r="F57" s="58">
        <f t="shared" si="80"/>
        <v>-5058.246828143022</v>
      </c>
      <c r="G57" s="85">
        <f t="shared" si="80"/>
        <v>-708.76585928489033</v>
      </c>
      <c r="H57" s="57">
        <f t="shared" si="81"/>
        <v>0</v>
      </c>
      <c r="I57" s="58">
        <f t="shared" si="81"/>
        <v>-12260.95</v>
      </c>
      <c r="J57" s="58">
        <f t="shared" si="81"/>
        <v>-12260.95</v>
      </c>
      <c r="K57" s="127">
        <f t="shared" si="82"/>
        <v>1.1260487300000004</v>
      </c>
      <c r="L57" s="56">
        <f>'[1]STA CLARA'!$E57</f>
        <v>-1441.753171856978</v>
      </c>
      <c r="M57" s="57">
        <f t="shared" si="83"/>
        <v>-1264.5617070357555</v>
      </c>
      <c r="N57" s="57">
        <f t="shared" si="84"/>
        <v>-177.19146482122258</v>
      </c>
      <c r="O57" s="57">
        <f t="shared" si="85"/>
        <v>0</v>
      </c>
      <c r="P57" s="57">
        <f t="shared" si="86"/>
        <v>-6821.63</v>
      </c>
      <c r="Q57" s="58">
        <v>-6821.63</v>
      </c>
      <c r="R57" s="127">
        <f t="shared" si="87"/>
        <v>3.7314825680000006</v>
      </c>
      <c r="S57" s="56">
        <f>'[1]STA CLARA'!$F57</f>
        <v>-1441.753171856978</v>
      </c>
      <c r="T57" s="57">
        <f t="shared" si="88"/>
        <v>-1264.5617070357555</v>
      </c>
      <c r="U57" s="57">
        <f t="shared" si="89"/>
        <v>-177.19146482122258</v>
      </c>
      <c r="V57" s="57">
        <f t="shared" si="90"/>
        <v>0</v>
      </c>
      <c r="W57" s="57">
        <f t="shared" si="91"/>
        <v>-1007.9</v>
      </c>
      <c r="X57" s="58">
        <v>-1007.9</v>
      </c>
      <c r="Y57" s="127">
        <f>IF(S57=0,"",(+X57/S57-1))</f>
        <v>-0.30092056</v>
      </c>
      <c r="Z57" s="56">
        <f>'[1]STA CLARA'!$G57</f>
        <v>-1441.753171856978</v>
      </c>
      <c r="AA57" s="57">
        <f t="shared" si="92"/>
        <v>-1264.5617070357555</v>
      </c>
      <c r="AB57" s="57">
        <f t="shared" si="93"/>
        <v>-177.19146482122258</v>
      </c>
      <c r="AC57" s="57">
        <f t="shared" si="94"/>
        <v>0</v>
      </c>
      <c r="AD57" s="57">
        <f t="shared" si="95"/>
        <v>-4431.42</v>
      </c>
      <c r="AE57" s="59">
        <v>-4431.42</v>
      </c>
      <c r="AF57" s="127">
        <f t="shared" si="96"/>
        <v>2.0736329120000003</v>
      </c>
      <c r="AG57" s="56">
        <f>'[1]STA CLARA'!$H57</f>
        <v>-1441.753171856978</v>
      </c>
      <c r="AH57" s="57">
        <f t="shared" si="97"/>
        <v>-1264.5617070357555</v>
      </c>
      <c r="AI57" s="57">
        <f t="shared" si="98"/>
        <v>-177.19146482122258</v>
      </c>
      <c r="AJ57" s="57">
        <f t="shared" si="99"/>
        <v>0</v>
      </c>
      <c r="AK57" s="57">
        <f t="shared" si="100"/>
        <v>0</v>
      </c>
      <c r="AL57" s="58"/>
      <c r="AM57" s="127">
        <f t="shared" si="101"/>
        <v>-1</v>
      </c>
      <c r="AN57" s="56">
        <f>'[1]STA CLARA'!$I57</f>
        <v>-1441.753171856978</v>
      </c>
      <c r="AO57" s="57">
        <f t="shared" si="102"/>
        <v>-1264.5617070357555</v>
      </c>
      <c r="AP57" s="57">
        <f t="shared" si="103"/>
        <v>-177.19146482122258</v>
      </c>
      <c r="AQ57" s="57">
        <f t="shared" si="104"/>
        <v>0</v>
      </c>
      <c r="AR57" s="57">
        <f t="shared" si="105"/>
        <v>0</v>
      </c>
      <c r="AS57" s="59"/>
      <c r="AT57" s="127">
        <f t="shared" si="106"/>
        <v>-1</v>
      </c>
      <c r="AU57" s="56">
        <f>'[1]STA CLARA'!$J57</f>
        <v>-1441.753171856978</v>
      </c>
      <c r="AV57" s="57">
        <f t="shared" si="107"/>
        <v>-1264.5617070357555</v>
      </c>
      <c r="AW57" s="57">
        <f t="shared" si="108"/>
        <v>-177.19146482122258</v>
      </c>
      <c r="AX57" s="57">
        <f t="shared" si="109"/>
        <v>0</v>
      </c>
      <c r="AY57" s="57">
        <f t="shared" si="110"/>
        <v>0</v>
      </c>
      <c r="AZ57" s="59"/>
      <c r="BA57" s="127">
        <f t="shared" si="111"/>
        <v>-1</v>
      </c>
      <c r="BB57" s="56">
        <f>'[1]STA CLARA'!$K57</f>
        <v>-1441.753171856978</v>
      </c>
      <c r="BC57" s="57">
        <f t="shared" si="112"/>
        <v>-1264.5617070357555</v>
      </c>
      <c r="BD57" s="57">
        <f t="shared" si="113"/>
        <v>-177.19146482122258</v>
      </c>
      <c r="BE57" s="57">
        <f t="shared" si="114"/>
        <v>0</v>
      </c>
      <c r="BF57" s="57">
        <f t="shared" si="115"/>
        <v>0</v>
      </c>
      <c r="BG57" s="58"/>
      <c r="BH57" s="127">
        <f t="shared" si="116"/>
        <v>-1</v>
      </c>
      <c r="BI57" s="56">
        <f>'[1]STA CLARA'!$L57</f>
        <v>-1441.753171856978</v>
      </c>
      <c r="BJ57" s="57">
        <f t="shared" si="117"/>
        <v>-1264.5617070357555</v>
      </c>
      <c r="BK57" s="57">
        <f t="shared" si="118"/>
        <v>-177.19146482122258</v>
      </c>
      <c r="BL57" s="57">
        <f t="shared" si="119"/>
        <v>0</v>
      </c>
      <c r="BM57" s="57">
        <f t="shared" si="120"/>
        <v>0</v>
      </c>
      <c r="BN57" s="58"/>
      <c r="BO57" s="127">
        <f t="shared" si="121"/>
        <v>-1</v>
      </c>
      <c r="BP57" s="56">
        <f>'[1]STA CLARA'!$M57</f>
        <v>-1441.753171856978</v>
      </c>
      <c r="BQ57" s="57">
        <f t="shared" si="122"/>
        <v>-1264.5617070357555</v>
      </c>
      <c r="BR57" s="57">
        <f t="shared" si="123"/>
        <v>-177.19146482122258</v>
      </c>
      <c r="BS57" s="57">
        <f t="shared" si="124"/>
        <v>0</v>
      </c>
      <c r="BT57" s="57">
        <f t="shared" si="125"/>
        <v>0</v>
      </c>
      <c r="BU57" s="58"/>
      <c r="BV57" s="127">
        <f t="shared" si="126"/>
        <v>-1</v>
      </c>
      <c r="BW57" s="56">
        <f>'[1]STA CLARA'!$N57</f>
        <v>-1441.753171856978</v>
      </c>
      <c r="BX57" s="57">
        <f t="shared" si="127"/>
        <v>-1264.5617070357555</v>
      </c>
      <c r="BY57" s="57">
        <f t="shared" si="128"/>
        <v>-177.19146482122258</v>
      </c>
      <c r="BZ57" s="57">
        <f t="shared" si="129"/>
        <v>0</v>
      </c>
      <c r="CA57" s="57">
        <f t="shared" si="130"/>
        <v>0</v>
      </c>
      <c r="CB57" s="58"/>
      <c r="CC57" s="127">
        <f t="shared" si="131"/>
        <v>-1</v>
      </c>
      <c r="CD57" s="56">
        <f>'[1]STA CLARA'!$O57</f>
        <v>-1441.753171856978</v>
      </c>
      <c r="CE57" s="57">
        <f t="shared" si="132"/>
        <v>-1264.5617070357555</v>
      </c>
      <c r="CF57" s="57">
        <f t="shared" si="133"/>
        <v>-177.19146482122258</v>
      </c>
      <c r="CG57" s="57">
        <f t="shared" si="134"/>
        <v>0</v>
      </c>
      <c r="CH57" s="57">
        <f t="shared" si="135"/>
        <v>0</v>
      </c>
      <c r="CI57" s="58"/>
      <c r="CJ57" s="127">
        <f t="shared" si="136"/>
        <v>-1</v>
      </c>
      <c r="CK57" s="56">
        <f>'[1]STA CLARA'!$P57</f>
        <v>-1441.753171856978</v>
      </c>
      <c r="CL57" s="57">
        <f t="shared" si="137"/>
        <v>-1264.5617070357555</v>
      </c>
      <c r="CM57" s="57">
        <f t="shared" si="138"/>
        <v>-177.19146482122258</v>
      </c>
      <c r="CN57" s="57">
        <f t="shared" si="139"/>
        <v>0</v>
      </c>
      <c r="CO57" s="57">
        <f t="shared" si="140"/>
        <v>0</v>
      </c>
      <c r="CP57" s="58"/>
      <c r="CQ57" s="127">
        <f t="shared" si="141"/>
        <v>-1</v>
      </c>
    </row>
    <row r="58" spans="1:99" s="26" customFormat="1" ht="16" customHeight="1" thickBot="1" x14ac:dyDescent="0.25">
      <c r="A58" s="131" t="s">
        <v>82</v>
      </c>
      <c r="B58" s="89">
        <f>+B55+B56+B57</f>
        <v>6859756.346289251</v>
      </c>
      <c r="C58" s="90">
        <f t="shared" ref="C58:D58" si="142">+C55+C56+C57</f>
        <v>6016692.2913303003</v>
      </c>
      <c r="D58" s="91">
        <f t="shared" si="142"/>
        <v>843064.05495894898</v>
      </c>
      <c r="E58" s="92">
        <f t="shared" ref="E58:J58" si="143">SUM(E55:E57)</f>
        <v>2243502.4324456761</v>
      </c>
      <c r="F58" s="93">
        <f t="shared" si="143"/>
        <v>1967775.9834981023</v>
      </c>
      <c r="G58" s="94">
        <f t="shared" si="143"/>
        <v>275726.44894757366</v>
      </c>
      <c r="H58" s="95">
        <f t="shared" si="143"/>
        <v>0</v>
      </c>
      <c r="I58" s="96">
        <f t="shared" si="143"/>
        <v>2643701.2399999993</v>
      </c>
      <c r="J58" s="96">
        <f t="shared" si="143"/>
        <v>2643701.2399999993</v>
      </c>
      <c r="K58" s="132">
        <f>+J58/E55-1</f>
        <v>0.1663882767382272</v>
      </c>
      <c r="L58" s="133">
        <f>+L55+L56+L57</f>
        <v>342106.134721148</v>
      </c>
      <c r="M58" s="133">
        <f>+M55+M56+M57</f>
        <v>300061.29076391889</v>
      </c>
      <c r="N58" s="133">
        <f>+N55+N56+N57</f>
        <v>42044.843957229074</v>
      </c>
      <c r="O58" s="95">
        <f t="shared" ref="O58:P58" si="144">+O55+O56+O57</f>
        <v>0</v>
      </c>
      <c r="P58" s="95">
        <f t="shared" si="144"/>
        <v>474853.83999999997</v>
      </c>
      <c r="Q58" s="96">
        <f>SUM(Q55:Q57)</f>
        <v>474853.83999999997</v>
      </c>
      <c r="R58" s="132">
        <f>+Q58/L55-1</f>
        <v>0.36502010441836608</v>
      </c>
      <c r="S58" s="133">
        <f>+S55+S56+S57</f>
        <v>567418.23035269475</v>
      </c>
      <c r="T58" s="133">
        <f>+T55+T56+T57</f>
        <v>497682.52984234848</v>
      </c>
      <c r="U58" s="133">
        <f>+U55+U56+U57</f>
        <v>69735.700510346185</v>
      </c>
      <c r="V58" s="95">
        <f t="shared" ref="V58:W58" si="145">+V55+V56+V57</f>
        <v>0</v>
      </c>
      <c r="W58" s="95">
        <f t="shared" si="145"/>
        <v>540501.62000000011</v>
      </c>
      <c r="X58" s="96">
        <f>SUM(X55:X57)</f>
        <v>540501.62000000011</v>
      </c>
      <c r="Y58" s="132">
        <f>+X58/S55-1</f>
        <v>-5.7021047622879406E-2</v>
      </c>
      <c r="Z58" s="133">
        <f>+Z55+Z56+Z57</f>
        <v>893123.20753014949</v>
      </c>
      <c r="AA58" s="133">
        <f>+AA55+AA56+AA57</f>
        <v>783358.3653246942</v>
      </c>
      <c r="AB58" s="133">
        <f>+AB55+AB56+AB57</f>
        <v>109764.84220545535</v>
      </c>
      <c r="AC58" s="95">
        <f t="shared" ref="AC58:AD58" si="146">+AC55+AC56+AC57</f>
        <v>0</v>
      </c>
      <c r="AD58" s="95">
        <f t="shared" si="146"/>
        <v>999045.57000000007</v>
      </c>
      <c r="AE58" s="96">
        <f>SUM(AE55:AE57)</f>
        <v>999045.57000000007</v>
      </c>
      <c r="AF58" s="132">
        <f>+AE58/Z55-1</f>
        <v>0.11142111409130684</v>
      </c>
      <c r="AG58" s="133">
        <f>+AG55+AG56+AG57</f>
        <v>440854.85984168394</v>
      </c>
      <c r="AH58" s="133">
        <f>+AH55+AH56+AH57</f>
        <v>386673.79756714095</v>
      </c>
      <c r="AI58" s="133">
        <f>+AI55+AI56+AI57</f>
        <v>54181.06227454295</v>
      </c>
      <c r="AJ58" s="95">
        <f t="shared" ref="AJ58:AK58" si="147">+AJ55+AJ56+AJ57</f>
        <v>0</v>
      </c>
      <c r="AK58" s="95">
        <f t="shared" si="147"/>
        <v>629300.21</v>
      </c>
      <c r="AL58" s="96">
        <f>SUM(AL55:AL57)</f>
        <v>629300.21</v>
      </c>
      <c r="AM58" s="132">
        <f>+AL58/AG55-1</f>
        <v>0.40902237151177734</v>
      </c>
      <c r="AN58" s="133">
        <f>+AN55+AN56+AN57</f>
        <v>1116083.4677850786</v>
      </c>
      <c r="AO58" s="133">
        <f>+AO55+AO56+AO57</f>
        <v>978916.80959429243</v>
      </c>
      <c r="AP58" s="133">
        <f>+AP55+AP56+AP57</f>
        <v>137166.65819078614</v>
      </c>
      <c r="AQ58" s="95">
        <f t="shared" ref="AQ58:AR58" si="148">+AQ55+AQ56+AQ57</f>
        <v>0</v>
      </c>
      <c r="AR58" s="95">
        <f t="shared" si="148"/>
        <v>0</v>
      </c>
      <c r="AS58" s="137">
        <f>SUM(AS55:AS57)</f>
        <v>0</v>
      </c>
      <c r="AT58" s="132">
        <f>+AS58/AN55-1</f>
        <v>-1</v>
      </c>
      <c r="AU58" s="133">
        <f>+AU55+AU56+AU57</f>
        <v>719710.73896813439</v>
      </c>
      <c r="AV58" s="133">
        <f>+AV55+AV56+AV57</f>
        <v>631258.2891489506</v>
      </c>
      <c r="AW58" s="133">
        <f>+AW55+AW56+AW57</f>
        <v>88452.449819183719</v>
      </c>
      <c r="AX58" s="95">
        <f t="shared" ref="AX58:AY58" si="149">+AX55+AX56+AX57</f>
        <v>0</v>
      </c>
      <c r="AY58" s="95">
        <f t="shared" si="149"/>
        <v>0</v>
      </c>
      <c r="AZ58" s="96">
        <f>SUM(AZ55:AZ57)</f>
        <v>0</v>
      </c>
      <c r="BA58" s="132">
        <f>+AZ58/AU55-1</f>
        <v>-1</v>
      </c>
      <c r="BB58" s="133">
        <f>+BB55+BB56+BB57</f>
        <v>529350.60142586508</v>
      </c>
      <c r="BC58" s="133">
        <f>+BC55+BC56+BC57</f>
        <v>464293.41251062619</v>
      </c>
      <c r="BD58" s="133">
        <f>+BD55+BD56+BD57</f>
        <v>65057.18891523881</v>
      </c>
      <c r="BE58" s="95">
        <f t="shared" ref="BE58:BF58" si="150">+BE55+BE56+BE57</f>
        <v>0</v>
      </c>
      <c r="BF58" s="95">
        <f t="shared" si="150"/>
        <v>0</v>
      </c>
      <c r="BG58" s="96">
        <f>SUM(BG55:BG57)</f>
        <v>0</v>
      </c>
      <c r="BH58" s="132">
        <f>+BG58/BB55-1</f>
        <v>-1</v>
      </c>
      <c r="BI58" s="133">
        <f>+BI55+BI56+BI57</f>
        <v>432673.93511359085</v>
      </c>
      <c r="BJ58" s="133">
        <f>+BJ55+BJ56+BJ57</f>
        <v>379498.30848813039</v>
      </c>
      <c r="BK58" s="133">
        <f>+BK55+BK56+BK57</f>
        <v>53175.626625460296</v>
      </c>
      <c r="BL58" s="95">
        <f t="shared" ref="BL58:BM58" si="151">+BL55+BL56+BL57</f>
        <v>0</v>
      </c>
      <c r="BM58" s="95">
        <f t="shared" si="151"/>
        <v>0</v>
      </c>
      <c r="BN58" s="96">
        <f>SUM(BN55:BN57)</f>
        <v>0</v>
      </c>
      <c r="BO58" s="132">
        <f>+BN58/BI55-1</f>
        <v>-1</v>
      </c>
      <c r="BP58" s="133">
        <f>+BP55+BP56+BP57</f>
        <v>625937.67407869641</v>
      </c>
      <c r="BQ58" s="133">
        <f>+BQ55+BQ56+BQ57</f>
        <v>549009.93393442465</v>
      </c>
      <c r="BR58" s="133">
        <f>+BR55+BR56+BR57</f>
        <v>76927.740144271796</v>
      </c>
      <c r="BS58" s="95">
        <f t="shared" ref="BS58:BT58" si="152">+BS55+BS56+BS57</f>
        <v>0</v>
      </c>
      <c r="BT58" s="95">
        <f t="shared" si="152"/>
        <v>0</v>
      </c>
      <c r="BU58" s="96">
        <f>SUM(BU55:BU57)</f>
        <v>0</v>
      </c>
      <c r="BV58" s="132">
        <f>+BU58/BP55-1</f>
        <v>-1</v>
      </c>
      <c r="BW58" s="133">
        <f>+BW55+BW56+BW57</f>
        <v>436734.06822828838</v>
      </c>
      <c r="BX58" s="133">
        <f>+BX55+BX56+BX57</f>
        <v>383059.45124303165</v>
      </c>
      <c r="BY58" s="133">
        <f>+BY55+BY56+BY57</f>
        <v>53674.616985256638</v>
      </c>
      <c r="BZ58" s="95">
        <f t="shared" ref="BZ58:CA58" si="153">+BZ55+BZ56+BZ57</f>
        <v>0</v>
      </c>
      <c r="CA58" s="95">
        <f t="shared" si="153"/>
        <v>0</v>
      </c>
      <c r="CB58" s="96">
        <f>SUM(CB55:CB57)</f>
        <v>0</v>
      </c>
      <c r="CC58" s="132">
        <f>+CB58/BW55-1</f>
        <v>-1</v>
      </c>
      <c r="CD58" s="133">
        <f>+CD55+CD56+CD57</f>
        <v>371178.58587909647</v>
      </c>
      <c r="CE58" s="133">
        <f>+CE55+CE56+CE57</f>
        <v>325560.73767455551</v>
      </c>
      <c r="CF58" s="133">
        <f>+CF55+CF56+CF57</f>
        <v>45617.848204540947</v>
      </c>
      <c r="CG58" s="95">
        <f t="shared" ref="CG58:CH58" si="154">+CG55+CG56+CG57</f>
        <v>0</v>
      </c>
      <c r="CH58" s="95">
        <f t="shared" si="154"/>
        <v>0</v>
      </c>
      <c r="CI58" s="96">
        <f>SUM(CI55:CI57)</f>
        <v>0</v>
      </c>
      <c r="CJ58" s="132">
        <f>+CI58/CD55-1</f>
        <v>-1</v>
      </c>
      <c r="CK58" s="133">
        <f>+CK55+CK56+CK57</f>
        <v>384584.84236482432</v>
      </c>
      <c r="CL58" s="133">
        <f>+CL55+CL56+CL57</f>
        <v>337319.36523818743</v>
      </c>
      <c r="CM58" s="133">
        <f>+CM55+CM56+CM57</f>
        <v>47265.477126636906</v>
      </c>
      <c r="CN58" s="95">
        <f t="shared" ref="CN58:CO58" si="155">+CN55+CN56+CN57</f>
        <v>0</v>
      </c>
      <c r="CO58" s="95">
        <f t="shared" si="155"/>
        <v>0</v>
      </c>
      <c r="CP58" s="96">
        <f>SUM(CP55:CP57)</f>
        <v>0</v>
      </c>
      <c r="CQ58" s="132">
        <f>+CP58/CK55-1</f>
        <v>-1</v>
      </c>
    </row>
    <row r="59" spans="1:99" s="105" customFormat="1" ht="14.25" customHeight="1" x14ac:dyDescent="0.2">
      <c r="J59" s="104">
        <f>+J58-'[2]STA CLARA'!$O$33</f>
        <v>0</v>
      </c>
      <c r="Q59" s="104">
        <f>+Q58-'[2]STA CLARA'!$O$72</f>
        <v>0</v>
      </c>
      <c r="X59" s="104">
        <f>+X58-'[2]STA CLARA'!$O$109</f>
        <v>0</v>
      </c>
      <c r="AE59" s="104">
        <f>AE58-'[2]STA CLARA'!$O$146</f>
        <v>0</v>
      </c>
      <c r="AL59" s="104">
        <f>AL58-'[2]STA CLARA'!$O$186</f>
        <v>0</v>
      </c>
      <c r="AS59" s="104">
        <f>AS58-'[3]STA CLARA'!$O$218</f>
        <v>0</v>
      </c>
      <c r="AZ59" s="104">
        <f>AZ58-'[3]STA CLARA'!$O$255</f>
        <v>0</v>
      </c>
      <c r="BA59" s="104"/>
      <c r="BB59" s="104"/>
      <c r="BC59" s="104"/>
      <c r="BD59" s="104"/>
      <c r="BE59" s="104"/>
      <c r="BF59" s="104"/>
      <c r="BG59" s="104">
        <f>BG58-'[3]STA CLARA'!$O$292</f>
        <v>0</v>
      </c>
      <c r="BH59" s="104"/>
      <c r="BI59" s="104"/>
      <c r="BJ59" s="104"/>
      <c r="BK59" s="104"/>
      <c r="BL59" s="104"/>
      <c r="BM59" s="104"/>
      <c r="BN59" s="104">
        <f>BN58-'[3]STA CLARA'!$O$329</f>
        <v>0</v>
      </c>
      <c r="BO59" s="104"/>
      <c r="BP59" s="104"/>
      <c r="BQ59" s="104"/>
      <c r="BR59" s="104"/>
      <c r="BS59" s="104"/>
      <c r="BT59" s="104"/>
      <c r="BU59" s="104">
        <f>BU58-'[3]STA CLARA'!$O$366</f>
        <v>0</v>
      </c>
      <c r="BV59" s="104"/>
      <c r="BW59" s="104"/>
      <c r="BX59" s="104"/>
      <c r="BY59" s="104"/>
      <c r="BZ59" s="104"/>
      <c r="CA59" s="104"/>
      <c r="CB59" s="104">
        <f>CB58-'[3]STA CLARA'!$O$403</f>
        <v>0</v>
      </c>
      <c r="CC59" s="104"/>
      <c r="CD59" s="104"/>
      <c r="CE59" s="104"/>
      <c r="CF59" s="104"/>
      <c r="CG59" s="104"/>
      <c r="CH59" s="104"/>
      <c r="CI59" s="104">
        <f>CI58-'[3]STA CLARA'!$O$440</f>
        <v>0</v>
      </c>
      <c r="CJ59" s="104"/>
      <c r="CP59" s="104">
        <f>CP58-'[3]STA CLARA'!$O$477</f>
        <v>0</v>
      </c>
    </row>
    <row r="60" spans="1:99" ht="14.25" customHeight="1" x14ac:dyDescent="0.2">
      <c r="L60" s="269" t="s">
        <v>219</v>
      </c>
      <c r="M60" s="270"/>
      <c r="N60" s="270"/>
      <c r="O60" s="270"/>
      <c r="P60" s="270"/>
      <c r="Q60" s="271"/>
      <c r="R60" s="272"/>
      <c r="S60" s="269" t="s">
        <v>219</v>
      </c>
      <c r="T60" s="270"/>
      <c r="U60" s="270"/>
      <c r="V60" s="270"/>
      <c r="W60" s="270"/>
      <c r="X60" s="271"/>
      <c r="Y60" s="272"/>
      <c r="Z60" s="269" t="s">
        <v>219</v>
      </c>
      <c r="AA60" s="270"/>
      <c r="AB60" s="270"/>
      <c r="AC60" s="270"/>
      <c r="AD60" s="270"/>
      <c r="AE60" s="271"/>
      <c r="AF60" s="272"/>
      <c r="AG60" s="269" t="s">
        <v>219</v>
      </c>
      <c r="AH60" s="270"/>
      <c r="AI60" s="270"/>
      <c r="AJ60" s="270"/>
      <c r="AK60" s="270"/>
      <c r="AL60" s="271"/>
      <c r="AM60" s="272"/>
      <c r="AN60" s="269" t="s">
        <v>219</v>
      </c>
      <c r="AO60" s="270"/>
      <c r="AP60" s="270"/>
      <c r="AQ60" s="270"/>
      <c r="AR60" s="270"/>
      <c r="AS60" s="271"/>
      <c r="AT60" s="272"/>
      <c r="AU60" s="269" t="s">
        <v>219</v>
      </c>
      <c r="AV60" s="270"/>
      <c r="AW60" s="270"/>
      <c r="AX60" s="270"/>
      <c r="AY60" s="270"/>
      <c r="AZ60" s="271"/>
      <c r="BA60" s="272"/>
      <c r="BB60" s="269" t="s">
        <v>219</v>
      </c>
      <c r="BC60" s="270"/>
      <c r="BD60" s="270"/>
      <c r="BE60" s="270"/>
      <c r="BF60" s="270"/>
      <c r="BG60" s="271"/>
      <c r="BH60" s="272"/>
      <c r="BI60" s="269" t="s">
        <v>219</v>
      </c>
      <c r="BJ60" s="270"/>
      <c r="BK60" s="270"/>
      <c r="BL60" s="270"/>
      <c r="BM60" s="270"/>
      <c r="BN60" s="271"/>
      <c r="BO60" s="272"/>
      <c r="BP60" s="269" t="s">
        <v>219</v>
      </c>
      <c r="BQ60" s="270"/>
      <c r="BR60" s="270"/>
      <c r="BS60" s="270"/>
      <c r="BT60" s="270"/>
      <c r="BU60" s="271"/>
      <c r="BV60" s="272"/>
      <c r="BW60" s="269" t="s">
        <v>219</v>
      </c>
      <c r="BX60" s="270"/>
      <c r="BY60" s="270"/>
      <c r="BZ60" s="270"/>
      <c r="CA60" s="270"/>
      <c r="CB60" s="271"/>
      <c r="CC60" s="272"/>
      <c r="CD60" s="269" t="s">
        <v>219</v>
      </c>
      <c r="CE60" s="270"/>
      <c r="CF60" s="270"/>
      <c r="CG60" s="270"/>
      <c r="CH60" s="270"/>
      <c r="CI60" s="271"/>
      <c r="CJ60" s="272"/>
      <c r="CK60" s="269" t="s">
        <v>219</v>
      </c>
      <c r="CL60" s="270"/>
      <c r="CM60" s="270"/>
      <c r="CN60" s="270"/>
      <c r="CO60" s="270"/>
      <c r="CP60" s="271"/>
      <c r="CQ60" s="272"/>
    </row>
    <row r="61" spans="1:99" ht="14.25" customHeight="1" x14ac:dyDescent="0.2">
      <c r="L61" s="107" t="s">
        <v>220</v>
      </c>
      <c r="M61" s="108"/>
      <c r="N61" s="108"/>
      <c r="O61" s="108"/>
      <c r="P61" s="108"/>
      <c r="Q61" s="109"/>
      <c r="R61" s="110">
        <f>10.94+680.14+39.41+3.41+63.59+2.58+613.98+180.71+96.38+322.7+38.29+6.45+5.51+35.09+71.73+400.07+48.6+0.92+680.14+5.66+3.25</f>
        <v>3309.5500000000006</v>
      </c>
      <c r="S61" s="107" t="s">
        <v>220</v>
      </c>
      <c r="T61" s="108"/>
      <c r="U61" s="108"/>
      <c r="V61" s="108"/>
      <c r="W61" s="108"/>
      <c r="X61" s="109"/>
      <c r="Y61" s="110">
        <f>15.49+11.89+18.93+63.59+14.41+12.91+660.99+41.45+324.63+62.48+4.31+23.24+680.14+77.45+3.41+22.61+2.58+6.88+322.7+6.45</f>
        <v>2376.54</v>
      </c>
      <c r="Z61" s="107" t="s">
        <v>220</v>
      </c>
      <c r="AA61" s="108"/>
      <c r="AB61" s="108"/>
      <c r="AC61" s="108"/>
      <c r="AD61" s="108"/>
      <c r="AE61" s="109"/>
      <c r="AF61" s="110">
        <f>15.92+3.41+17.18+2.58+103.27+28.74+322.7+6.45+33.66+680.14+9.47+35.18+278.56+48.65</f>
        <v>1585.91</v>
      </c>
      <c r="AG61" s="107" t="s">
        <v>220</v>
      </c>
      <c r="AH61" s="108"/>
      <c r="AI61" s="108"/>
      <c r="AJ61" s="108"/>
      <c r="AK61" s="108"/>
      <c r="AL61" s="109"/>
      <c r="AM61" s="110">
        <f>6.45+31.88+43.13+3.41+180.71+24.92+10.41+4.48+2.58+627.56+322.7+144.57+28.4+365.26+680.14+15.92</f>
        <v>2492.52</v>
      </c>
      <c r="AN61" s="107"/>
      <c r="AO61" s="108"/>
      <c r="AP61" s="108"/>
      <c r="AQ61" s="108"/>
      <c r="AR61" s="108"/>
      <c r="AS61" s="109"/>
      <c r="AT61" s="110"/>
      <c r="AU61" s="107"/>
      <c r="AV61" s="108"/>
      <c r="AW61" s="108"/>
      <c r="AX61" s="108"/>
      <c r="AY61" s="108"/>
      <c r="AZ61" s="109"/>
      <c r="BA61" s="110"/>
      <c r="BB61" s="107"/>
      <c r="BC61" s="108"/>
      <c r="BD61" s="108"/>
      <c r="BE61" s="108"/>
      <c r="BF61" s="108"/>
      <c r="BG61" s="109"/>
      <c r="BH61" s="110"/>
      <c r="BI61" s="107"/>
      <c r="BJ61" s="108"/>
      <c r="BK61" s="108"/>
      <c r="BL61" s="108"/>
      <c r="BM61" s="108"/>
      <c r="BN61" s="109"/>
      <c r="BO61" s="110"/>
      <c r="BP61" s="107"/>
      <c r="BQ61" s="108"/>
      <c r="BR61" s="108"/>
      <c r="BS61" s="108"/>
      <c r="BT61" s="108"/>
      <c r="BU61" s="109"/>
      <c r="BV61" s="110"/>
      <c r="BW61" s="107"/>
      <c r="BX61" s="108"/>
      <c r="BY61" s="108"/>
      <c r="BZ61" s="108"/>
      <c r="CA61" s="108"/>
      <c r="CB61" s="109"/>
      <c r="CC61" s="110"/>
      <c r="CD61" s="107"/>
      <c r="CE61" s="108"/>
      <c r="CF61" s="108"/>
      <c r="CG61" s="108"/>
      <c r="CH61" s="108"/>
      <c r="CI61" s="109"/>
      <c r="CJ61" s="110"/>
      <c r="CK61" s="107"/>
      <c r="CL61" s="108"/>
      <c r="CM61" s="108"/>
      <c r="CN61" s="108"/>
      <c r="CO61" s="108"/>
      <c r="CP61" s="109"/>
      <c r="CQ61" s="110"/>
    </row>
    <row r="62" spans="1:99" ht="14.25" customHeight="1" x14ac:dyDescent="0.2">
      <c r="L62" s="107" t="s">
        <v>85</v>
      </c>
      <c r="M62" s="108"/>
      <c r="N62" s="108"/>
      <c r="O62" s="108"/>
      <c r="P62" s="108"/>
      <c r="Q62" s="109"/>
      <c r="R62" s="110">
        <f>21.5</f>
        <v>21.5</v>
      </c>
      <c r="S62" s="107" t="s">
        <v>221</v>
      </c>
      <c r="T62" s="108"/>
      <c r="U62" s="108"/>
      <c r="V62" s="108"/>
      <c r="W62" s="108"/>
      <c r="X62" s="109"/>
      <c r="Y62" s="110">
        <f>599.98</f>
        <v>599.98</v>
      </c>
      <c r="Z62" s="107" t="s">
        <v>100</v>
      </c>
      <c r="AA62" s="108"/>
      <c r="AB62" s="108"/>
      <c r="AC62" s="108"/>
      <c r="AD62" s="108"/>
      <c r="AE62" s="109"/>
      <c r="AF62" s="110">
        <f>3575</f>
        <v>3575</v>
      </c>
      <c r="AG62" s="107" t="s">
        <v>100</v>
      </c>
      <c r="AH62" s="108"/>
      <c r="AI62" s="108"/>
      <c r="AJ62" s="108"/>
      <c r="AK62" s="108"/>
      <c r="AL62" s="109"/>
      <c r="AM62" s="110"/>
      <c r="AN62" s="107"/>
      <c r="AO62" s="108"/>
      <c r="AP62" s="108"/>
      <c r="AQ62" s="108"/>
      <c r="AR62" s="108"/>
      <c r="AS62" s="109"/>
      <c r="AT62" s="110"/>
      <c r="AU62" s="107"/>
      <c r="AV62" s="108"/>
      <c r="AW62" s="108"/>
      <c r="AX62" s="108"/>
      <c r="AY62" s="108"/>
      <c r="AZ62" s="109"/>
      <c r="BA62" s="110"/>
      <c r="BB62" s="107"/>
      <c r="BC62" s="108"/>
      <c r="BD62" s="108"/>
      <c r="BE62" s="108"/>
      <c r="BF62" s="108"/>
      <c r="BG62" s="109"/>
      <c r="BH62" s="110"/>
      <c r="BI62" s="107"/>
      <c r="BJ62" s="108"/>
      <c r="BK62" s="108"/>
      <c r="BL62" s="108"/>
      <c r="BM62" s="108"/>
      <c r="BN62" s="109"/>
      <c r="BO62" s="110"/>
      <c r="BP62" s="107"/>
      <c r="BQ62" s="108"/>
      <c r="BR62" s="108"/>
      <c r="BS62" s="108"/>
      <c r="BT62" s="108"/>
      <c r="BU62" s="109"/>
      <c r="BV62" s="110"/>
      <c r="BW62" s="107"/>
      <c r="BX62" s="108"/>
      <c r="BY62" s="108"/>
      <c r="BZ62" s="108"/>
      <c r="CA62" s="108"/>
      <c r="CB62" s="109"/>
      <c r="CC62" s="110"/>
      <c r="CD62" s="107"/>
      <c r="CE62" s="108"/>
      <c r="CF62" s="108"/>
      <c r="CG62" s="108"/>
      <c r="CH62" s="108"/>
      <c r="CI62" s="109"/>
      <c r="CJ62" s="110"/>
      <c r="CK62" s="107"/>
      <c r="CL62" s="108"/>
      <c r="CM62" s="108"/>
      <c r="CN62" s="108"/>
      <c r="CO62" s="108"/>
      <c r="CP62" s="109"/>
      <c r="CQ62" s="110"/>
    </row>
    <row r="63" spans="1:99" ht="14.25" customHeight="1" x14ac:dyDescent="0.2">
      <c r="L63" s="107" t="s">
        <v>86</v>
      </c>
      <c r="M63" s="108"/>
      <c r="N63" s="108"/>
      <c r="O63" s="108"/>
      <c r="P63" s="108"/>
      <c r="Q63" s="109"/>
      <c r="R63" s="110">
        <f>889.85</f>
        <v>889.85</v>
      </c>
      <c r="S63" s="107" t="s">
        <v>86</v>
      </c>
      <c r="T63" s="108"/>
      <c r="U63" s="108"/>
      <c r="V63" s="108"/>
      <c r="W63" s="108"/>
      <c r="X63" s="109"/>
      <c r="Y63" s="110">
        <f>304.51</f>
        <v>304.51</v>
      </c>
      <c r="Z63" s="107" t="s">
        <v>86</v>
      </c>
      <c r="AA63" s="108"/>
      <c r="AB63" s="108"/>
      <c r="AC63" s="108"/>
      <c r="AD63" s="108"/>
      <c r="AE63" s="109"/>
      <c r="AF63" s="110">
        <f>394.51</f>
        <v>394.51</v>
      </c>
      <c r="AG63" s="107" t="s">
        <v>86</v>
      </c>
      <c r="AH63" s="108"/>
      <c r="AI63" s="108"/>
      <c r="AJ63" s="108"/>
      <c r="AK63" s="108"/>
      <c r="AL63" s="109"/>
      <c r="AM63" s="110">
        <f>368.2</f>
        <v>368.2</v>
      </c>
      <c r="AN63" s="107"/>
      <c r="AO63" s="108"/>
      <c r="AP63" s="108"/>
      <c r="AQ63" s="108"/>
      <c r="AR63" s="108"/>
      <c r="AS63" s="109"/>
      <c r="AT63" s="110"/>
      <c r="AU63" s="107"/>
      <c r="AV63" s="108"/>
      <c r="AW63" s="108"/>
      <c r="AX63" s="108"/>
      <c r="AY63" s="108"/>
      <c r="AZ63" s="109"/>
      <c r="BA63" s="110"/>
      <c r="BB63" s="107"/>
      <c r="BC63" s="108"/>
      <c r="BD63" s="108"/>
      <c r="BE63" s="108"/>
      <c r="BF63" s="108"/>
      <c r="BG63" s="109"/>
      <c r="BH63" s="110"/>
      <c r="BI63" s="107"/>
      <c r="BJ63" s="108"/>
      <c r="BK63" s="108"/>
      <c r="BL63" s="108"/>
      <c r="BM63" s="108"/>
      <c r="BN63" s="109"/>
      <c r="BO63" s="110"/>
      <c r="BP63" s="107"/>
      <c r="BQ63" s="108"/>
      <c r="BR63" s="108"/>
      <c r="BS63" s="108"/>
      <c r="BT63" s="108"/>
      <c r="BU63" s="109"/>
      <c r="BV63" s="110"/>
      <c r="BW63" s="107"/>
      <c r="BX63" s="108"/>
      <c r="BY63" s="108"/>
      <c r="BZ63" s="108"/>
      <c r="CA63" s="108"/>
      <c r="CB63" s="109"/>
      <c r="CC63" s="110"/>
      <c r="CD63" s="107"/>
      <c r="CE63" s="108"/>
      <c r="CF63" s="108"/>
      <c r="CG63" s="108"/>
      <c r="CH63" s="108"/>
      <c r="CI63" s="109"/>
      <c r="CJ63" s="110"/>
      <c r="CK63" s="107"/>
      <c r="CL63" s="108"/>
      <c r="CM63" s="108"/>
      <c r="CN63" s="108"/>
      <c r="CO63" s="108"/>
      <c r="CP63" s="109"/>
      <c r="CQ63" s="110"/>
    </row>
    <row r="64" spans="1:99" ht="14.25" customHeight="1" x14ac:dyDescent="0.2">
      <c r="L64" s="107" t="s">
        <v>87</v>
      </c>
      <c r="M64" s="108"/>
      <c r="N64" s="108"/>
      <c r="O64" s="108"/>
      <c r="P64" s="108"/>
      <c r="Q64" s="109"/>
      <c r="R64" s="110">
        <f>229.9</f>
        <v>229.9</v>
      </c>
      <c r="S64" s="107" t="s">
        <v>87</v>
      </c>
      <c r="T64" s="108"/>
      <c r="U64" s="108"/>
      <c r="V64" s="108"/>
      <c r="W64" s="108"/>
      <c r="X64" s="109"/>
      <c r="Y64" s="110">
        <f>362.9</f>
        <v>362.9</v>
      </c>
      <c r="Z64" s="107" t="s">
        <v>87</v>
      </c>
      <c r="AA64" s="108"/>
      <c r="AB64" s="108"/>
      <c r="AC64" s="108"/>
      <c r="AD64" s="108"/>
      <c r="AE64" s="109"/>
      <c r="AF64" s="110">
        <f>229.9</f>
        <v>229.9</v>
      </c>
      <c r="AG64" s="107" t="s">
        <v>87</v>
      </c>
      <c r="AH64" s="108"/>
      <c r="AI64" s="108"/>
      <c r="AJ64" s="108"/>
      <c r="AK64" s="108"/>
      <c r="AL64" s="109"/>
      <c r="AM64" s="110">
        <f>432.51+120</f>
        <v>552.51</v>
      </c>
      <c r="AN64" s="107"/>
      <c r="AO64" s="108"/>
      <c r="AP64" s="108"/>
      <c r="AQ64" s="108"/>
      <c r="AR64" s="108"/>
      <c r="AS64" s="109"/>
      <c r="AT64" s="110"/>
      <c r="AU64" s="107"/>
      <c r="AV64" s="108"/>
      <c r="AW64" s="108"/>
      <c r="AX64" s="108"/>
      <c r="AY64" s="108"/>
      <c r="AZ64" s="109"/>
      <c r="BA64" s="110"/>
      <c r="BB64" s="107"/>
      <c r="BC64" s="108"/>
      <c r="BD64" s="108"/>
      <c r="BE64" s="108"/>
      <c r="BF64" s="108"/>
      <c r="BG64" s="109"/>
      <c r="BH64" s="110"/>
      <c r="BI64" s="107"/>
      <c r="BJ64" s="108"/>
      <c r="BK64" s="108"/>
      <c r="BL64" s="108"/>
      <c r="BM64" s="108"/>
      <c r="BN64" s="109"/>
      <c r="BO64" s="110"/>
      <c r="BP64" s="107"/>
      <c r="BQ64" s="108"/>
      <c r="BR64" s="108"/>
      <c r="BS64" s="108"/>
      <c r="BT64" s="108"/>
      <c r="BU64" s="109"/>
      <c r="BV64" s="110"/>
      <c r="BW64" s="107"/>
      <c r="BX64" s="108"/>
      <c r="BY64" s="108"/>
      <c r="BZ64" s="108"/>
      <c r="CA64" s="108"/>
      <c r="CB64" s="109"/>
      <c r="CC64" s="110"/>
      <c r="CD64" s="107"/>
      <c r="CE64" s="108"/>
      <c r="CF64" s="108"/>
      <c r="CG64" s="108"/>
      <c r="CH64" s="108"/>
      <c r="CI64" s="109"/>
      <c r="CJ64" s="110"/>
      <c r="CK64" s="107"/>
      <c r="CL64" s="108"/>
      <c r="CM64" s="108"/>
      <c r="CN64" s="108"/>
      <c r="CO64" s="108"/>
      <c r="CP64" s="109"/>
      <c r="CQ64" s="110"/>
    </row>
    <row r="65" spans="12:95" ht="14.25" customHeight="1" x14ac:dyDescent="0.2">
      <c r="L65" s="107" t="s">
        <v>88</v>
      </c>
      <c r="M65" s="108"/>
      <c r="N65" s="108"/>
      <c r="O65" s="108"/>
      <c r="P65" s="108"/>
      <c r="Q65" s="109"/>
      <c r="R65" s="110">
        <f>220.5</f>
        <v>220.5</v>
      </c>
      <c r="S65" s="107" t="s">
        <v>88</v>
      </c>
      <c r="T65" s="108"/>
      <c r="U65" s="108"/>
      <c r="V65" s="108"/>
      <c r="W65" s="108"/>
      <c r="X65" s="109"/>
      <c r="Y65" s="110">
        <f>40</f>
        <v>40</v>
      </c>
      <c r="Z65" s="107" t="s">
        <v>222</v>
      </c>
      <c r="AA65" s="108"/>
      <c r="AB65" s="108"/>
      <c r="AC65" s="108"/>
      <c r="AD65" s="108"/>
      <c r="AE65" s="109"/>
      <c r="AF65" s="110">
        <f>99.64</f>
        <v>99.64</v>
      </c>
      <c r="AG65" s="107" t="s">
        <v>222</v>
      </c>
      <c r="AH65" s="108"/>
      <c r="AI65" s="108"/>
      <c r="AJ65" s="108"/>
      <c r="AK65" s="108"/>
      <c r="AL65" s="109"/>
      <c r="AM65" s="110"/>
      <c r="AN65" s="107"/>
      <c r="AO65" s="108"/>
      <c r="AP65" s="108"/>
      <c r="AQ65" s="108"/>
      <c r="AR65" s="108"/>
      <c r="AS65" s="109"/>
      <c r="AT65" s="110"/>
      <c r="AU65" s="107"/>
      <c r="AV65" s="108"/>
      <c r="AW65" s="108"/>
      <c r="AX65" s="108"/>
      <c r="AY65" s="108"/>
      <c r="AZ65" s="109"/>
      <c r="BA65" s="110"/>
      <c r="BB65" s="107"/>
      <c r="BC65" s="108"/>
      <c r="BD65" s="108"/>
      <c r="BE65" s="108"/>
      <c r="BF65" s="108"/>
      <c r="BG65" s="109"/>
      <c r="BH65" s="110"/>
      <c r="BI65" s="107"/>
      <c r="BJ65" s="108"/>
      <c r="BK65" s="108"/>
      <c r="BL65" s="108"/>
      <c r="BM65" s="108"/>
      <c r="BN65" s="109"/>
      <c r="BO65" s="110"/>
      <c r="BP65" s="107"/>
      <c r="BQ65" s="108"/>
      <c r="BR65" s="108"/>
      <c r="BS65" s="108"/>
      <c r="BT65" s="108"/>
      <c r="BU65" s="109"/>
      <c r="BV65" s="110"/>
      <c r="BW65" s="107"/>
      <c r="BX65" s="108"/>
      <c r="BY65" s="108"/>
      <c r="BZ65" s="108"/>
      <c r="CA65" s="108"/>
      <c r="CB65" s="109"/>
      <c r="CC65" s="110"/>
      <c r="CD65" s="107"/>
      <c r="CE65" s="108"/>
      <c r="CF65" s="108"/>
      <c r="CG65" s="108"/>
      <c r="CH65" s="108"/>
      <c r="CI65" s="109"/>
      <c r="CJ65" s="110"/>
      <c r="CK65" s="107"/>
      <c r="CL65" s="108"/>
      <c r="CM65" s="108"/>
      <c r="CN65" s="108"/>
      <c r="CO65" s="108"/>
      <c r="CP65" s="109"/>
      <c r="CQ65" s="110"/>
    </row>
    <row r="66" spans="12:95" ht="14.25" customHeight="1" x14ac:dyDescent="0.2">
      <c r="L66" s="107" t="s">
        <v>89</v>
      </c>
      <c r="M66" s="108"/>
      <c r="N66" s="108"/>
      <c r="O66" s="108"/>
      <c r="P66" s="108"/>
      <c r="Q66" s="109"/>
      <c r="R66" s="110">
        <f>360.14</f>
        <v>360.14</v>
      </c>
      <c r="S66" s="107" t="s">
        <v>89</v>
      </c>
      <c r="T66" s="108"/>
      <c r="U66" s="108"/>
      <c r="V66" s="108"/>
      <c r="W66" s="108"/>
      <c r="X66" s="109"/>
      <c r="Y66" s="110">
        <f>38.7+145.02</f>
        <v>183.72000000000003</v>
      </c>
      <c r="Z66" s="107" t="s">
        <v>89</v>
      </c>
      <c r="AA66" s="108"/>
      <c r="AB66" s="108"/>
      <c r="AC66" s="108"/>
      <c r="AD66" s="108"/>
      <c r="AE66" s="109"/>
      <c r="AF66" s="110"/>
      <c r="AG66" s="107" t="s">
        <v>89</v>
      </c>
      <c r="AH66" s="108"/>
      <c r="AI66" s="108"/>
      <c r="AJ66" s="108"/>
      <c r="AK66" s="108"/>
      <c r="AL66" s="109"/>
      <c r="AM66" s="110">
        <f>100.5</f>
        <v>100.5</v>
      </c>
      <c r="AN66" s="107"/>
      <c r="AO66" s="108"/>
      <c r="AP66" s="108"/>
      <c r="AQ66" s="108"/>
      <c r="AR66" s="108"/>
      <c r="AS66" s="109"/>
      <c r="AT66" s="110"/>
      <c r="AU66" s="107"/>
      <c r="AV66" s="108"/>
      <c r="AW66" s="108"/>
      <c r="AX66" s="108"/>
      <c r="AY66" s="108"/>
      <c r="AZ66" s="109"/>
      <c r="BA66" s="110"/>
      <c r="BB66" s="107"/>
      <c r="BC66" s="108"/>
      <c r="BD66" s="108"/>
      <c r="BE66" s="108"/>
      <c r="BF66" s="108"/>
      <c r="BG66" s="109"/>
      <c r="BH66" s="110"/>
      <c r="BI66" s="107"/>
      <c r="BJ66" s="108"/>
      <c r="BK66" s="108"/>
      <c r="BL66" s="108"/>
      <c r="BM66" s="108"/>
      <c r="BN66" s="109"/>
      <c r="BO66" s="110"/>
      <c r="BP66" s="107"/>
      <c r="BQ66" s="108"/>
      <c r="BR66" s="108"/>
      <c r="BS66" s="108"/>
      <c r="BT66" s="108"/>
      <c r="BU66" s="109"/>
      <c r="BV66" s="110"/>
      <c r="BW66" s="107"/>
      <c r="BX66" s="108"/>
      <c r="BY66" s="108"/>
      <c r="BZ66" s="108"/>
      <c r="CA66" s="108"/>
      <c r="CB66" s="109"/>
      <c r="CC66" s="110"/>
      <c r="CD66" s="107"/>
      <c r="CE66" s="108"/>
      <c r="CF66" s="108"/>
      <c r="CG66" s="108"/>
      <c r="CH66" s="108"/>
      <c r="CI66" s="109"/>
      <c r="CJ66" s="110"/>
      <c r="CK66" s="107"/>
      <c r="CL66" s="108"/>
      <c r="CM66" s="108"/>
      <c r="CN66" s="108"/>
      <c r="CO66" s="108"/>
      <c r="CP66" s="109"/>
      <c r="CQ66" s="110"/>
    </row>
    <row r="67" spans="12:95" ht="14.25" customHeight="1" x14ac:dyDescent="0.2">
      <c r="L67" s="107" t="s">
        <v>159</v>
      </c>
      <c r="M67" s="108"/>
      <c r="N67" s="108"/>
      <c r="O67" s="108"/>
      <c r="P67" s="108"/>
      <c r="Q67" s="109"/>
      <c r="R67" s="110">
        <f>797.5</f>
        <v>797.5</v>
      </c>
      <c r="S67" s="107" t="s">
        <v>159</v>
      </c>
      <c r="T67" s="108"/>
      <c r="U67" s="108"/>
      <c r="V67" s="108"/>
      <c r="W67" s="108"/>
      <c r="X67" s="109"/>
      <c r="Y67" s="110">
        <f>6550+6130+90+303.2+490.4+151.6+62.5+244</f>
        <v>14021.7</v>
      </c>
      <c r="Z67" s="107" t="s">
        <v>159</v>
      </c>
      <c r="AA67" s="108"/>
      <c r="AB67" s="108"/>
      <c r="AC67" s="108"/>
      <c r="AD67" s="108"/>
      <c r="AE67" s="109"/>
      <c r="AF67" s="110">
        <f>34.18</f>
        <v>34.18</v>
      </c>
      <c r="AG67" s="107" t="s">
        <v>159</v>
      </c>
      <c r="AH67" s="108"/>
      <c r="AI67" s="108"/>
      <c r="AJ67" s="108"/>
      <c r="AK67" s="108"/>
      <c r="AL67" s="109"/>
      <c r="AM67" s="110">
        <f>518+130</f>
        <v>648</v>
      </c>
      <c r="AN67" s="107"/>
      <c r="AO67" s="108"/>
      <c r="AP67" s="108"/>
      <c r="AQ67" s="108"/>
      <c r="AR67" s="108"/>
      <c r="AS67" s="109"/>
      <c r="AT67" s="110"/>
      <c r="AU67" s="107"/>
      <c r="AV67" s="108"/>
      <c r="AW67" s="108"/>
      <c r="AX67" s="108"/>
      <c r="AY67" s="108"/>
      <c r="AZ67" s="109"/>
      <c r="BA67" s="110"/>
      <c r="BB67" s="107"/>
      <c r="BC67" s="108"/>
      <c r="BD67" s="108"/>
      <c r="BE67" s="108"/>
      <c r="BF67" s="108"/>
      <c r="BG67" s="109"/>
      <c r="BH67" s="110"/>
      <c r="BI67" s="107"/>
      <c r="BJ67" s="108"/>
      <c r="BK67" s="108"/>
      <c r="BL67" s="108"/>
      <c r="BM67" s="108"/>
      <c r="BN67" s="109"/>
      <c r="BO67" s="110"/>
      <c r="BP67" s="107"/>
      <c r="BQ67" s="108"/>
      <c r="BR67" s="108"/>
      <c r="BS67" s="108"/>
      <c r="BT67" s="108"/>
      <c r="BU67" s="109"/>
      <c r="BV67" s="110"/>
      <c r="BW67" s="107"/>
      <c r="BX67" s="108"/>
      <c r="BY67" s="108"/>
      <c r="BZ67" s="108"/>
      <c r="CA67" s="108"/>
      <c r="CB67" s="109"/>
      <c r="CC67" s="110"/>
      <c r="CD67" s="107"/>
      <c r="CE67" s="108"/>
      <c r="CF67" s="108"/>
      <c r="CG67" s="108"/>
      <c r="CH67" s="108"/>
      <c r="CI67" s="109"/>
      <c r="CJ67" s="110"/>
      <c r="CK67" s="107"/>
      <c r="CL67" s="108"/>
      <c r="CM67" s="108"/>
      <c r="CN67" s="108"/>
      <c r="CO67" s="108"/>
      <c r="CP67" s="109"/>
      <c r="CQ67" s="110"/>
    </row>
    <row r="68" spans="12:95" ht="14.25" customHeight="1" x14ac:dyDescent="0.2">
      <c r="L68" s="107" t="s">
        <v>164</v>
      </c>
      <c r="M68" s="108"/>
      <c r="N68" s="108"/>
      <c r="O68" s="108"/>
      <c r="P68" s="108"/>
      <c r="Q68" s="109"/>
      <c r="R68" s="110">
        <f>41.4+12.8</f>
        <v>54.2</v>
      </c>
      <c r="S68" s="107" t="s">
        <v>164</v>
      </c>
      <c r="T68" s="108"/>
      <c r="U68" s="108"/>
      <c r="V68" s="108"/>
      <c r="W68" s="108"/>
      <c r="X68" s="109"/>
      <c r="Y68" s="110"/>
      <c r="Z68" s="107" t="s">
        <v>164</v>
      </c>
      <c r="AA68" s="108"/>
      <c r="AB68" s="108"/>
      <c r="AC68" s="108"/>
      <c r="AD68" s="108"/>
      <c r="AE68" s="109"/>
      <c r="AF68" s="110"/>
      <c r="AG68" s="107" t="s">
        <v>164</v>
      </c>
      <c r="AH68" s="108"/>
      <c r="AI68" s="108"/>
      <c r="AJ68" s="108"/>
      <c r="AK68" s="108"/>
      <c r="AL68" s="109"/>
      <c r="AM68" s="110"/>
      <c r="AN68" s="107"/>
      <c r="AO68" s="108"/>
      <c r="AP68" s="108"/>
      <c r="AQ68" s="108"/>
      <c r="AR68" s="108"/>
      <c r="AS68" s="109"/>
      <c r="AT68" s="110"/>
      <c r="AU68" s="107"/>
      <c r="AV68" s="108"/>
      <c r="AW68" s="108"/>
      <c r="AX68" s="108"/>
      <c r="AY68" s="108"/>
      <c r="AZ68" s="109"/>
      <c r="BA68" s="110"/>
      <c r="BB68" s="107"/>
      <c r="BC68" s="108"/>
      <c r="BD68" s="108"/>
      <c r="BE68" s="108"/>
      <c r="BF68" s="108"/>
      <c r="BG68" s="109"/>
      <c r="BH68" s="110"/>
      <c r="BI68" s="107"/>
      <c r="BJ68" s="108"/>
      <c r="BK68" s="108"/>
      <c r="BL68" s="108"/>
      <c r="BM68" s="108"/>
      <c r="BN68" s="109"/>
      <c r="BO68" s="110"/>
      <c r="BP68" s="107"/>
      <c r="BQ68" s="108"/>
      <c r="BR68" s="108"/>
      <c r="BS68" s="108"/>
      <c r="BT68" s="108"/>
      <c r="BU68" s="109"/>
      <c r="BV68" s="110"/>
      <c r="BW68" s="107"/>
      <c r="BX68" s="108"/>
      <c r="BY68" s="108"/>
      <c r="BZ68" s="108"/>
      <c r="CA68" s="108"/>
      <c r="CB68" s="109"/>
      <c r="CC68" s="110"/>
      <c r="CD68" s="107"/>
      <c r="CE68" s="108"/>
      <c r="CF68" s="108"/>
      <c r="CG68" s="108"/>
      <c r="CH68" s="108"/>
      <c r="CI68" s="109"/>
      <c r="CJ68" s="110"/>
      <c r="CK68" s="107"/>
      <c r="CL68" s="108"/>
      <c r="CM68" s="108"/>
      <c r="CN68" s="108"/>
      <c r="CO68" s="108"/>
      <c r="CP68" s="109"/>
      <c r="CQ68" s="110"/>
    </row>
    <row r="69" spans="12:95" ht="14.25" customHeight="1" x14ac:dyDescent="0.2">
      <c r="L69" s="107" t="s">
        <v>91</v>
      </c>
      <c r="M69" s="108"/>
      <c r="N69" s="108"/>
      <c r="O69" s="108"/>
      <c r="P69" s="108"/>
      <c r="Q69" s="109"/>
      <c r="R69" s="110">
        <f>630</f>
        <v>630</v>
      </c>
      <c r="S69" s="107" t="s">
        <v>91</v>
      </c>
      <c r="T69" s="108"/>
      <c r="U69" s="108"/>
      <c r="V69" s="108"/>
      <c r="W69" s="108"/>
      <c r="X69" s="109"/>
      <c r="Y69" s="110"/>
      <c r="Z69" s="107" t="s">
        <v>223</v>
      </c>
      <c r="AA69" s="108"/>
      <c r="AB69" s="108"/>
      <c r="AC69" s="108"/>
      <c r="AD69" s="108"/>
      <c r="AE69" s="109"/>
      <c r="AF69" s="110">
        <f>70.72</f>
        <v>70.72</v>
      </c>
      <c r="AG69" s="107" t="s">
        <v>223</v>
      </c>
      <c r="AH69" s="108"/>
      <c r="AI69" s="108"/>
      <c r="AJ69" s="108"/>
      <c r="AK69" s="108"/>
      <c r="AL69" s="109"/>
      <c r="AM69" s="110"/>
      <c r="AN69" s="107"/>
      <c r="AO69" s="108"/>
      <c r="AP69" s="108"/>
      <c r="AQ69" s="108"/>
      <c r="AR69" s="108"/>
      <c r="AS69" s="109"/>
      <c r="AT69" s="110"/>
      <c r="AU69" s="107"/>
      <c r="AV69" s="108"/>
      <c r="AW69" s="108"/>
      <c r="AX69" s="108"/>
      <c r="AY69" s="108"/>
      <c r="AZ69" s="109"/>
      <c r="BA69" s="110"/>
      <c r="BB69" s="107"/>
      <c r="BC69" s="108"/>
      <c r="BD69" s="108"/>
      <c r="BE69" s="108"/>
      <c r="BF69" s="108"/>
      <c r="BG69" s="109"/>
      <c r="BH69" s="110"/>
      <c r="BI69" s="107"/>
      <c r="BJ69" s="108"/>
      <c r="BK69" s="108"/>
      <c r="BL69" s="108"/>
      <c r="BM69" s="108"/>
      <c r="BN69" s="109"/>
      <c r="BO69" s="110"/>
      <c r="BP69" s="107"/>
      <c r="BQ69" s="108"/>
      <c r="BR69" s="108"/>
      <c r="BS69" s="108"/>
      <c r="BT69" s="108"/>
      <c r="BU69" s="109"/>
      <c r="BV69" s="110"/>
      <c r="BW69" s="107"/>
      <c r="BX69" s="108"/>
      <c r="BY69" s="108"/>
      <c r="BZ69" s="108"/>
      <c r="CA69" s="108"/>
      <c r="CB69" s="109"/>
      <c r="CC69" s="110"/>
      <c r="CD69" s="107"/>
      <c r="CE69" s="108"/>
      <c r="CF69" s="108"/>
      <c r="CG69" s="108"/>
      <c r="CH69" s="108"/>
      <c r="CI69" s="109"/>
      <c r="CJ69" s="110"/>
      <c r="CK69" s="107"/>
      <c r="CL69" s="108"/>
      <c r="CM69" s="108"/>
      <c r="CN69" s="108"/>
      <c r="CO69" s="108"/>
      <c r="CP69" s="109"/>
      <c r="CQ69" s="110"/>
    </row>
    <row r="70" spans="12:95" ht="14.25" customHeight="1" x14ac:dyDescent="0.2">
      <c r="L70" s="107" t="s">
        <v>224</v>
      </c>
      <c r="M70" s="108"/>
      <c r="N70" s="108"/>
      <c r="O70" s="108"/>
      <c r="P70" s="108"/>
      <c r="Q70" s="109"/>
      <c r="R70" s="110">
        <f>1000</f>
        <v>1000</v>
      </c>
      <c r="S70" s="107" t="s">
        <v>224</v>
      </c>
      <c r="T70" s="108"/>
      <c r="U70" s="108"/>
      <c r="V70" s="108"/>
      <c r="W70" s="108"/>
      <c r="X70" s="109"/>
      <c r="Y70" s="110"/>
      <c r="Z70" s="107" t="s">
        <v>224</v>
      </c>
      <c r="AA70" s="108"/>
      <c r="AB70" s="108"/>
      <c r="AC70" s="108"/>
      <c r="AD70" s="108"/>
      <c r="AE70" s="109"/>
      <c r="AF70" s="110"/>
      <c r="AG70" s="107" t="s">
        <v>224</v>
      </c>
      <c r="AH70" s="108"/>
      <c r="AI70" s="108"/>
      <c r="AJ70" s="108"/>
      <c r="AK70" s="108"/>
      <c r="AL70" s="109"/>
      <c r="AM70" s="110"/>
      <c r="AN70" s="107"/>
      <c r="AO70" s="108"/>
      <c r="AP70" s="108"/>
      <c r="AQ70" s="108"/>
      <c r="AR70" s="108"/>
      <c r="AS70" s="109"/>
      <c r="AT70" s="110"/>
      <c r="AU70" s="107"/>
      <c r="AV70" s="108"/>
      <c r="AW70" s="108"/>
      <c r="AX70" s="108"/>
      <c r="AY70" s="108"/>
      <c r="AZ70" s="109"/>
      <c r="BA70" s="110"/>
      <c r="BB70" s="107"/>
      <c r="BC70" s="108"/>
      <c r="BD70" s="108"/>
      <c r="BE70" s="108"/>
      <c r="BF70" s="108"/>
      <c r="BG70" s="109"/>
      <c r="BH70" s="110"/>
      <c r="BI70" s="107"/>
      <c r="BJ70" s="108"/>
      <c r="BK70" s="108"/>
      <c r="BL70" s="108"/>
      <c r="BM70" s="108"/>
      <c r="BN70" s="109"/>
      <c r="BO70" s="110"/>
      <c r="BP70" s="107"/>
      <c r="BQ70" s="108"/>
      <c r="BR70" s="108"/>
      <c r="BS70" s="108"/>
      <c r="BT70" s="108"/>
      <c r="BU70" s="109"/>
      <c r="BV70" s="110"/>
      <c r="BW70" s="107"/>
      <c r="BX70" s="108"/>
      <c r="BY70" s="108"/>
      <c r="BZ70" s="108"/>
      <c r="CA70" s="108"/>
      <c r="CB70" s="109"/>
      <c r="CC70" s="110"/>
      <c r="CD70" s="107"/>
      <c r="CE70" s="108"/>
      <c r="CF70" s="108"/>
      <c r="CG70" s="108"/>
      <c r="CH70" s="108"/>
      <c r="CI70" s="109"/>
      <c r="CJ70" s="110"/>
      <c r="CK70" s="107"/>
      <c r="CL70" s="108"/>
      <c r="CM70" s="108"/>
      <c r="CN70" s="108"/>
      <c r="CO70" s="108"/>
      <c r="CP70" s="109"/>
      <c r="CQ70" s="110"/>
    </row>
    <row r="71" spans="12:95" ht="14.25" customHeight="1" x14ac:dyDescent="0.2">
      <c r="L71" s="107" t="s">
        <v>225</v>
      </c>
      <c r="M71" s="108"/>
      <c r="N71" s="108"/>
      <c r="O71" s="108"/>
      <c r="P71" s="108"/>
      <c r="Q71" s="109"/>
      <c r="R71" s="110">
        <f>300</f>
        <v>300</v>
      </c>
      <c r="S71" s="107" t="s">
        <v>226</v>
      </c>
      <c r="T71" s="108"/>
      <c r="U71" s="108"/>
      <c r="V71" s="108"/>
      <c r="W71" s="108"/>
      <c r="X71" s="109"/>
      <c r="Y71" s="110">
        <f>300</f>
        <v>300</v>
      </c>
      <c r="Z71" s="107" t="s">
        <v>226</v>
      </c>
      <c r="AA71" s="108"/>
      <c r="AB71" s="108"/>
      <c r="AC71" s="108"/>
      <c r="AD71" s="108"/>
      <c r="AE71" s="109"/>
      <c r="AF71" s="110">
        <f>300</f>
        <v>300</v>
      </c>
      <c r="AG71" s="107" t="s">
        <v>226</v>
      </c>
      <c r="AH71" s="108"/>
      <c r="AI71" s="108"/>
      <c r="AJ71" s="108"/>
      <c r="AK71" s="108"/>
      <c r="AL71" s="109"/>
      <c r="AM71" s="110">
        <f>300</f>
        <v>300</v>
      </c>
      <c r="AN71" s="107"/>
      <c r="AO71" s="108"/>
      <c r="AP71" s="108"/>
      <c r="AQ71" s="108"/>
      <c r="AR71" s="108"/>
      <c r="AS71" s="109"/>
      <c r="AT71" s="110"/>
      <c r="AU71" s="107"/>
      <c r="AV71" s="108"/>
      <c r="AW71" s="108"/>
      <c r="AX71" s="108"/>
      <c r="AY71" s="108"/>
      <c r="AZ71" s="109"/>
      <c r="BA71" s="110"/>
      <c r="BB71" s="107"/>
      <c r="BC71" s="108"/>
      <c r="BD71" s="108"/>
      <c r="BE71" s="108"/>
      <c r="BF71" s="108"/>
      <c r="BG71" s="109"/>
      <c r="BH71" s="110"/>
      <c r="BI71" s="107"/>
      <c r="BJ71" s="108"/>
      <c r="BK71" s="108"/>
      <c r="BL71" s="108"/>
      <c r="BM71" s="108"/>
      <c r="BN71" s="109"/>
      <c r="BO71" s="110"/>
      <c r="BP71" s="107"/>
      <c r="BQ71" s="108"/>
      <c r="BR71" s="108"/>
      <c r="BS71" s="108"/>
      <c r="BT71" s="108"/>
      <c r="BU71" s="109"/>
      <c r="BV71" s="110"/>
      <c r="BW71" s="107"/>
      <c r="BX71" s="108"/>
      <c r="BY71" s="108"/>
      <c r="BZ71" s="108"/>
      <c r="CA71" s="108"/>
      <c r="CB71" s="109"/>
      <c r="CC71" s="110"/>
      <c r="CD71" s="107"/>
      <c r="CE71" s="108"/>
      <c r="CF71" s="108"/>
      <c r="CG71" s="108"/>
      <c r="CH71" s="108"/>
      <c r="CI71" s="109"/>
      <c r="CJ71" s="110"/>
      <c r="CK71" s="107"/>
      <c r="CL71" s="108"/>
      <c r="CM71" s="108"/>
      <c r="CN71" s="108"/>
      <c r="CO71" s="108"/>
      <c r="CP71" s="109"/>
      <c r="CQ71" s="110"/>
    </row>
    <row r="72" spans="12:95" ht="14.25" customHeight="1" x14ac:dyDescent="0.2">
      <c r="L72" s="107" t="s">
        <v>94</v>
      </c>
      <c r="M72" s="108"/>
      <c r="N72" s="108"/>
      <c r="O72" s="108"/>
      <c r="P72" s="108"/>
      <c r="Q72" s="109"/>
      <c r="R72" s="110">
        <f>82.86</f>
        <v>82.86</v>
      </c>
      <c r="S72" s="107" t="s">
        <v>94</v>
      </c>
      <c r="T72" s="108"/>
      <c r="U72" s="108"/>
      <c r="V72" s="108"/>
      <c r="W72" s="108"/>
      <c r="X72" s="109"/>
      <c r="Y72" s="110"/>
      <c r="Z72" s="107" t="s">
        <v>94</v>
      </c>
      <c r="AA72" s="108"/>
      <c r="AB72" s="108"/>
      <c r="AC72" s="108"/>
      <c r="AD72" s="108"/>
      <c r="AE72" s="109"/>
      <c r="AF72" s="110"/>
      <c r="AG72" s="107" t="s">
        <v>94</v>
      </c>
      <c r="AH72" s="108"/>
      <c r="AI72" s="108"/>
      <c r="AJ72" s="108"/>
      <c r="AK72" s="108"/>
      <c r="AL72" s="109"/>
      <c r="AM72" s="110"/>
      <c r="AN72" s="107"/>
      <c r="AO72" s="108"/>
      <c r="AP72" s="108"/>
      <c r="AQ72" s="108"/>
      <c r="AR72" s="108"/>
      <c r="AS72" s="109"/>
      <c r="AT72" s="110"/>
      <c r="AU72" s="107"/>
      <c r="AV72" s="108"/>
      <c r="AW72" s="108"/>
      <c r="AX72" s="108"/>
      <c r="AY72" s="108"/>
      <c r="AZ72" s="109"/>
      <c r="BA72" s="110"/>
      <c r="BB72" s="107"/>
      <c r="BC72" s="108"/>
      <c r="BD72" s="108"/>
      <c r="BE72" s="108"/>
      <c r="BF72" s="108"/>
      <c r="BG72" s="109"/>
      <c r="BH72" s="110"/>
      <c r="BI72" s="107"/>
      <c r="BJ72" s="108"/>
      <c r="BK72" s="108"/>
      <c r="BL72" s="108"/>
      <c r="BM72" s="108"/>
      <c r="BN72" s="109"/>
      <c r="BO72" s="110"/>
      <c r="BP72" s="107"/>
      <c r="BQ72" s="108"/>
      <c r="BR72" s="108"/>
      <c r="BS72" s="108"/>
      <c r="BT72" s="108"/>
      <c r="BU72" s="109"/>
      <c r="BV72" s="110"/>
      <c r="BW72" s="107"/>
      <c r="BX72" s="108"/>
      <c r="BY72" s="108"/>
      <c r="BZ72" s="108"/>
      <c r="CA72" s="108"/>
      <c r="CB72" s="109"/>
      <c r="CC72" s="110"/>
      <c r="CD72" s="107"/>
      <c r="CE72" s="108"/>
      <c r="CF72" s="108"/>
      <c r="CG72" s="108"/>
      <c r="CH72" s="108"/>
      <c r="CI72" s="109"/>
      <c r="CJ72" s="110"/>
      <c r="CK72" s="107"/>
      <c r="CL72" s="108"/>
      <c r="CM72" s="108"/>
      <c r="CN72" s="108"/>
      <c r="CO72" s="108"/>
      <c r="CP72" s="109"/>
      <c r="CQ72" s="110"/>
    </row>
    <row r="73" spans="12:95" ht="14.25" customHeight="1" x14ac:dyDescent="0.2">
      <c r="L73" s="107" t="s">
        <v>227</v>
      </c>
      <c r="M73" s="108"/>
      <c r="N73" s="108"/>
      <c r="O73" s="108"/>
      <c r="P73" s="108"/>
      <c r="Q73" s="109"/>
      <c r="R73" s="110">
        <f>303.2</f>
        <v>303.2</v>
      </c>
      <c r="S73" s="107" t="s">
        <v>227</v>
      </c>
      <c r="T73" s="108"/>
      <c r="U73" s="108"/>
      <c r="V73" s="108"/>
      <c r="W73" s="108"/>
      <c r="X73" s="109"/>
      <c r="Y73" s="110"/>
      <c r="Z73" s="107" t="s">
        <v>227</v>
      </c>
      <c r="AA73" s="108"/>
      <c r="AB73" s="108"/>
      <c r="AC73" s="108"/>
      <c r="AD73" s="108"/>
      <c r="AE73" s="109"/>
      <c r="AF73" s="110"/>
      <c r="AG73" s="107" t="s">
        <v>134</v>
      </c>
      <c r="AH73" s="108"/>
      <c r="AI73" s="108"/>
      <c r="AJ73" s="108"/>
      <c r="AK73" s="108"/>
      <c r="AL73" s="109"/>
      <c r="AM73" s="110">
        <v>205.84</v>
      </c>
      <c r="AN73" s="107"/>
      <c r="AO73" s="108"/>
      <c r="AP73" s="108"/>
      <c r="AQ73" s="108"/>
      <c r="AR73" s="108"/>
      <c r="AS73" s="109"/>
      <c r="AT73" s="110"/>
      <c r="AU73" s="107"/>
      <c r="AV73" s="108"/>
      <c r="AW73" s="108"/>
      <c r="AX73" s="108"/>
      <c r="AY73" s="108"/>
      <c r="AZ73" s="109"/>
      <c r="BA73" s="110"/>
      <c r="BB73" s="107"/>
      <c r="BC73" s="108"/>
      <c r="BD73" s="108"/>
      <c r="BE73" s="108"/>
      <c r="BF73" s="108"/>
      <c r="BG73" s="109"/>
      <c r="BH73" s="110"/>
      <c r="BI73" s="107"/>
      <c r="BJ73" s="108"/>
      <c r="BK73" s="108"/>
      <c r="BL73" s="108"/>
      <c r="BM73" s="108"/>
      <c r="BN73" s="109"/>
      <c r="BO73" s="110"/>
      <c r="BP73" s="107"/>
      <c r="BQ73" s="108"/>
      <c r="BR73" s="108"/>
      <c r="BS73" s="108"/>
      <c r="BT73" s="108"/>
      <c r="BU73" s="109"/>
      <c r="BV73" s="110"/>
      <c r="BW73" s="107"/>
      <c r="BX73" s="108"/>
      <c r="BY73" s="108"/>
      <c r="BZ73" s="108"/>
      <c r="CA73" s="108"/>
      <c r="CB73" s="109"/>
      <c r="CC73" s="110"/>
      <c r="CD73" s="107"/>
      <c r="CE73" s="108"/>
      <c r="CF73" s="108"/>
      <c r="CG73" s="108"/>
      <c r="CH73" s="108"/>
      <c r="CI73" s="109"/>
      <c r="CJ73" s="110"/>
      <c r="CK73" s="107"/>
      <c r="CL73" s="108"/>
      <c r="CM73" s="108"/>
      <c r="CN73" s="108"/>
      <c r="CO73" s="108"/>
      <c r="CP73" s="109"/>
      <c r="CQ73" s="110"/>
    </row>
    <row r="74" spans="12:95" ht="14.25" customHeight="1" x14ac:dyDescent="0.2">
      <c r="L74" s="107" t="s">
        <v>90</v>
      </c>
      <c r="M74" s="108"/>
      <c r="N74" s="108"/>
      <c r="O74" s="108"/>
      <c r="P74" s="108"/>
      <c r="Q74" s="109"/>
      <c r="R74" s="110">
        <f>335</f>
        <v>335</v>
      </c>
      <c r="S74" s="107" t="s">
        <v>90</v>
      </c>
      <c r="T74" s="108"/>
      <c r="U74" s="108"/>
      <c r="V74" s="108"/>
      <c r="W74" s="108"/>
      <c r="X74" s="109"/>
      <c r="Y74" s="110">
        <f>50</f>
        <v>50</v>
      </c>
      <c r="Z74" s="107" t="s">
        <v>90</v>
      </c>
      <c r="AA74" s="108"/>
      <c r="AB74" s="108"/>
      <c r="AC74" s="108"/>
      <c r="AD74" s="108"/>
      <c r="AE74" s="109"/>
      <c r="AF74" s="110"/>
      <c r="AG74" s="107" t="s">
        <v>90</v>
      </c>
      <c r="AH74" s="108"/>
      <c r="AI74" s="108"/>
      <c r="AJ74" s="108"/>
      <c r="AK74" s="108"/>
      <c r="AL74" s="109"/>
      <c r="AM74" s="110">
        <f>16+140</f>
        <v>156</v>
      </c>
      <c r="AN74" s="107"/>
      <c r="AO74" s="108"/>
      <c r="AP74" s="108"/>
      <c r="AQ74" s="108"/>
      <c r="AR74" s="108"/>
      <c r="AS74" s="109"/>
      <c r="AT74" s="110"/>
      <c r="AU74" s="107"/>
      <c r="AV74" s="108"/>
      <c r="AW74" s="108"/>
      <c r="AX74" s="108"/>
      <c r="AY74" s="108"/>
      <c r="AZ74" s="109"/>
      <c r="BA74" s="110"/>
      <c r="BB74" s="107"/>
      <c r="BC74" s="108"/>
      <c r="BD74" s="108"/>
      <c r="BE74" s="108"/>
      <c r="BF74" s="108"/>
      <c r="BG74" s="109"/>
      <c r="BH74" s="110"/>
      <c r="BI74" s="107"/>
      <c r="BJ74" s="108"/>
      <c r="BK74" s="108"/>
      <c r="BL74" s="108"/>
      <c r="BM74" s="108"/>
      <c r="BN74" s="109"/>
      <c r="BO74" s="110"/>
      <c r="BP74" s="107"/>
      <c r="BQ74" s="108"/>
      <c r="BR74" s="108"/>
      <c r="BS74" s="108"/>
      <c r="BT74" s="108"/>
      <c r="BU74" s="109"/>
      <c r="BV74" s="110"/>
      <c r="BW74" s="107"/>
      <c r="BX74" s="108"/>
      <c r="BY74" s="108"/>
      <c r="BZ74" s="108"/>
      <c r="CA74" s="108"/>
      <c r="CB74" s="109"/>
      <c r="CC74" s="110"/>
      <c r="CD74" s="107"/>
      <c r="CE74" s="108"/>
      <c r="CF74" s="108"/>
      <c r="CG74" s="108"/>
      <c r="CH74" s="108"/>
      <c r="CI74" s="109"/>
      <c r="CJ74" s="110"/>
      <c r="CK74" s="107"/>
      <c r="CL74" s="108"/>
      <c r="CM74" s="108"/>
      <c r="CN74" s="108"/>
      <c r="CO74" s="108"/>
      <c r="CP74" s="109"/>
      <c r="CQ74" s="110"/>
    </row>
    <row r="75" spans="12:95" ht="14.25" customHeight="1" x14ac:dyDescent="0.2">
      <c r="L75" s="107" t="s">
        <v>97</v>
      </c>
      <c r="M75" s="108"/>
      <c r="N75" s="108"/>
      <c r="O75" s="108"/>
      <c r="P75" s="108"/>
      <c r="Q75" s="109"/>
      <c r="R75" s="110">
        <f>362.25</f>
        <v>362.25</v>
      </c>
      <c r="S75" s="107" t="s">
        <v>97</v>
      </c>
      <c r="T75" s="108"/>
      <c r="U75" s="108"/>
      <c r="V75" s="108"/>
      <c r="W75" s="108"/>
      <c r="X75" s="109"/>
      <c r="Y75" s="110">
        <f>345</f>
        <v>345</v>
      </c>
      <c r="Z75" s="107" t="s">
        <v>97</v>
      </c>
      <c r="AA75" s="108"/>
      <c r="AB75" s="108"/>
      <c r="AC75" s="108"/>
      <c r="AD75" s="108"/>
      <c r="AE75" s="109"/>
      <c r="AF75" s="110">
        <f>379.5</f>
        <v>379.5</v>
      </c>
      <c r="AG75" s="107" t="s">
        <v>97</v>
      </c>
      <c r="AH75" s="108"/>
      <c r="AI75" s="108"/>
      <c r="AJ75" s="108"/>
      <c r="AK75" s="108"/>
      <c r="AL75" s="109"/>
      <c r="AM75" s="110">
        <f>379.5</f>
        <v>379.5</v>
      </c>
      <c r="AN75" s="107"/>
      <c r="AO75" s="108"/>
      <c r="AP75" s="108"/>
      <c r="AQ75" s="108"/>
      <c r="AR75" s="108"/>
      <c r="AS75" s="109"/>
      <c r="AT75" s="110"/>
      <c r="AU75" s="107"/>
      <c r="AV75" s="108"/>
      <c r="AW75" s="108"/>
      <c r="AX75" s="108"/>
      <c r="AY75" s="108"/>
      <c r="AZ75" s="109"/>
      <c r="BA75" s="110"/>
      <c r="BB75" s="107"/>
      <c r="BC75" s="108"/>
      <c r="BD75" s="108"/>
      <c r="BE75" s="108"/>
      <c r="BF75" s="108"/>
      <c r="BG75" s="109"/>
      <c r="BH75" s="110"/>
      <c r="BI75" s="107"/>
      <c r="BJ75" s="108"/>
      <c r="BK75" s="108"/>
      <c r="BL75" s="108"/>
      <c r="BM75" s="108"/>
      <c r="BN75" s="109"/>
      <c r="BO75" s="110"/>
      <c r="BP75" s="107"/>
      <c r="BQ75" s="108"/>
      <c r="BR75" s="108"/>
      <c r="BS75" s="108"/>
      <c r="BT75" s="108"/>
      <c r="BU75" s="109"/>
      <c r="BV75" s="110"/>
      <c r="BW75" s="107"/>
      <c r="BX75" s="108"/>
      <c r="BY75" s="108"/>
      <c r="BZ75" s="108"/>
      <c r="CA75" s="108"/>
      <c r="CB75" s="109"/>
      <c r="CC75" s="110"/>
      <c r="CD75" s="107"/>
      <c r="CE75" s="108"/>
      <c r="CF75" s="108"/>
      <c r="CG75" s="108"/>
      <c r="CH75" s="108"/>
      <c r="CI75" s="109"/>
      <c r="CJ75" s="110"/>
      <c r="CK75" s="107"/>
      <c r="CL75" s="108"/>
      <c r="CM75" s="108"/>
      <c r="CN75" s="108"/>
      <c r="CO75" s="108"/>
      <c r="CP75" s="109"/>
      <c r="CQ75" s="110"/>
    </row>
    <row r="76" spans="12:95" ht="14.25" customHeight="1" x14ac:dyDescent="0.2">
      <c r="L76" s="107" t="s">
        <v>188</v>
      </c>
      <c r="M76" s="108"/>
      <c r="N76" s="108"/>
      <c r="O76" s="108"/>
      <c r="P76" s="108"/>
      <c r="Q76" s="109"/>
      <c r="R76" s="110">
        <v>614.20000000000005</v>
      </c>
      <c r="S76" s="107" t="s">
        <v>188</v>
      </c>
      <c r="T76" s="108"/>
      <c r="U76" s="108"/>
      <c r="V76" s="108"/>
      <c r="W76" s="108"/>
      <c r="X76" s="109"/>
      <c r="Y76" s="110"/>
      <c r="Z76" s="107" t="s">
        <v>188</v>
      </c>
      <c r="AA76" s="108"/>
      <c r="AB76" s="108"/>
      <c r="AC76" s="108"/>
      <c r="AD76" s="108"/>
      <c r="AE76" s="109"/>
      <c r="AF76" s="110"/>
      <c r="AG76" s="107" t="s">
        <v>188</v>
      </c>
      <c r="AH76" s="108"/>
      <c r="AI76" s="108"/>
      <c r="AJ76" s="108"/>
      <c r="AK76" s="108"/>
      <c r="AL76" s="109"/>
      <c r="AM76" s="110"/>
      <c r="AN76" s="107"/>
      <c r="AO76" s="108"/>
      <c r="AP76" s="108"/>
      <c r="AQ76" s="108"/>
      <c r="AR76" s="108"/>
      <c r="AS76" s="109"/>
      <c r="AT76" s="110"/>
      <c r="AU76" s="107"/>
      <c r="AV76" s="108"/>
      <c r="AW76" s="108"/>
      <c r="AX76" s="108"/>
      <c r="AY76" s="108"/>
      <c r="AZ76" s="109"/>
      <c r="BA76" s="110"/>
      <c r="BB76" s="107"/>
      <c r="BC76" s="108"/>
      <c r="BD76" s="108"/>
      <c r="BE76" s="108"/>
      <c r="BF76" s="108"/>
      <c r="BG76" s="109"/>
      <c r="BH76" s="110"/>
      <c r="BI76" s="107"/>
      <c r="BJ76" s="108"/>
      <c r="BK76" s="108"/>
      <c r="BL76" s="108"/>
      <c r="BM76" s="108"/>
      <c r="BN76" s="109"/>
      <c r="BO76" s="110"/>
      <c r="BP76" s="107"/>
      <c r="BQ76" s="108"/>
      <c r="BR76" s="108"/>
      <c r="BS76" s="108"/>
      <c r="BT76" s="108"/>
      <c r="BU76" s="109"/>
      <c r="BV76" s="110"/>
      <c r="BW76" s="107"/>
      <c r="BX76" s="108"/>
      <c r="BY76" s="108"/>
      <c r="BZ76" s="108"/>
      <c r="CA76" s="108"/>
      <c r="CB76" s="109"/>
      <c r="CC76" s="110"/>
      <c r="CD76" s="107"/>
      <c r="CE76" s="108"/>
      <c r="CF76" s="108"/>
      <c r="CG76" s="108"/>
      <c r="CH76" s="108"/>
      <c r="CI76" s="109"/>
      <c r="CJ76" s="110"/>
      <c r="CK76" s="107"/>
      <c r="CL76" s="108"/>
      <c r="CM76" s="108"/>
      <c r="CN76" s="108"/>
      <c r="CO76" s="108"/>
      <c r="CP76" s="109"/>
      <c r="CQ76" s="110"/>
    </row>
    <row r="77" spans="12:95" ht="14.25" customHeight="1" x14ac:dyDescent="0.2">
      <c r="L77" s="107" t="s">
        <v>98</v>
      </c>
      <c r="M77" s="108"/>
      <c r="N77" s="108"/>
      <c r="O77" s="108"/>
      <c r="P77" s="108"/>
      <c r="Q77" s="109"/>
      <c r="R77" s="110">
        <f>47.15</f>
        <v>47.15</v>
      </c>
      <c r="S77" s="107" t="s">
        <v>98</v>
      </c>
      <c r="T77" s="108"/>
      <c r="U77" s="108"/>
      <c r="V77" s="108"/>
      <c r="W77" s="108"/>
      <c r="X77" s="109"/>
      <c r="Y77" s="110">
        <f>46.8</f>
        <v>46.8</v>
      </c>
      <c r="Z77" s="107" t="s">
        <v>98</v>
      </c>
      <c r="AA77" s="108"/>
      <c r="AB77" s="108"/>
      <c r="AC77" s="108"/>
      <c r="AD77" s="108"/>
      <c r="AE77" s="109"/>
      <c r="AF77" s="110">
        <f>93.28</f>
        <v>93.28</v>
      </c>
      <c r="AG77" s="107" t="s">
        <v>98</v>
      </c>
      <c r="AH77" s="108"/>
      <c r="AI77" s="108"/>
      <c r="AJ77" s="108"/>
      <c r="AK77" s="108"/>
      <c r="AL77" s="109"/>
      <c r="AM77" s="110">
        <f>46.11</f>
        <v>46.11</v>
      </c>
      <c r="AN77" s="107"/>
      <c r="AO77" s="108"/>
      <c r="AP77" s="108"/>
      <c r="AQ77" s="108"/>
      <c r="AR77" s="108"/>
      <c r="AS77" s="109"/>
      <c r="AT77" s="110"/>
      <c r="AU77" s="107"/>
      <c r="AV77" s="108"/>
      <c r="AW77" s="108"/>
      <c r="AX77" s="108"/>
      <c r="AY77" s="108"/>
      <c r="AZ77" s="109"/>
      <c r="BA77" s="110"/>
      <c r="BB77" s="107"/>
      <c r="BC77" s="108"/>
      <c r="BD77" s="108"/>
      <c r="BE77" s="108"/>
      <c r="BF77" s="108"/>
      <c r="BG77" s="109"/>
      <c r="BH77" s="110"/>
      <c r="BI77" s="107"/>
      <c r="BJ77" s="108"/>
      <c r="BK77" s="108"/>
      <c r="BL77" s="108"/>
      <c r="BM77" s="108"/>
      <c r="BN77" s="109"/>
      <c r="BO77" s="110"/>
      <c r="BP77" s="107"/>
      <c r="BQ77" s="108"/>
      <c r="BR77" s="108"/>
      <c r="BS77" s="108"/>
      <c r="BT77" s="108"/>
      <c r="BU77" s="109"/>
      <c r="BV77" s="110"/>
      <c r="BW77" s="107"/>
      <c r="BX77" s="108"/>
      <c r="BY77" s="108"/>
      <c r="BZ77" s="108"/>
      <c r="CA77" s="108"/>
      <c r="CB77" s="109"/>
      <c r="CC77" s="110"/>
      <c r="CD77" s="107"/>
      <c r="CE77" s="108"/>
      <c r="CF77" s="108"/>
      <c r="CG77" s="108"/>
      <c r="CH77" s="108"/>
      <c r="CI77" s="109"/>
      <c r="CJ77" s="110"/>
      <c r="CK77" s="107"/>
      <c r="CL77" s="108"/>
      <c r="CM77" s="108"/>
      <c r="CN77" s="108"/>
      <c r="CO77" s="108"/>
      <c r="CP77" s="109"/>
      <c r="CQ77" s="110"/>
    </row>
    <row r="78" spans="12:95" ht="14.25" customHeight="1" x14ac:dyDescent="0.2">
      <c r="L78" s="107" t="s">
        <v>153</v>
      </c>
      <c r="M78" s="108"/>
      <c r="N78" s="108"/>
      <c r="O78" s="108"/>
      <c r="P78" s="108"/>
      <c r="Q78" s="109"/>
      <c r="R78" s="110">
        <f>598.95</f>
        <v>598.95000000000005</v>
      </c>
      <c r="S78" s="107" t="s">
        <v>153</v>
      </c>
      <c r="T78" s="108"/>
      <c r="U78" s="108"/>
      <c r="V78" s="108"/>
      <c r="W78" s="108"/>
      <c r="X78" s="109"/>
      <c r="Y78" s="110">
        <f>747.6</f>
        <v>747.6</v>
      </c>
      <c r="Z78" s="107" t="s">
        <v>153</v>
      </c>
      <c r="AA78" s="108"/>
      <c r="AB78" s="108"/>
      <c r="AC78" s="108"/>
      <c r="AD78" s="108"/>
      <c r="AE78" s="109"/>
      <c r="AF78" s="110">
        <f>633.58</f>
        <v>633.58000000000004</v>
      </c>
      <c r="AG78" s="107" t="s">
        <v>153</v>
      </c>
      <c r="AH78" s="108"/>
      <c r="AI78" s="108"/>
      <c r="AJ78" s="108"/>
      <c r="AK78" s="108"/>
      <c r="AL78" s="109"/>
      <c r="AM78" s="110"/>
      <c r="AN78" s="107"/>
      <c r="AO78" s="108"/>
      <c r="AP78" s="108"/>
      <c r="AQ78" s="108"/>
      <c r="AR78" s="108"/>
      <c r="AS78" s="109"/>
      <c r="AT78" s="110"/>
      <c r="AU78" s="107"/>
      <c r="AV78" s="108"/>
      <c r="AW78" s="108"/>
      <c r="AX78" s="108"/>
      <c r="AY78" s="108"/>
      <c r="AZ78" s="109"/>
      <c r="BA78" s="110"/>
      <c r="BB78" s="107"/>
      <c r="BC78" s="108"/>
      <c r="BD78" s="108"/>
      <c r="BE78" s="108"/>
      <c r="BF78" s="108"/>
      <c r="BG78" s="109"/>
      <c r="BH78" s="110"/>
      <c r="BI78" s="107"/>
      <c r="BJ78" s="108"/>
      <c r="BK78" s="108"/>
      <c r="BL78" s="108"/>
      <c r="BM78" s="108"/>
      <c r="BN78" s="109"/>
      <c r="BO78" s="110"/>
      <c r="BP78" s="107"/>
      <c r="BQ78" s="108"/>
      <c r="BR78" s="108"/>
      <c r="BS78" s="108"/>
      <c r="BT78" s="108"/>
      <c r="BU78" s="109"/>
      <c r="BV78" s="110"/>
      <c r="BW78" s="107"/>
      <c r="BX78" s="108"/>
      <c r="BY78" s="108"/>
      <c r="BZ78" s="108"/>
      <c r="CA78" s="108"/>
      <c r="CB78" s="109"/>
      <c r="CC78" s="110"/>
      <c r="CD78" s="107"/>
      <c r="CE78" s="108"/>
      <c r="CF78" s="108"/>
      <c r="CG78" s="108"/>
      <c r="CH78" s="108"/>
      <c r="CI78" s="109"/>
      <c r="CJ78" s="110"/>
      <c r="CK78" s="107"/>
      <c r="CL78" s="108"/>
      <c r="CM78" s="108"/>
      <c r="CN78" s="108"/>
      <c r="CO78" s="108"/>
      <c r="CP78" s="109"/>
      <c r="CQ78" s="110"/>
    </row>
    <row r="79" spans="12:95" ht="14.25" customHeight="1" x14ac:dyDescent="0.2">
      <c r="L79" s="107"/>
      <c r="M79" s="108"/>
      <c r="N79" s="108"/>
      <c r="O79" s="108"/>
      <c r="P79" s="108"/>
      <c r="Q79" s="109"/>
      <c r="R79" s="110"/>
      <c r="S79" s="107" t="s">
        <v>122</v>
      </c>
      <c r="T79" s="108"/>
      <c r="U79" s="108"/>
      <c r="V79" s="108"/>
      <c r="W79" s="108"/>
      <c r="X79" s="109"/>
      <c r="Y79" s="110">
        <f>463.97</f>
        <v>463.97</v>
      </c>
      <c r="Z79" s="107" t="s">
        <v>122</v>
      </c>
      <c r="AA79" s="108"/>
      <c r="AB79" s="108"/>
      <c r="AC79" s="108"/>
      <c r="AD79" s="108"/>
      <c r="AE79" s="109"/>
      <c r="AF79" s="110"/>
      <c r="AG79" s="107" t="s">
        <v>122</v>
      </c>
      <c r="AH79" s="108"/>
      <c r="AI79" s="108"/>
      <c r="AJ79" s="108"/>
      <c r="AK79" s="108"/>
      <c r="AL79" s="109"/>
      <c r="AM79" s="110"/>
      <c r="AN79" s="107"/>
      <c r="AO79" s="108"/>
      <c r="AP79" s="108"/>
      <c r="AQ79" s="108"/>
      <c r="AR79" s="108"/>
      <c r="AS79" s="109"/>
      <c r="AT79" s="110"/>
      <c r="AU79" s="107"/>
      <c r="AV79" s="108"/>
      <c r="AW79" s="108"/>
      <c r="AX79" s="108"/>
      <c r="AY79" s="108"/>
      <c r="AZ79" s="109"/>
      <c r="BA79" s="110"/>
      <c r="BB79" s="107"/>
      <c r="BC79" s="108"/>
      <c r="BD79" s="108"/>
      <c r="BE79" s="108"/>
      <c r="BF79" s="108"/>
      <c r="BG79" s="109"/>
      <c r="BH79" s="110"/>
      <c r="BI79" s="107"/>
      <c r="BJ79" s="108"/>
      <c r="BK79" s="108"/>
      <c r="BL79" s="108"/>
      <c r="BM79" s="108"/>
      <c r="BN79" s="109"/>
      <c r="BO79" s="110"/>
      <c r="BP79" s="107"/>
      <c r="BQ79" s="108"/>
      <c r="BR79" s="108"/>
      <c r="BS79" s="108"/>
      <c r="BT79" s="108"/>
      <c r="BU79" s="109"/>
      <c r="BV79" s="110"/>
      <c r="BW79" s="107"/>
      <c r="BX79" s="108"/>
      <c r="BY79" s="108"/>
      <c r="BZ79" s="108"/>
      <c r="CA79" s="108"/>
      <c r="CB79" s="109"/>
      <c r="CC79" s="110"/>
      <c r="CD79" s="107"/>
      <c r="CE79" s="108"/>
      <c r="CF79" s="108"/>
      <c r="CG79" s="108"/>
      <c r="CH79" s="108"/>
      <c r="CI79" s="109"/>
      <c r="CJ79" s="110"/>
      <c r="CK79" s="107"/>
      <c r="CL79" s="108"/>
      <c r="CM79" s="108"/>
      <c r="CN79" s="108"/>
      <c r="CO79" s="108"/>
      <c r="CP79" s="109"/>
      <c r="CQ79" s="110"/>
    </row>
    <row r="80" spans="12:95" ht="14.25" customHeight="1" x14ac:dyDescent="0.2">
      <c r="L80" s="107"/>
      <c r="M80" s="108"/>
      <c r="N80" s="108"/>
      <c r="O80" s="108"/>
      <c r="P80" s="108"/>
      <c r="Q80" s="109"/>
      <c r="R80" s="110"/>
      <c r="S80" s="107"/>
      <c r="T80" s="108"/>
      <c r="U80" s="108"/>
      <c r="V80" s="108"/>
      <c r="W80" s="108"/>
      <c r="X80" s="109"/>
      <c r="Y80" s="110"/>
      <c r="Z80" s="107"/>
      <c r="AA80" s="108"/>
      <c r="AB80" s="108"/>
      <c r="AC80" s="108"/>
      <c r="AD80" s="108"/>
      <c r="AE80" s="109"/>
      <c r="AF80" s="110"/>
      <c r="AG80" s="107"/>
      <c r="AH80" s="108"/>
      <c r="AI80" s="108"/>
      <c r="AJ80" s="108"/>
      <c r="AK80" s="108"/>
      <c r="AL80" s="109"/>
      <c r="AM80" s="110"/>
      <c r="AN80" s="107"/>
      <c r="AO80" s="108"/>
      <c r="AP80" s="108"/>
      <c r="AQ80" s="108"/>
      <c r="AR80" s="108"/>
      <c r="AS80" s="109"/>
      <c r="AT80" s="110"/>
      <c r="AU80" s="107"/>
      <c r="AV80" s="108"/>
      <c r="AW80" s="108"/>
      <c r="AX80" s="108"/>
      <c r="AY80" s="108"/>
      <c r="AZ80" s="109"/>
      <c r="BA80" s="110"/>
      <c r="BB80" s="107"/>
      <c r="BC80" s="108"/>
      <c r="BD80" s="108"/>
      <c r="BE80" s="108"/>
      <c r="BF80" s="108"/>
      <c r="BG80" s="109"/>
      <c r="BH80" s="110"/>
      <c r="BI80" s="107"/>
      <c r="BJ80" s="108"/>
      <c r="BK80" s="108"/>
      <c r="BL80" s="108"/>
      <c r="BM80" s="108"/>
      <c r="BN80" s="109"/>
      <c r="BO80" s="110"/>
      <c r="BP80" s="107"/>
      <c r="BQ80" s="108"/>
      <c r="BR80" s="108"/>
      <c r="BS80" s="108"/>
      <c r="BT80" s="108"/>
      <c r="BU80" s="109"/>
      <c r="BV80" s="110"/>
      <c r="BW80" s="107"/>
      <c r="BX80" s="108"/>
      <c r="BY80" s="108"/>
      <c r="BZ80" s="108"/>
      <c r="CA80" s="108"/>
      <c r="CB80" s="109"/>
      <c r="CC80" s="110"/>
      <c r="CD80" s="107"/>
      <c r="CE80" s="108"/>
      <c r="CF80" s="108"/>
      <c r="CG80" s="108"/>
      <c r="CH80" s="108"/>
      <c r="CI80" s="109"/>
      <c r="CJ80" s="110"/>
      <c r="CK80" s="107"/>
      <c r="CL80" s="108"/>
      <c r="CM80" s="108"/>
      <c r="CN80" s="108"/>
      <c r="CO80" s="108"/>
      <c r="CP80" s="109"/>
      <c r="CQ80" s="110"/>
    </row>
    <row r="81" spans="12:99" ht="14.25" customHeight="1" x14ac:dyDescent="0.2">
      <c r="L81" s="107" t="s">
        <v>82</v>
      </c>
      <c r="M81" s="108"/>
      <c r="N81" s="108"/>
      <c r="O81" s="108"/>
      <c r="P81" s="108"/>
      <c r="Q81" s="109"/>
      <c r="R81" s="110">
        <f>SUM(R61:R80)</f>
        <v>10156.750000000002</v>
      </c>
      <c r="S81" s="107" t="s">
        <v>82</v>
      </c>
      <c r="T81" s="108"/>
      <c r="U81" s="108"/>
      <c r="V81" s="108"/>
      <c r="W81" s="108"/>
      <c r="X81" s="109"/>
      <c r="Y81" s="110">
        <f>SUM(Y61:Y80)</f>
        <v>19842.719999999998</v>
      </c>
      <c r="Z81" s="173" t="s">
        <v>82</v>
      </c>
      <c r="AA81" s="174"/>
      <c r="AB81" s="174"/>
      <c r="AC81" s="174"/>
      <c r="AD81" s="174"/>
      <c r="AE81" s="207"/>
      <c r="AF81" s="169">
        <f>SUM(AF61:AF80)</f>
        <v>7396.22</v>
      </c>
      <c r="AG81" s="107" t="s">
        <v>82</v>
      </c>
      <c r="AH81" s="108"/>
      <c r="AI81" s="108"/>
      <c r="AJ81" s="108"/>
      <c r="AK81" s="108"/>
      <c r="AL81" s="109"/>
      <c r="AM81" s="110">
        <f>SUM(AM61:AM80)</f>
        <v>5249.1799999999994</v>
      </c>
      <c r="AN81" s="107"/>
      <c r="AO81" s="108"/>
      <c r="AP81" s="108"/>
      <c r="AQ81" s="108"/>
      <c r="AR81" s="108"/>
      <c r="AS81" s="109"/>
      <c r="AT81" s="110"/>
      <c r="AU81" s="107"/>
      <c r="AV81" s="108"/>
      <c r="AW81" s="108"/>
      <c r="AX81" s="108"/>
      <c r="AY81" s="108"/>
      <c r="AZ81" s="109"/>
      <c r="BA81" s="110"/>
      <c r="BB81" s="107"/>
      <c r="BC81" s="108"/>
      <c r="BD81" s="108"/>
      <c r="BE81" s="108"/>
      <c r="BF81" s="108"/>
      <c r="BG81" s="109"/>
      <c r="BH81" s="110"/>
      <c r="BI81" s="107"/>
      <c r="BJ81" s="108"/>
      <c r="BK81" s="108"/>
      <c r="BL81" s="108"/>
      <c r="BM81" s="108"/>
      <c r="BN81" s="109"/>
      <c r="BO81" s="110"/>
      <c r="BP81" s="107"/>
      <c r="BQ81" s="108"/>
      <c r="BR81" s="108"/>
      <c r="BS81" s="108"/>
      <c r="BT81" s="108"/>
      <c r="BU81" s="109"/>
      <c r="BV81" s="110"/>
      <c r="BW81" s="107"/>
      <c r="BX81" s="108"/>
      <c r="BY81" s="108"/>
      <c r="BZ81" s="108"/>
      <c r="CA81" s="108"/>
      <c r="CB81" s="109"/>
      <c r="CC81" s="110"/>
      <c r="CD81" s="107"/>
      <c r="CE81" s="108"/>
      <c r="CF81" s="108"/>
      <c r="CG81" s="108"/>
      <c r="CH81" s="108"/>
      <c r="CI81" s="109"/>
      <c r="CJ81" s="110"/>
      <c r="CK81" s="107"/>
      <c r="CL81" s="108"/>
      <c r="CM81" s="108"/>
      <c r="CN81" s="108"/>
      <c r="CO81" s="108"/>
      <c r="CP81" s="109"/>
      <c r="CQ81" s="110"/>
    </row>
    <row r="82" spans="12:99" ht="14.25" customHeight="1" x14ac:dyDescent="0.2">
      <c r="R82" s="104"/>
      <c r="Y82" s="104"/>
      <c r="AF82" s="104"/>
      <c r="AM82" s="104"/>
      <c r="AT82" s="104"/>
      <c r="BA82" s="104"/>
      <c r="BH82" s="104"/>
      <c r="BO82" s="104"/>
      <c r="BV82" s="104"/>
      <c r="CC82" s="104"/>
      <c r="CJ82" s="104"/>
      <c r="CQ82" s="104"/>
    </row>
    <row r="83" spans="12:99" ht="14.25" customHeight="1" x14ac:dyDescent="0.2">
      <c r="Y83" s="111"/>
      <c r="AF83" s="104"/>
      <c r="AM83" s="104"/>
      <c r="AT83" s="104"/>
      <c r="CC83" s="104"/>
      <c r="CJ83" s="104"/>
      <c r="CQ83" s="104"/>
      <c r="CU83" s="155"/>
    </row>
    <row r="84" spans="12:99" ht="14.25" customHeight="1" x14ac:dyDescent="0.2">
      <c r="Y84" s="142"/>
      <c r="AF84" s="104"/>
      <c r="AM84" s="104"/>
      <c r="AT84" s="104"/>
      <c r="CC84" s="104"/>
      <c r="CJ84" s="104"/>
      <c r="CQ84" s="104"/>
      <c r="CU84" s="155"/>
    </row>
    <row r="85" spans="12:99" ht="14.25" customHeight="1" x14ac:dyDescent="0.2">
      <c r="AF85" s="142"/>
      <c r="AM85" s="142"/>
      <c r="AT85" s="104"/>
      <c r="BA85" s="142"/>
      <c r="BH85" s="142"/>
      <c r="CC85" s="104"/>
      <c r="CJ85" s="104"/>
      <c r="CQ85" s="104"/>
      <c r="CU85" s="155"/>
    </row>
    <row r="86" spans="12:99" ht="14.25" customHeight="1" x14ac:dyDescent="0.2">
      <c r="AT86" s="104"/>
      <c r="CC86" s="104"/>
      <c r="CJ86" s="104"/>
      <c r="CQ86" s="104"/>
      <c r="CU86" s="155"/>
    </row>
    <row r="87" spans="12:99" ht="14.25" customHeight="1" x14ac:dyDescent="0.2">
      <c r="AT87" s="104"/>
      <c r="BO87" s="142"/>
      <c r="CC87" s="104"/>
      <c r="CJ87" s="104"/>
      <c r="CQ87" s="104"/>
      <c r="CU87" s="155"/>
    </row>
    <row r="88" spans="12:99" ht="14.25" customHeight="1" x14ac:dyDescent="0.2">
      <c r="AF88" s="104"/>
      <c r="AT88" s="142"/>
      <c r="CC88" s="142"/>
    </row>
    <row r="89" spans="12:99" ht="14.25" customHeight="1" x14ac:dyDescent="0.2">
      <c r="AF89" s="104"/>
      <c r="CJ89" s="142"/>
      <c r="CQ89" s="142"/>
    </row>
    <row r="90" spans="12:99" ht="14.25" customHeight="1" x14ac:dyDescent="0.2">
      <c r="AF90" s="104"/>
    </row>
    <row r="91" spans="12:99" ht="14.25" customHeight="1" x14ac:dyDescent="0.2">
      <c r="AF91" s="104"/>
      <c r="BA91" s="104"/>
      <c r="BV91" s="111"/>
    </row>
    <row r="92" spans="12:99" ht="14.25" customHeight="1" x14ac:dyDescent="0.2">
      <c r="AF92" s="104"/>
      <c r="BA92" s="104"/>
      <c r="BV92" s="142"/>
    </row>
    <row r="93" spans="12:99" ht="14.25" customHeight="1" x14ac:dyDescent="0.2">
      <c r="AF93" s="104"/>
      <c r="BA93" s="104"/>
    </row>
    <row r="94" spans="12:99" ht="14.25" customHeight="1" x14ac:dyDescent="0.2">
      <c r="BA94" s="104"/>
    </row>
    <row r="95" spans="12:99" ht="14.25" customHeight="1" x14ac:dyDescent="0.2">
      <c r="BA95" s="104"/>
    </row>
    <row r="96" spans="12:99" ht="14.25" customHeight="1" x14ac:dyDescent="0.2">
      <c r="BA96" s="104"/>
    </row>
    <row r="97" spans="53:53" ht="14.25" customHeight="1" x14ac:dyDescent="0.2">
      <c r="BA97" s="104"/>
    </row>
    <row r="98" spans="53:53" ht="14.25" customHeight="1" x14ac:dyDescent="0.2">
      <c r="BA98" s="104"/>
    </row>
    <row r="99" spans="53:53" ht="14.25" customHeight="1" x14ac:dyDescent="0.2"/>
    <row r="100" spans="53:53" ht="14.25" customHeight="1" x14ac:dyDescent="0.2"/>
    <row r="101" spans="53:53" ht="14.25" customHeight="1" x14ac:dyDescent="0.2"/>
    <row r="102" spans="53:53" ht="14.25" customHeight="1" x14ac:dyDescent="0.2"/>
    <row r="103" spans="53:53" ht="14.25" customHeight="1" x14ac:dyDescent="0.2"/>
    <row r="104" spans="53:53" ht="14.25" customHeight="1" x14ac:dyDescent="0.2"/>
    <row r="105" spans="53:53" ht="14.25" customHeight="1" x14ac:dyDescent="0.2"/>
    <row r="106" spans="53:53" ht="14.25" customHeight="1" x14ac:dyDescent="0.2"/>
    <row r="107" spans="53:53" ht="14.25" customHeight="1" x14ac:dyDescent="0.2"/>
    <row r="108" spans="53:53" ht="14.25" customHeight="1" x14ac:dyDescent="0.2"/>
    <row r="109" spans="53:53" ht="14.25" customHeight="1" x14ac:dyDescent="0.2"/>
    <row r="110" spans="53:53" ht="14.25" customHeight="1" x14ac:dyDescent="0.2"/>
    <row r="111" spans="53:53" ht="14.25" customHeight="1" x14ac:dyDescent="0.2"/>
    <row r="112" spans="53:53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spans="99:99" ht="14.25" customHeight="1" x14ac:dyDescent="0.2"/>
    <row r="194" spans="99:99" ht="14.25" customHeight="1" x14ac:dyDescent="0.2"/>
    <row r="195" spans="99:99" ht="14.25" customHeight="1" x14ac:dyDescent="0.2"/>
    <row r="196" spans="99:99" ht="14.25" customHeight="1" x14ac:dyDescent="0.2"/>
    <row r="197" spans="99:99" ht="14.25" customHeight="1" x14ac:dyDescent="0.2"/>
    <row r="198" spans="99:99" ht="14.25" customHeight="1" x14ac:dyDescent="0.2"/>
    <row r="199" spans="99:99" ht="14.25" customHeight="1" x14ac:dyDescent="0.2"/>
    <row r="200" spans="99:99" ht="14.25" customHeight="1" x14ac:dyDescent="0.2"/>
    <row r="201" spans="99:99" ht="14.25" customHeight="1" x14ac:dyDescent="0.2"/>
    <row r="202" spans="99:99" ht="14.25" customHeight="1" x14ac:dyDescent="0.2"/>
    <row r="203" spans="99:99" ht="14.25" customHeight="1" x14ac:dyDescent="0.2"/>
    <row r="204" spans="99:99" ht="14.25" customHeight="1" x14ac:dyDescent="0.2"/>
    <row r="205" spans="99:99" ht="14.25" customHeight="1" x14ac:dyDescent="0.2"/>
    <row r="206" spans="99:99" ht="14.25" customHeight="1" x14ac:dyDescent="0.2"/>
    <row r="207" spans="99:99" ht="14.25" customHeight="1" x14ac:dyDescent="0.2"/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B97C4-A649-214B-920A-8C92A66AA818}">
  <sheetPr>
    <pageSetUpPr fitToPage="1"/>
  </sheetPr>
  <dimension ref="A1:CU1000"/>
  <sheetViews>
    <sheetView zoomScale="80" zoomScaleNormal="80" workbookViewId="0">
      <pane xSplit="11" ySplit="3" topLeftCell="L32" activePane="bottomRight" state="frozen"/>
      <selection activeCell="J2" sqref="J2:P58"/>
      <selection pane="topRight" activeCell="J2" sqref="J2:P58"/>
      <selection pane="bottomLeft" activeCell="J2" sqref="J2:P58"/>
      <selection pane="bottomRight" activeCell="D58" sqref="D58"/>
    </sheetView>
  </sheetViews>
  <sheetFormatPr baseColWidth="10" defaultColWidth="14.5" defaultRowHeight="15" customHeight="1" x14ac:dyDescent="0.2"/>
  <cols>
    <col min="1" max="1" width="32.33203125" customWidth="1"/>
    <col min="2" max="96" width="11.5" customWidth="1"/>
    <col min="97" max="98" width="10.5" customWidth="1"/>
    <col min="99" max="99" width="2.6640625" customWidth="1"/>
  </cols>
  <sheetData>
    <row r="1" spans="1:99" ht="20" customHeight="1" thickBot="1" x14ac:dyDescent="0.25">
      <c r="A1" s="1" t="s">
        <v>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46"/>
    </row>
    <row r="2" spans="1:99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</row>
    <row r="3" spans="1:99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27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27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</row>
    <row r="4" spans="1:99" s="26" customFormat="1" ht="14.25" customHeight="1" x14ac:dyDescent="0.2">
      <c r="A4" s="16" t="s">
        <v>28</v>
      </c>
      <c r="B4" s="17">
        <f t="shared" ref="B4:D35" si="0">+L4+S4+Z4+AG4+AN4+AU4+BB4+BI4+BP4+BW4+CD4+CK4</f>
        <v>801818.35515997058</v>
      </c>
      <c r="C4" s="18">
        <f t="shared" si="0"/>
        <v>703274.87931080977</v>
      </c>
      <c r="D4" s="19">
        <f t="shared" si="0"/>
        <v>98543.475849160372</v>
      </c>
      <c r="E4" s="17">
        <f>+L4+S4+Z4+AG4</f>
        <v>283150.0575999904</v>
      </c>
      <c r="F4" s="20">
        <f>+M4+T4+AA4+AH4</f>
        <v>248350.91552095156</v>
      </c>
      <c r="G4" s="21">
        <f>+N4+U4+AB4+AI4</f>
        <v>34799.142079038822</v>
      </c>
      <c r="H4" s="18">
        <f t="shared" ref="H4:J35" si="1">+O4+V4+AC4+AJ4+AQ4+AX4+BE4+BL4+BS4+BZ4+CG4+CN4</f>
        <v>28285.117924687867</v>
      </c>
      <c r="I4" s="20">
        <f t="shared" si="1"/>
        <v>225620.78804198938</v>
      </c>
      <c r="J4" s="20">
        <f t="shared" si="1"/>
        <v>253905.90596667721</v>
      </c>
      <c r="K4" s="25">
        <f t="shared" ref="K4:K54" si="2">IF(E4=0,"",(+J4/E4-1))</f>
        <v>-0.10328146100760027</v>
      </c>
      <c r="L4" s="23">
        <f>[1]FUNIL!$E4</f>
        <v>61746.225899997604</v>
      </c>
      <c r="M4" s="18">
        <f>L4-N4</f>
        <v>54157.614736887896</v>
      </c>
      <c r="N4" s="18">
        <f>+L4*12.29%</f>
        <v>7588.6111631097056</v>
      </c>
      <c r="O4" s="18">
        <f>+Q4-P4</f>
        <v>5169.8181459062107</v>
      </c>
      <c r="P4" s="18">
        <f>+Q4*88.86%</f>
        <v>41237.885138709629</v>
      </c>
      <c r="Q4" s="20">
        <f>[4]SLP!CS4*'[3]SLP-CITROS'!$V$7</f>
        <v>46407.70328461584</v>
      </c>
      <c r="R4" s="25">
        <f t="shared" ref="R4:R54" si="3">IF(L4=0,"",(+Q4/L4-1))</f>
        <v>-0.24841231009363374</v>
      </c>
      <c r="S4" s="23">
        <f>[1]FUNIL!$F4</f>
        <v>97911.379899997599</v>
      </c>
      <c r="T4" s="18">
        <f>S4-U4</f>
        <v>85878.071310287894</v>
      </c>
      <c r="U4" s="18">
        <f>+S4*12.29%</f>
        <v>12033.308589709704</v>
      </c>
      <c r="V4" s="18">
        <f>+X4-W4</f>
        <v>7263.4876122789647</v>
      </c>
      <c r="W4" s="18">
        <f>+X4*88.86%</f>
        <v>57938.376052702733</v>
      </c>
      <c r="X4" s="20">
        <f>[4]SLP!$CT4*'[3]SLP-CITROS'!$V$7</f>
        <v>65201.863664981698</v>
      </c>
      <c r="Y4" s="25">
        <f t="shared" ref="Y4:Y54" si="4">IF(S4=0,"",(+X4/S4-1))</f>
        <v>-0.33407267131179208</v>
      </c>
      <c r="Z4" s="23">
        <f>[1]FUNIL!$G4</f>
        <v>61746.225899997604</v>
      </c>
      <c r="AA4" s="18">
        <f>Z4-AB4</f>
        <v>54157.614736887896</v>
      </c>
      <c r="AB4" s="18">
        <f>+Z4*12.29%</f>
        <v>7588.6111631097056</v>
      </c>
      <c r="AC4" s="18">
        <f>+AE4-AD4</f>
        <v>5358.6551026841407</v>
      </c>
      <c r="AD4" s="18">
        <f>+AE4*88.86%</f>
        <v>42744.173467191395</v>
      </c>
      <c r="AE4" s="20">
        <f>[4]SLP!CU4*'[2]SLP-CITROS'!$V$7</f>
        <v>48102.828569875535</v>
      </c>
      <c r="AF4" s="25">
        <f t="shared" ref="AF4:AF54" si="5">IF(Z4=0,"",(+AE4/Z4-1))</f>
        <v>-0.22095921056322565</v>
      </c>
      <c r="AG4" s="23">
        <f>[1]FUNIL!$H4</f>
        <v>61746.225899997604</v>
      </c>
      <c r="AH4" s="18">
        <f>AG4-AI4</f>
        <v>54157.614736887896</v>
      </c>
      <c r="AI4" s="18">
        <f>+AG4*12.29%</f>
        <v>7588.6111631097056</v>
      </c>
      <c r="AJ4" s="18">
        <f>+AL4-AK4</f>
        <v>10493.157063818551</v>
      </c>
      <c r="AK4" s="18">
        <f>+AL4*88.86%</f>
        <v>83700.353383385591</v>
      </c>
      <c r="AL4" s="20">
        <f>[4]SLP!CV4*'[2]SLP-CITROS'!$V$7</f>
        <v>94193.510447204142</v>
      </c>
      <c r="AM4" s="25">
        <f t="shared" ref="AM4:AM54" si="6">IF(AG4=0,"",(+AL4/AG4-1))</f>
        <v>0.52549421562634802</v>
      </c>
      <c r="AN4" s="23">
        <f>[1]FUNIL!$I4</f>
        <v>61746.225899997604</v>
      </c>
      <c r="AO4" s="18">
        <f>AN4-AP4</f>
        <v>54157.614736887896</v>
      </c>
      <c r="AP4" s="18">
        <f>+AN4*12.29%</f>
        <v>7588.6111631097056</v>
      </c>
      <c r="AQ4" s="18">
        <f>+AS4-AR4</f>
        <v>0</v>
      </c>
      <c r="AR4" s="18">
        <f>+AS4*88.86%</f>
        <v>0</v>
      </c>
      <c r="AS4" s="20">
        <f>[4]SLP!CW4*0.4</f>
        <v>0</v>
      </c>
      <c r="AT4" s="25">
        <f t="shared" ref="AT4:AT54" si="7">IF(AN4=0,"",(+AS4/AN4-1))</f>
        <v>-1</v>
      </c>
      <c r="AU4" s="23">
        <f>[1]FUNIL!$J4</f>
        <v>61746.225899997604</v>
      </c>
      <c r="AV4" s="18">
        <f>AU4-AW4</f>
        <v>54157.614736887896</v>
      </c>
      <c r="AW4" s="18">
        <f>+AU4*12.29%</f>
        <v>7588.6111631097056</v>
      </c>
      <c r="AX4" s="18">
        <f>+AZ4-AY4</f>
        <v>0</v>
      </c>
      <c r="AY4" s="18">
        <f>+AZ4*88.86%</f>
        <v>0</v>
      </c>
      <c r="AZ4" s="20">
        <f>[4]SLP!CX4*0.4</f>
        <v>0</v>
      </c>
      <c r="BA4" s="25">
        <f t="shared" ref="BA4:BA54" si="8">IF(AU4=0,"",(+AZ4/AU4-1))</f>
        <v>-1</v>
      </c>
      <c r="BB4" s="23">
        <f>[1]FUNIL!$K4</f>
        <v>61746.225899997604</v>
      </c>
      <c r="BC4" s="18">
        <f>BB4-BD4</f>
        <v>54157.614736887896</v>
      </c>
      <c r="BD4" s="18">
        <f>+BB4*12.29%</f>
        <v>7588.6111631097056</v>
      </c>
      <c r="BE4" s="18">
        <f>+BG4-BF4</f>
        <v>0</v>
      </c>
      <c r="BF4" s="18">
        <f>+BG4*88.86%</f>
        <v>0</v>
      </c>
      <c r="BG4" s="20">
        <f>[4]SLP!CY4*0.4</f>
        <v>0</v>
      </c>
      <c r="BH4" s="25">
        <f t="shared" ref="BH4:BH54" si="9">IF(BB4=0,"",(+BG4/BB4-1))</f>
        <v>-1</v>
      </c>
      <c r="BI4" s="23">
        <f>[1]FUNIL!$L4</f>
        <v>66685.923971997414</v>
      </c>
      <c r="BJ4" s="18">
        <f>BI4-BK4</f>
        <v>58490.223915838927</v>
      </c>
      <c r="BK4" s="18">
        <f>+BI4*12.29%</f>
        <v>8195.7000561584828</v>
      </c>
      <c r="BL4" s="18">
        <f>+BN4-BM4</f>
        <v>0</v>
      </c>
      <c r="BM4" s="18">
        <f>+BN4*88.86%</f>
        <v>0</v>
      </c>
      <c r="BN4" s="20">
        <f>[4]SLP!CZ4*0.4</f>
        <v>0</v>
      </c>
      <c r="BO4" s="25">
        <f t="shared" ref="BO4:BO54" si="10">IF(BI4=0,"",(+BN4/BI4-1))</f>
        <v>-1</v>
      </c>
      <c r="BP4" s="23">
        <f>[1]FUNIL!$M4</f>
        <v>66685.923971997414</v>
      </c>
      <c r="BQ4" s="18">
        <f>BP4-BR4</f>
        <v>58490.223915838927</v>
      </c>
      <c r="BR4" s="18">
        <f>+BP4*12.29%</f>
        <v>8195.7000561584828</v>
      </c>
      <c r="BS4" s="18">
        <f>+BU4-BT4</f>
        <v>0</v>
      </c>
      <c r="BT4" s="18">
        <f>+BU4*88.86%</f>
        <v>0</v>
      </c>
      <c r="BU4" s="20">
        <f>[4]SLP!DA4*0.4</f>
        <v>0</v>
      </c>
      <c r="BV4" s="25">
        <f t="shared" ref="BV4:BV54" si="11">IF(BP4=0,"",(+BU4/BP4-1))</f>
        <v>-1</v>
      </c>
      <c r="BW4" s="23">
        <f>[1]FUNIL!$N4</f>
        <v>66685.923971997414</v>
      </c>
      <c r="BX4" s="18">
        <f>BW4-BY4</f>
        <v>58490.223915838927</v>
      </c>
      <c r="BY4" s="18">
        <f>+BW4*12.29%</f>
        <v>8195.7000561584828</v>
      </c>
      <c r="BZ4" s="18">
        <f>+CB4-CA4</f>
        <v>0</v>
      </c>
      <c r="CA4" s="18">
        <f>+CB4*88.86%</f>
        <v>0</v>
      </c>
      <c r="CB4" s="20">
        <f>[4]SLP!DB4*0.4</f>
        <v>0</v>
      </c>
      <c r="CC4" s="25">
        <f t="shared" ref="CC4:CC54" si="12">IF(BW4=0,"",(+CB4/BW4-1))</f>
        <v>-1</v>
      </c>
      <c r="CD4" s="23">
        <f>[1]FUNIL!$O4</f>
        <v>66685.923971997414</v>
      </c>
      <c r="CE4" s="18">
        <f>CD4-CF4</f>
        <v>58490.223915838927</v>
      </c>
      <c r="CF4" s="18">
        <f>+CD4*12.29%</f>
        <v>8195.7000561584828</v>
      </c>
      <c r="CG4" s="18">
        <f>+CI4-CH4</f>
        <v>0</v>
      </c>
      <c r="CH4" s="18">
        <f>+CI4*88.86%</f>
        <v>0</v>
      </c>
      <c r="CI4" s="20">
        <f>[4]SLP!DC4*0.4</f>
        <v>0</v>
      </c>
      <c r="CJ4" s="25">
        <f t="shared" ref="CJ4:CJ54" si="13">IF(CD4=0,"",(+CI4/CD4-1))</f>
        <v>-1</v>
      </c>
      <c r="CK4" s="23">
        <f>[1]FUNIL!$P4</f>
        <v>66685.923971997414</v>
      </c>
      <c r="CL4" s="18">
        <f>CK4-CM4</f>
        <v>58490.223915838927</v>
      </c>
      <c r="CM4" s="18">
        <f>+CK4*12.29%</f>
        <v>8195.7000561584828</v>
      </c>
      <c r="CN4" s="18">
        <f>+CP4-CO4</f>
        <v>0</v>
      </c>
      <c r="CO4" s="18">
        <f>+CP4*88.86%</f>
        <v>0</v>
      </c>
      <c r="CP4" s="20">
        <f>[4]SLP!DD4*0.4</f>
        <v>0</v>
      </c>
      <c r="CQ4" s="257" t="s">
        <v>214</v>
      </c>
      <c r="CR4" s="144"/>
    </row>
    <row r="5" spans="1:99" s="26" customFormat="1" ht="14.25" customHeight="1" x14ac:dyDescent="0.2">
      <c r="A5" s="29" t="s">
        <v>29</v>
      </c>
      <c r="B5" s="30">
        <f t="shared" si="0"/>
        <v>49749</v>
      </c>
      <c r="C5" s="31">
        <f t="shared" si="0"/>
        <v>43634.847900000015</v>
      </c>
      <c r="D5" s="32">
        <f t="shared" si="0"/>
        <v>6114.1521000000002</v>
      </c>
      <c r="E5" s="30">
        <f t="shared" ref="E5:G36" si="14">+L5+S5+Z5+AG5</f>
        <v>16583</v>
      </c>
      <c r="F5" s="33">
        <f t="shared" si="14"/>
        <v>14544.9493</v>
      </c>
      <c r="G5" s="34">
        <f t="shared" si="14"/>
        <v>2038.0507</v>
      </c>
      <c r="H5" s="31">
        <f t="shared" si="1"/>
        <v>2179.7788906639144</v>
      </c>
      <c r="I5" s="33">
        <f t="shared" si="1"/>
        <v>17387.356573105506</v>
      </c>
      <c r="J5" s="33">
        <f t="shared" si="1"/>
        <v>19567.135463769417</v>
      </c>
      <c r="K5" s="37">
        <f t="shared" si="2"/>
        <v>0.17995148427723673</v>
      </c>
      <c r="L5" s="36">
        <f>[1]FUNIL!$E5</f>
        <v>4145.75</v>
      </c>
      <c r="M5" s="31">
        <f t="shared" ref="M5:M54" si="15">L5-N5</f>
        <v>3636.2373250000001</v>
      </c>
      <c r="N5" s="31">
        <f t="shared" ref="N5:N54" si="16">+L5*12.29%</f>
        <v>509.512675</v>
      </c>
      <c r="O5" s="31">
        <f t="shared" ref="O5:O54" si="17">+Q5-P5</f>
        <v>593.73095894778271</v>
      </c>
      <c r="P5" s="31">
        <f t="shared" ref="P5:P54" si="18">+Q5*88.86%</f>
        <v>4735.9903960592392</v>
      </c>
      <c r="Q5" s="33">
        <f>[4]SLP!CS5*'[3]SLP-CITROS'!$V$7</f>
        <v>5329.7213550070219</v>
      </c>
      <c r="R5" s="37">
        <f t="shared" si="3"/>
        <v>0.28558677079105643</v>
      </c>
      <c r="S5" s="36">
        <f>[1]FUNIL!$F5</f>
        <v>4145.75</v>
      </c>
      <c r="T5" s="31">
        <f t="shared" ref="T5:T54" si="19">S5-U5</f>
        <v>3636.2373250000001</v>
      </c>
      <c r="U5" s="31">
        <f t="shared" ref="U5:U54" si="20">+S5*12.29%</f>
        <v>509.512675</v>
      </c>
      <c r="V5" s="31">
        <f t="shared" ref="V5:V54" si="21">+X5-W5</f>
        <v>606.00018628679481</v>
      </c>
      <c r="W5" s="31">
        <f t="shared" ref="W5:W54" si="22">+X5*88.86%</f>
        <v>4833.8578593756329</v>
      </c>
      <c r="X5" s="33">
        <f>[4]SLP!$CT5*'[3]SLP-CITROS'!$V$7</f>
        <v>5439.8580456624277</v>
      </c>
      <c r="Y5" s="37">
        <f t="shared" si="4"/>
        <v>0.31215293871131333</v>
      </c>
      <c r="Z5" s="36">
        <f>[1]FUNIL!$G5</f>
        <v>4145.75</v>
      </c>
      <c r="AA5" s="31">
        <f t="shared" ref="AA5:AA54" si="23">Z5-AB5</f>
        <v>3636.2373250000001</v>
      </c>
      <c r="AB5" s="31">
        <f t="shared" ref="AB5:AB54" si="24">+Z5*12.29%</f>
        <v>509.512675</v>
      </c>
      <c r="AC5" s="31">
        <f t="shared" ref="AC5:AC54" si="25">+AE5-AD5</f>
        <v>408.79480052072176</v>
      </c>
      <c r="AD5" s="31">
        <f t="shared" ref="AD5:AD54" si="26">+AE5*88.86%</f>
        <v>3260.8174124121479</v>
      </c>
      <c r="AE5" s="33">
        <f>[4]SLP!CU5*'[2]SLP-CITROS'!$V$7</f>
        <v>3669.6122129328696</v>
      </c>
      <c r="AF5" s="37">
        <f t="shared" si="5"/>
        <v>-0.11484961395818138</v>
      </c>
      <c r="AG5" s="36">
        <f>[1]FUNIL!$H5</f>
        <v>4145.75</v>
      </c>
      <c r="AH5" s="31">
        <f t="shared" ref="AH5:AH54" si="27">AG5-AI5</f>
        <v>3636.2373250000001</v>
      </c>
      <c r="AI5" s="31">
        <f t="shared" ref="AI5:AI54" si="28">+AG5*12.29%</f>
        <v>509.512675</v>
      </c>
      <c r="AJ5" s="31">
        <f t="shared" ref="AJ5:AJ54" si="29">+AL5-AK5</f>
        <v>571.25294490861506</v>
      </c>
      <c r="AK5" s="31">
        <f t="shared" ref="AK5:AK54" si="30">+AL5*88.86%</f>
        <v>4556.6909052584833</v>
      </c>
      <c r="AL5" s="33">
        <f>[4]SLP!CV5*'[2]SLP-CITROS'!$V$7</f>
        <v>5127.9438501670984</v>
      </c>
      <c r="AM5" s="37">
        <f t="shared" si="6"/>
        <v>0.23691584156475876</v>
      </c>
      <c r="AN5" s="36">
        <f>[1]FUNIL!$I5</f>
        <v>4145.75</v>
      </c>
      <c r="AO5" s="31">
        <f t="shared" ref="AO5:AO54" si="31">AN5-AP5</f>
        <v>3636.2373250000001</v>
      </c>
      <c r="AP5" s="31">
        <f t="shared" ref="AP5:AP54" si="32">+AN5*12.29%</f>
        <v>509.512675</v>
      </c>
      <c r="AQ5" s="31">
        <f t="shared" ref="AQ5:AQ54" si="33">+AS5-AR5</f>
        <v>0</v>
      </c>
      <c r="AR5" s="31">
        <f t="shared" ref="AR5:AR54" si="34">+AS5*88.86%</f>
        <v>0</v>
      </c>
      <c r="AS5" s="33">
        <f>[4]SLP!CW5*0.4</f>
        <v>0</v>
      </c>
      <c r="AT5" s="37">
        <f t="shared" si="7"/>
        <v>-1</v>
      </c>
      <c r="AU5" s="36">
        <f>[1]FUNIL!$J5</f>
        <v>4145.75</v>
      </c>
      <c r="AV5" s="31">
        <f t="shared" ref="AV5:AV54" si="35">AU5-AW5</f>
        <v>3636.2373250000001</v>
      </c>
      <c r="AW5" s="31">
        <f t="shared" ref="AW5:AW54" si="36">+AU5*12.29%</f>
        <v>509.512675</v>
      </c>
      <c r="AX5" s="31">
        <f t="shared" ref="AX5:AX54" si="37">+AZ5-AY5</f>
        <v>0</v>
      </c>
      <c r="AY5" s="31">
        <f t="shared" ref="AY5:AY54" si="38">+AZ5*88.86%</f>
        <v>0</v>
      </c>
      <c r="AZ5" s="33">
        <f>[4]SLP!CX5*0.4</f>
        <v>0</v>
      </c>
      <c r="BA5" s="37">
        <f t="shared" si="8"/>
        <v>-1</v>
      </c>
      <c r="BB5" s="36">
        <f>[1]FUNIL!$K5</f>
        <v>4145.75</v>
      </c>
      <c r="BC5" s="31">
        <f t="shared" ref="BC5:BC54" si="39">BB5-BD5</f>
        <v>3636.2373250000001</v>
      </c>
      <c r="BD5" s="31">
        <f t="shared" ref="BD5:BD54" si="40">+BB5*12.29%</f>
        <v>509.512675</v>
      </c>
      <c r="BE5" s="31">
        <f t="shared" ref="BE5:BE54" si="41">+BG5-BF5</f>
        <v>0</v>
      </c>
      <c r="BF5" s="31">
        <f t="shared" ref="BF5:BF54" si="42">+BG5*88.86%</f>
        <v>0</v>
      </c>
      <c r="BG5" s="33">
        <f>[4]SLP!CY5*0.4</f>
        <v>0</v>
      </c>
      <c r="BH5" s="37">
        <f t="shared" si="9"/>
        <v>-1</v>
      </c>
      <c r="BI5" s="36">
        <f>[1]FUNIL!$L5</f>
        <v>4145.75</v>
      </c>
      <c r="BJ5" s="31">
        <f t="shared" ref="BJ5:BJ54" si="43">BI5-BK5</f>
        <v>3636.2373250000001</v>
      </c>
      <c r="BK5" s="31">
        <f t="shared" ref="BK5:BK54" si="44">+BI5*12.29%</f>
        <v>509.512675</v>
      </c>
      <c r="BL5" s="31">
        <f t="shared" ref="BL5:BL54" si="45">+BN5-BM5</f>
        <v>0</v>
      </c>
      <c r="BM5" s="31">
        <f t="shared" ref="BM5:BM54" si="46">+BN5*88.86%</f>
        <v>0</v>
      </c>
      <c r="BN5" s="33">
        <f>[4]SLP!CZ5*0.4</f>
        <v>0</v>
      </c>
      <c r="BO5" s="37">
        <f t="shared" si="10"/>
        <v>-1</v>
      </c>
      <c r="BP5" s="36">
        <f>[1]FUNIL!$M5</f>
        <v>4145.75</v>
      </c>
      <c r="BQ5" s="31">
        <f t="shared" ref="BQ5:BQ54" si="47">BP5-BR5</f>
        <v>3636.2373250000001</v>
      </c>
      <c r="BR5" s="31">
        <f t="shared" ref="BR5:BR54" si="48">+BP5*12.29%</f>
        <v>509.512675</v>
      </c>
      <c r="BS5" s="31">
        <f t="shared" ref="BS5:BS54" si="49">+BU5-BT5</f>
        <v>0</v>
      </c>
      <c r="BT5" s="31">
        <f t="shared" ref="BT5:BT54" si="50">+BU5*88.86%</f>
        <v>0</v>
      </c>
      <c r="BU5" s="33">
        <f>[4]SLP!DA5*0.4</f>
        <v>0</v>
      </c>
      <c r="BV5" s="37">
        <f t="shared" si="11"/>
        <v>-1</v>
      </c>
      <c r="BW5" s="36">
        <f>[1]FUNIL!$N5</f>
        <v>4145.75</v>
      </c>
      <c r="BX5" s="31">
        <f t="shared" ref="BX5:BX54" si="51">BW5-BY5</f>
        <v>3636.2373250000001</v>
      </c>
      <c r="BY5" s="31">
        <f t="shared" ref="BY5:BY54" si="52">+BW5*12.29%</f>
        <v>509.512675</v>
      </c>
      <c r="BZ5" s="31">
        <f t="shared" ref="BZ5:BZ54" si="53">+CB5-CA5</f>
        <v>0</v>
      </c>
      <c r="CA5" s="31">
        <f t="shared" ref="CA5:CA54" si="54">+CB5*88.86%</f>
        <v>0</v>
      </c>
      <c r="CB5" s="33">
        <f>[4]SLP!DB5*0.4</f>
        <v>0</v>
      </c>
      <c r="CC5" s="37">
        <f t="shared" si="12"/>
        <v>-1</v>
      </c>
      <c r="CD5" s="36">
        <f>[1]FUNIL!$O5</f>
        <v>4145.75</v>
      </c>
      <c r="CE5" s="31">
        <f t="shared" ref="CE5:CE54" si="55">CD5-CF5</f>
        <v>3636.2373250000001</v>
      </c>
      <c r="CF5" s="31">
        <f t="shared" ref="CF5:CF54" si="56">+CD5*12.29%</f>
        <v>509.512675</v>
      </c>
      <c r="CG5" s="31">
        <f t="shared" ref="CG5:CG54" si="57">+CI5-CH5</f>
        <v>0</v>
      </c>
      <c r="CH5" s="31">
        <f t="shared" ref="CH5:CH54" si="58">+CI5*88.86%</f>
        <v>0</v>
      </c>
      <c r="CI5" s="33">
        <f>[4]SLP!DC5*0.4</f>
        <v>0</v>
      </c>
      <c r="CJ5" s="37">
        <f t="shared" si="13"/>
        <v>-1</v>
      </c>
      <c r="CK5" s="36">
        <f>[1]FUNIL!$P5</f>
        <v>4145.75</v>
      </c>
      <c r="CL5" s="31">
        <f t="shared" ref="CL5:CL54" si="59">CK5-CM5</f>
        <v>3636.2373250000001</v>
      </c>
      <c r="CM5" s="31">
        <f t="shared" ref="CM5:CM54" si="60">+CK5*12.29%</f>
        <v>509.512675</v>
      </c>
      <c r="CN5" s="31">
        <f t="shared" ref="CN5:CN54" si="61">+CP5-CO5</f>
        <v>0</v>
      </c>
      <c r="CO5" s="31">
        <f t="shared" ref="CO5:CO54" si="62">+CP5*88.86%</f>
        <v>0</v>
      </c>
      <c r="CP5" s="33">
        <f>[4]SLP!DD5*0.4</f>
        <v>0</v>
      </c>
      <c r="CQ5" s="37">
        <f t="shared" ref="CQ5:CQ54" si="63">IF(CK5=0,"",(+CP5/CK5-1))</f>
        <v>-1</v>
      </c>
      <c r="CR5" s="144"/>
    </row>
    <row r="6" spans="1:99" s="26" customFormat="1" ht="14.25" customHeight="1" x14ac:dyDescent="0.2">
      <c r="A6" s="29" t="s">
        <v>30</v>
      </c>
      <c r="B6" s="30">
        <f t="shared" si="0"/>
        <v>97194.277591118196</v>
      </c>
      <c r="C6" s="31">
        <f t="shared" si="0"/>
        <v>85249.100875169737</v>
      </c>
      <c r="D6" s="32">
        <f t="shared" si="0"/>
        <v>11945.176715948426</v>
      </c>
      <c r="E6" s="30">
        <f t="shared" si="14"/>
        <v>31411.942661651028</v>
      </c>
      <c r="F6" s="33">
        <f t="shared" si="14"/>
        <v>27551.414908534116</v>
      </c>
      <c r="G6" s="34">
        <f t="shared" si="14"/>
        <v>3860.5277531169113</v>
      </c>
      <c r="H6" s="31">
        <f t="shared" si="1"/>
        <v>3210.2024041614477</v>
      </c>
      <c r="I6" s="33">
        <f t="shared" si="1"/>
        <v>25606.695299262665</v>
      </c>
      <c r="J6" s="33">
        <f t="shared" si="1"/>
        <v>28816.897703424111</v>
      </c>
      <c r="K6" s="37">
        <f t="shared" si="2"/>
        <v>-8.2613322779143239E-2</v>
      </c>
      <c r="L6" s="36">
        <f>[1]FUNIL!$E6</f>
        <v>7852.985665412757</v>
      </c>
      <c r="M6" s="31">
        <f t="shared" si="15"/>
        <v>6887.853727133529</v>
      </c>
      <c r="N6" s="31">
        <f t="shared" si="16"/>
        <v>965.13193827922782</v>
      </c>
      <c r="O6" s="31">
        <f t="shared" si="17"/>
        <v>785.86810407478242</v>
      </c>
      <c r="P6" s="31">
        <f t="shared" si="18"/>
        <v>6268.6032071889676</v>
      </c>
      <c r="Q6" s="33">
        <f>[4]SLP!CS6*'[3]SLP-CITROS'!$V$7</f>
        <v>7054.4713112637501</v>
      </c>
      <c r="R6" s="37">
        <f t="shared" si="3"/>
        <v>-0.10168289974931932</v>
      </c>
      <c r="S6" s="36">
        <f>[1]FUNIL!$F6</f>
        <v>7852.985665412757</v>
      </c>
      <c r="T6" s="31">
        <f t="shared" si="19"/>
        <v>6887.853727133529</v>
      </c>
      <c r="U6" s="31">
        <f t="shared" si="20"/>
        <v>965.13193827922782</v>
      </c>
      <c r="V6" s="31">
        <f t="shared" si="21"/>
        <v>775.82556706756714</v>
      </c>
      <c r="W6" s="31">
        <f t="shared" si="22"/>
        <v>6188.497297093716</v>
      </c>
      <c r="X6" s="33">
        <f>[4]SLP!$CT6*'[3]SLP-CITROS'!$V$7</f>
        <v>6964.3228641612832</v>
      </c>
      <c r="Y6" s="37">
        <f t="shared" si="4"/>
        <v>-0.11316241224856038</v>
      </c>
      <c r="Z6" s="36">
        <f>[1]FUNIL!$G6</f>
        <v>7852.985665412757</v>
      </c>
      <c r="AA6" s="31">
        <f t="shared" si="23"/>
        <v>6887.853727133529</v>
      </c>
      <c r="AB6" s="31">
        <f t="shared" si="24"/>
        <v>965.13193827922782</v>
      </c>
      <c r="AC6" s="31">
        <f t="shared" si="25"/>
        <v>836.2618165542799</v>
      </c>
      <c r="AD6" s="31">
        <f t="shared" si="26"/>
        <v>6670.5767521555936</v>
      </c>
      <c r="AE6" s="33">
        <f>[4]SLP!CU6*'[2]SLP-CITROS'!$V$7</f>
        <v>7506.8385687098735</v>
      </c>
      <c r="AF6" s="37">
        <f t="shared" si="5"/>
        <v>-4.4078406793410352E-2</v>
      </c>
      <c r="AG6" s="36">
        <f>[1]FUNIL!$H6</f>
        <v>7852.985665412757</v>
      </c>
      <c r="AH6" s="31">
        <f t="shared" si="27"/>
        <v>6887.853727133529</v>
      </c>
      <c r="AI6" s="31">
        <f t="shared" si="28"/>
        <v>965.13193827922782</v>
      </c>
      <c r="AJ6" s="31">
        <f t="shared" si="29"/>
        <v>812.24691646481824</v>
      </c>
      <c r="AK6" s="31">
        <f t="shared" si="30"/>
        <v>6479.0180428243884</v>
      </c>
      <c r="AL6" s="33">
        <f>[4]SLP!CV6*'[2]SLP-CITROS'!$V$7</f>
        <v>7291.2649592892067</v>
      </c>
      <c r="AM6" s="37">
        <f t="shared" si="6"/>
        <v>-7.1529572325282786E-2</v>
      </c>
      <c r="AN6" s="36">
        <f>[1]FUNIL!$I6</f>
        <v>7852.985665412757</v>
      </c>
      <c r="AO6" s="31">
        <f t="shared" si="31"/>
        <v>6887.853727133529</v>
      </c>
      <c r="AP6" s="31">
        <f t="shared" si="32"/>
        <v>965.13193827922782</v>
      </c>
      <c r="AQ6" s="31">
        <f t="shared" si="33"/>
        <v>0</v>
      </c>
      <c r="AR6" s="31">
        <f t="shared" si="34"/>
        <v>0</v>
      </c>
      <c r="AS6" s="33">
        <f>[4]SLP!CW6*0.4</f>
        <v>0</v>
      </c>
      <c r="AT6" s="37">
        <f t="shared" si="7"/>
        <v>-1</v>
      </c>
      <c r="AU6" s="36">
        <f>[1]FUNIL!$J6</f>
        <v>7852.985665412757</v>
      </c>
      <c r="AV6" s="31">
        <f t="shared" si="35"/>
        <v>6887.853727133529</v>
      </c>
      <c r="AW6" s="31">
        <f t="shared" si="36"/>
        <v>965.13193827922782</v>
      </c>
      <c r="AX6" s="31">
        <f t="shared" si="37"/>
        <v>0</v>
      </c>
      <c r="AY6" s="31">
        <f t="shared" si="38"/>
        <v>0</v>
      </c>
      <c r="AZ6" s="33">
        <f>[4]SLP!CX6*0.4</f>
        <v>0</v>
      </c>
      <c r="BA6" s="37">
        <f t="shared" si="8"/>
        <v>-1</v>
      </c>
      <c r="BB6" s="36">
        <f>[1]FUNIL!$K6</f>
        <v>7852.985665412757</v>
      </c>
      <c r="BC6" s="31">
        <f t="shared" si="39"/>
        <v>6887.853727133529</v>
      </c>
      <c r="BD6" s="31">
        <f t="shared" si="40"/>
        <v>965.13193827922782</v>
      </c>
      <c r="BE6" s="31">
        <f t="shared" si="41"/>
        <v>0</v>
      </c>
      <c r="BF6" s="31">
        <f t="shared" si="42"/>
        <v>0</v>
      </c>
      <c r="BG6" s="33">
        <f>[4]SLP!CY6*0.4</f>
        <v>0</v>
      </c>
      <c r="BH6" s="37">
        <f t="shared" si="9"/>
        <v>-1</v>
      </c>
      <c r="BI6" s="36">
        <f>[1]FUNIL!$L6</f>
        <v>8444.675586645777</v>
      </c>
      <c r="BJ6" s="31">
        <f t="shared" si="43"/>
        <v>7406.8249570470107</v>
      </c>
      <c r="BK6" s="31">
        <f t="shared" si="44"/>
        <v>1037.8506295987659</v>
      </c>
      <c r="BL6" s="31">
        <f t="shared" si="45"/>
        <v>0</v>
      </c>
      <c r="BM6" s="31">
        <f t="shared" si="46"/>
        <v>0</v>
      </c>
      <c r="BN6" s="33">
        <f>[4]SLP!CZ6*0.4</f>
        <v>0</v>
      </c>
      <c r="BO6" s="37">
        <f t="shared" si="10"/>
        <v>-1</v>
      </c>
      <c r="BP6" s="36">
        <f>[1]FUNIL!$M6</f>
        <v>8444.675586645777</v>
      </c>
      <c r="BQ6" s="31">
        <f t="shared" si="47"/>
        <v>7406.8249570470107</v>
      </c>
      <c r="BR6" s="31">
        <f t="shared" si="48"/>
        <v>1037.8506295987659</v>
      </c>
      <c r="BS6" s="31">
        <f t="shared" si="49"/>
        <v>0</v>
      </c>
      <c r="BT6" s="31">
        <f t="shared" si="50"/>
        <v>0</v>
      </c>
      <c r="BU6" s="33">
        <f>[4]SLP!DA6*0.4</f>
        <v>0</v>
      </c>
      <c r="BV6" s="37">
        <f t="shared" si="11"/>
        <v>-1</v>
      </c>
      <c r="BW6" s="36">
        <f>[1]FUNIL!$N6</f>
        <v>8444.675586645777</v>
      </c>
      <c r="BX6" s="31">
        <f t="shared" si="51"/>
        <v>7406.8249570470107</v>
      </c>
      <c r="BY6" s="31">
        <f t="shared" si="52"/>
        <v>1037.8506295987659</v>
      </c>
      <c r="BZ6" s="31">
        <f t="shared" si="53"/>
        <v>0</v>
      </c>
      <c r="CA6" s="31">
        <f t="shared" si="54"/>
        <v>0</v>
      </c>
      <c r="CB6" s="33">
        <f>[4]SLP!DB6*0.4</f>
        <v>0</v>
      </c>
      <c r="CC6" s="37">
        <f t="shared" si="12"/>
        <v>-1</v>
      </c>
      <c r="CD6" s="36">
        <f>[1]FUNIL!$O6</f>
        <v>8444.675586645777</v>
      </c>
      <c r="CE6" s="31">
        <f t="shared" si="55"/>
        <v>7406.8249570470107</v>
      </c>
      <c r="CF6" s="31">
        <f t="shared" si="56"/>
        <v>1037.8506295987659</v>
      </c>
      <c r="CG6" s="31">
        <f t="shared" si="57"/>
        <v>0</v>
      </c>
      <c r="CH6" s="31">
        <f t="shared" si="58"/>
        <v>0</v>
      </c>
      <c r="CI6" s="33">
        <f>[4]SLP!DC6*0.4</f>
        <v>0</v>
      </c>
      <c r="CJ6" s="37">
        <f t="shared" si="13"/>
        <v>-1</v>
      </c>
      <c r="CK6" s="36">
        <f>[1]FUNIL!$P6</f>
        <v>8444.675586645777</v>
      </c>
      <c r="CL6" s="31">
        <f t="shared" si="59"/>
        <v>7406.8249570470107</v>
      </c>
      <c r="CM6" s="31">
        <f t="shared" si="60"/>
        <v>1037.8506295987659</v>
      </c>
      <c r="CN6" s="31">
        <f t="shared" si="61"/>
        <v>0</v>
      </c>
      <c r="CO6" s="31">
        <f t="shared" si="62"/>
        <v>0</v>
      </c>
      <c r="CP6" s="33">
        <f>[4]SLP!DD6*0.4</f>
        <v>0</v>
      </c>
      <c r="CQ6" s="37">
        <f t="shared" si="63"/>
        <v>-1</v>
      </c>
      <c r="CR6" s="144"/>
    </row>
    <row r="7" spans="1:99" s="26" customFormat="1" ht="14.25" customHeight="1" x14ac:dyDescent="0.2">
      <c r="A7" s="29" t="s">
        <v>31</v>
      </c>
      <c r="B7" s="30">
        <f t="shared" si="0"/>
        <v>75409.353303453739</v>
      </c>
      <c r="C7" s="31">
        <f t="shared" si="0"/>
        <v>66141.543782459281</v>
      </c>
      <c r="D7" s="32">
        <f t="shared" si="0"/>
        <v>9267.8095209944659</v>
      </c>
      <c r="E7" s="30">
        <f t="shared" si="14"/>
        <v>24371.33482369476</v>
      </c>
      <c r="F7" s="33">
        <f t="shared" si="14"/>
        <v>21376.097773862675</v>
      </c>
      <c r="G7" s="34">
        <f t="shared" si="14"/>
        <v>2995.2370498320861</v>
      </c>
      <c r="H7" s="31">
        <f t="shared" si="1"/>
        <v>2187.3282100538236</v>
      </c>
      <c r="I7" s="33">
        <f t="shared" si="1"/>
        <v>17447.574932260562</v>
      </c>
      <c r="J7" s="33">
        <f t="shared" si="1"/>
        <v>19634.90314231439</v>
      </c>
      <c r="K7" s="37">
        <f t="shared" si="2"/>
        <v>-0.19434436872843863</v>
      </c>
      <c r="L7" s="36">
        <f>[1]FUNIL!$E7</f>
        <v>6092.8337059236901</v>
      </c>
      <c r="M7" s="31">
        <f t="shared" si="15"/>
        <v>5344.0244434656688</v>
      </c>
      <c r="N7" s="31">
        <f t="shared" si="16"/>
        <v>748.80926245802152</v>
      </c>
      <c r="O7" s="31">
        <f t="shared" si="17"/>
        <v>538.44053329018152</v>
      </c>
      <c r="P7" s="31">
        <f t="shared" si="18"/>
        <v>4294.9574316127037</v>
      </c>
      <c r="Q7" s="33">
        <f>[4]SLP!CS7*'[3]SLP-CITROS'!$V$7</f>
        <v>4833.3979649028852</v>
      </c>
      <c r="R7" s="37">
        <f t="shared" si="3"/>
        <v>-0.20670771627926299</v>
      </c>
      <c r="S7" s="36">
        <f>[1]FUNIL!$F7</f>
        <v>6092.8337059236901</v>
      </c>
      <c r="T7" s="31">
        <f t="shared" si="19"/>
        <v>5344.0244434656688</v>
      </c>
      <c r="U7" s="31">
        <f t="shared" si="20"/>
        <v>748.80926245802152</v>
      </c>
      <c r="V7" s="31">
        <f t="shared" si="21"/>
        <v>532.0137951602228</v>
      </c>
      <c r="W7" s="31">
        <f t="shared" si="22"/>
        <v>4243.693522256498</v>
      </c>
      <c r="X7" s="33">
        <f>[4]SLP!$CT7*'[3]SLP-CITROS'!$V$7</f>
        <v>4775.7073174167208</v>
      </c>
      <c r="Y7" s="37">
        <f t="shared" si="4"/>
        <v>-0.21617632321499403</v>
      </c>
      <c r="Z7" s="36">
        <f>[1]FUNIL!$G7</f>
        <v>6092.8337059236901</v>
      </c>
      <c r="AA7" s="31">
        <f t="shared" si="23"/>
        <v>5344.0244434656688</v>
      </c>
      <c r="AB7" s="31">
        <f t="shared" si="24"/>
        <v>748.80926245802152</v>
      </c>
      <c r="AC7" s="31">
        <f t="shared" si="25"/>
        <v>562.10604513606722</v>
      </c>
      <c r="AD7" s="31">
        <f t="shared" si="26"/>
        <v>4483.7291894785385</v>
      </c>
      <c r="AE7" s="33">
        <f>[4]SLP!CU7*'[2]SLP-CITROS'!$V$7</f>
        <v>5045.8352346146057</v>
      </c>
      <c r="AF7" s="37">
        <f t="shared" si="5"/>
        <v>-0.17184097282864486</v>
      </c>
      <c r="AG7" s="36">
        <f>[1]FUNIL!$H7</f>
        <v>6092.8337059236901</v>
      </c>
      <c r="AH7" s="31">
        <f t="shared" si="27"/>
        <v>5344.0244434656688</v>
      </c>
      <c r="AI7" s="31">
        <f t="shared" si="28"/>
        <v>748.80926245802152</v>
      </c>
      <c r="AJ7" s="31">
        <f t="shared" si="29"/>
        <v>554.76783646735203</v>
      </c>
      <c r="AK7" s="31">
        <f t="shared" si="30"/>
        <v>4425.1947889128251</v>
      </c>
      <c r="AL7" s="33">
        <f>[4]SLP!CV7*'[2]SLP-CITROS'!$V$7</f>
        <v>4979.9626253801771</v>
      </c>
      <c r="AM7" s="37">
        <f t="shared" si="6"/>
        <v>-0.18265246259085266</v>
      </c>
      <c r="AN7" s="36">
        <f>[1]FUNIL!$I7</f>
        <v>6092.8337059236901</v>
      </c>
      <c r="AO7" s="31">
        <f t="shared" si="31"/>
        <v>5344.0244434656688</v>
      </c>
      <c r="AP7" s="31">
        <f t="shared" si="32"/>
        <v>748.80926245802152</v>
      </c>
      <c r="AQ7" s="31">
        <f t="shared" si="33"/>
        <v>0</v>
      </c>
      <c r="AR7" s="31">
        <f t="shared" si="34"/>
        <v>0</v>
      </c>
      <c r="AS7" s="33">
        <f>[4]SLP!CW7*0.4</f>
        <v>0</v>
      </c>
      <c r="AT7" s="37">
        <f t="shared" si="7"/>
        <v>-1</v>
      </c>
      <c r="AU7" s="36">
        <f>[1]FUNIL!$J7</f>
        <v>6092.8337059236901</v>
      </c>
      <c r="AV7" s="31">
        <f t="shared" si="35"/>
        <v>5344.0244434656688</v>
      </c>
      <c r="AW7" s="31">
        <f t="shared" si="36"/>
        <v>748.80926245802152</v>
      </c>
      <c r="AX7" s="31">
        <f t="shared" si="37"/>
        <v>0</v>
      </c>
      <c r="AY7" s="31">
        <f t="shared" si="38"/>
        <v>0</v>
      </c>
      <c r="AZ7" s="33">
        <f>[4]SLP!CX7*0.4</f>
        <v>0</v>
      </c>
      <c r="BA7" s="37">
        <f t="shared" si="8"/>
        <v>-1</v>
      </c>
      <c r="BB7" s="36">
        <f>[1]FUNIL!$K7</f>
        <v>6092.8337059236901</v>
      </c>
      <c r="BC7" s="31">
        <f t="shared" si="39"/>
        <v>5344.0244434656688</v>
      </c>
      <c r="BD7" s="31">
        <f t="shared" si="40"/>
        <v>748.80926245802152</v>
      </c>
      <c r="BE7" s="31">
        <f t="shared" si="41"/>
        <v>0</v>
      </c>
      <c r="BF7" s="31">
        <f t="shared" si="42"/>
        <v>0</v>
      </c>
      <c r="BG7" s="33">
        <f>[4]SLP!CY7*0.4</f>
        <v>0</v>
      </c>
      <c r="BH7" s="37">
        <f t="shared" si="9"/>
        <v>-1</v>
      </c>
      <c r="BI7" s="36">
        <f>[1]FUNIL!$L7</f>
        <v>6551.9034723975847</v>
      </c>
      <c r="BJ7" s="31">
        <f t="shared" si="43"/>
        <v>5746.6745356399215</v>
      </c>
      <c r="BK7" s="31">
        <f t="shared" si="44"/>
        <v>805.22893675766318</v>
      </c>
      <c r="BL7" s="31">
        <f t="shared" si="45"/>
        <v>0</v>
      </c>
      <c r="BM7" s="31">
        <f t="shared" si="46"/>
        <v>0</v>
      </c>
      <c r="BN7" s="33">
        <f>[4]SLP!CZ7*0.4</f>
        <v>0</v>
      </c>
      <c r="BO7" s="37">
        <f t="shared" si="10"/>
        <v>-1</v>
      </c>
      <c r="BP7" s="36">
        <f>[1]FUNIL!$M7</f>
        <v>6551.9034723975847</v>
      </c>
      <c r="BQ7" s="31">
        <f t="shared" si="47"/>
        <v>5746.6745356399215</v>
      </c>
      <c r="BR7" s="31">
        <f t="shared" si="48"/>
        <v>805.22893675766318</v>
      </c>
      <c r="BS7" s="31">
        <f t="shared" si="49"/>
        <v>0</v>
      </c>
      <c r="BT7" s="31">
        <f t="shared" si="50"/>
        <v>0</v>
      </c>
      <c r="BU7" s="33">
        <f>[4]SLP!DA7*0.4</f>
        <v>0</v>
      </c>
      <c r="BV7" s="37">
        <f t="shared" si="11"/>
        <v>-1</v>
      </c>
      <c r="BW7" s="36">
        <f>[1]FUNIL!$N7</f>
        <v>6551.9034723975847</v>
      </c>
      <c r="BX7" s="31">
        <f t="shared" si="51"/>
        <v>5746.6745356399215</v>
      </c>
      <c r="BY7" s="31">
        <f t="shared" si="52"/>
        <v>805.22893675766318</v>
      </c>
      <c r="BZ7" s="31">
        <f t="shared" si="53"/>
        <v>0</v>
      </c>
      <c r="CA7" s="31">
        <f t="shared" si="54"/>
        <v>0</v>
      </c>
      <c r="CB7" s="33">
        <f>[4]SLP!DB7*0.4</f>
        <v>0</v>
      </c>
      <c r="CC7" s="37">
        <f t="shared" si="12"/>
        <v>-1</v>
      </c>
      <c r="CD7" s="36">
        <f>[1]FUNIL!$O7</f>
        <v>6551.9034723975847</v>
      </c>
      <c r="CE7" s="31">
        <f t="shared" si="55"/>
        <v>5746.6745356399215</v>
      </c>
      <c r="CF7" s="31">
        <f t="shared" si="56"/>
        <v>805.22893675766318</v>
      </c>
      <c r="CG7" s="31">
        <f t="shared" si="57"/>
        <v>0</v>
      </c>
      <c r="CH7" s="31">
        <f t="shared" si="58"/>
        <v>0</v>
      </c>
      <c r="CI7" s="33">
        <f>[4]SLP!DC7*0.4</f>
        <v>0</v>
      </c>
      <c r="CJ7" s="37">
        <f t="shared" si="13"/>
        <v>-1</v>
      </c>
      <c r="CK7" s="36">
        <f>[1]FUNIL!$P7</f>
        <v>6551.9034723975847</v>
      </c>
      <c r="CL7" s="31">
        <f t="shared" si="59"/>
        <v>5746.6745356399215</v>
      </c>
      <c r="CM7" s="31">
        <f t="shared" si="60"/>
        <v>805.22893675766318</v>
      </c>
      <c r="CN7" s="31">
        <f t="shared" si="61"/>
        <v>0</v>
      </c>
      <c r="CO7" s="31">
        <f t="shared" si="62"/>
        <v>0</v>
      </c>
      <c r="CP7" s="33">
        <f>[4]SLP!DD7*0.4</f>
        <v>0</v>
      </c>
      <c r="CQ7" s="37">
        <f t="shared" si="63"/>
        <v>-1</v>
      </c>
      <c r="CR7" s="144"/>
    </row>
    <row r="8" spans="1:99" s="26" customFormat="1" ht="14.25" customHeight="1" x14ac:dyDescent="0.2">
      <c r="A8" s="38" t="s">
        <v>32</v>
      </c>
      <c r="B8" s="30">
        <f t="shared" si="0"/>
        <v>67862.125980633951</v>
      </c>
      <c r="C8" s="31">
        <f t="shared" si="0"/>
        <v>59521.870697614038</v>
      </c>
      <c r="D8" s="32">
        <f t="shared" si="0"/>
        <v>8340.2552830199129</v>
      </c>
      <c r="E8" s="30">
        <f t="shared" si="14"/>
        <v>0</v>
      </c>
      <c r="F8" s="33">
        <f t="shared" si="14"/>
        <v>0</v>
      </c>
      <c r="G8" s="34">
        <f t="shared" si="14"/>
        <v>0</v>
      </c>
      <c r="H8" s="31">
        <f t="shared" si="1"/>
        <v>0</v>
      </c>
      <c r="I8" s="33">
        <f t="shared" si="1"/>
        <v>0</v>
      </c>
      <c r="J8" s="33">
        <f t="shared" si="1"/>
        <v>0</v>
      </c>
      <c r="K8" s="37" t="str">
        <f t="shared" si="2"/>
        <v/>
      </c>
      <c r="L8" s="36">
        <f>[1]FUNIL!$E8</f>
        <v>0</v>
      </c>
      <c r="M8" s="31">
        <f t="shared" si="15"/>
        <v>0</v>
      </c>
      <c r="N8" s="31">
        <f t="shared" si="16"/>
        <v>0</v>
      </c>
      <c r="O8" s="31">
        <f t="shared" si="17"/>
        <v>0</v>
      </c>
      <c r="P8" s="31">
        <f t="shared" si="18"/>
        <v>0</v>
      </c>
      <c r="Q8" s="33">
        <f>[4]SLP!CS8*'[3]SLP-CITROS'!$V$7</f>
        <v>0</v>
      </c>
      <c r="R8" s="37" t="str">
        <f t="shared" si="3"/>
        <v/>
      </c>
      <c r="S8" s="36">
        <f>[1]FUNIL!$F8</f>
        <v>0</v>
      </c>
      <c r="T8" s="31">
        <f t="shared" si="19"/>
        <v>0</v>
      </c>
      <c r="U8" s="31">
        <f t="shared" si="20"/>
        <v>0</v>
      </c>
      <c r="V8" s="31">
        <f t="shared" si="21"/>
        <v>0</v>
      </c>
      <c r="W8" s="31">
        <f t="shared" si="22"/>
        <v>0</v>
      </c>
      <c r="X8" s="33">
        <f>[4]SLP!$CT8*'[3]SLP-CITROS'!$V$7</f>
        <v>0</v>
      </c>
      <c r="Y8" s="37" t="str">
        <f t="shared" si="4"/>
        <v/>
      </c>
      <c r="Z8" s="36">
        <f>[1]FUNIL!$G8</f>
        <v>0</v>
      </c>
      <c r="AA8" s="31">
        <f t="shared" si="23"/>
        <v>0</v>
      </c>
      <c r="AB8" s="31">
        <f t="shared" si="24"/>
        <v>0</v>
      </c>
      <c r="AC8" s="31">
        <f t="shared" si="25"/>
        <v>0</v>
      </c>
      <c r="AD8" s="31">
        <f t="shared" si="26"/>
        <v>0</v>
      </c>
      <c r="AE8" s="33">
        <f>[4]SLP!CU8*'[2]SLP-CITROS'!$V$7</f>
        <v>0</v>
      </c>
      <c r="AF8" s="37" t="str">
        <f t="shared" si="5"/>
        <v/>
      </c>
      <c r="AG8" s="36">
        <f>[1]FUNIL!$H8</f>
        <v>0</v>
      </c>
      <c r="AH8" s="31">
        <f t="shared" si="27"/>
        <v>0</v>
      </c>
      <c r="AI8" s="31">
        <f t="shared" si="28"/>
        <v>0</v>
      </c>
      <c r="AJ8" s="31">
        <f t="shared" si="29"/>
        <v>0</v>
      </c>
      <c r="AK8" s="31">
        <f t="shared" si="30"/>
        <v>0</v>
      </c>
      <c r="AL8" s="33">
        <f>[4]SLP!CV8*'[2]SLP-CITROS'!$V$7</f>
        <v>0</v>
      </c>
      <c r="AM8" s="37" t="str">
        <f t="shared" si="6"/>
        <v/>
      </c>
      <c r="AN8" s="36">
        <f>[1]FUNIL!$I8</f>
        <v>0</v>
      </c>
      <c r="AO8" s="31">
        <f t="shared" si="31"/>
        <v>0</v>
      </c>
      <c r="AP8" s="31">
        <f t="shared" si="32"/>
        <v>0</v>
      </c>
      <c r="AQ8" s="31">
        <f t="shared" si="33"/>
        <v>0</v>
      </c>
      <c r="AR8" s="31">
        <f t="shared" si="34"/>
        <v>0</v>
      </c>
      <c r="AS8" s="33">
        <f>[4]SLP!CW8*0.4</f>
        <v>0</v>
      </c>
      <c r="AT8" s="37" t="str">
        <f t="shared" si="7"/>
        <v/>
      </c>
      <c r="AU8" s="36">
        <f>[1]FUNIL!$J8</f>
        <v>0</v>
      </c>
      <c r="AV8" s="31">
        <f t="shared" si="35"/>
        <v>0</v>
      </c>
      <c r="AW8" s="31">
        <f t="shared" si="36"/>
        <v>0</v>
      </c>
      <c r="AX8" s="31">
        <f t="shared" si="37"/>
        <v>0</v>
      </c>
      <c r="AY8" s="31">
        <f t="shared" si="38"/>
        <v>0</v>
      </c>
      <c r="AZ8" s="33">
        <f>[4]SLP!CX8*0.4</f>
        <v>0</v>
      </c>
      <c r="BA8" s="37" t="str">
        <f t="shared" si="8"/>
        <v/>
      </c>
      <c r="BB8" s="36">
        <f>[1]FUNIL!$K8</f>
        <v>67862.125980633951</v>
      </c>
      <c r="BC8" s="31">
        <f t="shared" si="39"/>
        <v>59521.870697614038</v>
      </c>
      <c r="BD8" s="31">
        <f t="shared" si="40"/>
        <v>8340.2552830199129</v>
      </c>
      <c r="BE8" s="31">
        <f t="shared" si="41"/>
        <v>0</v>
      </c>
      <c r="BF8" s="31">
        <f t="shared" si="42"/>
        <v>0</v>
      </c>
      <c r="BG8" s="33">
        <f>[4]SLP!CY8*0.4</f>
        <v>0</v>
      </c>
      <c r="BH8" s="37">
        <f t="shared" si="9"/>
        <v>-1</v>
      </c>
      <c r="BI8" s="36">
        <f>[1]FUNIL!$L8</f>
        <v>0</v>
      </c>
      <c r="BJ8" s="31">
        <f t="shared" si="43"/>
        <v>0</v>
      </c>
      <c r="BK8" s="31">
        <f t="shared" si="44"/>
        <v>0</v>
      </c>
      <c r="BL8" s="31">
        <f t="shared" si="45"/>
        <v>0</v>
      </c>
      <c r="BM8" s="31">
        <f t="shared" si="46"/>
        <v>0</v>
      </c>
      <c r="BN8" s="33">
        <f>[4]SLP!CZ8*0.4</f>
        <v>0</v>
      </c>
      <c r="BO8" s="37" t="str">
        <f t="shared" si="10"/>
        <v/>
      </c>
      <c r="BP8" s="36">
        <f>[1]FUNIL!$M8</f>
        <v>0</v>
      </c>
      <c r="BQ8" s="31">
        <f t="shared" si="47"/>
        <v>0</v>
      </c>
      <c r="BR8" s="31">
        <f t="shared" si="48"/>
        <v>0</v>
      </c>
      <c r="BS8" s="31">
        <f t="shared" si="49"/>
        <v>0</v>
      </c>
      <c r="BT8" s="31">
        <f t="shared" si="50"/>
        <v>0</v>
      </c>
      <c r="BU8" s="33">
        <f>[4]SLP!DA8*0.4</f>
        <v>0</v>
      </c>
      <c r="BV8" s="37" t="str">
        <f t="shared" si="11"/>
        <v/>
      </c>
      <c r="BW8" s="36">
        <f>[1]FUNIL!$N8</f>
        <v>0</v>
      </c>
      <c r="BX8" s="31">
        <f t="shared" si="51"/>
        <v>0</v>
      </c>
      <c r="BY8" s="31">
        <f t="shared" si="52"/>
        <v>0</v>
      </c>
      <c r="BZ8" s="31">
        <f t="shared" si="53"/>
        <v>0</v>
      </c>
      <c r="CA8" s="31">
        <f t="shared" si="54"/>
        <v>0</v>
      </c>
      <c r="CB8" s="33">
        <f>[4]SLP!DB8*0.4</f>
        <v>0</v>
      </c>
      <c r="CC8" s="37" t="str">
        <f t="shared" si="12"/>
        <v/>
      </c>
      <c r="CD8" s="36">
        <f>[1]FUNIL!$O8</f>
        <v>0</v>
      </c>
      <c r="CE8" s="31">
        <f t="shared" si="55"/>
        <v>0</v>
      </c>
      <c r="CF8" s="31">
        <f t="shared" si="56"/>
        <v>0</v>
      </c>
      <c r="CG8" s="31">
        <f t="shared" si="57"/>
        <v>0</v>
      </c>
      <c r="CH8" s="31">
        <f t="shared" si="58"/>
        <v>0</v>
      </c>
      <c r="CI8" s="33">
        <f>[4]SLP!DC8*0.4</f>
        <v>0</v>
      </c>
      <c r="CJ8" s="37" t="str">
        <f t="shared" si="13"/>
        <v/>
      </c>
      <c r="CK8" s="36">
        <f>[1]FUNIL!$P8</f>
        <v>0</v>
      </c>
      <c r="CL8" s="31">
        <f t="shared" si="59"/>
        <v>0</v>
      </c>
      <c r="CM8" s="31">
        <f t="shared" si="60"/>
        <v>0</v>
      </c>
      <c r="CN8" s="31">
        <f t="shared" si="61"/>
        <v>0</v>
      </c>
      <c r="CO8" s="31">
        <f t="shared" si="62"/>
        <v>0</v>
      </c>
      <c r="CP8" s="33">
        <f>[4]SLP!DD8*0.4</f>
        <v>0</v>
      </c>
      <c r="CQ8" s="37" t="str">
        <f t="shared" si="63"/>
        <v/>
      </c>
      <c r="CR8" s="144"/>
    </row>
    <row r="9" spans="1:99" s="26" customFormat="1" ht="14.25" customHeight="1" x14ac:dyDescent="0.2">
      <c r="A9" s="38" t="s">
        <v>33</v>
      </c>
      <c r="B9" s="30">
        <f t="shared" si="0"/>
        <v>59092.709606215212</v>
      </c>
      <c r="C9" s="31">
        <f t="shared" si="0"/>
        <v>51830.215595611386</v>
      </c>
      <c r="D9" s="32">
        <f t="shared" si="0"/>
        <v>7262.4940106038503</v>
      </c>
      <c r="E9" s="30">
        <f t="shared" si="14"/>
        <v>19098.00506652104</v>
      </c>
      <c r="F9" s="33">
        <f t="shared" si="14"/>
        <v>16750.860243845604</v>
      </c>
      <c r="G9" s="34">
        <f t="shared" si="14"/>
        <v>2347.1448226754355</v>
      </c>
      <c r="H9" s="31">
        <f t="shared" si="1"/>
        <v>3015.6443468391512</v>
      </c>
      <c r="I9" s="33">
        <f t="shared" si="1"/>
        <v>24054.771693009596</v>
      </c>
      <c r="J9" s="33">
        <f t="shared" si="1"/>
        <v>27070.416039848747</v>
      </c>
      <c r="K9" s="37">
        <f t="shared" si="2"/>
        <v>0.41744731690868631</v>
      </c>
      <c r="L9" s="36">
        <f>[1]FUNIL!$E9</f>
        <v>4774.50126663026</v>
      </c>
      <c r="M9" s="31">
        <f t="shared" si="15"/>
        <v>4187.7150609614009</v>
      </c>
      <c r="N9" s="31">
        <f t="shared" si="16"/>
        <v>586.78620566885888</v>
      </c>
      <c r="O9" s="31">
        <f t="shared" si="17"/>
        <v>1108.5756469300723</v>
      </c>
      <c r="P9" s="31">
        <f t="shared" si="18"/>
        <v>8842.7317761405939</v>
      </c>
      <c r="Q9" s="33">
        <f>[4]SLP!CS9*'[3]SLP-CITROS'!$V$7</f>
        <v>9951.3074230706661</v>
      </c>
      <c r="R9" s="37">
        <f t="shared" si="3"/>
        <v>1.0842611337485484</v>
      </c>
      <c r="S9" s="36">
        <f>[1]FUNIL!$F9</f>
        <v>4774.50126663026</v>
      </c>
      <c r="T9" s="31">
        <f t="shared" si="19"/>
        <v>4187.7150609614009</v>
      </c>
      <c r="U9" s="31">
        <f t="shared" si="20"/>
        <v>586.78620566885888</v>
      </c>
      <c r="V9" s="31">
        <f t="shared" si="21"/>
        <v>573.95093992547845</v>
      </c>
      <c r="W9" s="31">
        <f t="shared" si="22"/>
        <v>4578.2118960303424</v>
      </c>
      <c r="X9" s="33">
        <f>[4]SLP!$CT9*'[3]SLP-CITROS'!$V$7</f>
        <v>5152.1628359558208</v>
      </c>
      <c r="Y9" s="37">
        <f t="shared" si="4"/>
        <v>7.90996898388312E-2</v>
      </c>
      <c r="Z9" s="36">
        <f>[1]FUNIL!$G9</f>
        <v>4774.50126663026</v>
      </c>
      <c r="AA9" s="31">
        <f t="shared" si="23"/>
        <v>4187.7150609614009</v>
      </c>
      <c r="AB9" s="31">
        <f t="shared" si="24"/>
        <v>586.78620566885888</v>
      </c>
      <c r="AC9" s="31">
        <f t="shared" si="25"/>
        <v>996.35340975758481</v>
      </c>
      <c r="AD9" s="31">
        <f t="shared" si="26"/>
        <v>7947.5730692153447</v>
      </c>
      <c r="AE9" s="33">
        <f>[4]SLP!CU9*'[2]SLP-CITROS'!$V$7</f>
        <v>8943.9264789729295</v>
      </c>
      <c r="AF9" s="37">
        <f t="shared" si="5"/>
        <v>0.87326926510281555</v>
      </c>
      <c r="AG9" s="36">
        <f>[1]FUNIL!$H9</f>
        <v>4774.50126663026</v>
      </c>
      <c r="AH9" s="31">
        <f t="shared" si="27"/>
        <v>4187.7150609614009</v>
      </c>
      <c r="AI9" s="31">
        <f t="shared" si="28"/>
        <v>586.78620566885888</v>
      </c>
      <c r="AJ9" s="31">
        <f t="shared" si="29"/>
        <v>336.76435022601572</v>
      </c>
      <c r="AK9" s="31">
        <f t="shared" si="30"/>
        <v>2686.2549516233166</v>
      </c>
      <c r="AL9" s="33">
        <f>[4]SLP!CV9*'[2]SLP-CITROS'!$V$7</f>
        <v>3023.0193018493324</v>
      </c>
      <c r="AM9" s="37">
        <f t="shared" si="6"/>
        <v>-0.36684082105544935</v>
      </c>
      <c r="AN9" s="36">
        <f>[1]FUNIL!$I9</f>
        <v>4774.50126663026</v>
      </c>
      <c r="AO9" s="31">
        <f t="shared" si="31"/>
        <v>4187.7150609614009</v>
      </c>
      <c r="AP9" s="31">
        <f t="shared" si="32"/>
        <v>586.78620566885888</v>
      </c>
      <c r="AQ9" s="31">
        <f t="shared" si="33"/>
        <v>0</v>
      </c>
      <c r="AR9" s="31">
        <f t="shared" si="34"/>
        <v>0</v>
      </c>
      <c r="AS9" s="33">
        <f>[4]SLP!CW9*0.4</f>
        <v>0</v>
      </c>
      <c r="AT9" s="37">
        <f t="shared" si="7"/>
        <v>-1</v>
      </c>
      <c r="AU9" s="36">
        <f>[1]FUNIL!$J9</f>
        <v>4774.50126663026</v>
      </c>
      <c r="AV9" s="31">
        <f t="shared" si="35"/>
        <v>4187.7150609614009</v>
      </c>
      <c r="AW9" s="31">
        <f t="shared" si="36"/>
        <v>586.78620566885888</v>
      </c>
      <c r="AX9" s="31">
        <f t="shared" si="37"/>
        <v>0</v>
      </c>
      <c r="AY9" s="31">
        <f t="shared" si="38"/>
        <v>0</v>
      </c>
      <c r="AZ9" s="33">
        <f>[4]SLP!CX9*0.4</f>
        <v>0</v>
      </c>
      <c r="BA9" s="37">
        <f t="shared" si="8"/>
        <v>-1</v>
      </c>
      <c r="BB9" s="36">
        <f>[1]FUNIL!$K9</f>
        <v>4774.50126663026</v>
      </c>
      <c r="BC9" s="31">
        <f t="shared" si="39"/>
        <v>4187.7150609614009</v>
      </c>
      <c r="BD9" s="31">
        <f t="shared" si="40"/>
        <v>586.78620566885888</v>
      </c>
      <c r="BE9" s="31">
        <f t="shared" si="41"/>
        <v>0</v>
      </c>
      <c r="BF9" s="31">
        <f t="shared" si="42"/>
        <v>0</v>
      </c>
      <c r="BG9" s="33">
        <f>[4]SLP!CY9*0.4</f>
        <v>0</v>
      </c>
      <c r="BH9" s="37">
        <f t="shared" si="9"/>
        <v>-1</v>
      </c>
      <c r="BI9" s="36">
        <f>[1]FUNIL!$L9</f>
        <v>5134.2401479606815</v>
      </c>
      <c r="BJ9" s="31">
        <f t="shared" si="43"/>
        <v>4503.2420337763142</v>
      </c>
      <c r="BK9" s="31">
        <f t="shared" si="44"/>
        <v>630.99811418436775</v>
      </c>
      <c r="BL9" s="31">
        <f t="shared" si="45"/>
        <v>0</v>
      </c>
      <c r="BM9" s="31">
        <f t="shared" si="46"/>
        <v>0</v>
      </c>
      <c r="BN9" s="33">
        <f>[4]SLP!CZ9*0.4</f>
        <v>0</v>
      </c>
      <c r="BO9" s="37">
        <f t="shared" si="10"/>
        <v>-1</v>
      </c>
      <c r="BP9" s="36">
        <f>[1]FUNIL!$M9</f>
        <v>5134.2401479606815</v>
      </c>
      <c r="BQ9" s="31">
        <f t="shared" si="47"/>
        <v>4503.2420337763142</v>
      </c>
      <c r="BR9" s="31">
        <f t="shared" si="48"/>
        <v>630.99811418436775</v>
      </c>
      <c r="BS9" s="31">
        <f t="shared" si="49"/>
        <v>0</v>
      </c>
      <c r="BT9" s="31">
        <f t="shared" si="50"/>
        <v>0</v>
      </c>
      <c r="BU9" s="33">
        <f>[4]SLP!DA9*0.4</f>
        <v>0</v>
      </c>
      <c r="BV9" s="37">
        <f t="shared" si="11"/>
        <v>-1</v>
      </c>
      <c r="BW9" s="36">
        <f>[1]FUNIL!$N9</f>
        <v>5134.2401479606815</v>
      </c>
      <c r="BX9" s="31">
        <f t="shared" si="51"/>
        <v>4503.2420337763142</v>
      </c>
      <c r="BY9" s="31">
        <f t="shared" si="52"/>
        <v>630.99811418436775</v>
      </c>
      <c r="BZ9" s="31">
        <f t="shared" si="53"/>
        <v>0</v>
      </c>
      <c r="CA9" s="31">
        <f t="shared" si="54"/>
        <v>0</v>
      </c>
      <c r="CB9" s="33">
        <f>[4]SLP!DB9*0.4</f>
        <v>0</v>
      </c>
      <c r="CC9" s="37">
        <f t="shared" si="12"/>
        <v>-1</v>
      </c>
      <c r="CD9" s="36">
        <f>[1]FUNIL!$O9</f>
        <v>5134.2401479606815</v>
      </c>
      <c r="CE9" s="31">
        <f t="shared" si="55"/>
        <v>4503.2420337763142</v>
      </c>
      <c r="CF9" s="31">
        <f t="shared" si="56"/>
        <v>630.99811418436775</v>
      </c>
      <c r="CG9" s="31">
        <f t="shared" si="57"/>
        <v>0</v>
      </c>
      <c r="CH9" s="31">
        <f t="shared" si="58"/>
        <v>0</v>
      </c>
      <c r="CI9" s="33">
        <f>[4]SLP!DC9*0.4</f>
        <v>0</v>
      </c>
      <c r="CJ9" s="37">
        <f t="shared" si="13"/>
        <v>-1</v>
      </c>
      <c r="CK9" s="36">
        <f>[1]FUNIL!$P9</f>
        <v>5134.2401479606815</v>
      </c>
      <c r="CL9" s="31">
        <f t="shared" si="59"/>
        <v>4503.2420337763142</v>
      </c>
      <c r="CM9" s="31">
        <f t="shared" si="60"/>
        <v>630.99811418436775</v>
      </c>
      <c r="CN9" s="31">
        <f t="shared" si="61"/>
        <v>0</v>
      </c>
      <c r="CO9" s="31">
        <f t="shared" si="62"/>
        <v>0</v>
      </c>
      <c r="CP9" s="33">
        <f>[4]SLP!DD9*0.4</f>
        <v>0</v>
      </c>
      <c r="CQ9" s="37">
        <f t="shared" si="63"/>
        <v>-1</v>
      </c>
      <c r="CR9" s="144"/>
    </row>
    <row r="10" spans="1:99" s="26" customFormat="1" ht="14.25" customHeight="1" x14ac:dyDescent="0.2">
      <c r="A10" s="38" t="s">
        <v>34</v>
      </c>
      <c r="B10" s="30">
        <f t="shared" si="0"/>
        <v>56856</v>
      </c>
      <c r="C10" s="31">
        <f t="shared" si="0"/>
        <v>49868.397600000018</v>
      </c>
      <c r="D10" s="32">
        <f t="shared" si="0"/>
        <v>6987.6023999999989</v>
      </c>
      <c r="E10" s="30">
        <f t="shared" si="14"/>
        <v>18952</v>
      </c>
      <c r="F10" s="33">
        <f t="shared" si="14"/>
        <v>16622.799200000001</v>
      </c>
      <c r="G10" s="34">
        <f t="shared" si="14"/>
        <v>2329.2008000000001</v>
      </c>
      <c r="H10" s="31">
        <f t="shared" si="1"/>
        <v>2074.4140574926219</v>
      </c>
      <c r="I10" s="33">
        <f t="shared" si="1"/>
        <v>16546.897051058731</v>
      </c>
      <c r="J10" s="33">
        <f t="shared" si="1"/>
        <v>18621.311108551352</v>
      </c>
      <c r="K10" s="37">
        <f t="shared" si="2"/>
        <v>-1.7448759574116068E-2</v>
      </c>
      <c r="L10" s="36">
        <f>[1]FUNIL!$E10</f>
        <v>4738</v>
      </c>
      <c r="M10" s="31">
        <f t="shared" si="15"/>
        <v>4155.6998000000003</v>
      </c>
      <c r="N10" s="31">
        <f t="shared" si="16"/>
        <v>582.30020000000002</v>
      </c>
      <c r="O10" s="31">
        <f t="shared" si="17"/>
        <v>655.60909466025259</v>
      </c>
      <c r="P10" s="31">
        <f t="shared" si="18"/>
        <v>5229.571288286359</v>
      </c>
      <c r="Q10" s="33">
        <f>[4]SLP!CS10*'[3]SLP-CITROS'!$V$7</f>
        <v>5885.1803829466116</v>
      </c>
      <c r="R10" s="37">
        <f t="shared" si="3"/>
        <v>0.24212333958349763</v>
      </c>
      <c r="S10" s="36">
        <f>[1]FUNIL!$F10</f>
        <v>4738</v>
      </c>
      <c r="T10" s="31">
        <f t="shared" si="19"/>
        <v>4155.6998000000003</v>
      </c>
      <c r="U10" s="31">
        <f t="shared" si="20"/>
        <v>582.30020000000002</v>
      </c>
      <c r="V10" s="31">
        <f t="shared" si="21"/>
        <v>646.63319457187299</v>
      </c>
      <c r="W10" s="31">
        <f t="shared" si="22"/>
        <v>5157.9735789637843</v>
      </c>
      <c r="X10" s="33">
        <f>[4]SLP!$CT10*'[3]SLP-CITROS'!$V$7</f>
        <v>5804.6067735356573</v>
      </c>
      <c r="Y10" s="37">
        <f t="shared" si="4"/>
        <v>0.22511751235450772</v>
      </c>
      <c r="Z10" s="36">
        <f>[1]FUNIL!$G10</f>
        <v>4738</v>
      </c>
      <c r="AA10" s="31">
        <f t="shared" si="23"/>
        <v>4155.6998000000003</v>
      </c>
      <c r="AB10" s="31">
        <f t="shared" si="24"/>
        <v>582.30020000000002</v>
      </c>
      <c r="AC10" s="31">
        <f t="shared" si="25"/>
        <v>666.61640766332584</v>
      </c>
      <c r="AD10" s="31">
        <f t="shared" si="26"/>
        <v>5317.3728891349283</v>
      </c>
      <c r="AE10" s="33">
        <f>[4]SLP!CU10*'[2]SLP-CITROS'!$V$7</f>
        <v>5983.9892967982541</v>
      </c>
      <c r="AF10" s="37">
        <f t="shared" si="5"/>
        <v>0.26297790139262434</v>
      </c>
      <c r="AG10" s="36">
        <f>[1]FUNIL!$H10</f>
        <v>4738</v>
      </c>
      <c r="AH10" s="31">
        <f t="shared" si="27"/>
        <v>4155.6998000000003</v>
      </c>
      <c r="AI10" s="31">
        <f t="shared" si="28"/>
        <v>582.30020000000002</v>
      </c>
      <c r="AJ10" s="31">
        <f t="shared" si="29"/>
        <v>105.55536059717053</v>
      </c>
      <c r="AK10" s="31">
        <f t="shared" si="30"/>
        <v>841.97929467365941</v>
      </c>
      <c r="AL10" s="33">
        <f>[4]SLP!CV10*'[2]SLP-CITROS'!$V$7</f>
        <v>947.53465527082994</v>
      </c>
      <c r="AM10" s="37">
        <f t="shared" si="6"/>
        <v>-0.80001379162709374</v>
      </c>
      <c r="AN10" s="36">
        <f>[1]FUNIL!$I10</f>
        <v>4738</v>
      </c>
      <c r="AO10" s="31">
        <f t="shared" si="31"/>
        <v>4155.6998000000003</v>
      </c>
      <c r="AP10" s="31">
        <f t="shared" si="32"/>
        <v>582.30020000000002</v>
      </c>
      <c r="AQ10" s="31">
        <f t="shared" si="33"/>
        <v>0</v>
      </c>
      <c r="AR10" s="31">
        <f t="shared" si="34"/>
        <v>0</v>
      </c>
      <c r="AS10" s="33">
        <f>[4]SLP!CW10*0.4</f>
        <v>0</v>
      </c>
      <c r="AT10" s="37">
        <f t="shared" si="7"/>
        <v>-1</v>
      </c>
      <c r="AU10" s="36">
        <f>[1]FUNIL!$J10</f>
        <v>4738</v>
      </c>
      <c r="AV10" s="31">
        <f t="shared" si="35"/>
        <v>4155.6998000000003</v>
      </c>
      <c r="AW10" s="31">
        <f t="shared" si="36"/>
        <v>582.30020000000002</v>
      </c>
      <c r="AX10" s="31">
        <f t="shared" si="37"/>
        <v>0</v>
      </c>
      <c r="AY10" s="31">
        <f t="shared" si="38"/>
        <v>0</v>
      </c>
      <c r="AZ10" s="33">
        <f>[4]SLP!CX10*0.4</f>
        <v>0</v>
      </c>
      <c r="BA10" s="37">
        <f t="shared" si="8"/>
        <v>-1</v>
      </c>
      <c r="BB10" s="36">
        <f>[1]FUNIL!$K10</f>
        <v>4738</v>
      </c>
      <c r="BC10" s="31">
        <f t="shared" si="39"/>
        <v>4155.6998000000003</v>
      </c>
      <c r="BD10" s="31">
        <f t="shared" si="40"/>
        <v>582.30020000000002</v>
      </c>
      <c r="BE10" s="31">
        <f t="shared" si="41"/>
        <v>0</v>
      </c>
      <c r="BF10" s="31">
        <f t="shared" si="42"/>
        <v>0</v>
      </c>
      <c r="BG10" s="33">
        <f>[4]SLP!CY10*0.4</f>
        <v>0</v>
      </c>
      <c r="BH10" s="37">
        <f t="shared" si="9"/>
        <v>-1</v>
      </c>
      <c r="BI10" s="36">
        <f>[1]FUNIL!$L10</f>
        <v>4738</v>
      </c>
      <c r="BJ10" s="31">
        <f t="shared" si="43"/>
        <v>4155.6998000000003</v>
      </c>
      <c r="BK10" s="31">
        <f t="shared" si="44"/>
        <v>582.30020000000002</v>
      </c>
      <c r="BL10" s="31">
        <f t="shared" si="45"/>
        <v>0</v>
      </c>
      <c r="BM10" s="31">
        <f t="shared" si="46"/>
        <v>0</v>
      </c>
      <c r="BN10" s="33">
        <f>[4]SLP!CZ10*0.4</f>
        <v>0</v>
      </c>
      <c r="BO10" s="37">
        <f t="shared" si="10"/>
        <v>-1</v>
      </c>
      <c r="BP10" s="36">
        <f>[1]FUNIL!$M10</f>
        <v>4738</v>
      </c>
      <c r="BQ10" s="31">
        <f t="shared" si="47"/>
        <v>4155.6998000000003</v>
      </c>
      <c r="BR10" s="31">
        <f t="shared" si="48"/>
        <v>582.30020000000002</v>
      </c>
      <c r="BS10" s="31">
        <f t="shared" si="49"/>
        <v>0</v>
      </c>
      <c r="BT10" s="31">
        <f t="shared" si="50"/>
        <v>0</v>
      </c>
      <c r="BU10" s="33">
        <f>[4]SLP!DA10*0.4</f>
        <v>0</v>
      </c>
      <c r="BV10" s="37">
        <f t="shared" si="11"/>
        <v>-1</v>
      </c>
      <c r="BW10" s="36">
        <f>[1]FUNIL!$N10</f>
        <v>4738</v>
      </c>
      <c r="BX10" s="31">
        <f t="shared" si="51"/>
        <v>4155.6998000000003</v>
      </c>
      <c r="BY10" s="31">
        <f t="shared" si="52"/>
        <v>582.30020000000002</v>
      </c>
      <c r="BZ10" s="31">
        <f t="shared" si="53"/>
        <v>0</v>
      </c>
      <c r="CA10" s="31">
        <f t="shared" si="54"/>
        <v>0</v>
      </c>
      <c r="CB10" s="33">
        <f>[4]SLP!DB10*0.4</f>
        <v>0</v>
      </c>
      <c r="CC10" s="37">
        <f t="shared" si="12"/>
        <v>-1</v>
      </c>
      <c r="CD10" s="36">
        <f>[1]FUNIL!$O10</f>
        <v>4738</v>
      </c>
      <c r="CE10" s="31">
        <f t="shared" si="55"/>
        <v>4155.6998000000003</v>
      </c>
      <c r="CF10" s="31">
        <f t="shared" si="56"/>
        <v>582.30020000000002</v>
      </c>
      <c r="CG10" s="31">
        <f t="shared" si="57"/>
        <v>0</v>
      </c>
      <c r="CH10" s="31">
        <f t="shared" si="58"/>
        <v>0</v>
      </c>
      <c r="CI10" s="33">
        <f>[4]SLP!DC10*0.4</f>
        <v>0</v>
      </c>
      <c r="CJ10" s="37">
        <f t="shared" si="13"/>
        <v>-1</v>
      </c>
      <c r="CK10" s="36">
        <f>[1]FUNIL!$P10</f>
        <v>4738</v>
      </c>
      <c r="CL10" s="31">
        <f t="shared" si="59"/>
        <v>4155.6998000000003</v>
      </c>
      <c r="CM10" s="31">
        <f t="shared" si="60"/>
        <v>582.30020000000002</v>
      </c>
      <c r="CN10" s="31">
        <f t="shared" si="61"/>
        <v>0</v>
      </c>
      <c r="CO10" s="31">
        <f t="shared" si="62"/>
        <v>0</v>
      </c>
      <c r="CP10" s="33">
        <f>[4]SLP!DD10*0.4</f>
        <v>0</v>
      </c>
      <c r="CQ10" s="37">
        <f t="shared" si="63"/>
        <v>-1</v>
      </c>
      <c r="CR10" s="144"/>
    </row>
    <row r="11" spans="1:99" s="26" customFormat="1" ht="14.25" customHeight="1" x14ac:dyDescent="0.2">
      <c r="A11" s="3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4"/>
        <v>0</v>
      </c>
      <c r="F11" s="33">
        <f t="shared" si="14"/>
        <v>0</v>
      </c>
      <c r="G11" s="34">
        <f t="shared" si="14"/>
        <v>0</v>
      </c>
      <c r="H11" s="31">
        <f t="shared" si="1"/>
        <v>0</v>
      </c>
      <c r="I11" s="33">
        <f t="shared" si="1"/>
        <v>0</v>
      </c>
      <c r="J11" s="33">
        <f t="shared" si="1"/>
        <v>0</v>
      </c>
      <c r="K11" s="37" t="str">
        <f t="shared" si="2"/>
        <v/>
      </c>
      <c r="L11" s="36">
        <f>[1]FUNIL!$E11</f>
        <v>0</v>
      </c>
      <c r="M11" s="31">
        <f t="shared" si="15"/>
        <v>0</v>
      </c>
      <c r="N11" s="31">
        <f t="shared" si="16"/>
        <v>0</v>
      </c>
      <c r="O11" s="31">
        <f t="shared" si="17"/>
        <v>0</v>
      </c>
      <c r="P11" s="31">
        <f t="shared" si="18"/>
        <v>0</v>
      </c>
      <c r="Q11" s="33">
        <f>[4]SLP!CS11*'[3]SLP-CITROS'!$V$7</f>
        <v>0</v>
      </c>
      <c r="R11" s="37" t="str">
        <f t="shared" si="3"/>
        <v/>
      </c>
      <c r="S11" s="36">
        <f>[1]FUNIL!$F11</f>
        <v>0</v>
      </c>
      <c r="T11" s="31">
        <f t="shared" si="19"/>
        <v>0</v>
      </c>
      <c r="U11" s="31">
        <f t="shared" si="20"/>
        <v>0</v>
      </c>
      <c r="V11" s="31">
        <f t="shared" si="21"/>
        <v>0</v>
      </c>
      <c r="W11" s="31">
        <f t="shared" si="22"/>
        <v>0</v>
      </c>
      <c r="X11" s="33">
        <f>[4]SLP!$CT11*'[3]SLP-CITROS'!$V$7</f>
        <v>0</v>
      </c>
      <c r="Y11" s="37" t="str">
        <f t="shared" si="4"/>
        <v/>
      </c>
      <c r="Z11" s="36">
        <f>[1]FUNIL!$G11</f>
        <v>0</v>
      </c>
      <c r="AA11" s="31">
        <f t="shared" si="23"/>
        <v>0</v>
      </c>
      <c r="AB11" s="31">
        <f t="shared" si="24"/>
        <v>0</v>
      </c>
      <c r="AC11" s="31">
        <f t="shared" si="25"/>
        <v>0</v>
      </c>
      <c r="AD11" s="31">
        <f t="shared" si="26"/>
        <v>0</v>
      </c>
      <c r="AE11" s="33">
        <f>[4]SLP!CU11*'[2]SLP-CITROS'!$V$7</f>
        <v>0</v>
      </c>
      <c r="AF11" s="37" t="str">
        <f t="shared" si="5"/>
        <v/>
      </c>
      <c r="AG11" s="36">
        <f>[1]FUNIL!$H11</f>
        <v>0</v>
      </c>
      <c r="AH11" s="31">
        <f t="shared" si="27"/>
        <v>0</v>
      </c>
      <c r="AI11" s="31">
        <f t="shared" si="28"/>
        <v>0</v>
      </c>
      <c r="AJ11" s="31">
        <f t="shared" si="29"/>
        <v>0</v>
      </c>
      <c r="AK11" s="31">
        <f t="shared" si="30"/>
        <v>0</v>
      </c>
      <c r="AL11" s="33">
        <f>[4]SLP!CV11*'[2]SLP-CITROS'!$V$7</f>
        <v>0</v>
      </c>
      <c r="AM11" s="37" t="str">
        <f t="shared" si="6"/>
        <v/>
      </c>
      <c r="AN11" s="36">
        <f>[1]FUNIL!$I11</f>
        <v>0</v>
      </c>
      <c r="AO11" s="31">
        <f t="shared" si="31"/>
        <v>0</v>
      </c>
      <c r="AP11" s="31">
        <f t="shared" si="32"/>
        <v>0</v>
      </c>
      <c r="AQ11" s="31">
        <f t="shared" si="33"/>
        <v>0</v>
      </c>
      <c r="AR11" s="31">
        <f t="shared" si="34"/>
        <v>0</v>
      </c>
      <c r="AS11" s="33">
        <f>[4]SLP!CW11*0.4</f>
        <v>0</v>
      </c>
      <c r="AT11" s="37" t="str">
        <f t="shared" si="7"/>
        <v/>
      </c>
      <c r="AU11" s="36">
        <f>[1]FUNIL!$J11</f>
        <v>0</v>
      </c>
      <c r="AV11" s="31">
        <f t="shared" si="35"/>
        <v>0</v>
      </c>
      <c r="AW11" s="31">
        <f t="shared" si="36"/>
        <v>0</v>
      </c>
      <c r="AX11" s="31">
        <f t="shared" si="37"/>
        <v>0</v>
      </c>
      <c r="AY11" s="31">
        <f t="shared" si="38"/>
        <v>0</v>
      </c>
      <c r="AZ11" s="33">
        <f>[4]SLP!CX11*0.4</f>
        <v>0</v>
      </c>
      <c r="BA11" s="37" t="str">
        <f t="shared" si="8"/>
        <v/>
      </c>
      <c r="BB11" s="36">
        <f>[1]FUNIL!$K11</f>
        <v>0</v>
      </c>
      <c r="BC11" s="31">
        <f t="shared" si="39"/>
        <v>0</v>
      </c>
      <c r="BD11" s="31">
        <f t="shared" si="40"/>
        <v>0</v>
      </c>
      <c r="BE11" s="31">
        <f t="shared" si="41"/>
        <v>0</v>
      </c>
      <c r="BF11" s="31">
        <f t="shared" si="42"/>
        <v>0</v>
      </c>
      <c r="BG11" s="33">
        <f>[4]SLP!CY11*0.4</f>
        <v>0</v>
      </c>
      <c r="BH11" s="37" t="str">
        <f t="shared" si="9"/>
        <v/>
      </c>
      <c r="BI11" s="36">
        <f>[1]FUNIL!$L11</f>
        <v>0</v>
      </c>
      <c r="BJ11" s="31">
        <f t="shared" si="43"/>
        <v>0</v>
      </c>
      <c r="BK11" s="31">
        <f t="shared" si="44"/>
        <v>0</v>
      </c>
      <c r="BL11" s="31">
        <f t="shared" si="45"/>
        <v>0</v>
      </c>
      <c r="BM11" s="31">
        <f t="shared" si="46"/>
        <v>0</v>
      </c>
      <c r="BN11" s="33">
        <f>[4]SLP!CZ11*0.4</f>
        <v>0</v>
      </c>
      <c r="BO11" s="37" t="str">
        <f t="shared" si="10"/>
        <v/>
      </c>
      <c r="BP11" s="36">
        <f>[1]FUNIL!$M11</f>
        <v>0</v>
      </c>
      <c r="BQ11" s="31">
        <f t="shared" si="47"/>
        <v>0</v>
      </c>
      <c r="BR11" s="31">
        <f t="shared" si="48"/>
        <v>0</v>
      </c>
      <c r="BS11" s="31">
        <f t="shared" si="49"/>
        <v>0</v>
      </c>
      <c r="BT11" s="31">
        <f t="shared" si="50"/>
        <v>0</v>
      </c>
      <c r="BU11" s="33">
        <f>[4]SLP!DA11*0.4</f>
        <v>0</v>
      </c>
      <c r="BV11" s="37" t="str">
        <f t="shared" si="11"/>
        <v/>
      </c>
      <c r="BW11" s="36">
        <f>[1]FUNIL!$N11</f>
        <v>0</v>
      </c>
      <c r="BX11" s="31">
        <f t="shared" si="51"/>
        <v>0</v>
      </c>
      <c r="BY11" s="31">
        <f t="shared" si="52"/>
        <v>0</v>
      </c>
      <c r="BZ11" s="31">
        <f t="shared" si="53"/>
        <v>0</v>
      </c>
      <c r="CA11" s="31">
        <f t="shared" si="54"/>
        <v>0</v>
      </c>
      <c r="CB11" s="33">
        <f>[4]SLP!DB11*0.4</f>
        <v>0</v>
      </c>
      <c r="CC11" s="37" t="str">
        <f t="shared" si="12"/>
        <v/>
      </c>
      <c r="CD11" s="36">
        <f>[1]FUNIL!$O11</f>
        <v>0</v>
      </c>
      <c r="CE11" s="31">
        <f t="shared" si="55"/>
        <v>0</v>
      </c>
      <c r="CF11" s="31">
        <f t="shared" si="56"/>
        <v>0</v>
      </c>
      <c r="CG11" s="31">
        <f t="shared" si="57"/>
        <v>0</v>
      </c>
      <c r="CH11" s="31">
        <f t="shared" si="58"/>
        <v>0</v>
      </c>
      <c r="CI11" s="33">
        <f>[4]SLP!DC11*0.4</f>
        <v>0</v>
      </c>
      <c r="CJ11" s="37" t="str">
        <f t="shared" si="13"/>
        <v/>
      </c>
      <c r="CK11" s="36">
        <f>[1]FUNIL!$P11</f>
        <v>0</v>
      </c>
      <c r="CL11" s="31">
        <f t="shared" si="59"/>
        <v>0</v>
      </c>
      <c r="CM11" s="31">
        <f t="shared" si="60"/>
        <v>0</v>
      </c>
      <c r="CN11" s="31">
        <f t="shared" si="61"/>
        <v>0</v>
      </c>
      <c r="CO11" s="31">
        <f t="shared" si="62"/>
        <v>0</v>
      </c>
      <c r="CP11" s="33">
        <f>[4]SLP!DD11*0.4</f>
        <v>0</v>
      </c>
      <c r="CQ11" s="37" t="str">
        <f t="shared" si="63"/>
        <v/>
      </c>
      <c r="CR11" s="144"/>
    </row>
    <row r="12" spans="1:99" s="26" customFormat="1" ht="14.25" customHeight="1" x14ac:dyDescent="0.2">
      <c r="A12" s="29" t="s">
        <v>36</v>
      </c>
      <c r="B12" s="30">
        <f t="shared" si="0"/>
        <v>17653.787999999997</v>
      </c>
      <c r="C12" s="31">
        <f t="shared" si="0"/>
        <v>15484.137454799997</v>
      </c>
      <c r="D12" s="32">
        <f t="shared" si="0"/>
        <v>2169.6505451999992</v>
      </c>
      <c r="E12" s="30">
        <f t="shared" si="14"/>
        <v>5884.5959999999995</v>
      </c>
      <c r="F12" s="33">
        <f t="shared" si="14"/>
        <v>5161.3791516000001</v>
      </c>
      <c r="G12" s="34">
        <f t="shared" si="14"/>
        <v>723.21684839999989</v>
      </c>
      <c r="H12" s="31">
        <f t="shared" si="1"/>
        <v>938.70909955866682</v>
      </c>
      <c r="I12" s="33">
        <f t="shared" si="1"/>
        <v>7487.7639664975868</v>
      </c>
      <c r="J12" s="33">
        <f t="shared" si="1"/>
        <v>8426.4730660562527</v>
      </c>
      <c r="K12" s="37">
        <f t="shared" si="2"/>
        <v>0.43195438838218525</v>
      </c>
      <c r="L12" s="36">
        <f>[1]FUNIL!$E12</f>
        <v>1471.1489999999999</v>
      </c>
      <c r="M12" s="31">
        <f t="shared" si="15"/>
        <v>1290.3447879</v>
      </c>
      <c r="N12" s="31">
        <f t="shared" si="16"/>
        <v>180.80421209999997</v>
      </c>
      <c r="O12" s="31">
        <f t="shared" si="17"/>
        <v>152.78610669637442</v>
      </c>
      <c r="P12" s="31">
        <f t="shared" si="18"/>
        <v>1218.7229300753884</v>
      </c>
      <c r="Q12" s="33">
        <f>[4]SLP!CS12*'[3]SLP-CITROS'!$V$7</f>
        <v>1371.5090367717628</v>
      </c>
      <c r="R12" s="37">
        <f t="shared" si="3"/>
        <v>-6.7729348440054071E-2</v>
      </c>
      <c r="S12" s="36">
        <f>[1]FUNIL!$F12</f>
        <v>1471.1489999999999</v>
      </c>
      <c r="T12" s="31">
        <f t="shared" si="19"/>
        <v>1290.3447879</v>
      </c>
      <c r="U12" s="31">
        <f t="shared" si="20"/>
        <v>180.80421209999997</v>
      </c>
      <c r="V12" s="31">
        <f t="shared" si="21"/>
        <v>152.78610669637442</v>
      </c>
      <c r="W12" s="31">
        <f t="shared" si="22"/>
        <v>1218.7229300753884</v>
      </c>
      <c r="X12" s="33">
        <f>[4]SLP!$CT12*'[3]SLP-CITROS'!$V$7</f>
        <v>1371.5090367717628</v>
      </c>
      <c r="Y12" s="37">
        <f t="shared" si="4"/>
        <v>-6.7729348440054071E-2</v>
      </c>
      <c r="Z12" s="36">
        <f>[1]FUNIL!$G12</f>
        <v>1471.1489999999999</v>
      </c>
      <c r="AA12" s="31">
        <f t="shared" si="23"/>
        <v>1290.3447879</v>
      </c>
      <c r="AB12" s="31">
        <f t="shared" si="24"/>
        <v>180.80421209999997</v>
      </c>
      <c r="AC12" s="31">
        <f t="shared" si="25"/>
        <v>316.59483192310836</v>
      </c>
      <c r="AD12" s="31">
        <f t="shared" si="26"/>
        <v>2525.3695479970734</v>
      </c>
      <c r="AE12" s="33">
        <f>[4]SLP!CU12*'[2]SLP-CITROS'!$V$7</f>
        <v>2841.9643799201817</v>
      </c>
      <c r="AF12" s="37">
        <f t="shared" si="5"/>
        <v>0.93179914469586822</v>
      </c>
      <c r="AG12" s="36">
        <f>[1]FUNIL!$H12</f>
        <v>1471.1489999999999</v>
      </c>
      <c r="AH12" s="31">
        <f t="shared" si="27"/>
        <v>1290.3447879</v>
      </c>
      <c r="AI12" s="31">
        <f t="shared" si="28"/>
        <v>180.80421209999997</v>
      </c>
      <c r="AJ12" s="31">
        <f t="shared" si="29"/>
        <v>316.54205424280963</v>
      </c>
      <c r="AK12" s="31">
        <f t="shared" si="30"/>
        <v>2524.9485583497367</v>
      </c>
      <c r="AL12" s="33">
        <f>[4]SLP!CV12*'[2]SLP-CITROS'!$V$7</f>
        <v>2841.4906125925463</v>
      </c>
      <c r="AM12" s="37">
        <f t="shared" si="6"/>
        <v>0.93147710571298115</v>
      </c>
      <c r="AN12" s="36">
        <f>[1]FUNIL!$I12</f>
        <v>1471.1489999999999</v>
      </c>
      <c r="AO12" s="31">
        <f t="shared" si="31"/>
        <v>1290.3447879</v>
      </c>
      <c r="AP12" s="31">
        <f t="shared" si="32"/>
        <v>180.80421209999997</v>
      </c>
      <c r="AQ12" s="31">
        <f t="shared" si="33"/>
        <v>0</v>
      </c>
      <c r="AR12" s="31">
        <f t="shared" si="34"/>
        <v>0</v>
      </c>
      <c r="AS12" s="33">
        <f>[4]SLP!CW12*0.4</f>
        <v>0</v>
      </c>
      <c r="AT12" s="37">
        <f t="shared" si="7"/>
        <v>-1</v>
      </c>
      <c r="AU12" s="36">
        <f>[1]FUNIL!$J12</f>
        <v>1471.1489999999999</v>
      </c>
      <c r="AV12" s="31">
        <f t="shared" si="35"/>
        <v>1290.3447879</v>
      </c>
      <c r="AW12" s="31">
        <f t="shared" si="36"/>
        <v>180.80421209999997</v>
      </c>
      <c r="AX12" s="31">
        <f t="shared" si="37"/>
        <v>0</v>
      </c>
      <c r="AY12" s="31">
        <f t="shared" si="38"/>
        <v>0</v>
      </c>
      <c r="AZ12" s="33">
        <f>[4]SLP!CX12*0.4</f>
        <v>0</v>
      </c>
      <c r="BA12" s="37">
        <f t="shared" si="8"/>
        <v>-1</v>
      </c>
      <c r="BB12" s="36">
        <f>[1]FUNIL!$K12</f>
        <v>1471.1489999999999</v>
      </c>
      <c r="BC12" s="31">
        <f t="shared" si="39"/>
        <v>1290.3447879</v>
      </c>
      <c r="BD12" s="31">
        <f t="shared" si="40"/>
        <v>180.80421209999997</v>
      </c>
      <c r="BE12" s="31">
        <f t="shared" si="41"/>
        <v>0</v>
      </c>
      <c r="BF12" s="31">
        <f t="shared" si="42"/>
        <v>0</v>
      </c>
      <c r="BG12" s="33">
        <f>[4]SLP!CY12*0.4</f>
        <v>0</v>
      </c>
      <c r="BH12" s="37">
        <f t="shared" si="9"/>
        <v>-1</v>
      </c>
      <c r="BI12" s="36">
        <f>[1]FUNIL!$L12</f>
        <v>1471.1489999999999</v>
      </c>
      <c r="BJ12" s="31">
        <f t="shared" si="43"/>
        <v>1290.3447879</v>
      </c>
      <c r="BK12" s="31">
        <f t="shared" si="44"/>
        <v>180.80421209999997</v>
      </c>
      <c r="BL12" s="31">
        <f t="shared" si="45"/>
        <v>0</v>
      </c>
      <c r="BM12" s="31">
        <f t="shared" si="46"/>
        <v>0</v>
      </c>
      <c r="BN12" s="33">
        <f>[4]SLP!CZ12*0.4</f>
        <v>0</v>
      </c>
      <c r="BO12" s="37">
        <f t="shared" si="10"/>
        <v>-1</v>
      </c>
      <c r="BP12" s="36">
        <f>[1]FUNIL!$M12</f>
        <v>1471.1489999999999</v>
      </c>
      <c r="BQ12" s="31">
        <f t="shared" si="47"/>
        <v>1290.3447879</v>
      </c>
      <c r="BR12" s="31">
        <f t="shared" si="48"/>
        <v>180.80421209999997</v>
      </c>
      <c r="BS12" s="31">
        <f t="shared" si="49"/>
        <v>0</v>
      </c>
      <c r="BT12" s="31">
        <f t="shared" si="50"/>
        <v>0</v>
      </c>
      <c r="BU12" s="33">
        <f>[4]SLP!DA12*0.4</f>
        <v>0</v>
      </c>
      <c r="BV12" s="37">
        <f t="shared" si="11"/>
        <v>-1</v>
      </c>
      <c r="BW12" s="36">
        <f>[1]FUNIL!$N12</f>
        <v>1471.1489999999999</v>
      </c>
      <c r="BX12" s="31">
        <f t="shared" si="51"/>
        <v>1290.3447879</v>
      </c>
      <c r="BY12" s="31">
        <f t="shared" si="52"/>
        <v>180.80421209999997</v>
      </c>
      <c r="BZ12" s="31">
        <f t="shared" si="53"/>
        <v>0</v>
      </c>
      <c r="CA12" s="31">
        <f t="shared" si="54"/>
        <v>0</v>
      </c>
      <c r="CB12" s="33">
        <f>[4]SLP!DB12*0.4</f>
        <v>0</v>
      </c>
      <c r="CC12" s="37">
        <f t="shared" si="12"/>
        <v>-1</v>
      </c>
      <c r="CD12" s="36">
        <f>[1]FUNIL!$O12</f>
        <v>1471.1489999999999</v>
      </c>
      <c r="CE12" s="31">
        <f t="shared" si="55"/>
        <v>1290.3447879</v>
      </c>
      <c r="CF12" s="31">
        <f t="shared" si="56"/>
        <v>180.80421209999997</v>
      </c>
      <c r="CG12" s="31">
        <f t="shared" si="57"/>
        <v>0</v>
      </c>
      <c r="CH12" s="31">
        <f t="shared" si="58"/>
        <v>0</v>
      </c>
      <c r="CI12" s="33">
        <f>[4]SLP!DC12*0.4</f>
        <v>0</v>
      </c>
      <c r="CJ12" s="37">
        <f t="shared" si="13"/>
        <v>-1</v>
      </c>
      <c r="CK12" s="36">
        <f>[1]FUNIL!$P12</f>
        <v>1471.1489999999999</v>
      </c>
      <c r="CL12" s="31">
        <f t="shared" si="59"/>
        <v>1290.3447879</v>
      </c>
      <c r="CM12" s="31">
        <f t="shared" si="60"/>
        <v>180.80421209999997</v>
      </c>
      <c r="CN12" s="31">
        <f t="shared" si="61"/>
        <v>0</v>
      </c>
      <c r="CO12" s="31">
        <f t="shared" si="62"/>
        <v>0</v>
      </c>
      <c r="CP12" s="33">
        <f>[4]SLP!DD12*0.4</f>
        <v>0</v>
      </c>
      <c r="CQ12" s="37">
        <f t="shared" si="63"/>
        <v>-1</v>
      </c>
      <c r="CR12" s="144"/>
    </row>
    <row r="13" spans="1:99" s="26" customFormat="1" ht="16" customHeight="1" x14ac:dyDescent="0.2">
      <c r="A13" s="38" t="s">
        <v>37</v>
      </c>
      <c r="B13" s="30">
        <f t="shared" si="0"/>
        <v>62541.600000000013</v>
      </c>
      <c r="C13" s="31">
        <f t="shared" si="0"/>
        <v>54855.237360000021</v>
      </c>
      <c r="D13" s="32">
        <f t="shared" si="0"/>
        <v>7686.3626399999985</v>
      </c>
      <c r="E13" s="30">
        <f t="shared" si="14"/>
        <v>20847.2</v>
      </c>
      <c r="F13" s="33">
        <f t="shared" si="14"/>
        <v>18285.079120000002</v>
      </c>
      <c r="G13" s="34">
        <f t="shared" si="14"/>
        <v>2562.1208799999999</v>
      </c>
      <c r="H13" s="31">
        <f t="shared" si="1"/>
        <v>2258.4540509082117</v>
      </c>
      <c r="I13" s="33">
        <f t="shared" si="1"/>
        <v>18014.921630494042</v>
      </c>
      <c r="J13" s="33">
        <f t="shared" si="1"/>
        <v>20273.375681402256</v>
      </c>
      <c r="K13" s="37">
        <f t="shared" si="2"/>
        <v>-2.7525246488628863E-2</v>
      </c>
      <c r="L13" s="36">
        <f>[1]FUNIL!$E13</f>
        <v>5211.8</v>
      </c>
      <c r="M13" s="31">
        <f t="shared" si="15"/>
        <v>4571.2697800000005</v>
      </c>
      <c r="N13" s="31">
        <f t="shared" si="16"/>
        <v>640.53021999999999</v>
      </c>
      <c r="O13" s="31">
        <f t="shared" si="17"/>
        <v>547.29029472264847</v>
      </c>
      <c r="P13" s="31">
        <f t="shared" si="18"/>
        <v>4365.5489756781426</v>
      </c>
      <c r="Q13" s="33">
        <f>[4]SLP!CS13*'[3]SLP-CITROS'!$V$7</f>
        <v>4912.8392704007911</v>
      </c>
      <c r="R13" s="37">
        <f t="shared" si="3"/>
        <v>-5.7362279749646805E-2</v>
      </c>
      <c r="S13" s="36">
        <f>[1]FUNIL!$F13</f>
        <v>5211.8</v>
      </c>
      <c r="T13" s="31">
        <f t="shared" si="19"/>
        <v>4571.2697800000005</v>
      </c>
      <c r="U13" s="31">
        <f t="shared" si="20"/>
        <v>640.53021999999999</v>
      </c>
      <c r="V13" s="31">
        <f t="shared" si="21"/>
        <v>570.38791872852107</v>
      </c>
      <c r="W13" s="31">
        <f t="shared" si="22"/>
        <v>4549.790884938634</v>
      </c>
      <c r="X13" s="33">
        <f>[4]SLP!$CT13*'[3]SLP-CITROS'!$V$7</f>
        <v>5120.1788036671551</v>
      </c>
      <c r="Y13" s="37">
        <f t="shared" si="4"/>
        <v>-1.7579568734956252E-2</v>
      </c>
      <c r="Z13" s="36">
        <f>[1]FUNIL!$G13</f>
        <v>5211.8</v>
      </c>
      <c r="AA13" s="31">
        <f t="shared" si="23"/>
        <v>4571.2697800000005</v>
      </c>
      <c r="AB13" s="31">
        <f t="shared" si="24"/>
        <v>640.53021999999999</v>
      </c>
      <c r="AC13" s="31">
        <f t="shared" si="25"/>
        <v>570.38791872852107</v>
      </c>
      <c r="AD13" s="31">
        <f t="shared" si="26"/>
        <v>4549.790884938634</v>
      </c>
      <c r="AE13" s="33">
        <f>[4]SLP!CU13*'[2]SLP-CITROS'!$V$7</f>
        <v>5120.1788036671551</v>
      </c>
      <c r="AF13" s="37">
        <f t="shared" si="5"/>
        <v>-1.7579568734956252E-2</v>
      </c>
      <c r="AG13" s="36">
        <f>[1]FUNIL!$H13</f>
        <v>5211.8</v>
      </c>
      <c r="AH13" s="31">
        <f t="shared" si="27"/>
        <v>4571.2697800000005</v>
      </c>
      <c r="AI13" s="31">
        <f t="shared" si="28"/>
        <v>640.53021999999999</v>
      </c>
      <c r="AJ13" s="31">
        <f t="shared" si="29"/>
        <v>570.38791872852107</v>
      </c>
      <c r="AK13" s="31">
        <f t="shared" si="30"/>
        <v>4549.790884938634</v>
      </c>
      <c r="AL13" s="33">
        <f>[4]SLP!CV13*'[2]SLP-CITROS'!$V$7</f>
        <v>5120.1788036671551</v>
      </c>
      <c r="AM13" s="37">
        <f t="shared" si="6"/>
        <v>-1.7579568734956252E-2</v>
      </c>
      <c r="AN13" s="36">
        <f>[1]FUNIL!$I13</f>
        <v>5211.8</v>
      </c>
      <c r="AO13" s="31">
        <f t="shared" si="31"/>
        <v>4571.2697800000005</v>
      </c>
      <c r="AP13" s="31">
        <f t="shared" si="32"/>
        <v>640.53021999999999</v>
      </c>
      <c r="AQ13" s="31">
        <f t="shared" si="33"/>
        <v>0</v>
      </c>
      <c r="AR13" s="31">
        <f t="shared" si="34"/>
        <v>0</v>
      </c>
      <c r="AS13" s="33">
        <f>[4]SLP!CW13*0.4</f>
        <v>0</v>
      </c>
      <c r="AT13" s="37">
        <f t="shared" si="7"/>
        <v>-1</v>
      </c>
      <c r="AU13" s="36">
        <f>[1]FUNIL!$J13</f>
        <v>5211.8</v>
      </c>
      <c r="AV13" s="31">
        <f t="shared" si="35"/>
        <v>4571.2697800000005</v>
      </c>
      <c r="AW13" s="31">
        <f t="shared" si="36"/>
        <v>640.53021999999999</v>
      </c>
      <c r="AX13" s="31">
        <f t="shared" si="37"/>
        <v>0</v>
      </c>
      <c r="AY13" s="31">
        <f t="shared" si="38"/>
        <v>0</v>
      </c>
      <c r="AZ13" s="33">
        <f>[4]SLP!CX13*0.4</f>
        <v>0</v>
      </c>
      <c r="BA13" s="37">
        <f t="shared" si="8"/>
        <v>-1</v>
      </c>
      <c r="BB13" s="36">
        <f>[1]FUNIL!$K13</f>
        <v>5211.8</v>
      </c>
      <c r="BC13" s="31">
        <f t="shared" si="39"/>
        <v>4571.2697800000005</v>
      </c>
      <c r="BD13" s="31">
        <f t="shared" si="40"/>
        <v>640.53021999999999</v>
      </c>
      <c r="BE13" s="31">
        <f t="shared" si="41"/>
        <v>0</v>
      </c>
      <c r="BF13" s="31">
        <f t="shared" si="42"/>
        <v>0</v>
      </c>
      <c r="BG13" s="33">
        <f>[4]SLP!CY13*0.4</f>
        <v>0</v>
      </c>
      <c r="BH13" s="37">
        <f t="shared" si="9"/>
        <v>-1</v>
      </c>
      <c r="BI13" s="36">
        <f>[1]FUNIL!$L13</f>
        <v>5211.8</v>
      </c>
      <c r="BJ13" s="31">
        <f t="shared" si="43"/>
        <v>4571.2697800000005</v>
      </c>
      <c r="BK13" s="31">
        <f t="shared" si="44"/>
        <v>640.53021999999999</v>
      </c>
      <c r="BL13" s="31">
        <f t="shared" si="45"/>
        <v>0</v>
      </c>
      <c r="BM13" s="31">
        <f t="shared" si="46"/>
        <v>0</v>
      </c>
      <c r="BN13" s="33">
        <f>[4]SLP!CZ13*0.4</f>
        <v>0</v>
      </c>
      <c r="BO13" s="37">
        <f t="shared" si="10"/>
        <v>-1</v>
      </c>
      <c r="BP13" s="36">
        <f>[1]FUNIL!$M13</f>
        <v>5211.8</v>
      </c>
      <c r="BQ13" s="31">
        <f t="shared" si="47"/>
        <v>4571.2697800000005</v>
      </c>
      <c r="BR13" s="31">
        <f t="shared" si="48"/>
        <v>640.53021999999999</v>
      </c>
      <c r="BS13" s="31">
        <f t="shared" si="49"/>
        <v>0</v>
      </c>
      <c r="BT13" s="31">
        <f t="shared" si="50"/>
        <v>0</v>
      </c>
      <c r="BU13" s="33">
        <f>[4]SLP!DA13*0.4</f>
        <v>0</v>
      </c>
      <c r="BV13" s="37">
        <f t="shared" si="11"/>
        <v>-1</v>
      </c>
      <c r="BW13" s="36">
        <f>[1]FUNIL!$N13</f>
        <v>5211.8</v>
      </c>
      <c r="BX13" s="31">
        <f t="shared" si="51"/>
        <v>4571.2697800000005</v>
      </c>
      <c r="BY13" s="31">
        <f t="shared" si="52"/>
        <v>640.53021999999999</v>
      </c>
      <c r="BZ13" s="31">
        <f t="shared" si="53"/>
        <v>0</v>
      </c>
      <c r="CA13" s="31">
        <f t="shared" si="54"/>
        <v>0</v>
      </c>
      <c r="CB13" s="33">
        <f>[4]SLP!DB13*0.4</f>
        <v>0</v>
      </c>
      <c r="CC13" s="37">
        <f t="shared" si="12"/>
        <v>-1</v>
      </c>
      <c r="CD13" s="36">
        <f>[1]FUNIL!$O13</f>
        <v>5211.8</v>
      </c>
      <c r="CE13" s="31">
        <f t="shared" si="55"/>
        <v>4571.2697800000005</v>
      </c>
      <c r="CF13" s="31">
        <f t="shared" si="56"/>
        <v>640.53021999999999</v>
      </c>
      <c r="CG13" s="31">
        <f t="shared" si="57"/>
        <v>0</v>
      </c>
      <c r="CH13" s="31">
        <f t="shared" si="58"/>
        <v>0</v>
      </c>
      <c r="CI13" s="33">
        <f>[4]SLP!DC13*0.4</f>
        <v>0</v>
      </c>
      <c r="CJ13" s="37">
        <f t="shared" si="13"/>
        <v>-1</v>
      </c>
      <c r="CK13" s="36">
        <f>[1]FUNIL!$P13</f>
        <v>5211.8</v>
      </c>
      <c r="CL13" s="31">
        <f t="shared" si="59"/>
        <v>4571.2697800000005</v>
      </c>
      <c r="CM13" s="31">
        <f t="shared" si="60"/>
        <v>640.53021999999999</v>
      </c>
      <c r="CN13" s="31">
        <f t="shared" si="61"/>
        <v>0</v>
      </c>
      <c r="CO13" s="31">
        <f t="shared" si="62"/>
        <v>0</v>
      </c>
      <c r="CP13" s="33">
        <f>[4]SLP!DD13*0.4</f>
        <v>0</v>
      </c>
      <c r="CQ13" s="37">
        <f t="shared" si="63"/>
        <v>-1</v>
      </c>
      <c r="CR13" s="144"/>
    </row>
    <row r="14" spans="1:99" s="26" customFormat="1" ht="16" customHeight="1" x14ac:dyDescent="0.2">
      <c r="A14" s="39" t="s">
        <v>38</v>
      </c>
      <c r="B14" s="30">
        <f t="shared" si="0"/>
        <v>38615.571792000002</v>
      </c>
      <c r="C14" s="31">
        <f t="shared" si="0"/>
        <v>33869.718018763197</v>
      </c>
      <c r="D14" s="32">
        <f t="shared" si="0"/>
        <v>4745.8537732368013</v>
      </c>
      <c r="E14" s="30">
        <f t="shared" si="14"/>
        <v>12871.857264</v>
      </c>
      <c r="F14" s="33">
        <f t="shared" si="14"/>
        <v>11289.906006254399</v>
      </c>
      <c r="G14" s="34">
        <f t="shared" si="14"/>
        <v>1581.9512577456001</v>
      </c>
      <c r="H14" s="31">
        <f t="shared" si="1"/>
        <v>1973.8345765940021</v>
      </c>
      <c r="I14" s="33">
        <f t="shared" si="1"/>
        <v>15744.608660335987</v>
      </c>
      <c r="J14" s="33">
        <f t="shared" si="1"/>
        <v>17718.443236929987</v>
      </c>
      <c r="K14" s="37">
        <f t="shared" si="2"/>
        <v>0.37652577040959856</v>
      </c>
      <c r="L14" s="36">
        <f>[1]FUNIL!$E14</f>
        <v>3217.9643160000001</v>
      </c>
      <c r="M14" s="31">
        <f t="shared" si="15"/>
        <v>2822.4765015635999</v>
      </c>
      <c r="N14" s="31">
        <f t="shared" si="16"/>
        <v>395.48781443640001</v>
      </c>
      <c r="O14" s="31">
        <f t="shared" si="17"/>
        <v>269.73775180041866</v>
      </c>
      <c r="P14" s="31">
        <f t="shared" si="18"/>
        <v>2151.6065192984893</v>
      </c>
      <c r="Q14" s="33">
        <f>[4]SLP!CS14*'[3]SLP-CITROS'!$V$7</f>
        <v>2421.3442710989079</v>
      </c>
      <c r="R14" s="37">
        <f t="shared" si="3"/>
        <v>-0.24755403313213498</v>
      </c>
      <c r="S14" s="36">
        <f>[1]FUNIL!$F14</f>
        <v>3217.9643160000001</v>
      </c>
      <c r="T14" s="31">
        <f t="shared" si="19"/>
        <v>2822.4765015635999</v>
      </c>
      <c r="U14" s="31">
        <f t="shared" si="20"/>
        <v>395.48781443640001</v>
      </c>
      <c r="V14" s="31">
        <f t="shared" si="21"/>
        <v>985.58042965503773</v>
      </c>
      <c r="W14" s="31">
        <f t="shared" si="22"/>
        <v>7861.6406624009505</v>
      </c>
      <c r="X14" s="33">
        <f>[4]SLP!$CT14*'[3]SLP-CITROS'!$V$7</f>
        <v>8847.2210920559883</v>
      </c>
      <c r="Y14" s="37">
        <f t="shared" si="4"/>
        <v>1.7493223116449212</v>
      </c>
      <c r="Z14" s="36">
        <f>[1]FUNIL!$G14</f>
        <v>3217.9643160000001</v>
      </c>
      <c r="AA14" s="31">
        <f t="shared" si="23"/>
        <v>2822.4765015635999</v>
      </c>
      <c r="AB14" s="31">
        <f t="shared" si="24"/>
        <v>395.48781443640001</v>
      </c>
      <c r="AC14" s="31">
        <f t="shared" si="25"/>
        <v>367.33318265495654</v>
      </c>
      <c r="AD14" s="31">
        <f t="shared" si="26"/>
        <v>2930.0921553608082</v>
      </c>
      <c r="AE14" s="33">
        <f>[4]SLP!CU14*'[2]SLP-CITROS'!$V$7</f>
        <v>3297.4253380157647</v>
      </c>
      <c r="AF14" s="37">
        <f t="shared" si="5"/>
        <v>2.4692946910777502E-2</v>
      </c>
      <c r="AG14" s="36">
        <f>[1]FUNIL!$H14</f>
        <v>3217.9643160000001</v>
      </c>
      <c r="AH14" s="31">
        <f t="shared" si="27"/>
        <v>2822.4765015635999</v>
      </c>
      <c r="AI14" s="31">
        <f t="shared" si="28"/>
        <v>395.48781443640001</v>
      </c>
      <c r="AJ14" s="31">
        <f t="shared" si="29"/>
        <v>351.18321248358916</v>
      </c>
      <c r="AK14" s="31">
        <f t="shared" si="30"/>
        <v>2801.2693232757383</v>
      </c>
      <c r="AL14" s="33">
        <f>[4]SLP!CV14*'[2]SLP-CITROS'!$V$7</f>
        <v>3152.4525357593275</v>
      </c>
      <c r="AM14" s="37">
        <f t="shared" si="6"/>
        <v>-2.0358143785169536E-2</v>
      </c>
      <c r="AN14" s="36">
        <f>[1]FUNIL!$I14</f>
        <v>3217.9643160000001</v>
      </c>
      <c r="AO14" s="31">
        <f t="shared" si="31"/>
        <v>2822.4765015635999</v>
      </c>
      <c r="AP14" s="31">
        <f t="shared" si="32"/>
        <v>395.48781443640001</v>
      </c>
      <c r="AQ14" s="31">
        <f t="shared" si="33"/>
        <v>0</v>
      </c>
      <c r="AR14" s="31">
        <f t="shared" si="34"/>
        <v>0</v>
      </c>
      <c r="AS14" s="33">
        <f>[4]SLP!CW14*0.4</f>
        <v>0</v>
      </c>
      <c r="AT14" s="37">
        <f t="shared" si="7"/>
        <v>-1</v>
      </c>
      <c r="AU14" s="36">
        <f>[1]FUNIL!$J14</f>
        <v>3217.9643160000001</v>
      </c>
      <c r="AV14" s="31">
        <f t="shared" si="35"/>
        <v>2822.4765015635999</v>
      </c>
      <c r="AW14" s="31">
        <f t="shared" si="36"/>
        <v>395.48781443640001</v>
      </c>
      <c r="AX14" s="31">
        <f t="shared" si="37"/>
        <v>0</v>
      </c>
      <c r="AY14" s="31">
        <f t="shared" si="38"/>
        <v>0</v>
      </c>
      <c r="AZ14" s="33">
        <f>[4]SLP!CX14*0.4</f>
        <v>0</v>
      </c>
      <c r="BA14" s="37">
        <f t="shared" si="8"/>
        <v>-1</v>
      </c>
      <c r="BB14" s="36">
        <f>[1]FUNIL!$K14</f>
        <v>3217.9643160000001</v>
      </c>
      <c r="BC14" s="31">
        <f t="shared" si="39"/>
        <v>2822.4765015635999</v>
      </c>
      <c r="BD14" s="31">
        <f t="shared" si="40"/>
        <v>395.48781443640001</v>
      </c>
      <c r="BE14" s="31">
        <f t="shared" si="41"/>
        <v>0</v>
      </c>
      <c r="BF14" s="31">
        <f t="shared" si="42"/>
        <v>0</v>
      </c>
      <c r="BG14" s="33">
        <f>[4]SLP!CY14*0.4</f>
        <v>0</v>
      </c>
      <c r="BH14" s="37">
        <f t="shared" si="9"/>
        <v>-1</v>
      </c>
      <c r="BI14" s="36">
        <f>[1]FUNIL!$L14</f>
        <v>3217.9643160000001</v>
      </c>
      <c r="BJ14" s="31">
        <f t="shared" si="43"/>
        <v>2822.4765015635999</v>
      </c>
      <c r="BK14" s="31">
        <f t="shared" si="44"/>
        <v>395.48781443640001</v>
      </c>
      <c r="BL14" s="31">
        <f t="shared" si="45"/>
        <v>0</v>
      </c>
      <c r="BM14" s="31">
        <f t="shared" si="46"/>
        <v>0</v>
      </c>
      <c r="BN14" s="33">
        <f>[4]SLP!CZ14*0.4</f>
        <v>0</v>
      </c>
      <c r="BO14" s="37">
        <f t="shared" si="10"/>
        <v>-1</v>
      </c>
      <c r="BP14" s="36">
        <f>[1]FUNIL!$M14</f>
        <v>3217.9643160000001</v>
      </c>
      <c r="BQ14" s="31">
        <f t="shared" si="47"/>
        <v>2822.4765015635999</v>
      </c>
      <c r="BR14" s="31">
        <f t="shared" si="48"/>
        <v>395.48781443640001</v>
      </c>
      <c r="BS14" s="31">
        <f t="shared" si="49"/>
        <v>0</v>
      </c>
      <c r="BT14" s="31">
        <f t="shared" si="50"/>
        <v>0</v>
      </c>
      <c r="BU14" s="33">
        <f>[4]SLP!DA14*0.4</f>
        <v>0</v>
      </c>
      <c r="BV14" s="37">
        <f t="shared" si="11"/>
        <v>-1</v>
      </c>
      <c r="BW14" s="36">
        <f>[1]FUNIL!$N14</f>
        <v>3217.9643160000001</v>
      </c>
      <c r="BX14" s="31">
        <f t="shared" si="51"/>
        <v>2822.4765015635999</v>
      </c>
      <c r="BY14" s="31">
        <f t="shared" si="52"/>
        <v>395.48781443640001</v>
      </c>
      <c r="BZ14" s="31">
        <f t="shared" si="53"/>
        <v>0</v>
      </c>
      <c r="CA14" s="31">
        <f t="shared" si="54"/>
        <v>0</v>
      </c>
      <c r="CB14" s="33">
        <f>[4]SLP!DB14*0.4</f>
        <v>0</v>
      </c>
      <c r="CC14" s="37">
        <f t="shared" si="12"/>
        <v>-1</v>
      </c>
      <c r="CD14" s="36">
        <f>[1]FUNIL!$O14</f>
        <v>3217.9643160000001</v>
      </c>
      <c r="CE14" s="31">
        <f t="shared" si="55"/>
        <v>2822.4765015635999</v>
      </c>
      <c r="CF14" s="31">
        <f t="shared" si="56"/>
        <v>395.48781443640001</v>
      </c>
      <c r="CG14" s="31">
        <f t="shared" si="57"/>
        <v>0</v>
      </c>
      <c r="CH14" s="31">
        <f t="shared" si="58"/>
        <v>0</v>
      </c>
      <c r="CI14" s="33">
        <f>[4]SLP!DC14*0.4</f>
        <v>0</v>
      </c>
      <c r="CJ14" s="37">
        <f t="shared" si="13"/>
        <v>-1</v>
      </c>
      <c r="CK14" s="36">
        <f>[1]FUNIL!$P14</f>
        <v>3217.9643160000001</v>
      </c>
      <c r="CL14" s="31">
        <f t="shared" si="59"/>
        <v>2822.4765015635999</v>
      </c>
      <c r="CM14" s="31">
        <f t="shared" si="60"/>
        <v>395.48781443640001</v>
      </c>
      <c r="CN14" s="31">
        <f t="shared" si="61"/>
        <v>0</v>
      </c>
      <c r="CO14" s="31">
        <f t="shared" si="62"/>
        <v>0</v>
      </c>
      <c r="CP14" s="33">
        <f>[4]SLP!DD14*0.4</f>
        <v>0</v>
      </c>
      <c r="CQ14" s="37">
        <f t="shared" si="63"/>
        <v>-1</v>
      </c>
      <c r="CR14" s="144"/>
    </row>
    <row r="15" spans="1:99" s="26" customFormat="1" ht="16" customHeight="1" x14ac:dyDescent="0.2">
      <c r="A15" s="38" t="s">
        <v>39</v>
      </c>
      <c r="B15" s="30">
        <f t="shared" si="0"/>
        <v>105378.71084000001</v>
      </c>
      <c r="C15" s="31">
        <f t="shared" si="0"/>
        <v>92427.667277763976</v>
      </c>
      <c r="D15" s="32">
        <f t="shared" si="0"/>
        <v>12951.043562235998</v>
      </c>
      <c r="E15" s="30">
        <f t="shared" si="14"/>
        <v>34899.349920000001</v>
      </c>
      <c r="F15" s="33">
        <f t="shared" si="14"/>
        <v>30610.219814832002</v>
      </c>
      <c r="G15" s="34">
        <f t="shared" si="14"/>
        <v>4289.1301051680002</v>
      </c>
      <c r="H15" s="31">
        <f t="shared" si="1"/>
        <v>4571.9077224555786</v>
      </c>
      <c r="I15" s="33">
        <f t="shared" si="1"/>
        <v>36468.556572477784</v>
      </c>
      <c r="J15" s="33">
        <f t="shared" si="1"/>
        <v>41040.464294933365</v>
      </c>
      <c r="K15" s="37">
        <f t="shared" si="2"/>
        <v>0.17596644032082764</v>
      </c>
      <c r="L15" s="36">
        <f>[1]FUNIL!$E15</f>
        <v>8724.8374800000001</v>
      </c>
      <c r="M15" s="40">
        <f t="shared" si="15"/>
        <v>7652.5549537080005</v>
      </c>
      <c r="N15" s="40">
        <f t="shared" si="16"/>
        <v>1072.2825262920001</v>
      </c>
      <c r="O15" s="40">
        <f t="shared" si="17"/>
        <v>870.81114163134043</v>
      </c>
      <c r="P15" s="40">
        <f t="shared" si="18"/>
        <v>6946.1649950952269</v>
      </c>
      <c r="Q15" s="115">
        <f>[4]SLP!CS15*'[3]SLP-CITROS'!$V$7</f>
        <v>7816.9761367265673</v>
      </c>
      <c r="R15" s="37">
        <f t="shared" si="3"/>
        <v>-0.1040548142420451</v>
      </c>
      <c r="S15" s="36">
        <f>[1]FUNIL!$F15</f>
        <v>8724.8374800000001</v>
      </c>
      <c r="T15" s="40">
        <f t="shared" si="19"/>
        <v>7652.5549537080005</v>
      </c>
      <c r="U15" s="40">
        <f t="shared" si="20"/>
        <v>1072.2825262920001</v>
      </c>
      <c r="V15" s="40">
        <f t="shared" si="21"/>
        <v>867.60278644598839</v>
      </c>
      <c r="W15" s="40">
        <f t="shared" si="22"/>
        <v>6920.5730344336134</v>
      </c>
      <c r="X15" s="41">
        <f>[4]SLP!$CT15*'[3]SLP-CITROS'!$V$7</f>
        <v>7788.1758208796018</v>
      </c>
      <c r="Y15" s="37">
        <f t="shared" si="4"/>
        <v>-0.10735577152783804</v>
      </c>
      <c r="Z15" s="36">
        <f>[1]FUNIL!$G15</f>
        <v>8724.8374800000001</v>
      </c>
      <c r="AA15" s="40">
        <f t="shared" si="23"/>
        <v>7652.5549537080005</v>
      </c>
      <c r="AB15" s="40">
        <f t="shared" si="24"/>
        <v>1072.2825262920001</v>
      </c>
      <c r="AC15" s="40">
        <f t="shared" si="25"/>
        <v>1299.6788773000226</v>
      </c>
      <c r="AD15" s="40">
        <f t="shared" si="26"/>
        <v>10367.097400078992</v>
      </c>
      <c r="AE15" s="41">
        <f>[4]SLP!CU15*'[2]SLP-CITROS'!$V$7</f>
        <v>11666.776277379015</v>
      </c>
      <c r="AF15" s="37">
        <f t="shared" si="5"/>
        <v>0.33719124328938377</v>
      </c>
      <c r="AG15" s="36">
        <f>[1]FUNIL!$H15</f>
        <v>8724.8374800000001</v>
      </c>
      <c r="AH15" s="40">
        <f t="shared" si="27"/>
        <v>7652.5549537080005</v>
      </c>
      <c r="AI15" s="40">
        <f t="shared" si="28"/>
        <v>1072.2825262920001</v>
      </c>
      <c r="AJ15" s="40">
        <f t="shared" si="29"/>
        <v>1533.8149170782272</v>
      </c>
      <c r="AK15" s="40">
        <f t="shared" si="30"/>
        <v>12234.721142869952</v>
      </c>
      <c r="AL15" s="115">
        <f>[4]SLP!CV15*'[2]SLP-CITROS'!$V$7</f>
        <v>13768.536059948179</v>
      </c>
      <c r="AM15" s="37">
        <f t="shared" si="6"/>
        <v>0.57808510376380995</v>
      </c>
      <c r="AN15" s="36">
        <f>[1]FUNIL!$I15</f>
        <v>8724.8374800000001</v>
      </c>
      <c r="AO15" s="40">
        <f t="shared" si="31"/>
        <v>7652.5549537080005</v>
      </c>
      <c r="AP15" s="40">
        <f t="shared" si="32"/>
        <v>1072.2825262920001</v>
      </c>
      <c r="AQ15" s="40">
        <f t="shared" si="33"/>
        <v>0</v>
      </c>
      <c r="AR15" s="40">
        <f t="shared" si="34"/>
        <v>0</v>
      </c>
      <c r="AS15" s="115">
        <f>[4]SLP!CW15*0.4</f>
        <v>0</v>
      </c>
      <c r="AT15" s="37">
        <f t="shared" si="7"/>
        <v>-1</v>
      </c>
      <c r="AU15" s="36">
        <f>[1]FUNIL!$J15</f>
        <v>8724.8374800000001</v>
      </c>
      <c r="AV15" s="40">
        <f t="shared" si="35"/>
        <v>7652.5549537080005</v>
      </c>
      <c r="AW15" s="40">
        <f t="shared" si="36"/>
        <v>1072.2825262920001</v>
      </c>
      <c r="AX15" s="40">
        <f t="shared" si="37"/>
        <v>0</v>
      </c>
      <c r="AY15" s="40">
        <f t="shared" si="38"/>
        <v>0</v>
      </c>
      <c r="AZ15" s="115">
        <f>[4]SLP!CX15*0.4</f>
        <v>0</v>
      </c>
      <c r="BA15" s="37">
        <f t="shared" si="8"/>
        <v>-1</v>
      </c>
      <c r="BB15" s="36">
        <f>[1]FUNIL!$K15</f>
        <v>9405.49856</v>
      </c>
      <c r="BC15" s="40">
        <f t="shared" si="39"/>
        <v>8249.5627869759992</v>
      </c>
      <c r="BD15" s="40">
        <f t="shared" si="40"/>
        <v>1155.9357730239999</v>
      </c>
      <c r="BE15" s="40">
        <f t="shared" si="41"/>
        <v>0</v>
      </c>
      <c r="BF15" s="40">
        <f t="shared" si="42"/>
        <v>0</v>
      </c>
      <c r="BG15" s="115">
        <f>[4]SLP!CY15*0.4</f>
        <v>0</v>
      </c>
      <c r="BH15" s="37">
        <f t="shared" si="9"/>
        <v>-1</v>
      </c>
      <c r="BI15" s="36">
        <f>[1]FUNIL!$L15</f>
        <v>8724.8374800000001</v>
      </c>
      <c r="BJ15" s="40">
        <f t="shared" si="43"/>
        <v>7652.5549537080005</v>
      </c>
      <c r="BK15" s="40">
        <f t="shared" si="44"/>
        <v>1072.2825262920001</v>
      </c>
      <c r="BL15" s="40">
        <f t="shared" si="45"/>
        <v>0</v>
      </c>
      <c r="BM15" s="40">
        <f t="shared" si="46"/>
        <v>0</v>
      </c>
      <c r="BN15" s="115">
        <f>[4]SLP!CZ15*0.4</f>
        <v>0</v>
      </c>
      <c r="BO15" s="37">
        <f t="shared" si="10"/>
        <v>-1</v>
      </c>
      <c r="BP15" s="36">
        <f>[1]FUNIL!$M15</f>
        <v>8724.8374800000001</v>
      </c>
      <c r="BQ15" s="40">
        <f t="shared" si="47"/>
        <v>7652.5549537080005</v>
      </c>
      <c r="BR15" s="40">
        <f t="shared" si="48"/>
        <v>1072.2825262920001</v>
      </c>
      <c r="BS15" s="40">
        <f t="shared" si="49"/>
        <v>0</v>
      </c>
      <c r="BT15" s="40">
        <f t="shared" si="50"/>
        <v>0</v>
      </c>
      <c r="BU15" s="115">
        <f>[4]SLP!DA15*0.4</f>
        <v>0</v>
      </c>
      <c r="BV15" s="37">
        <f t="shared" si="11"/>
        <v>-1</v>
      </c>
      <c r="BW15" s="36">
        <f>[1]FUNIL!$N15</f>
        <v>8724.8374800000001</v>
      </c>
      <c r="BX15" s="40">
        <f t="shared" si="51"/>
        <v>7652.5549537080005</v>
      </c>
      <c r="BY15" s="40">
        <f t="shared" si="52"/>
        <v>1072.2825262920001</v>
      </c>
      <c r="BZ15" s="40">
        <f t="shared" si="53"/>
        <v>0</v>
      </c>
      <c r="CA15" s="40">
        <f t="shared" si="54"/>
        <v>0</v>
      </c>
      <c r="CB15" s="115">
        <f>[4]SLP!DB15*0.4</f>
        <v>0</v>
      </c>
      <c r="CC15" s="37">
        <f t="shared" si="12"/>
        <v>-1</v>
      </c>
      <c r="CD15" s="36">
        <f>[1]FUNIL!$O15</f>
        <v>8724.8374800000001</v>
      </c>
      <c r="CE15" s="40">
        <f t="shared" si="55"/>
        <v>7652.5549537080005</v>
      </c>
      <c r="CF15" s="40">
        <f t="shared" si="56"/>
        <v>1072.2825262920001</v>
      </c>
      <c r="CG15" s="40">
        <f t="shared" si="57"/>
        <v>0</v>
      </c>
      <c r="CH15" s="40">
        <f t="shared" si="58"/>
        <v>0</v>
      </c>
      <c r="CI15" s="115">
        <f>[4]SLP!DC15*0.4</f>
        <v>0</v>
      </c>
      <c r="CJ15" s="37">
        <f t="shared" si="13"/>
        <v>-1</v>
      </c>
      <c r="CK15" s="36">
        <f>[1]FUNIL!$P15</f>
        <v>8724.8374800000001</v>
      </c>
      <c r="CL15" s="40">
        <f t="shared" si="59"/>
        <v>7652.5549537080005</v>
      </c>
      <c r="CM15" s="40">
        <f t="shared" si="60"/>
        <v>1072.2825262920001</v>
      </c>
      <c r="CN15" s="40">
        <f t="shared" si="61"/>
        <v>0</v>
      </c>
      <c r="CO15" s="40">
        <f t="shared" si="62"/>
        <v>0</v>
      </c>
      <c r="CP15" s="115">
        <f>[4]SLP!DD15*0.4</f>
        <v>0</v>
      </c>
      <c r="CQ15" s="37">
        <f t="shared" si="63"/>
        <v>-1</v>
      </c>
      <c r="CR15" s="144"/>
    </row>
    <row r="16" spans="1:99" s="26" customFormat="1" ht="16" customHeight="1" x14ac:dyDescent="0.2">
      <c r="A16" s="29" t="s">
        <v>40</v>
      </c>
      <c r="B16" s="30">
        <f t="shared" si="0"/>
        <v>35535</v>
      </c>
      <c r="C16" s="31">
        <f t="shared" si="0"/>
        <v>31167.748500000005</v>
      </c>
      <c r="D16" s="32">
        <f t="shared" si="0"/>
        <v>4367.2514999999994</v>
      </c>
      <c r="E16" s="30">
        <f t="shared" si="14"/>
        <v>11845</v>
      </c>
      <c r="F16" s="33">
        <f t="shared" si="14"/>
        <v>10389.2495</v>
      </c>
      <c r="G16" s="34">
        <f t="shared" si="14"/>
        <v>1455.7504999999999</v>
      </c>
      <c r="H16" s="31">
        <f t="shared" si="1"/>
        <v>7145.6234410825618</v>
      </c>
      <c r="I16" s="33">
        <f t="shared" si="1"/>
        <v>56998.213552477173</v>
      </c>
      <c r="J16" s="33">
        <f t="shared" si="1"/>
        <v>64143.836993559737</v>
      </c>
      <c r="K16" s="37">
        <f t="shared" si="2"/>
        <v>4.4152669475356472</v>
      </c>
      <c r="L16" s="36">
        <f>[1]FUNIL!$E16</f>
        <v>2961.25</v>
      </c>
      <c r="M16" s="31">
        <f t="shared" si="15"/>
        <v>2597.312375</v>
      </c>
      <c r="N16" s="31">
        <f t="shared" si="16"/>
        <v>363.93762499999997</v>
      </c>
      <c r="O16" s="31">
        <f t="shared" si="17"/>
        <v>302.17649744233813</v>
      </c>
      <c r="P16" s="31">
        <f t="shared" si="18"/>
        <v>2410.3593862411249</v>
      </c>
      <c r="Q16" s="33">
        <f>[4]SLP!CS16*'[3]SLP-CITROS'!$V$7</f>
        <v>2712.535883683463</v>
      </c>
      <c r="R16" s="37">
        <f t="shared" si="3"/>
        <v>-8.3989570727407981E-2</v>
      </c>
      <c r="S16" s="36">
        <f>[1]FUNIL!$F16</f>
        <v>2961.25</v>
      </c>
      <c r="T16" s="31">
        <f t="shared" si="19"/>
        <v>2597.312375</v>
      </c>
      <c r="U16" s="31">
        <f t="shared" si="20"/>
        <v>363.93762499999997</v>
      </c>
      <c r="V16" s="31">
        <f t="shared" si="21"/>
        <v>5305.551784098112</v>
      </c>
      <c r="W16" s="31">
        <f t="shared" si="22"/>
        <v>42320.586313730491</v>
      </c>
      <c r="X16" s="33">
        <f>[4]SLP!$CT16*'[3]SLP-CITROS'!$V$7</f>
        <v>47626.138097828603</v>
      </c>
      <c r="Y16" s="37">
        <f t="shared" si="4"/>
        <v>15.083119661571498</v>
      </c>
      <c r="Z16" s="36">
        <f>[1]FUNIL!$G16</f>
        <v>2961.25</v>
      </c>
      <c r="AA16" s="31">
        <f t="shared" si="23"/>
        <v>2597.312375</v>
      </c>
      <c r="AB16" s="31">
        <f t="shared" si="24"/>
        <v>363.93762499999997</v>
      </c>
      <c r="AC16" s="31">
        <f t="shared" si="25"/>
        <v>331.59847087839034</v>
      </c>
      <c r="AD16" s="31">
        <f t="shared" si="26"/>
        <v>2645.0484849419877</v>
      </c>
      <c r="AE16" s="33">
        <f>[4]SLP!CU16*'[2]SLP-CITROS'!$V$7</f>
        <v>2976.646955820378</v>
      </c>
      <c r="AF16" s="37">
        <f t="shared" si="5"/>
        <v>5.1994785379072539E-3</v>
      </c>
      <c r="AG16" s="36">
        <f>[1]FUNIL!$H16</f>
        <v>2961.25</v>
      </c>
      <c r="AH16" s="31">
        <f t="shared" si="27"/>
        <v>2597.312375</v>
      </c>
      <c r="AI16" s="31">
        <f t="shared" si="28"/>
        <v>363.93762499999997</v>
      </c>
      <c r="AJ16" s="31">
        <f t="shared" si="29"/>
        <v>1206.2966886637205</v>
      </c>
      <c r="AK16" s="31">
        <f t="shared" si="30"/>
        <v>9622.2193675635735</v>
      </c>
      <c r="AL16" s="33">
        <f>[4]SLP!CV16*'[2]SLP-CITROS'!$V$7</f>
        <v>10828.516056227294</v>
      </c>
      <c r="AM16" s="37">
        <f t="shared" si="6"/>
        <v>2.6567382207605887</v>
      </c>
      <c r="AN16" s="36">
        <f>[1]FUNIL!$I16</f>
        <v>2961.25</v>
      </c>
      <c r="AO16" s="31">
        <f t="shared" si="31"/>
        <v>2597.312375</v>
      </c>
      <c r="AP16" s="31">
        <f t="shared" si="32"/>
        <v>363.93762499999997</v>
      </c>
      <c r="AQ16" s="31">
        <f t="shared" si="33"/>
        <v>0</v>
      </c>
      <c r="AR16" s="31">
        <f t="shared" si="34"/>
        <v>0</v>
      </c>
      <c r="AS16" s="33">
        <f>[4]SLP!CW16*0.4</f>
        <v>0</v>
      </c>
      <c r="AT16" s="37">
        <f t="shared" si="7"/>
        <v>-1</v>
      </c>
      <c r="AU16" s="36">
        <f>[1]FUNIL!$J16</f>
        <v>2961.25</v>
      </c>
      <c r="AV16" s="31">
        <f t="shared" si="35"/>
        <v>2597.312375</v>
      </c>
      <c r="AW16" s="31">
        <f t="shared" si="36"/>
        <v>363.93762499999997</v>
      </c>
      <c r="AX16" s="31">
        <f t="shared" si="37"/>
        <v>0</v>
      </c>
      <c r="AY16" s="31">
        <f t="shared" si="38"/>
        <v>0</v>
      </c>
      <c r="AZ16" s="33">
        <f>[4]SLP!CX16*0.4</f>
        <v>0</v>
      </c>
      <c r="BA16" s="37">
        <f t="shared" si="8"/>
        <v>-1</v>
      </c>
      <c r="BB16" s="36">
        <f>[1]FUNIL!$K16</f>
        <v>2961.25</v>
      </c>
      <c r="BC16" s="31">
        <f t="shared" si="39"/>
        <v>2597.312375</v>
      </c>
      <c r="BD16" s="31">
        <f t="shared" si="40"/>
        <v>363.93762499999997</v>
      </c>
      <c r="BE16" s="31">
        <f t="shared" si="41"/>
        <v>0</v>
      </c>
      <c r="BF16" s="31">
        <f t="shared" si="42"/>
        <v>0</v>
      </c>
      <c r="BG16" s="33">
        <f>[4]SLP!CY16*0.4</f>
        <v>0</v>
      </c>
      <c r="BH16" s="37">
        <f t="shared" si="9"/>
        <v>-1</v>
      </c>
      <c r="BI16" s="36">
        <f>[1]FUNIL!$L16</f>
        <v>2961.25</v>
      </c>
      <c r="BJ16" s="31">
        <f t="shared" si="43"/>
        <v>2597.312375</v>
      </c>
      <c r="BK16" s="31">
        <f t="shared" si="44"/>
        <v>363.93762499999997</v>
      </c>
      <c r="BL16" s="31">
        <f t="shared" si="45"/>
        <v>0</v>
      </c>
      <c r="BM16" s="31">
        <f t="shared" si="46"/>
        <v>0</v>
      </c>
      <c r="BN16" s="33">
        <f>[4]SLP!CZ16*0.4</f>
        <v>0</v>
      </c>
      <c r="BO16" s="37">
        <f t="shared" si="10"/>
        <v>-1</v>
      </c>
      <c r="BP16" s="36">
        <f>[1]FUNIL!$M16</f>
        <v>2961.25</v>
      </c>
      <c r="BQ16" s="31">
        <f t="shared" si="47"/>
        <v>2597.312375</v>
      </c>
      <c r="BR16" s="31">
        <f t="shared" si="48"/>
        <v>363.93762499999997</v>
      </c>
      <c r="BS16" s="31">
        <f t="shared" si="49"/>
        <v>0</v>
      </c>
      <c r="BT16" s="31">
        <f t="shared" si="50"/>
        <v>0</v>
      </c>
      <c r="BU16" s="33">
        <f>[4]SLP!DA16*0.4</f>
        <v>0</v>
      </c>
      <c r="BV16" s="37">
        <f t="shared" si="11"/>
        <v>-1</v>
      </c>
      <c r="BW16" s="36">
        <f>[1]FUNIL!$N16</f>
        <v>2961.25</v>
      </c>
      <c r="BX16" s="31">
        <f t="shared" si="51"/>
        <v>2597.312375</v>
      </c>
      <c r="BY16" s="31">
        <f t="shared" si="52"/>
        <v>363.93762499999997</v>
      </c>
      <c r="BZ16" s="31">
        <f t="shared" si="53"/>
        <v>0</v>
      </c>
      <c r="CA16" s="31">
        <f t="shared" si="54"/>
        <v>0</v>
      </c>
      <c r="CB16" s="33">
        <f>[4]SLP!DB16*0.4</f>
        <v>0</v>
      </c>
      <c r="CC16" s="37">
        <f t="shared" si="12"/>
        <v>-1</v>
      </c>
      <c r="CD16" s="36">
        <f>[1]FUNIL!$O16</f>
        <v>2961.25</v>
      </c>
      <c r="CE16" s="31">
        <f t="shared" si="55"/>
        <v>2597.312375</v>
      </c>
      <c r="CF16" s="31">
        <f t="shared" si="56"/>
        <v>363.93762499999997</v>
      </c>
      <c r="CG16" s="31">
        <f t="shared" si="57"/>
        <v>0</v>
      </c>
      <c r="CH16" s="31">
        <f t="shared" si="58"/>
        <v>0</v>
      </c>
      <c r="CI16" s="33">
        <f>[4]SLP!DC16*0.4</f>
        <v>0</v>
      </c>
      <c r="CJ16" s="37">
        <f t="shared" si="13"/>
        <v>-1</v>
      </c>
      <c r="CK16" s="36">
        <f>[1]FUNIL!$P16</f>
        <v>2961.25</v>
      </c>
      <c r="CL16" s="31">
        <f t="shared" si="59"/>
        <v>2597.312375</v>
      </c>
      <c r="CM16" s="31">
        <f t="shared" si="60"/>
        <v>363.93762499999997</v>
      </c>
      <c r="CN16" s="31">
        <f t="shared" si="61"/>
        <v>0</v>
      </c>
      <c r="CO16" s="31">
        <f t="shared" si="62"/>
        <v>0</v>
      </c>
      <c r="CP16" s="33">
        <f>[4]SLP!DD16*0.4</f>
        <v>0</v>
      </c>
      <c r="CQ16" s="37">
        <f t="shared" si="63"/>
        <v>-1</v>
      </c>
      <c r="CR16" s="144"/>
    </row>
    <row r="17" spans="1:99" s="26" customFormat="1" ht="16" customHeight="1" x14ac:dyDescent="0.2">
      <c r="A17" s="38" t="s">
        <v>41</v>
      </c>
      <c r="B17" s="30">
        <f t="shared" si="0"/>
        <v>447485.14799999999</v>
      </c>
      <c r="C17" s="31">
        <f t="shared" si="0"/>
        <v>392489.22331079998</v>
      </c>
      <c r="D17" s="32">
        <f t="shared" si="0"/>
        <v>54995.924689200001</v>
      </c>
      <c r="E17" s="30">
        <f t="shared" si="14"/>
        <v>149161.71599999999</v>
      </c>
      <c r="F17" s="33">
        <f t="shared" si="14"/>
        <v>130829.74110359998</v>
      </c>
      <c r="G17" s="34">
        <f t="shared" si="14"/>
        <v>18331.974896399999</v>
      </c>
      <c r="H17" s="31">
        <f t="shared" si="1"/>
        <v>20610.751093155788</v>
      </c>
      <c r="I17" s="33">
        <f t="shared" si="1"/>
        <v>164404.96787592664</v>
      </c>
      <c r="J17" s="33">
        <f t="shared" si="1"/>
        <v>185015.7189690824</v>
      </c>
      <c r="K17" s="37">
        <f t="shared" si="2"/>
        <v>0.24037000867623703</v>
      </c>
      <c r="L17" s="36">
        <f>[1]FUNIL!$E17</f>
        <v>37290.428999999996</v>
      </c>
      <c r="M17" s="31">
        <f t="shared" si="15"/>
        <v>32707.435275899996</v>
      </c>
      <c r="N17" s="31">
        <f t="shared" si="16"/>
        <v>4582.9937240999998</v>
      </c>
      <c r="O17" s="31">
        <f t="shared" si="17"/>
        <v>3440.0579603674742</v>
      </c>
      <c r="P17" s="31">
        <f t="shared" si="18"/>
        <v>27440.175077042524</v>
      </c>
      <c r="Q17" s="33">
        <v>30880.233037409998</v>
      </c>
      <c r="R17" s="37">
        <f t="shared" si="3"/>
        <v>-0.17189922815288605</v>
      </c>
      <c r="S17" s="36">
        <f>[1]FUNIL!$F17</f>
        <v>37290.428999999996</v>
      </c>
      <c r="T17" s="31">
        <f t="shared" si="19"/>
        <v>32707.435275899996</v>
      </c>
      <c r="U17" s="31">
        <f t="shared" si="20"/>
        <v>4582.9937240999998</v>
      </c>
      <c r="V17" s="31">
        <f t="shared" si="21"/>
        <v>5762.6568939315985</v>
      </c>
      <c r="W17" s="31">
        <f t="shared" si="22"/>
        <v>45966.75867098396</v>
      </c>
      <c r="X17" s="33">
        <v>51729.415564915558</v>
      </c>
      <c r="Y17" s="37">
        <f t="shared" si="4"/>
        <v>0.38720355201372358</v>
      </c>
      <c r="Z17" s="36">
        <f>[1]FUNIL!$G17</f>
        <v>37290.428999999996</v>
      </c>
      <c r="AA17" s="31">
        <f t="shared" si="23"/>
        <v>32707.435275899996</v>
      </c>
      <c r="AB17" s="31">
        <f t="shared" si="24"/>
        <v>4582.9937240999998</v>
      </c>
      <c r="AC17" s="31">
        <f t="shared" si="25"/>
        <v>5274.7467321704753</v>
      </c>
      <c r="AD17" s="31">
        <f t="shared" si="26"/>
        <v>42074.864867205433</v>
      </c>
      <c r="AE17" s="33">
        <v>47349.611599375909</v>
      </c>
      <c r="AF17" s="37">
        <f t="shared" si="5"/>
        <v>0.26975239677119056</v>
      </c>
      <c r="AG17" s="36">
        <f>[1]FUNIL!$H17</f>
        <v>37290.428999999996</v>
      </c>
      <c r="AH17" s="31">
        <f t="shared" si="27"/>
        <v>32707.435275899996</v>
      </c>
      <c r="AI17" s="31">
        <f t="shared" si="28"/>
        <v>4582.9937240999998</v>
      </c>
      <c r="AJ17" s="31">
        <f t="shared" si="29"/>
        <v>6133.2895066862402</v>
      </c>
      <c r="AK17" s="31">
        <f t="shared" si="30"/>
        <v>48923.169260694718</v>
      </c>
      <c r="AL17" s="33">
        <v>55056.458767380958</v>
      </c>
      <c r="AM17" s="37">
        <f t="shared" si="6"/>
        <v>0.47642331407292104</v>
      </c>
      <c r="AN17" s="36">
        <f>[1]FUNIL!$I17</f>
        <v>37290.428999999996</v>
      </c>
      <c r="AO17" s="31">
        <f t="shared" si="31"/>
        <v>32707.435275899996</v>
      </c>
      <c r="AP17" s="31">
        <f t="shared" si="32"/>
        <v>4582.9937240999998</v>
      </c>
      <c r="AQ17" s="31">
        <f t="shared" si="33"/>
        <v>0</v>
      </c>
      <c r="AR17" s="31">
        <f t="shared" si="34"/>
        <v>0</v>
      </c>
      <c r="AS17" s="33"/>
      <c r="AT17" s="37">
        <f t="shared" si="7"/>
        <v>-1</v>
      </c>
      <c r="AU17" s="36">
        <f>[1]FUNIL!$J17</f>
        <v>37290.428999999996</v>
      </c>
      <c r="AV17" s="31">
        <f t="shared" si="35"/>
        <v>32707.435275899996</v>
      </c>
      <c r="AW17" s="31">
        <f t="shared" si="36"/>
        <v>4582.9937240999998</v>
      </c>
      <c r="AX17" s="31">
        <f t="shared" si="37"/>
        <v>0</v>
      </c>
      <c r="AY17" s="31">
        <f t="shared" si="38"/>
        <v>0</v>
      </c>
      <c r="AZ17" s="33"/>
      <c r="BA17" s="37">
        <f t="shared" si="8"/>
        <v>-1</v>
      </c>
      <c r="BB17" s="36">
        <f>[1]FUNIL!$K17</f>
        <v>37290.428999999996</v>
      </c>
      <c r="BC17" s="31">
        <f t="shared" si="39"/>
        <v>32707.435275899996</v>
      </c>
      <c r="BD17" s="31">
        <f t="shared" si="40"/>
        <v>4582.9937240999998</v>
      </c>
      <c r="BE17" s="31">
        <f t="shared" si="41"/>
        <v>0</v>
      </c>
      <c r="BF17" s="31">
        <f t="shared" si="42"/>
        <v>0</v>
      </c>
      <c r="BG17" s="33"/>
      <c r="BH17" s="37">
        <f t="shared" si="9"/>
        <v>-1</v>
      </c>
      <c r="BI17" s="36">
        <f>[1]FUNIL!$L17</f>
        <v>37290.428999999996</v>
      </c>
      <c r="BJ17" s="31">
        <f t="shared" si="43"/>
        <v>32707.435275899996</v>
      </c>
      <c r="BK17" s="31">
        <f t="shared" si="44"/>
        <v>4582.9937240999998</v>
      </c>
      <c r="BL17" s="31">
        <f t="shared" si="45"/>
        <v>0</v>
      </c>
      <c r="BM17" s="31">
        <f t="shared" si="46"/>
        <v>0</v>
      </c>
      <c r="BN17" s="33"/>
      <c r="BO17" s="37">
        <f t="shared" si="10"/>
        <v>-1</v>
      </c>
      <c r="BP17" s="36">
        <f>[1]FUNIL!$M17</f>
        <v>37290.428999999996</v>
      </c>
      <c r="BQ17" s="31">
        <f t="shared" si="47"/>
        <v>32707.435275899996</v>
      </c>
      <c r="BR17" s="31">
        <f t="shared" si="48"/>
        <v>4582.9937240999998</v>
      </c>
      <c r="BS17" s="31">
        <f t="shared" si="49"/>
        <v>0</v>
      </c>
      <c r="BT17" s="31">
        <f t="shared" si="50"/>
        <v>0</v>
      </c>
      <c r="BU17" s="33"/>
      <c r="BV17" s="37">
        <f t="shared" si="11"/>
        <v>-1</v>
      </c>
      <c r="BW17" s="36">
        <f>[1]FUNIL!$N17</f>
        <v>37290.428999999996</v>
      </c>
      <c r="BX17" s="31">
        <f t="shared" si="51"/>
        <v>32707.435275899996</v>
      </c>
      <c r="BY17" s="31">
        <f t="shared" si="52"/>
        <v>4582.9937240999998</v>
      </c>
      <c r="BZ17" s="31">
        <f t="shared" si="53"/>
        <v>0</v>
      </c>
      <c r="CA17" s="31">
        <f t="shared" si="54"/>
        <v>0</v>
      </c>
      <c r="CB17" s="33"/>
      <c r="CC17" s="37">
        <f t="shared" si="12"/>
        <v>-1</v>
      </c>
      <c r="CD17" s="36">
        <f>[1]FUNIL!$O17</f>
        <v>37290.428999999996</v>
      </c>
      <c r="CE17" s="31">
        <f t="shared" si="55"/>
        <v>32707.435275899996</v>
      </c>
      <c r="CF17" s="31">
        <f t="shared" si="56"/>
        <v>4582.9937240999998</v>
      </c>
      <c r="CG17" s="31">
        <f t="shared" si="57"/>
        <v>0</v>
      </c>
      <c r="CH17" s="31">
        <f t="shared" si="58"/>
        <v>0</v>
      </c>
      <c r="CI17" s="33"/>
      <c r="CJ17" s="37">
        <f t="shared" si="13"/>
        <v>-1</v>
      </c>
      <c r="CK17" s="36">
        <f>[1]FUNIL!$P17</f>
        <v>37290.428999999996</v>
      </c>
      <c r="CL17" s="31">
        <f t="shared" si="59"/>
        <v>32707.435275899996</v>
      </c>
      <c r="CM17" s="31">
        <f t="shared" si="60"/>
        <v>4582.9937240999998</v>
      </c>
      <c r="CN17" s="31">
        <f t="shared" si="61"/>
        <v>0</v>
      </c>
      <c r="CO17" s="31">
        <f t="shared" si="62"/>
        <v>0</v>
      </c>
      <c r="CP17" s="33"/>
      <c r="CQ17" s="37">
        <f t="shared" si="63"/>
        <v>-1</v>
      </c>
      <c r="CR17" s="144"/>
      <c r="CS17" s="199"/>
      <c r="CT17" s="199"/>
      <c r="CU17" s="199"/>
    </row>
    <row r="18" spans="1:99" s="26" customFormat="1" ht="16" customHeight="1" x14ac:dyDescent="0.2">
      <c r="A18" s="38" t="s">
        <v>42</v>
      </c>
      <c r="B18" s="30">
        <f t="shared" si="0"/>
        <v>62588.506200000011</v>
      </c>
      <c r="C18" s="31">
        <f t="shared" si="0"/>
        <v>54896.378788020018</v>
      </c>
      <c r="D18" s="32">
        <f t="shared" si="0"/>
        <v>7692.1274119799973</v>
      </c>
      <c r="E18" s="30">
        <f t="shared" si="14"/>
        <v>20862.8354</v>
      </c>
      <c r="F18" s="33">
        <f t="shared" si="14"/>
        <v>18298.792929340001</v>
      </c>
      <c r="G18" s="34">
        <f t="shared" si="14"/>
        <v>2564.0424706599997</v>
      </c>
      <c r="H18" s="31">
        <f t="shared" si="1"/>
        <v>3460.404894015448</v>
      </c>
      <c r="I18" s="33">
        <f t="shared" si="1"/>
        <v>27602.475662676185</v>
      </c>
      <c r="J18" s="33">
        <f t="shared" si="1"/>
        <v>31062.880556691634</v>
      </c>
      <c r="K18" s="37">
        <f t="shared" si="2"/>
        <v>0.48890982271238337</v>
      </c>
      <c r="L18" s="36">
        <f>[1]FUNIL!$E18</f>
        <v>5215.70885</v>
      </c>
      <c r="M18" s="31">
        <f t="shared" si="15"/>
        <v>4574.6982323350003</v>
      </c>
      <c r="N18" s="31">
        <f t="shared" si="16"/>
        <v>641.01061766499993</v>
      </c>
      <c r="O18" s="31">
        <f t="shared" si="17"/>
        <v>837.49375901395433</v>
      </c>
      <c r="P18" s="31">
        <f t="shared" si="18"/>
        <v>6680.4035391364414</v>
      </c>
      <c r="Q18" s="33">
        <v>7517.8972981503957</v>
      </c>
      <c r="R18" s="37">
        <f t="shared" si="3"/>
        <v>0.4413951227646451</v>
      </c>
      <c r="S18" s="36">
        <f>[1]FUNIL!$F18</f>
        <v>5215.70885</v>
      </c>
      <c r="T18" s="31">
        <f t="shared" si="19"/>
        <v>4574.6982323350003</v>
      </c>
      <c r="U18" s="31">
        <f t="shared" si="20"/>
        <v>641.01061766499993</v>
      </c>
      <c r="V18" s="31">
        <f t="shared" si="21"/>
        <v>2622.9111350014937</v>
      </c>
      <c r="W18" s="31">
        <f t="shared" si="22"/>
        <v>20922.072123539743</v>
      </c>
      <c r="X18" s="33">
        <v>23544.983258541237</v>
      </c>
      <c r="Y18" s="37">
        <f t="shared" si="4"/>
        <v>3.5142441680848879</v>
      </c>
      <c r="Z18" s="36">
        <f>[1]FUNIL!$G18</f>
        <v>5215.70885</v>
      </c>
      <c r="AA18" s="31">
        <f t="shared" si="23"/>
        <v>4574.6982323350003</v>
      </c>
      <c r="AB18" s="31">
        <f t="shared" si="24"/>
        <v>641.01061766499993</v>
      </c>
      <c r="AC18" s="31">
        <f t="shared" si="25"/>
        <v>0</v>
      </c>
      <c r="AD18" s="31">
        <f t="shared" si="26"/>
        <v>0</v>
      </c>
      <c r="AE18" s="33">
        <v>0</v>
      </c>
      <c r="AF18" s="37">
        <f t="shared" si="5"/>
        <v>-1</v>
      </c>
      <c r="AG18" s="36">
        <f>[1]FUNIL!$H18</f>
        <v>5215.70885</v>
      </c>
      <c r="AH18" s="31">
        <f t="shared" si="27"/>
        <v>4574.6982323350003</v>
      </c>
      <c r="AI18" s="31">
        <f t="shared" si="28"/>
        <v>641.01061766499993</v>
      </c>
      <c r="AJ18" s="31">
        <f t="shared" si="29"/>
        <v>0</v>
      </c>
      <c r="AK18" s="31">
        <f t="shared" si="30"/>
        <v>0</v>
      </c>
      <c r="AL18" s="33">
        <v>0</v>
      </c>
      <c r="AM18" s="37">
        <f t="shared" si="6"/>
        <v>-1</v>
      </c>
      <c r="AN18" s="36">
        <f>[1]FUNIL!$I18</f>
        <v>5215.70885</v>
      </c>
      <c r="AO18" s="31">
        <f t="shared" si="31"/>
        <v>4574.6982323350003</v>
      </c>
      <c r="AP18" s="31">
        <f t="shared" si="32"/>
        <v>641.01061766499993</v>
      </c>
      <c r="AQ18" s="31">
        <f t="shared" si="33"/>
        <v>0</v>
      </c>
      <c r="AR18" s="31">
        <f t="shared" si="34"/>
        <v>0</v>
      </c>
      <c r="AS18" s="33"/>
      <c r="AT18" s="37">
        <f t="shared" si="7"/>
        <v>-1</v>
      </c>
      <c r="AU18" s="36">
        <f>[1]FUNIL!$J18</f>
        <v>5215.70885</v>
      </c>
      <c r="AV18" s="31">
        <f t="shared" si="35"/>
        <v>4574.6982323350003</v>
      </c>
      <c r="AW18" s="31">
        <f t="shared" si="36"/>
        <v>641.01061766499993</v>
      </c>
      <c r="AX18" s="31">
        <f t="shared" si="37"/>
        <v>0</v>
      </c>
      <c r="AY18" s="31">
        <f t="shared" si="38"/>
        <v>0</v>
      </c>
      <c r="AZ18" s="33"/>
      <c r="BA18" s="37">
        <f t="shared" si="8"/>
        <v>-1</v>
      </c>
      <c r="BB18" s="36">
        <f>[1]FUNIL!$K18</f>
        <v>5215.70885</v>
      </c>
      <c r="BC18" s="31">
        <f t="shared" si="39"/>
        <v>4574.6982323350003</v>
      </c>
      <c r="BD18" s="31">
        <f t="shared" si="40"/>
        <v>641.01061766499993</v>
      </c>
      <c r="BE18" s="31">
        <f t="shared" si="41"/>
        <v>0</v>
      </c>
      <c r="BF18" s="31">
        <f t="shared" si="42"/>
        <v>0</v>
      </c>
      <c r="BG18" s="33"/>
      <c r="BH18" s="37">
        <f t="shared" si="9"/>
        <v>-1</v>
      </c>
      <c r="BI18" s="36">
        <f>[1]FUNIL!$L18</f>
        <v>5215.70885</v>
      </c>
      <c r="BJ18" s="31">
        <f t="shared" si="43"/>
        <v>4574.6982323350003</v>
      </c>
      <c r="BK18" s="31">
        <f t="shared" si="44"/>
        <v>641.01061766499993</v>
      </c>
      <c r="BL18" s="31">
        <f t="shared" si="45"/>
        <v>0</v>
      </c>
      <c r="BM18" s="31">
        <f t="shared" si="46"/>
        <v>0</v>
      </c>
      <c r="BN18" s="33"/>
      <c r="BO18" s="37">
        <f t="shared" si="10"/>
        <v>-1</v>
      </c>
      <c r="BP18" s="36">
        <f>[1]FUNIL!$M18</f>
        <v>5215.70885</v>
      </c>
      <c r="BQ18" s="31">
        <f t="shared" si="47"/>
        <v>4574.6982323350003</v>
      </c>
      <c r="BR18" s="31">
        <f t="shared" si="48"/>
        <v>641.01061766499993</v>
      </c>
      <c r="BS18" s="31">
        <f t="shared" si="49"/>
        <v>0</v>
      </c>
      <c r="BT18" s="31">
        <f t="shared" si="50"/>
        <v>0</v>
      </c>
      <c r="BU18" s="33"/>
      <c r="BV18" s="37">
        <f t="shared" si="11"/>
        <v>-1</v>
      </c>
      <c r="BW18" s="36">
        <f>[1]FUNIL!$N18</f>
        <v>5215.70885</v>
      </c>
      <c r="BX18" s="31">
        <f t="shared" si="51"/>
        <v>4574.6982323350003</v>
      </c>
      <c r="BY18" s="31">
        <f t="shared" si="52"/>
        <v>641.01061766499993</v>
      </c>
      <c r="BZ18" s="31">
        <f t="shared" si="53"/>
        <v>0</v>
      </c>
      <c r="CA18" s="31">
        <f t="shared" si="54"/>
        <v>0</v>
      </c>
      <c r="CB18" s="33"/>
      <c r="CC18" s="37">
        <f t="shared" si="12"/>
        <v>-1</v>
      </c>
      <c r="CD18" s="36">
        <f>[1]FUNIL!$O18</f>
        <v>5215.70885</v>
      </c>
      <c r="CE18" s="31">
        <f t="shared" si="55"/>
        <v>4574.6982323350003</v>
      </c>
      <c r="CF18" s="31">
        <f t="shared" si="56"/>
        <v>641.01061766499993</v>
      </c>
      <c r="CG18" s="31">
        <f t="shared" si="57"/>
        <v>0</v>
      </c>
      <c r="CH18" s="31">
        <f t="shared" si="58"/>
        <v>0</v>
      </c>
      <c r="CI18" s="33"/>
      <c r="CJ18" s="37">
        <f t="shared" si="13"/>
        <v>-1</v>
      </c>
      <c r="CK18" s="36">
        <f>[1]FUNIL!$P18</f>
        <v>5215.70885</v>
      </c>
      <c r="CL18" s="31">
        <f t="shared" si="59"/>
        <v>4574.6982323350003</v>
      </c>
      <c r="CM18" s="31">
        <f t="shared" si="60"/>
        <v>641.01061766499993</v>
      </c>
      <c r="CN18" s="31">
        <f t="shared" si="61"/>
        <v>0</v>
      </c>
      <c r="CO18" s="31">
        <f t="shared" si="62"/>
        <v>0</v>
      </c>
      <c r="CP18" s="33"/>
      <c r="CQ18" s="37">
        <f t="shared" si="63"/>
        <v>-1</v>
      </c>
      <c r="CR18" s="144"/>
      <c r="CS18" s="199"/>
      <c r="CT18" s="199"/>
      <c r="CU18" s="199"/>
    </row>
    <row r="19" spans="1:99" s="26" customFormat="1" ht="16" customHeight="1" x14ac:dyDescent="0.2">
      <c r="A19" s="38" t="s">
        <v>43</v>
      </c>
      <c r="B19" s="30">
        <f t="shared" si="0"/>
        <v>16582.999999999996</v>
      </c>
      <c r="C19" s="31">
        <f t="shared" si="0"/>
        <v>14544.949299999998</v>
      </c>
      <c r="D19" s="32">
        <f t="shared" si="0"/>
        <v>2038.0507</v>
      </c>
      <c r="E19" s="30">
        <f t="shared" si="14"/>
        <v>5527.6666666666661</v>
      </c>
      <c r="F19" s="33">
        <f t="shared" si="14"/>
        <v>4848.3164333333325</v>
      </c>
      <c r="G19" s="34">
        <f t="shared" si="14"/>
        <v>679.35023333333322</v>
      </c>
      <c r="H19" s="31">
        <f t="shared" si="1"/>
        <v>895.70520578921844</v>
      </c>
      <c r="I19" s="33">
        <f t="shared" si="1"/>
        <v>7144.7364978841888</v>
      </c>
      <c r="J19" s="33">
        <f t="shared" si="1"/>
        <v>8040.4417036734085</v>
      </c>
      <c r="K19" s="37">
        <f t="shared" si="2"/>
        <v>0.45458150582043233</v>
      </c>
      <c r="L19" s="36">
        <f>[1]FUNIL!$E19</f>
        <v>1381.9166666666665</v>
      </c>
      <c r="M19" s="31">
        <f t="shared" si="15"/>
        <v>1212.0791083333331</v>
      </c>
      <c r="N19" s="31">
        <f t="shared" si="16"/>
        <v>169.83755833333331</v>
      </c>
      <c r="O19" s="31">
        <f t="shared" si="17"/>
        <v>291.79247643832787</v>
      </c>
      <c r="P19" s="31">
        <f t="shared" si="18"/>
        <v>2327.5295741750251</v>
      </c>
      <c r="Q19" s="33">
        <v>2619.322050613353</v>
      </c>
      <c r="R19" s="37">
        <f t="shared" si="3"/>
        <v>0.89542691957789544</v>
      </c>
      <c r="S19" s="36">
        <f>[1]FUNIL!$F19</f>
        <v>1381.9166666666665</v>
      </c>
      <c r="T19" s="31">
        <f t="shared" si="19"/>
        <v>1212.0791083333331</v>
      </c>
      <c r="U19" s="31">
        <f t="shared" si="20"/>
        <v>169.83755833333331</v>
      </c>
      <c r="V19" s="31">
        <f t="shared" si="21"/>
        <v>237.61689781388691</v>
      </c>
      <c r="W19" s="31">
        <f t="shared" si="22"/>
        <v>1895.3893662245948</v>
      </c>
      <c r="X19" s="33">
        <v>2133.0062640384817</v>
      </c>
      <c r="Y19" s="37">
        <f t="shared" si="4"/>
        <v>0.54351294509206927</v>
      </c>
      <c r="Z19" s="36">
        <f>[1]FUNIL!$G19</f>
        <v>1381.9166666666665</v>
      </c>
      <c r="AA19" s="31">
        <f t="shared" si="23"/>
        <v>1212.0791083333331</v>
      </c>
      <c r="AB19" s="31">
        <f t="shared" si="24"/>
        <v>169.83755833333331</v>
      </c>
      <c r="AC19" s="31">
        <f t="shared" si="25"/>
        <v>39.292844635508004</v>
      </c>
      <c r="AD19" s="31">
        <f t="shared" si="26"/>
        <v>313.42568889687971</v>
      </c>
      <c r="AE19" s="33">
        <v>352.71853353238771</v>
      </c>
      <c r="AF19" s="37">
        <f t="shared" si="5"/>
        <v>-0.7447613578732043</v>
      </c>
      <c r="AG19" s="36">
        <f>[1]FUNIL!$H19</f>
        <v>1381.9166666666665</v>
      </c>
      <c r="AH19" s="31">
        <f t="shared" si="27"/>
        <v>1212.0791083333331</v>
      </c>
      <c r="AI19" s="31">
        <f t="shared" si="28"/>
        <v>169.83755833333331</v>
      </c>
      <c r="AJ19" s="31">
        <f t="shared" si="29"/>
        <v>327.00298690149566</v>
      </c>
      <c r="AK19" s="31">
        <f t="shared" si="30"/>
        <v>2608.3918685876902</v>
      </c>
      <c r="AL19" s="33">
        <v>2935.3948554891858</v>
      </c>
      <c r="AM19" s="37">
        <f t="shared" si="6"/>
        <v>1.1241475164849684</v>
      </c>
      <c r="AN19" s="36">
        <f>[1]FUNIL!$I19</f>
        <v>1381.9166666666665</v>
      </c>
      <c r="AO19" s="31">
        <f t="shared" si="31"/>
        <v>1212.0791083333331</v>
      </c>
      <c r="AP19" s="31">
        <f t="shared" si="32"/>
        <v>169.83755833333331</v>
      </c>
      <c r="AQ19" s="31">
        <f t="shared" si="33"/>
        <v>0</v>
      </c>
      <c r="AR19" s="31">
        <f t="shared" si="34"/>
        <v>0</v>
      </c>
      <c r="AS19" s="33"/>
      <c r="AT19" s="37">
        <f t="shared" si="7"/>
        <v>-1</v>
      </c>
      <c r="AU19" s="36">
        <f>[1]FUNIL!$J19</f>
        <v>1381.9166666666665</v>
      </c>
      <c r="AV19" s="31">
        <f t="shared" si="35"/>
        <v>1212.0791083333331</v>
      </c>
      <c r="AW19" s="31">
        <f t="shared" si="36"/>
        <v>169.83755833333331</v>
      </c>
      <c r="AX19" s="31">
        <f t="shared" si="37"/>
        <v>0</v>
      </c>
      <c r="AY19" s="31">
        <f t="shared" si="38"/>
        <v>0</v>
      </c>
      <c r="AZ19" s="33"/>
      <c r="BA19" s="37">
        <f t="shared" si="8"/>
        <v>-1</v>
      </c>
      <c r="BB19" s="36">
        <f>[1]FUNIL!$K19</f>
        <v>1381.9166666666665</v>
      </c>
      <c r="BC19" s="31">
        <f t="shared" si="39"/>
        <v>1212.0791083333331</v>
      </c>
      <c r="BD19" s="31">
        <f t="shared" si="40"/>
        <v>169.83755833333331</v>
      </c>
      <c r="BE19" s="31">
        <f t="shared" si="41"/>
        <v>0</v>
      </c>
      <c r="BF19" s="31">
        <f t="shared" si="42"/>
        <v>0</v>
      </c>
      <c r="BG19" s="33"/>
      <c r="BH19" s="37">
        <f t="shared" si="9"/>
        <v>-1</v>
      </c>
      <c r="BI19" s="36">
        <f>[1]FUNIL!$L19</f>
        <v>1381.9166666666665</v>
      </c>
      <c r="BJ19" s="31">
        <f t="shared" si="43"/>
        <v>1212.0791083333331</v>
      </c>
      <c r="BK19" s="31">
        <f t="shared" si="44"/>
        <v>169.83755833333331</v>
      </c>
      <c r="BL19" s="31">
        <f t="shared" si="45"/>
        <v>0</v>
      </c>
      <c r="BM19" s="31">
        <f t="shared" si="46"/>
        <v>0</v>
      </c>
      <c r="BN19" s="33"/>
      <c r="BO19" s="37">
        <f t="shared" si="10"/>
        <v>-1</v>
      </c>
      <c r="BP19" s="36">
        <f>[1]FUNIL!$M19</f>
        <v>1381.9166666666665</v>
      </c>
      <c r="BQ19" s="31">
        <f t="shared" si="47"/>
        <v>1212.0791083333331</v>
      </c>
      <c r="BR19" s="31">
        <f t="shared" si="48"/>
        <v>169.83755833333331</v>
      </c>
      <c r="BS19" s="31">
        <f t="shared" si="49"/>
        <v>0</v>
      </c>
      <c r="BT19" s="31">
        <f t="shared" si="50"/>
        <v>0</v>
      </c>
      <c r="BU19" s="33"/>
      <c r="BV19" s="37">
        <f t="shared" si="11"/>
        <v>-1</v>
      </c>
      <c r="BW19" s="36">
        <f>[1]FUNIL!$N19</f>
        <v>1381.9166666666665</v>
      </c>
      <c r="BX19" s="31">
        <f t="shared" si="51"/>
        <v>1212.0791083333331</v>
      </c>
      <c r="BY19" s="31">
        <f t="shared" si="52"/>
        <v>169.83755833333331</v>
      </c>
      <c r="BZ19" s="31">
        <f t="shared" si="53"/>
        <v>0</v>
      </c>
      <c r="CA19" s="31">
        <f t="shared" si="54"/>
        <v>0</v>
      </c>
      <c r="CB19" s="33"/>
      <c r="CC19" s="37">
        <f t="shared" si="12"/>
        <v>-1</v>
      </c>
      <c r="CD19" s="36">
        <f>[1]FUNIL!$O19</f>
        <v>1381.9166666666665</v>
      </c>
      <c r="CE19" s="31">
        <f t="shared" si="55"/>
        <v>1212.0791083333331</v>
      </c>
      <c r="CF19" s="31">
        <f t="shared" si="56"/>
        <v>169.83755833333331</v>
      </c>
      <c r="CG19" s="31">
        <f t="shared" si="57"/>
        <v>0</v>
      </c>
      <c r="CH19" s="31">
        <f t="shared" si="58"/>
        <v>0</v>
      </c>
      <c r="CI19" s="33"/>
      <c r="CJ19" s="37">
        <f t="shared" si="13"/>
        <v>-1</v>
      </c>
      <c r="CK19" s="36">
        <f>[1]FUNIL!$P19</f>
        <v>1381.9166666666665</v>
      </c>
      <c r="CL19" s="31">
        <f t="shared" si="59"/>
        <v>1212.0791083333331</v>
      </c>
      <c r="CM19" s="31">
        <f t="shared" si="60"/>
        <v>169.83755833333331</v>
      </c>
      <c r="CN19" s="31">
        <f t="shared" si="61"/>
        <v>0</v>
      </c>
      <c r="CO19" s="31">
        <f t="shared" si="62"/>
        <v>0</v>
      </c>
      <c r="CP19" s="33"/>
      <c r="CQ19" s="37">
        <f t="shared" si="63"/>
        <v>-1</v>
      </c>
      <c r="CR19" s="144"/>
      <c r="CS19" s="199"/>
      <c r="CT19" s="199"/>
      <c r="CU19" s="199"/>
    </row>
    <row r="20" spans="1:99" s="26" customFormat="1" ht="16" customHeight="1" x14ac:dyDescent="0.2">
      <c r="A20" s="29" t="s">
        <v>44</v>
      </c>
      <c r="B20" s="30">
        <f t="shared" si="0"/>
        <v>718325.30594285543</v>
      </c>
      <c r="C20" s="31">
        <f t="shared" si="0"/>
        <v>630043.12584247859</v>
      </c>
      <c r="D20" s="32">
        <f t="shared" si="0"/>
        <v>88282.180100376936</v>
      </c>
      <c r="E20" s="30">
        <f t="shared" si="14"/>
        <v>327243.43809142802</v>
      </c>
      <c r="F20" s="33">
        <f t="shared" si="14"/>
        <v>287025.21954999154</v>
      </c>
      <c r="G20" s="34">
        <f t="shared" si="14"/>
        <v>40218.218541436501</v>
      </c>
      <c r="H20" s="31">
        <f t="shared" si="1"/>
        <v>18781.589944000007</v>
      </c>
      <c r="I20" s="33">
        <f t="shared" si="1"/>
        <v>149814.37005600001</v>
      </c>
      <c r="J20" s="33">
        <f t="shared" si="1"/>
        <v>168595.96000000002</v>
      </c>
      <c r="K20" s="37">
        <f t="shared" si="2"/>
        <v>-0.48479957005922836</v>
      </c>
      <c r="L20" s="36">
        <f>[1]FUNIL!$E20</f>
        <v>0</v>
      </c>
      <c r="M20" s="31">
        <f t="shared" si="15"/>
        <v>0</v>
      </c>
      <c r="N20" s="31">
        <f t="shared" si="16"/>
        <v>0</v>
      </c>
      <c r="O20" s="31">
        <f t="shared" si="17"/>
        <v>143.83522400000015</v>
      </c>
      <c r="P20" s="31">
        <f t="shared" si="18"/>
        <v>1147.3247759999999</v>
      </c>
      <c r="Q20" s="33">
        <v>1291.1600000000001</v>
      </c>
      <c r="R20" s="37" t="str">
        <f t="shared" si="3"/>
        <v/>
      </c>
      <c r="S20" s="36">
        <f>[1]FUNIL!$F20</f>
        <v>0</v>
      </c>
      <c r="T20" s="31">
        <f t="shared" si="19"/>
        <v>0</v>
      </c>
      <c r="U20" s="31">
        <f t="shared" si="20"/>
        <v>0</v>
      </c>
      <c r="V20" s="31">
        <f t="shared" si="21"/>
        <v>335.77296800000022</v>
      </c>
      <c r="W20" s="31">
        <f t="shared" si="22"/>
        <v>2678.3470319999997</v>
      </c>
      <c r="X20" s="33">
        <v>3014.12</v>
      </c>
      <c r="Y20" s="37" t="str">
        <f t="shared" si="4"/>
        <v/>
      </c>
      <c r="Z20" s="36">
        <f>[1]FUNIL!$G20</f>
        <v>327243.43809142802</v>
      </c>
      <c r="AA20" s="31">
        <f t="shared" si="23"/>
        <v>287025.21954999154</v>
      </c>
      <c r="AB20" s="31">
        <f t="shared" si="24"/>
        <v>40218.218541436501</v>
      </c>
      <c r="AC20" s="31">
        <f t="shared" si="25"/>
        <v>9656.9830440000078</v>
      </c>
      <c r="AD20" s="31">
        <f t="shared" si="26"/>
        <v>77030.476955999999</v>
      </c>
      <c r="AE20" s="33">
        <v>86687.46</v>
      </c>
      <c r="AF20" s="37">
        <f t="shared" si="5"/>
        <v>-0.73509794266438266</v>
      </c>
      <c r="AG20" s="36">
        <f>[1]FUNIL!$H20</f>
        <v>0</v>
      </c>
      <c r="AH20" s="31">
        <f t="shared" si="27"/>
        <v>0</v>
      </c>
      <c r="AI20" s="31">
        <f t="shared" si="28"/>
        <v>0</v>
      </c>
      <c r="AJ20" s="31">
        <f t="shared" si="29"/>
        <v>8644.9987079999992</v>
      </c>
      <c r="AK20" s="31">
        <f t="shared" si="30"/>
        <v>68958.221292000002</v>
      </c>
      <c r="AL20" s="33">
        <v>77603.22</v>
      </c>
      <c r="AM20" s="37" t="str">
        <f t="shared" si="6"/>
        <v/>
      </c>
      <c r="AN20" s="36">
        <f>[1]FUNIL!$I20</f>
        <v>8590.3037199999999</v>
      </c>
      <c r="AO20" s="31">
        <f t="shared" si="31"/>
        <v>7534.5553928119998</v>
      </c>
      <c r="AP20" s="31">
        <f t="shared" si="32"/>
        <v>1055.7483271879998</v>
      </c>
      <c r="AQ20" s="31">
        <f t="shared" si="33"/>
        <v>0</v>
      </c>
      <c r="AR20" s="31">
        <f t="shared" si="34"/>
        <v>0</v>
      </c>
      <c r="AS20" s="33"/>
      <c r="AT20" s="37">
        <f t="shared" si="7"/>
        <v>-1</v>
      </c>
      <c r="AU20" s="36">
        <f>[1]FUNIL!$J20</f>
        <v>8590.3037199999999</v>
      </c>
      <c r="AV20" s="31">
        <f t="shared" si="35"/>
        <v>7534.5553928119998</v>
      </c>
      <c r="AW20" s="31">
        <f t="shared" si="36"/>
        <v>1055.7483271879998</v>
      </c>
      <c r="AX20" s="31">
        <f t="shared" si="37"/>
        <v>0</v>
      </c>
      <c r="AY20" s="31">
        <f t="shared" si="38"/>
        <v>0</v>
      </c>
      <c r="AZ20" s="33"/>
      <c r="BA20" s="37">
        <f t="shared" si="8"/>
        <v>-1</v>
      </c>
      <c r="BB20" s="36">
        <f>[1]FUNIL!$K20</f>
        <v>162920.30371999901</v>
      </c>
      <c r="BC20" s="31">
        <f t="shared" si="39"/>
        <v>142897.39839281113</v>
      </c>
      <c r="BD20" s="31">
        <f t="shared" si="40"/>
        <v>20022.905327187877</v>
      </c>
      <c r="BE20" s="31">
        <f t="shared" si="41"/>
        <v>0</v>
      </c>
      <c r="BF20" s="31">
        <f t="shared" si="42"/>
        <v>0</v>
      </c>
      <c r="BG20" s="33"/>
      <c r="BH20" s="37">
        <f t="shared" si="9"/>
        <v>-1</v>
      </c>
      <c r="BI20" s="36">
        <f>[1]FUNIL!$L20</f>
        <v>21783.741811428499</v>
      </c>
      <c r="BJ20" s="31">
        <f t="shared" si="43"/>
        <v>19106.519942803938</v>
      </c>
      <c r="BK20" s="31">
        <f t="shared" si="44"/>
        <v>2677.2218686245624</v>
      </c>
      <c r="BL20" s="31">
        <f t="shared" si="45"/>
        <v>0</v>
      </c>
      <c r="BM20" s="31">
        <f t="shared" si="46"/>
        <v>0</v>
      </c>
      <c r="BN20" s="33"/>
      <c r="BO20" s="37">
        <f t="shared" si="10"/>
        <v>-1</v>
      </c>
      <c r="BP20" s="36">
        <f>[1]FUNIL!$M20</f>
        <v>163426.30372</v>
      </c>
      <c r="BQ20" s="31">
        <f t="shared" si="47"/>
        <v>143341.210992812</v>
      </c>
      <c r="BR20" s="31">
        <f t="shared" si="48"/>
        <v>20085.092727187999</v>
      </c>
      <c r="BS20" s="31">
        <f t="shared" si="49"/>
        <v>0</v>
      </c>
      <c r="BT20" s="31">
        <f t="shared" si="50"/>
        <v>0</v>
      </c>
      <c r="BU20" s="33"/>
      <c r="BV20" s="37">
        <f t="shared" si="11"/>
        <v>-1</v>
      </c>
      <c r="BW20" s="36">
        <f>[1]FUNIL!$N20</f>
        <v>8590.3037199999999</v>
      </c>
      <c r="BX20" s="31">
        <f t="shared" si="51"/>
        <v>7534.5553928119998</v>
      </c>
      <c r="BY20" s="31">
        <f t="shared" si="52"/>
        <v>1055.7483271879998</v>
      </c>
      <c r="BZ20" s="31">
        <f t="shared" si="53"/>
        <v>0</v>
      </c>
      <c r="CA20" s="31">
        <f t="shared" si="54"/>
        <v>0</v>
      </c>
      <c r="CB20" s="33"/>
      <c r="CC20" s="37">
        <f t="shared" si="12"/>
        <v>-1</v>
      </c>
      <c r="CD20" s="36">
        <f>[1]FUNIL!$O20</f>
        <v>8590.3037199999999</v>
      </c>
      <c r="CE20" s="31">
        <f t="shared" si="55"/>
        <v>7534.5553928119998</v>
      </c>
      <c r="CF20" s="31">
        <f t="shared" si="56"/>
        <v>1055.7483271879998</v>
      </c>
      <c r="CG20" s="31">
        <f t="shared" si="57"/>
        <v>0</v>
      </c>
      <c r="CH20" s="31">
        <f t="shared" si="58"/>
        <v>0</v>
      </c>
      <c r="CI20" s="33"/>
      <c r="CJ20" s="37">
        <f t="shared" si="13"/>
        <v>-1</v>
      </c>
      <c r="CK20" s="36">
        <f>[1]FUNIL!$P20</f>
        <v>8590.3037199999999</v>
      </c>
      <c r="CL20" s="31">
        <f t="shared" si="59"/>
        <v>7534.5553928119998</v>
      </c>
      <c r="CM20" s="31">
        <f t="shared" si="60"/>
        <v>1055.7483271879998</v>
      </c>
      <c r="CN20" s="31">
        <f t="shared" si="61"/>
        <v>0</v>
      </c>
      <c r="CO20" s="31">
        <f t="shared" si="62"/>
        <v>0</v>
      </c>
      <c r="CP20" s="33"/>
      <c r="CQ20" s="37">
        <f t="shared" si="63"/>
        <v>-1</v>
      </c>
      <c r="CR20" s="144"/>
      <c r="CS20" s="199"/>
      <c r="CT20" s="199"/>
      <c r="CU20" s="199"/>
    </row>
    <row r="21" spans="1:99" s="26" customFormat="1" ht="16" customHeight="1" x14ac:dyDescent="0.2">
      <c r="A21" s="38" t="s">
        <v>45</v>
      </c>
      <c r="B21" s="30">
        <f t="shared" si="0"/>
        <v>266503.46399999998</v>
      </c>
      <c r="C21" s="31">
        <f t="shared" si="0"/>
        <v>233750.18827439999</v>
      </c>
      <c r="D21" s="32">
        <f t="shared" si="0"/>
        <v>32753.275725599997</v>
      </c>
      <c r="E21" s="30">
        <f t="shared" si="14"/>
        <v>266503.46399999998</v>
      </c>
      <c r="F21" s="33">
        <f t="shared" si="14"/>
        <v>233750.18827439999</v>
      </c>
      <c r="G21" s="34">
        <f t="shared" si="14"/>
        <v>32753.275725599997</v>
      </c>
      <c r="H21" s="31">
        <f t="shared" si="1"/>
        <v>22659.857390549805</v>
      </c>
      <c r="I21" s="33">
        <f t="shared" si="1"/>
        <v>180749.99351205162</v>
      </c>
      <c r="J21" s="33">
        <f t="shared" si="1"/>
        <v>203409.85090260144</v>
      </c>
      <c r="K21" s="37">
        <f t="shared" si="2"/>
        <v>-0.23674593999798277</v>
      </c>
      <c r="L21" s="36">
        <f>[1]FUNIL!$E21</f>
        <v>266503.46399999998</v>
      </c>
      <c r="M21" s="31">
        <f t="shared" si="15"/>
        <v>233750.18827439999</v>
      </c>
      <c r="N21" s="31">
        <f t="shared" si="16"/>
        <v>32753.275725599997</v>
      </c>
      <c r="O21" s="31">
        <f t="shared" si="17"/>
        <v>0</v>
      </c>
      <c r="P21" s="31">
        <f t="shared" si="18"/>
        <v>0</v>
      </c>
      <c r="Q21" s="33">
        <v>0</v>
      </c>
      <c r="R21" s="37">
        <f t="shared" si="3"/>
        <v>-1</v>
      </c>
      <c r="S21" s="36">
        <f>[1]FUNIL!$F21</f>
        <v>0</v>
      </c>
      <c r="T21" s="31">
        <f t="shared" si="19"/>
        <v>0</v>
      </c>
      <c r="U21" s="31">
        <f t="shared" si="20"/>
        <v>0</v>
      </c>
      <c r="V21" s="31">
        <f t="shared" si="21"/>
        <v>16059.800532000008</v>
      </c>
      <c r="W21" s="31">
        <f t="shared" si="22"/>
        <v>128103.579468</v>
      </c>
      <c r="X21" s="33">
        <v>144163.38</v>
      </c>
      <c r="Y21" s="37" t="str">
        <f t="shared" si="4"/>
        <v/>
      </c>
      <c r="Z21" s="36">
        <f>[1]FUNIL!$G21</f>
        <v>0</v>
      </c>
      <c r="AA21" s="31">
        <f t="shared" si="23"/>
        <v>0</v>
      </c>
      <c r="AB21" s="31">
        <f t="shared" si="24"/>
        <v>0</v>
      </c>
      <c r="AC21" s="31">
        <f t="shared" si="25"/>
        <v>5006.3159999999989</v>
      </c>
      <c r="AD21" s="31">
        <f t="shared" si="26"/>
        <v>39933.684000000001</v>
      </c>
      <c r="AE21" s="33">
        <v>44940</v>
      </c>
      <c r="AF21" s="37" t="str">
        <f t="shared" si="5"/>
        <v/>
      </c>
      <c r="AG21" s="36">
        <f>[1]FUNIL!$H21</f>
        <v>0</v>
      </c>
      <c r="AH21" s="31">
        <f t="shared" si="27"/>
        <v>0</v>
      </c>
      <c r="AI21" s="31">
        <f t="shared" si="28"/>
        <v>0</v>
      </c>
      <c r="AJ21" s="31">
        <f t="shared" si="29"/>
        <v>1593.7408585497997</v>
      </c>
      <c r="AK21" s="31">
        <f t="shared" si="30"/>
        <v>12712.730044051625</v>
      </c>
      <c r="AL21" s="33">
        <v>14306.470902601424</v>
      </c>
      <c r="AM21" s="37" t="str">
        <f t="shared" si="6"/>
        <v/>
      </c>
      <c r="AN21" s="36">
        <f>[1]FUNIL!$I21</f>
        <v>0</v>
      </c>
      <c r="AO21" s="31">
        <f t="shared" si="31"/>
        <v>0</v>
      </c>
      <c r="AP21" s="31">
        <f t="shared" si="32"/>
        <v>0</v>
      </c>
      <c r="AQ21" s="31">
        <f t="shared" si="33"/>
        <v>0</v>
      </c>
      <c r="AR21" s="31">
        <f t="shared" si="34"/>
        <v>0</v>
      </c>
      <c r="AS21" s="33"/>
      <c r="AT21" s="37" t="str">
        <f t="shared" si="7"/>
        <v/>
      </c>
      <c r="AU21" s="36">
        <f>[1]FUNIL!$J21</f>
        <v>0</v>
      </c>
      <c r="AV21" s="31">
        <f t="shared" si="35"/>
        <v>0</v>
      </c>
      <c r="AW21" s="31">
        <f t="shared" si="36"/>
        <v>0</v>
      </c>
      <c r="AX21" s="31">
        <f t="shared" si="37"/>
        <v>0</v>
      </c>
      <c r="AY21" s="31">
        <f t="shared" si="38"/>
        <v>0</v>
      </c>
      <c r="AZ21" s="33"/>
      <c r="BA21" s="37" t="str">
        <f t="shared" si="8"/>
        <v/>
      </c>
      <c r="BB21" s="36">
        <f>[1]FUNIL!$K21</f>
        <v>0</v>
      </c>
      <c r="BC21" s="31">
        <f t="shared" si="39"/>
        <v>0</v>
      </c>
      <c r="BD21" s="31">
        <f t="shared" si="40"/>
        <v>0</v>
      </c>
      <c r="BE21" s="31">
        <f t="shared" si="41"/>
        <v>0</v>
      </c>
      <c r="BF21" s="31">
        <f t="shared" si="42"/>
        <v>0</v>
      </c>
      <c r="BG21" s="33"/>
      <c r="BH21" s="37" t="str">
        <f t="shared" si="9"/>
        <v/>
      </c>
      <c r="BI21" s="36">
        <f>[1]FUNIL!$L21</f>
        <v>0</v>
      </c>
      <c r="BJ21" s="31">
        <f t="shared" si="43"/>
        <v>0</v>
      </c>
      <c r="BK21" s="31">
        <f t="shared" si="44"/>
        <v>0</v>
      </c>
      <c r="BL21" s="31">
        <f t="shared" si="45"/>
        <v>0</v>
      </c>
      <c r="BM21" s="31">
        <f t="shared" si="46"/>
        <v>0</v>
      </c>
      <c r="BN21" s="33"/>
      <c r="BO21" s="37" t="str">
        <f t="shared" si="10"/>
        <v/>
      </c>
      <c r="BP21" s="36">
        <f>[1]FUNIL!$M21</f>
        <v>0</v>
      </c>
      <c r="BQ21" s="31">
        <f t="shared" si="47"/>
        <v>0</v>
      </c>
      <c r="BR21" s="31">
        <f t="shared" si="48"/>
        <v>0</v>
      </c>
      <c r="BS21" s="31">
        <f t="shared" si="49"/>
        <v>0</v>
      </c>
      <c r="BT21" s="31">
        <f t="shared" si="50"/>
        <v>0</v>
      </c>
      <c r="BU21" s="33"/>
      <c r="BV21" s="37" t="str">
        <f t="shared" si="11"/>
        <v/>
      </c>
      <c r="BW21" s="36">
        <f>[1]FUNIL!$N21</f>
        <v>0</v>
      </c>
      <c r="BX21" s="31">
        <f t="shared" si="51"/>
        <v>0</v>
      </c>
      <c r="BY21" s="31">
        <f t="shared" si="52"/>
        <v>0</v>
      </c>
      <c r="BZ21" s="31">
        <f t="shared" si="53"/>
        <v>0</v>
      </c>
      <c r="CA21" s="31">
        <f t="shared" si="54"/>
        <v>0</v>
      </c>
      <c r="CB21" s="33"/>
      <c r="CC21" s="37" t="str">
        <f t="shared" si="12"/>
        <v/>
      </c>
      <c r="CD21" s="36">
        <f>[1]FUNIL!$O21</f>
        <v>0</v>
      </c>
      <c r="CE21" s="31">
        <f t="shared" si="55"/>
        <v>0</v>
      </c>
      <c r="CF21" s="31">
        <f t="shared" si="56"/>
        <v>0</v>
      </c>
      <c r="CG21" s="31">
        <f t="shared" si="57"/>
        <v>0</v>
      </c>
      <c r="CH21" s="31">
        <f t="shared" si="58"/>
        <v>0</v>
      </c>
      <c r="CI21" s="33"/>
      <c r="CJ21" s="37" t="str">
        <f t="shared" si="13"/>
        <v/>
      </c>
      <c r="CK21" s="36">
        <f>[1]FUNIL!$P21</f>
        <v>0</v>
      </c>
      <c r="CL21" s="31">
        <f t="shared" si="59"/>
        <v>0</v>
      </c>
      <c r="CM21" s="31">
        <f t="shared" si="60"/>
        <v>0</v>
      </c>
      <c r="CN21" s="31">
        <f t="shared" si="61"/>
        <v>0</v>
      </c>
      <c r="CO21" s="31">
        <f t="shared" si="62"/>
        <v>0</v>
      </c>
      <c r="CP21" s="33"/>
      <c r="CQ21" s="37" t="str">
        <f t="shared" si="63"/>
        <v/>
      </c>
      <c r="CR21" s="144"/>
      <c r="CS21" s="199"/>
      <c r="CT21" s="199"/>
      <c r="CU21" s="199"/>
    </row>
    <row r="22" spans="1:99" s="26" customFormat="1" ht="16" customHeight="1" x14ac:dyDescent="0.2">
      <c r="A22" s="38" t="s">
        <v>46</v>
      </c>
      <c r="B22" s="30">
        <f t="shared" si="0"/>
        <v>217549.15199999997</v>
      </c>
      <c r="C22" s="31">
        <f t="shared" si="0"/>
        <v>190812.36121919996</v>
      </c>
      <c r="D22" s="32">
        <f t="shared" si="0"/>
        <v>26736.790780800002</v>
      </c>
      <c r="E22" s="30">
        <f t="shared" si="14"/>
        <v>72516.384000000005</v>
      </c>
      <c r="F22" s="33">
        <f t="shared" si="14"/>
        <v>63604.120406400005</v>
      </c>
      <c r="G22" s="34">
        <f t="shared" si="14"/>
        <v>8912.2635936000006</v>
      </c>
      <c r="H22" s="31">
        <f t="shared" si="1"/>
        <v>6269.2522300967375</v>
      </c>
      <c r="I22" s="33">
        <f t="shared" si="1"/>
        <v>50007.697770771643</v>
      </c>
      <c r="J22" s="33">
        <f t="shared" si="1"/>
        <v>56276.950000868375</v>
      </c>
      <c r="K22" s="37">
        <f t="shared" si="2"/>
        <v>-0.22394158538202391</v>
      </c>
      <c r="L22" s="36">
        <f>[1]FUNIL!$E22</f>
        <v>18129.096000000001</v>
      </c>
      <c r="M22" s="31">
        <f t="shared" si="15"/>
        <v>15901.030101600001</v>
      </c>
      <c r="N22" s="31">
        <f t="shared" si="16"/>
        <v>2228.0658984000002</v>
      </c>
      <c r="O22" s="31">
        <f t="shared" si="17"/>
        <v>1686.7624770066213</v>
      </c>
      <c r="P22" s="31">
        <f t="shared" si="18"/>
        <v>13454.731930593207</v>
      </c>
      <c r="Q22" s="33">
        <v>15141.494407599828</v>
      </c>
      <c r="R22" s="37">
        <f t="shared" si="3"/>
        <v>-0.16479594969325406</v>
      </c>
      <c r="S22" s="36">
        <f>[1]FUNIL!$F22</f>
        <v>18129.096000000001</v>
      </c>
      <c r="T22" s="31">
        <f t="shared" si="19"/>
        <v>15901.030101600001</v>
      </c>
      <c r="U22" s="31">
        <f t="shared" si="20"/>
        <v>2228.0658984000002</v>
      </c>
      <c r="V22" s="31">
        <f t="shared" si="21"/>
        <v>2911.4420034158866</v>
      </c>
      <c r="W22" s="31">
        <f t="shared" si="22"/>
        <v>23223.584957229414</v>
      </c>
      <c r="X22" s="33">
        <v>26135.0269606453</v>
      </c>
      <c r="Y22" s="37">
        <f t="shared" si="4"/>
        <v>0.44160673872791545</v>
      </c>
      <c r="Z22" s="36">
        <f>[1]FUNIL!$G22</f>
        <v>18129.096000000001</v>
      </c>
      <c r="AA22" s="31">
        <f t="shared" si="23"/>
        <v>15901.030101600001</v>
      </c>
      <c r="AB22" s="31">
        <f t="shared" si="24"/>
        <v>2228.0658984000002</v>
      </c>
      <c r="AC22" s="31">
        <f t="shared" si="25"/>
        <v>1138.0246653539725</v>
      </c>
      <c r="AD22" s="31">
        <f t="shared" si="26"/>
        <v>9077.6366035326773</v>
      </c>
      <c r="AE22" s="33">
        <v>10215.66126888665</v>
      </c>
      <c r="AF22" s="37">
        <f t="shared" si="5"/>
        <v>-0.43650465147922168</v>
      </c>
      <c r="AG22" s="36">
        <f>[1]FUNIL!$H22</f>
        <v>18129.096000000001</v>
      </c>
      <c r="AH22" s="31">
        <f t="shared" si="27"/>
        <v>15901.030101600001</v>
      </c>
      <c r="AI22" s="31">
        <f t="shared" si="28"/>
        <v>2228.0658984000002</v>
      </c>
      <c r="AJ22" s="31">
        <f t="shared" si="29"/>
        <v>533.02308432025711</v>
      </c>
      <c r="AK22" s="31">
        <f t="shared" si="30"/>
        <v>4251.7442794163408</v>
      </c>
      <c r="AL22" s="33">
        <v>4784.7673637365979</v>
      </c>
      <c r="AM22" s="37">
        <f t="shared" si="6"/>
        <v>-0.73607247908353524</v>
      </c>
      <c r="AN22" s="36">
        <f>[1]FUNIL!$I22</f>
        <v>18129.096000000001</v>
      </c>
      <c r="AO22" s="31">
        <f t="shared" si="31"/>
        <v>15901.030101600001</v>
      </c>
      <c r="AP22" s="31">
        <f t="shared" si="32"/>
        <v>2228.0658984000002</v>
      </c>
      <c r="AQ22" s="31">
        <f t="shared" si="33"/>
        <v>0</v>
      </c>
      <c r="AR22" s="31">
        <f t="shared" si="34"/>
        <v>0</v>
      </c>
      <c r="AS22" s="33"/>
      <c r="AT22" s="37">
        <f t="shared" si="7"/>
        <v>-1</v>
      </c>
      <c r="AU22" s="36">
        <f>[1]FUNIL!$J22</f>
        <v>18129.096000000001</v>
      </c>
      <c r="AV22" s="31">
        <f t="shared" si="35"/>
        <v>15901.030101600001</v>
      </c>
      <c r="AW22" s="31">
        <f t="shared" si="36"/>
        <v>2228.0658984000002</v>
      </c>
      <c r="AX22" s="31">
        <f t="shared" si="37"/>
        <v>0</v>
      </c>
      <c r="AY22" s="31">
        <f t="shared" si="38"/>
        <v>0</v>
      </c>
      <c r="AZ22" s="33"/>
      <c r="BA22" s="37">
        <f t="shared" si="8"/>
        <v>-1</v>
      </c>
      <c r="BB22" s="36">
        <f>[1]FUNIL!$K22</f>
        <v>18129.096000000001</v>
      </c>
      <c r="BC22" s="31">
        <f t="shared" si="39"/>
        <v>15901.030101600001</v>
      </c>
      <c r="BD22" s="31">
        <f t="shared" si="40"/>
        <v>2228.0658984000002</v>
      </c>
      <c r="BE22" s="31">
        <f t="shared" si="41"/>
        <v>0</v>
      </c>
      <c r="BF22" s="31">
        <f t="shared" si="42"/>
        <v>0</v>
      </c>
      <c r="BG22" s="33"/>
      <c r="BH22" s="37">
        <f t="shared" si="9"/>
        <v>-1</v>
      </c>
      <c r="BI22" s="36">
        <f>[1]FUNIL!$L22</f>
        <v>18129.096000000001</v>
      </c>
      <c r="BJ22" s="31">
        <f t="shared" si="43"/>
        <v>15901.030101600001</v>
      </c>
      <c r="BK22" s="31">
        <f t="shared" si="44"/>
        <v>2228.0658984000002</v>
      </c>
      <c r="BL22" s="31">
        <f t="shared" si="45"/>
        <v>0</v>
      </c>
      <c r="BM22" s="31">
        <f t="shared" si="46"/>
        <v>0</v>
      </c>
      <c r="BN22" s="33"/>
      <c r="BO22" s="37">
        <f t="shared" si="10"/>
        <v>-1</v>
      </c>
      <c r="BP22" s="36">
        <f>[1]FUNIL!$M22</f>
        <v>18129.096000000001</v>
      </c>
      <c r="BQ22" s="31">
        <f t="shared" si="47"/>
        <v>15901.030101600001</v>
      </c>
      <c r="BR22" s="31">
        <f t="shared" si="48"/>
        <v>2228.0658984000002</v>
      </c>
      <c r="BS22" s="31">
        <f t="shared" si="49"/>
        <v>0</v>
      </c>
      <c r="BT22" s="31">
        <f t="shared" si="50"/>
        <v>0</v>
      </c>
      <c r="BU22" s="33"/>
      <c r="BV22" s="37">
        <f t="shared" si="11"/>
        <v>-1</v>
      </c>
      <c r="BW22" s="36">
        <f>[1]FUNIL!$N22</f>
        <v>18129.096000000001</v>
      </c>
      <c r="BX22" s="31">
        <f t="shared" si="51"/>
        <v>15901.030101600001</v>
      </c>
      <c r="BY22" s="31">
        <f t="shared" si="52"/>
        <v>2228.0658984000002</v>
      </c>
      <c r="BZ22" s="31">
        <f t="shared" si="53"/>
        <v>0</v>
      </c>
      <c r="CA22" s="31">
        <f t="shared" si="54"/>
        <v>0</v>
      </c>
      <c r="CB22" s="33"/>
      <c r="CC22" s="37">
        <f t="shared" si="12"/>
        <v>-1</v>
      </c>
      <c r="CD22" s="36">
        <f>[1]FUNIL!$O22</f>
        <v>18129.096000000001</v>
      </c>
      <c r="CE22" s="31">
        <f t="shared" si="55"/>
        <v>15901.030101600001</v>
      </c>
      <c r="CF22" s="31">
        <f t="shared" si="56"/>
        <v>2228.0658984000002</v>
      </c>
      <c r="CG22" s="31">
        <f t="shared" si="57"/>
        <v>0</v>
      </c>
      <c r="CH22" s="31">
        <f t="shared" si="58"/>
        <v>0</v>
      </c>
      <c r="CI22" s="33"/>
      <c r="CJ22" s="37">
        <f t="shared" si="13"/>
        <v>-1</v>
      </c>
      <c r="CK22" s="36">
        <f>[1]FUNIL!$P22</f>
        <v>18129.096000000001</v>
      </c>
      <c r="CL22" s="31">
        <f t="shared" si="59"/>
        <v>15901.030101600001</v>
      </c>
      <c r="CM22" s="31">
        <f t="shared" si="60"/>
        <v>2228.0658984000002</v>
      </c>
      <c r="CN22" s="31">
        <f t="shared" si="61"/>
        <v>0</v>
      </c>
      <c r="CO22" s="31">
        <f t="shared" si="62"/>
        <v>0</v>
      </c>
      <c r="CP22" s="33"/>
      <c r="CQ22" s="37">
        <f t="shared" si="63"/>
        <v>-1</v>
      </c>
      <c r="CR22" s="144"/>
      <c r="CS22" s="199"/>
      <c r="CT22" s="199"/>
      <c r="CU22" s="199"/>
    </row>
    <row r="23" spans="1:99" s="26" customFormat="1" ht="16" customHeight="1" x14ac:dyDescent="0.2">
      <c r="A23" s="29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4"/>
        <v>0</v>
      </c>
      <c r="F23" s="33">
        <f t="shared" si="14"/>
        <v>0</v>
      </c>
      <c r="G23" s="34">
        <f t="shared" si="14"/>
        <v>0</v>
      </c>
      <c r="H23" s="31">
        <f t="shared" si="1"/>
        <v>0</v>
      </c>
      <c r="I23" s="33">
        <f t="shared" si="1"/>
        <v>0</v>
      </c>
      <c r="J23" s="33">
        <f t="shared" si="1"/>
        <v>0</v>
      </c>
      <c r="K23" s="37" t="str">
        <f t="shared" si="2"/>
        <v/>
      </c>
      <c r="L23" s="36">
        <f>[1]FUNIL!$E23</f>
        <v>0</v>
      </c>
      <c r="M23" s="31">
        <f t="shared" si="15"/>
        <v>0</v>
      </c>
      <c r="N23" s="31">
        <f t="shared" si="16"/>
        <v>0</v>
      </c>
      <c r="O23" s="31">
        <f t="shared" si="17"/>
        <v>0</v>
      </c>
      <c r="P23" s="31">
        <f t="shared" si="18"/>
        <v>0</v>
      </c>
      <c r="Q23" s="33"/>
      <c r="R23" s="37" t="str">
        <f t="shared" si="3"/>
        <v/>
      </c>
      <c r="S23" s="36">
        <f>[1]FUNIL!$F23</f>
        <v>0</v>
      </c>
      <c r="T23" s="31">
        <f t="shared" si="19"/>
        <v>0</v>
      </c>
      <c r="U23" s="31">
        <f t="shared" si="20"/>
        <v>0</v>
      </c>
      <c r="V23" s="31">
        <f t="shared" si="21"/>
        <v>0</v>
      </c>
      <c r="W23" s="31">
        <f t="shared" si="22"/>
        <v>0</v>
      </c>
      <c r="X23" s="33"/>
      <c r="Y23" s="37" t="str">
        <f t="shared" si="4"/>
        <v/>
      </c>
      <c r="Z23" s="36">
        <f>[1]FUNIL!$G23</f>
        <v>0</v>
      </c>
      <c r="AA23" s="31">
        <f t="shared" si="23"/>
        <v>0</v>
      </c>
      <c r="AB23" s="31">
        <f t="shared" si="24"/>
        <v>0</v>
      </c>
      <c r="AC23" s="31">
        <f t="shared" si="25"/>
        <v>0</v>
      </c>
      <c r="AD23" s="31">
        <f t="shared" si="26"/>
        <v>0</v>
      </c>
      <c r="AE23" s="33"/>
      <c r="AF23" s="37" t="str">
        <f t="shared" si="5"/>
        <v/>
      </c>
      <c r="AG23" s="36">
        <f>[1]FUNIL!$H23</f>
        <v>0</v>
      </c>
      <c r="AH23" s="31">
        <f t="shared" si="27"/>
        <v>0</v>
      </c>
      <c r="AI23" s="31">
        <f t="shared" si="28"/>
        <v>0</v>
      </c>
      <c r="AJ23" s="31">
        <f t="shared" si="29"/>
        <v>0</v>
      </c>
      <c r="AK23" s="31">
        <f t="shared" si="30"/>
        <v>0</v>
      </c>
      <c r="AL23" s="33"/>
      <c r="AM23" s="37" t="str">
        <f t="shared" si="6"/>
        <v/>
      </c>
      <c r="AN23" s="36">
        <f>[1]FUNIL!$I23</f>
        <v>0</v>
      </c>
      <c r="AO23" s="31">
        <f t="shared" si="31"/>
        <v>0</v>
      </c>
      <c r="AP23" s="31">
        <f t="shared" si="32"/>
        <v>0</v>
      </c>
      <c r="AQ23" s="31">
        <f t="shared" si="33"/>
        <v>0</v>
      </c>
      <c r="AR23" s="31">
        <f t="shared" si="34"/>
        <v>0</v>
      </c>
      <c r="AS23" s="33"/>
      <c r="AT23" s="37" t="str">
        <f t="shared" si="7"/>
        <v/>
      </c>
      <c r="AU23" s="36">
        <f>[1]FUNIL!$J23</f>
        <v>0</v>
      </c>
      <c r="AV23" s="31">
        <f t="shared" si="35"/>
        <v>0</v>
      </c>
      <c r="AW23" s="31">
        <f t="shared" si="36"/>
        <v>0</v>
      </c>
      <c r="AX23" s="31">
        <f t="shared" si="37"/>
        <v>0</v>
      </c>
      <c r="AY23" s="31">
        <f t="shared" si="38"/>
        <v>0</v>
      </c>
      <c r="AZ23" s="33"/>
      <c r="BA23" s="37" t="str">
        <f t="shared" si="8"/>
        <v/>
      </c>
      <c r="BB23" s="36">
        <f>[1]FUNIL!$K23</f>
        <v>0</v>
      </c>
      <c r="BC23" s="31">
        <f t="shared" si="39"/>
        <v>0</v>
      </c>
      <c r="BD23" s="31">
        <f t="shared" si="40"/>
        <v>0</v>
      </c>
      <c r="BE23" s="31">
        <f t="shared" si="41"/>
        <v>0</v>
      </c>
      <c r="BF23" s="31">
        <f t="shared" si="42"/>
        <v>0</v>
      </c>
      <c r="BG23" s="33"/>
      <c r="BH23" s="37" t="str">
        <f t="shared" si="9"/>
        <v/>
      </c>
      <c r="BI23" s="36">
        <f>[1]FUNIL!$L23</f>
        <v>0</v>
      </c>
      <c r="BJ23" s="31">
        <f t="shared" si="43"/>
        <v>0</v>
      </c>
      <c r="BK23" s="31">
        <f t="shared" si="44"/>
        <v>0</v>
      </c>
      <c r="BL23" s="31">
        <f t="shared" si="45"/>
        <v>0</v>
      </c>
      <c r="BM23" s="31">
        <f t="shared" si="46"/>
        <v>0</v>
      </c>
      <c r="BN23" s="33"/>
      <c r="BO23" s="37" t="str">
        <f t="shared" si="10"/>
        <v/>
      </c>
      <c r="BP23" s="36">
        <f>[1]FUNIL!$M23</f>
        <v>0</v>
      </c>
      <c r="BQ23" s="31">
        <f t="shared" si="47"/>
        <v>0</v>
      </c>
      <c r="BR23" s="31">
        <f t="shared" si="48"/>
        <v>0</v>
      </c>
      <c r="BS23" s="31">
        <f t="shared" si="49"/>
        <v>0</v>
      </c>
      <c r="BT23" s="31">
        <f t="shared" si="50"/>
        <v>0</v>
      </c>
      <c r="BU23" s="33"/>
      <c r="BV23" s="37" t="str">
        <f t="shared" si="11"/>
        <v/>
      </c>
      <c r="BW23" s="36">
        <f>[1]FUNIL!$N23</f>
        <v>0</v>
      </c>
      <c r="BX23" s="31">
        <f t="shared" si="51"/>
        <v>0</v>
      </c>
      <c r="BY23" s="31">
        <f t="shared" si="52"/>
        <v>0</v>
      </c>
      <c r="BZ23" s="31">
        <f t="shared" si="53"/>
        <v>0</v>
      </c>
      <c r="CA23" s="31">
        <f t="shared" si="54"/>
        <v>0</v>
      </c>
      <c r="CB23" s="33"/>
      <c r="CC23" s="37" t="str">
        <f t="shared" si="12"/>
        <v/>
      </c>
      <c r="CD23" s="36">
        <f>[1]FUNIL!$O23</f>
        <v>0</v>
      </c>
      <c r="CE23" s="31">
        <f t="shared" si="55"/>
        <v>0</v>
      </c>
      <c r="CF23" s="31">
        <f t="shared" si="56"/>
        <v>0</v>
      </c>
      <c r="CG23" s="31">
        <f t="shared" si="57"/>
        <v>0</v>
      </c>
      <c r="CH23" s="31">
        <f t="shared" si="58"/>
        <v>0</v>
      </c>
      <c r="CI23" s="33"/>
      <c r="CJ23" s="37" t="str">
        <f t="shared" si="13"/>
        <v/>
      </c>
      <c r="CK23" s="36">
        <f>[1]FUNIL!$P23</f>
        <v>0</v>
      </c>
      <c r="CL23" s="31">
        <f t="shared" si="59"/>
        <v>0</v>
      </c>
      <c r="CM23" s="31">
        <f t="shared" si="60"/>
        <v>0</v>
      </c>
      <c r="CN23" s="31">
        <f t="shared" si="61"/>
        <v>0</v>
      </c>
      <c r="CO23" s="31">
        <f t="shared" si="62"/>
        <v>0</v>
      </c>
      <c r="CP23" s="33"/>
      <c r="CQ23" s="37" t="str">
        <f t="shared" si="63"/>
        <v/>
      </c>
      <c r="CR23" s="144"/>
      <c r="CS23" s="199"/>
      <c r="CT23" s="199"/>
      <c r="CU23" s="199"/>
    </row>
    <row r="24" spans="1:99" s="26" customFormat="1" ht="16" customHeight="1" x14ac:dyDescent="0.2">
      <c r="A24" s="29" t="s">
        <v>48</v>
      </c>
      <c r="B24" s="30">
        <f t="shared" si="0"/>
        <v>176666.42729196837</v>
      </c>
      <c r="C24" s="31">
        <f t="shared" si="0"/>
        <v>154954.12337778549</v>
      </c>
      <c r="D24" s="32">
        <f t="shared" si="0"/>
        <v>21712.30391418291</v>
      </c>
      <c r="E24" s="30">
        <f t="shared" si="14"/>
        <v>59753.970509162798</v>
      </c>
      <c r="F24" s="33">
        <f t="shared" si="14"/>
        <v>52410.20753358669</v>
      </c>
      <c r="G24" s="34">
        <f t="shared" si="14"/>
        <v>7343.7629755761072</v>
      </c>
      <c r="H24" s="31">
        <f t="shared" si="1"/>
        <v>5264.7394920000024</v>
      </c>
      <c r="I24" s="33">
        <f t="shared" si="1"/>
        <v>41995.040507999998</v>
      </c>
      <c r="J24" s="33">
        <f t="shared" si="1"/>
        <v>47259.78</v>
      </c>
      <c r="K24" s="37">
        <f t="shared" si="2"/>
        <v>-0.20909389623317021</v>
      </c>
      <c r="L24" s="36">
        <f>[1]FUNIL!$E24</f>
        <v>14938.4926272907</v>
      </c>
      <c r="M24" s="31">
        <f t="shared" si="15"/>
        <v>13102.551883396673</v>
      </c>
      <c r="N24" s="31">
        <f t="shared" si="16"/>
        <v>1835.9407438940268</v>
      </c>
      <c r="O24" s="31">
        <f t="shared" si="17"/>
        <v>2321.3676820000001</v>
      </c>
      <c r="P24" s="31">
        <f t="shared" si="18"/>
        <v>18516.762318000001</v>
      </c>
      <c r="Q24" s="33">
        <v>20838.13</v>
      </c>
      <c r="R24" s="37">
        <f t="shared" si="3"/>
        <v>0.39492855938700444</v>
      </c>
      <c r="S24" s="36">
        <f>[1]FUNIL!$F24</f>
        <v>14938.4926272907</v>
      </c>
      <c r="T24" s="31">
        <f t="shared" si="19"/>
        <v>13102.551883396673</v>
      </c>
      <c r="U24" s="31">
        <f t="shared" si="20"/>
        <v>1835.9407438940268</v>
      </c>
      <c r="V24" s="31">
        <f t="shared" si="21"/>
        <v>2168.3675800000019</v>
      </c>
      <c r="W24" s="31">
        <f t="shared" si="22"/>
        <v>17296.332419999999</v>
      </c>
      <c r="X24" s="33">
        <v>19464.7</v>
      </c>
      <c r="Y24" s="37">
        <f t="shared" si="4"/>
        <v>0.30298956431792212</v>
      </c>
      <c r="Z24" s="36">
        <f>[1]FUNIL!$G24</f>
        <v>14938.4926272907</v>
      </c>
      <c r="AA24" s="31">
        <f t="shared" si="23"/>
        <v>13102.551883396673</v>
      </c>
      <c r="AB24" s="31">
        <f t="shared" si="24"/>
        <v>1835.9407438940268</v>
      </c>
      <c r="AC24" s="31">
        <f t="shared" si="25"/>
        <v>545.70404000000053</v>
      </c>
      <c r="AD24" s="31">
        <f t="shared" si="26"/>
        <v>4352.8959599999998</v>
      </c>
      <c r="AE24" s="33">
        <v>4898.6000000000004</v>
      </c>
      <c r="AF24" s="37">
        <f t="shared" si="5"/>
        <v>-0.67208204186204901</v>
      </c>
      <c r="AG24" s="36">
        <f>[1]FUNIL!$H24</f>
        <v>14938.4926272907</v>
      </c>
      <c r="AH24" s="31">
        <f t="shared" si="27"/>
        <v>13102.551883396673</v>
      </c>
      <c r="AI24" s="31">
        <f t="shared" si="28"/>
        <v>1835.9407438940268</v>
      </c>
      <c r="AJ24" s="31">
        <f t="shared" si="29"/>
        <v>229.30019000000016</v>
      </c>
      <c r="AK24" s="31">
        <f t="shared" si="30"/>
        <v>1829.0498099999998</v>
      </c>
      <c r="AL24" s="33">
        <v>2058.35</v>
      </c>
      <c r="AM24" s="37">
        <f t="shared" si="6"/>
        <v>-0.86221166677555805</v>
      </c>
      <c r="AN24" s="36">
        <f>[1]FUNIL!$I24</f>
        <v>14938.4926272907</v>
      </c>
      <c r="AO24" s="31">
        <f t="shared" si="31"/>
        <v>13102.551883396673</v>
      </c>
      <c r="AP24" s="31">
        <f t="shared" si="32"/>
        <v>1835.9407438940268</v>
      </c>
      <c r="AQ24" s="31">
        <f t="shared" si="33"/>
        <v>0</v>
      </c>
      <c r="AR24" s="31">
        <f t="shared" si="34"/>
        <v>0</v>
      </c>
      <c r="AS24" s="33"/>
      <c r="AT24" s="37">
        <f t="shared" si="7"/>
        <v>-1</v>
      </c>
      <c r="AU24" s="36">
        <f>[1]FUNIL!$J24</f>
        <v>14938.4926272907</v>
      </c>
      <c r="AV24" s="31">
        <f t="shared" si="35"/>
        <v>13102.551883396673</v>
      </c>
      <c r="AW24" s="31">
        <f t="shared" si="36"/>
        <v>1835.9407438940268</v>
      </c>
      <c r="AX24" s="31">
        <f t="shared" si="37"/>
        <v>0</v>
      </c>
      <c r="AY24" s="31">
        <f t="shared" si="38"/>
        <v>0</v>
      </c>
      <c r="AZ24" s="33"/>
      <c r="BA24" s="37">
        <f t="shared" si="8"/>
        <v>-1</v>
      </c>
      <c r="BB24" s="36">
        <f>[1]FUNIL!$K24</f>
        <v>12343.008391770702</v>
      </c>
      <c r="BC24" s="31">
        <f t="shared" si="39"/>
        <v>10826.052660422083</v>
      </c>
      <c r="BD24" s="31">
        <f t="shared" si="40"/>
        <v>1516.9557313486191</v>
      </c>
      <c r="BE24" s="31">
        <f t="shared" si="41"/>
        <v>0</v>
      </c>
      <c r="BF24" s="31">
        <f t="shared" si="42"/>
        <v>0</v>
      </c>
      <c r="BG24" s="33"/>
      <c r="BH24" s="37">
        <f t="shared" si="9"/>
        <v>-1</v>
      </c>
      <c r="BI24" s="36">
        <f>[1]FUNIL!$L24</f>
        <v>14938.4926272907</v>
      </c>
      <c r="BJ24" s="31">
        <f t="shared" si="43"/>
        <v>13102.551883396673</v>
      </c>
      <c r="BK24" s="31">
        <f t="shared" si="44"/>
        <v>1835.9407438940268</v>
      </c>
      <c r="BL24" s="31">
        <f t="shared" si="45"/>
        <v>0</v>
      </c>
      <c r="BM24" s="31">
        <f t="shared" si="46"/>
        <v>0</v>
      </c>
      <c r="BN24" s="33"/>
      <c r="BO24" s="37">
        <f t="shared" si="10"/>
        <v>-1</v>
      </c>
      <c r="BP24" s="36">
        <f>[1]FUNIL!$M24</f>
        <v>14938.4926272907</v>
      </c>
      <c r="BQ24" s="31">
        <f t="shared" si="47"/>
        <v>13102.551883396673</v>
      </c>
      <c r="BR24" s="31">
        <f t="shared" si="48"/>
        <v>1835.9407438940268</v>
      </c>
      <c r="BS24" s="31">
        <f t="shared" si="49"/>
        <v>0</v>
      </c>
      <c r="BT24" s="31">
        <f t="shared" si="50"/>
        <v>0</v>
      </c>
      <c r="BU24" s="33"/>
      <c r="BV24" s="37">
        <f t="shared" si="11"/>
        <v>-1</v>
      </c>
      <c r="BW24" s="36">
        <f>[1]FUNIL!$N24</f>
        <v>14938.4926272907</v>
      </c>
      <c r="BX24" s="31">
        <f t="shared" si="51"/>
        <v>13102.551883396673</v>
      </c>
      <c r="BY24" s="31">
        <f t="shared" si="52"/>
        <v>1835.9407438940268</v>
      </c>
      <c r="BZ24" s="31">
        <f t="shared" si="53"/>
        <v>0</v>
      </c>
      <c r="CA24" s="31">
        <f t="shared" si="54"/>
        <v>0</v>
      </c>
      <c r="CB24" s="33"/>
      <c r="CC24" s="37">
        <f t="shared" si="12"/>
        <v>-1</v>
      </c>
      <c r="CD24" s="36">
        <f>[1]FUNIL!$O24</f>
        <v>14938.4926272907</v>
      </c>
      <c r="CE24" s="31">
        <f t="shared" si="55"/>
        <v>13102.551883396673</v>
      </c>
      <c r="CF24" s="31">
        <f t="shared" si="56"/>
        <v>1835.9407438940268</v>
      </c>
      <c r="CG24" s="31">
        <f t="shared" si="57"/>
        <v>0</v>
      </c>
      <c r="CH24" s="31">
        <f t="shared" si="58"/>
        <v>0</v>
      </c>
      <c r="CI24" s="33"/>
      <c r="CJ24" s="37">
        <f t="shared" si="13"/>
        <v>-1</v>
      </c>
      <c r="CK24" s="36">
        <f>[1]FUNIL!$P24</f>
        <v>14938.4926272907</v>
      </c>
      <c r="CL24" s="31">
        <f t="shared" si="59"/>
        <v>13102.551883396673</v>
      </c>
      <c r="CM24" s="31">
        <f t="shared" si="60"/>
        <v>1835.9407438940268</v>
      </c>
      <c r="CN24" s="31">
        <f t="shared" si="61"/>
        <v>0</v>
      </c>
      <c r="CO24" s="31">
        <f t="shared" si="62"/>
        <v>0</v>
      </c>
      <c r="CP24" s="33"/>
      <c r="CQ24" s="37">
        <f t="shared" si="63"/>
        <v>-1</v>
      </c>
      <c r="CR24" s="144"/>
      <c r="CS24" s="199"/>
      <c r="CT24" s="199"/>
      <c r="CU24" s="199"/>
    </row>
    <row r="25" spans="1:99" s="26" customFormat="1" ht="16" customHeight="1" x14ac:dyDescent="0.2">
      <c r="A25" s="29" t="s">
        <v>49</v>
      </c>
      <c r="B25" s="30">
        <f t="shared" si="0"/>
        <v>330520.88766899926</v>
      </c>
      <c r="C25" s="31">
        <f t="shared" si="0"/>
        <v>289899.87057447917</v>
      </c>
      <c r="D25" s="32">
        <f t="shared" si="0"/>
        <v>40621.017094520001</v>
      </c>
      <c r="E25" s="30">
        <f t="shared" si="14"/>
        <v>118953.0648269997</v>
      </c>
      <c r="F25" s="33">
        <f t="shared" si="14"/>
        <v>104333.73315976144</v>
      </c>
      <c r="G25" s="34">
        <f t="shared" si="14"/>
        <v>14619.331667238263</v>
      </c>
      <c r="H25" s="31">
        <f t="shared" si="1"/>
        <v>15573.142948000006</v>
      </c>
      <c r="I25" s="33">
        <f t="shared" si="1"/>
        <v>124221.67705200001</v>
      </c>
      <c r="J25" s="33">
        <f t="shared" si="1"/>
        <v>139794.82</v>
      </c>
      <c r="K25" s="37">
        <f t="shared" si="2"/>
        <v>0.17520990487560506</v>
      </c>
      <c r="L25" s="36">
        <f>[1]FUNIL!$E25</f>
        <v>0</v>
      </c>
      <c r="M25" s="31">
        <f t="shared" si="15"/>
        <v>0</v>
      </c>
      <c r="N25" s="31">
        <f t="shared" si="16"/>
        <v>0</v>
      </c>
      <c r="O25" s="31">
        <f t="shared" si="17"/>
        <v>1318.1828320000004</v>
      </c>
      <c r="P25" s="31">
        <f t="shared" si="18"/>
        <v>10514.697167999995</v>
      </c>
      <c r="Q25" s="33">
        <v>11832.879999999996</v>
      </c>
      <c r="R25" s="37" t="str">
        <f t="shared" si="3"/>
        <v/>
      </c>
      <c r="S25" s="36">
        <f>[1]FUNIL!$F25</f>
        <v>0</v>
      </c>
      <c r="T25" s="31">
        <f t="shared" si="19"/>
        <v>0</v>
      </c>
      <c r="U25" s="31">
        <f t="shared" si="20"/>
        <v>0</v>
      </c>
      <c r="V25" s="31">
        <f t="shared" si="21"/>
        <v>1591.0315100000007</v>
      </c>
      <c r="W25" s="31">
        <f t="shared" si="22"/>
        <v>12691.118490000001</v>
      </c>
      <c r="X25" s="33">
        <v>14282.150000000001</v>
      </c>
      <c r="Y25" s="37" t="str">
        <f t="shared" si="4"/>
        <v/>
      </c>
      <c r="Z25" s="36">
        <f>[1]FUNIL!$G25</f>
        <v>52478.133119999802</v>
      </c>
      <c r="AA25" s="31">
        <f t="shared" si="23"/>
        <v>46028.570559551823</v>
      </c>
      <c r="AB25" s="31">
        <f t="shared" si="24"/>
        <v>6449.5625604479756</v>
      </c>
      <c r="AC25" s="31">
        <f t="shared" si="25"/>
        <v>3861.9060280000012</v>
      </c>
      <c r="AD25" s="31">
        <f t="shared" si="26"/>
        <v>30805.113972000003</v>
      </c>
      <c r="AE25" s="33">
        <v>34667.020000000004</v>
      </c>
      <c r="AF25" s="37">
        <f t="shared" si="5"/>
        <v>-0.33940066197232632</v>
      </c>
      <c r="AG25" s="36">
        <f>[1]FUNIL!$H25</f>
        <v>66474.931706999894</v>
      </c>
      <c r="AH25" s="31">
        <f t="shared" si="27"/>
        <v>58305.162600209609</v>
      </c>
      <c r="AI25" s="31">
        <f t="shared" si="28"/>
        <v>8169.769106790287</v>
      </c>
      <c r="AJ25" s="31">
        <f t="shared" si="29"/>
        <v>8802.0225780000037</v>
      </c>
      <c r="AK25" s="31">
        <f t="shared" si="30"/>
        <v>70210.747422000015</v>
      </c>
      <c r="AL25" s="33">
        <v>79012.770000000019</v>
      </c>
      <c r="AM25" s="37">
        <f t="shared" si="6"/>
        <v>0.18861002141774108</v>
      </c>
      <c r="AN25" s="36">
        <f>[1]FUNIL!$I25</f>
        <v>66474.931706999894</v>
      </c>
      <c r="AO25" s="31">
        <f t="shared" si="31"/>
        <v>58305.162600209609</v>
      </c>
      <c r="AP25" s="31">
        <f t="shared" si="32"/>
        <v>8169.769106790287</v>
      </c>
      <c r="AQ25" s="31">
        <f t="shared" si="33"/>
        <v>0</v>
      </c>
      <c r="AR25" s="31">
        <f t="shared" si="34"/>
        <v>0</v>
      </c>
      <c r="AS25" s="33"/>
      <c r="AT25" s="37">
        <f t="shared" si="7"/>
        <v>-1</v>
      </c>
      <c r="AU25" s="36">
        <f>[1]FUNIL!$J25</f>
        <v>69636.458721000003</v>
      </c>
      <c r="AV25" s="31">
        <f t="shared" si="35"/>
        <v>61078.137944189104</v>
      </c>
      <c r="AW25" s="31">
        <f t="shared" si="36"/>
        <v>8558.3207768109005</v>
      </c>
      <c r="AX25" s="31">
        <f t="shared" si="37"/>
        <v>0</v>
      </c>
      <c r="AY25" s="31">
        <f t="shared" si="38"/>
        <v>0</v>
      </c>
      <c r="AZ25" s="33"/>
      <c r="BA25" s="37">
        <f t="shared" si="8"/>
        <v>-1</v>
      </c>
      <c r="BB25" s="36">
        <f>[1]FUNIL!$K25</f>
        <v>17475.119420999901</v>
      </c>
      <c r="BC25" s="31">
        <f t="shared" si="39"/>
        <v>15327.427244159013</v>
      </c>
      <c r="BD25" s="31">
        <f t="shared" si="40"/>
        <v>2147.6921768408879</v>
      </c>
      <c r="BE25" s="31">
        <f t="shared" si="41"/>
        <v>0</v>
      </c>
      <c r="BF25" s="31">
        <f t="shared" si="42"/>
        <v>0</v>
      </c>
      <c r="BG25" s="33"/>
      <c r="BH25" s="37">
        <f t="shared" si="9"/>
        <v>-1</v>
      </c>
      <c r="BI25" s="36">
        <f>[1]FUNIL!$L25</f>
        <v>17475.119420999901</v>
      </c>
      <c r="BJ25" s="31">
        <f t="shared" si="43"/>
        <v>15327.427244159013</v>
      </c>
      <c r="BK25" s="31">
        <f t="shared" si="44"/>
        <v>2147.6921768408879</v>
      </c>
      <c r="BL25" s="31">
        <f t="shared" si="45"/>
        <v>0</v>
      </c>
      <c r="BM25" s="31">
        <f t="shared" si="46"/>
        <v>0</v>
      </c>
      <c r="BN25" s="33"/>
      <c r="BO25" s="37">
        <f t="shared" si="10"/>
        <v>-1</v>
      </c>
      <c r="BP25" s="36">
        <f>[1]FUNIL!$M25</f>
        <v>17475.119420999901</v>
      </c>
      <c r="BQ25" s="31">
        <f t="shared" si="47"/>
        <v>15327.427244159013</v>
      </c>
      <c r="BR25" s="31">
        <f t="shared" si="48"/>
        <v>2147.6921768408879</v>
      </c>
      <c r="BS25" s="31">
        <f t="shared" si="49"/>
        <v>0</v>
      </c>
      <c r="BT25" s="31">
        <f t="shared" si="50"/>
        <v>0</v>
      </c>
      <c r="BU25" s="33"/>
      <c r="BV25" s="37">
        <f t="shared" si="11"/>
        <v>-1</v>
      </c>
      <c r="BW25" s="36">
        <f>[1]FUNIL!$N25</f>
        <v>10414.822388999901</v>
      </c>
      <c r="BX25" s="31">
        <f t="shared" si="51"/>
        <v>9134.8407173918131</v>
      </c>
      <c r="BY25" s="31">
        <f t="shared" si="52"/>
        <v>1279.9816716080877</v>
      </c>
      <c r="BZ25" s="31">
        <f t="shared" si="53"/>
        <v>0</v>
      </c>
      <c r="CA25" s="31">
        <f t="shared" si="54"/>
        <v>0</v>
      </c>
      <c r="CB25" s="33"/>
      <c r="CC25" s="37">
        <f t="shared" si="12"/>
        <v>-1</v>
      </c>
      <c r="CD25" s="36">
        <f>[1]FUNIL!$O25</f>
        <v>6308.1258809999899</v>
      </c>
      <c r="CE25" s="31">
        <f t="shared" si="55"/>
        <v>5532.857210225091</v>
      </c>
      <c r="CF25" s="31">
        <f t="shared" si="56"/>
        <v>775.26867077489874</v>
      </c>
      <c r="CG25" s="31">
        <f t="shared" si="57"/>
        <v>0</v>
      </c>
      <c r="CH25" s="31">
        <f t="shared" si="58"/>
        <v>0</v>
      </c>
      <c r="CI25" s="33"/>
      <c r="CJ25" s="37">
        <f t="shared" si="13"/>
        <v>-1</v>
      </c>
      <c r="CK25" s="36">
        <f>[1]FUNIL!$P25</f>
        <v>6308.1258809999899</v>
      </c>
      <c r="CL25" s="31">
        <f t="shared" si="59"/>
        <v>5532.857210225091</v>
      </c>
      <c r="CM25" s="31">
        <f t="shared" si="60"/>
        <v>775.26867077489874</v>
      </c>
      <c r="CN25" s="31">
        <f t="shared" si="61"/>
        <v>0</v>
      </c>
      <c r="CO25" s="31">
        <f t="shared" si="62"/>
        <v>0</v>
      </c>
      <c r="CP25" s="33"/>
      <c r="CQ25" s="37">
        <f t="shared" si="63"/>
        <v>-1</v>
      </c>
      <c r="CR25" s="144"/>
      <c r="CS25" s="199"/>
      <c r="CT25" s="199"/>
      <c r="CU25" s="199"/>
    </row>
    <row r="26" spans="1:99" s="26" customFormat="1" ht="16" customHeight="1" x14ac:dyDescent="0.2">
      <c r="A26" s="29" t="s">
        <v>50</v>
      </c>
      <c r="B26" s="30">
        <f t="shared" si="0"/>
        <v>2299611.6030639699</v>
      </c>
      <c r="C26" s="31">
        <f t="shared" si="0"/>
        <v>2016989.3370474081</v>
      </c>
      <c r="D26" s="32">
        <f t="shared" si="0"/>
        <v>282622.26601656195</v>
      </c>
      <c r="E26" s="30">
        <f t="shared" si="14"/>
        <v>630445.83249020157</v>
      </c>
      <c r="F26" s="33">
        <f t="shared" si="14"/>
        <v>552964.03967715579</v>
      </c>
      <c r="G26" s="34">
        <f t="shared" si="14"/>
        <v>77481.792813045773</v>
      </c>
      <c r="H26" s="31">
        <f t="shared" si="1"/>
        <v>89798.872665184826</v>
      </c>
      <c r="I26" s="33">
        <f t="shared" si="1"/>
        <v>716295.13689661759</v>
      </c>
      <c r="J26" s="33">
        <f t="shared" si="1"/>
        <v>806094.00956180238</v>
      </c>
      <c r="K26" s="37">
        <f t="shared" si="2"/>
        <v>0.27860946653863516</v>
      </c>
      <c r="L26" s="36">
        <f>[1]FUNIL!$E26</f>
        <v>68936.262714014403</v>
      </c>
      <c r="M26" s="31">
        <f t="shared" si="15"/>
        <v>60463.996026462031</v>
      </c>
      <c r="N26" s="31">
        <f t="shared" si="16"/>
        <v>8472.2666875523701</v>
      </c>
      <c r="O26" s="31">
        <f t="shared" si="17"/>
        <v>15010.493854</v>
      </c>
      <c r="P26" s="31">
        <f t="shared" si="18"/>
        <v>119733.61614599996</v>
      </c>
      <c r="Q26" s="33">
        <v>134744.10999999996</v>
      </c>
      <c r="R26" s="37">
        <f t="shared" si="3"/>
        <v>0.95461872598160369</v>
      </c>
      <c r="S26" s="36">
        <f>[1]FUNIL!$F26</f>
        <v>138505.9462180144</v>
      </c>
      <c r="T26" s="31">
        <f t="shared" si="19"/>
        <v>121483.56542782043</v>
      </c>
      <c r="U26" s="31">
        <f t="shared" si="20"/>
        <v>17022.380790193969</v>
      </c>
      <c r="V26" s="31">
        <f t="shared" si="21"/>
        <v>12907.929927399571</v>
      </c>
      <c r="W26" s="31">
        <f t="shared" si="22"/>
        <v>102962.17714081911</v>
      </c>
      <c r="X26" s="33">
        <v>115870.10706821868</v>
      </c>
      <c r="Y26" s="37">
        <f t="shared" si="4"/>
        <v>-0.1634286452522834</v>
      </c>
      <c r="Z26" s="36">
        <f>[1]FUNIL!$G26</f>
        <v>212537.41323828639</v>
      </c>
      <c r="AA26" s="31">
        <f t="shared" si="23"/>
        <v>186416.56515130098</v>
      </c>
      <c r="AB26" s="31">
        <f t="shared" si="24"/>
        <v>26120.848086985396</v>
      </c>
      <c r="AC26" s="31">
        <f t="shared" si="25"/>
        <v>29907.51817378524</v>
      </c>
      <c r="AD26" s="31">
        <f t="shared" si="26"/>
        <v>238562.12431979849</v>
      </c>
      <c r="AE26" s="33">
        <v>268469.64249358373</v>
      </c>
      <c r="AF26" s="37">
        <f t="shared" si="5"/>
        <v>0.26316415732692144</v>
      </c>
      <c r="AG26" s="36">
        <f>[1]FUNIL!$H26</f>
        <v>210466.21031988639</v>
      </c>
      <c r="AH26" s="31">
        <f t="shared" si="27"/>
        <v>184599.91307157234</v>
      </c>
      <c r="AI26" s="31">
        <f t="shared" si="28"/>
        <v>25866.297248314037</v>
      </c>
      <c r="AJ26" s="31">
        <f t="shared" si="29"/>
        <v>31972.930710000015</v>
      </c>
      <c r="AK26" s="31">
        <f t="shared" si="30"/>
        <v>255037.21929000001</v>
      </c>
      <c r="AL26" s="33">
        <v>287010.15000000002</v>
      </c>
      <c r="AM26" s="37">
        <f t="shared" si="6"/>
        <v>0.3636875466317131</v>
      </c>
      <c r="AN26" s="36">
        <f>[1]FUNIL!$I26</f>
        <v>238019.28215801439</v>
      </c>
      <c r="AO26" s="31">
        <f t="shared" si="31"/>
        <v>208766.71238079443</v>
      </c>
      <c r="AP26" s="31">
        <f t="shared" si="32"/>
        <v>29252.569777219967</v>
      </c>
      <c r="AQ26" s="31">
        <f t="shared" si="33"/>
        <v>0</v>
      </c>
      <c r="AR26" s="31">
        <f t="shared" si="34"/>
        <v>0</v>
      </c>
      <c r="AS26" s="33"/>
      <c r="AT26" s="37">
        <f t="shared" si="7"/>
        <v>-1</v>
      </c>
      <c r="AU26" s="36">
        <f>[1]FUNIL!$J26</f>
        <v>184476.44553628544</v>
      </c>
      <c r="AV26" s="31">
        <f t="shared" si="35"/>
        <v>161804.29037987595</v>
      </c>
      <c r="AW26" s="31">
        <f t="shared" si="36"/>
        <v>22672.155156409481</v>
      </c>
      <c r="AX26" s="31">
        <f t="shared" si="37"/>
        <v>0</v>
      </c>
      <c r="AY26" s="31">
        <f t="shared" si="38"/>
        <v>0</v>
      </c>
      <c r="AZ26" s="33"/>
      <c r="BA26" s="37">
        <f t="shared" si="8"/>
        <v>-1</v>
      </c>
      <c r="BB26" s="36">
        <f>[1]FUNIL!$K26</f>
        <v>156923.37369815831</v>
      </c>
      <c r="BC26" s="31">
        <f t="shared" si="39"/>
        <v>137637.49107065465</v>
      </c>
      <c r="BD26" s="31">
        <f t="shared" si="40"/>
        <v>19285.882627503655</v>
      </c>
      <c r="BE26" s="31">
        <f t="shared" si="41"/>
        <v>0</v>
      </c>
      <c r="BF26" s="31">
        <f t="shared" si="42"/>
        <v>0</v>
      </c>
      <c r="BG26" s="33"/>
      <c r="BH26" s="37">
        <f t="shared" si="9"/>
        <v>-1</v>
      </c>
      <c r="BI26" s="36">
        <f>[1]FUNIL!$L26</f>
        <v>212537.41323828639</v>
      </c>
      <c r="BJ26" s="31">
        <f t="shared" si="43"/>
        <v>186416.56515130098</v>
      </c>
      <c r="BK26" s="31">
        <f t="shared" si="44"/>
        <v>26120.848086985396</v>
      </c>
      <c r="BL26" s="31">
        <f t="shared" si="45"/>
        <v>0</v>
      </c>
      <c r="BM26" s="31">
        <f t="shared" si="46"/>
        <v>0</v>
      </c>
      <c r="BN26" s="33"/>
      <c r="BO26" s="37">
        <f t="shared" si="10"/>
        <v>-1</v>
      </c>
      <c r="BP26" s="36">
        <f>[1]FUNIL!$M26</f>
        <v>266152.36565049202</v>
      </c>
      <c r="BQ26" s="31">
        <f t="shared" si="47"/>
        <v>233442.23991204656</v>
      </c>
      <c r="BR26" s="31">
        <f t="shared" si="48"/>
        <v>32710.125738445469</v>
      </c>
      <c r="BS26" s="31">
        <f t="shared" si="49"/>
        <v>0</v>
      </c>
      <c r="BT26" s="31">
        <f t="shared" si="50"/>
        <v>0</v>
      </c>
      <c r="BU26" s="33"/>
      <c r="BV26" s="37">
        <f t="shared" si="11"/>
        <v>-1</v>
      </c>
      <c r="BW26" s="36">
        <f>[1]FUNIL!$N26</f>
        <v>252081.97699582003</v>
      </c>
      <c r="BX26" s="31">
        <f t="shared" si="51"/>
        <v>221101.10202303375</v>
      </c>
      <c r="BY26" s="31">
        <f t="shared" si="52"/>
        <v>30980.874972786281</v>
      </c>
      <c r="BZ26" s="31">
        <f t="shared" si="53"/>
        <v>0</v>
      </c>
      <c r="CA26" s="31">
        <f t="shared" si="54"/>
        <v>0</v>
      </c>
      <c r="CB26" s="33"/>
      <c r="CC26" s="37">
        <f t="shared" si="12"/>
        <v>-1</v>
      </c>
      <c r="CD26" s="36">
        <f>[1]FUNIL!$O26</f>
        <v>181718.34840649198</v>
      </c>
      <c r="CE26" s="31">
        <f t="shared" si="55"/>
        <v>159385.16338733412</v>
      </c>
      <c r="CF26" s="31">
        <f t="shared" si="56"/>
        <v>22333.185019157863</v>
      </c>
      <c r="CG26" s="31">
        <f t="shared" si="57"/>
        <v>0</v>
      </c>
      <c r="CH26" s="31">
        <f t="shared" si="58"/>
        <v>0</v>
      </c>
      <c r="CI26" s="33"/>
      <c r="CJ26" s="37">
        <f t="shared" si="13"/>
        <v>-1</v>
      </c>
      <c r="CK26" s="36">
        <f>[1]FUNIL!$P26</f>
        <v>177256.56489022</v>
      </c>
      <c r="CL26" s="31">
        <f t="shared" si="59"/>
        <v>155471.73306521197</v>
      </c>
      <c r="CM26" s="31">
        <f t="shared" si="60"/>
        <v>21784.831825008037</v>
      </c>
      <c r="CN26" s="31">
        <f t="shared" si="61"/>
        <v>0</v>
      </c>
      <c r="CO26" s="31">
        <f t="shared" si="62"/>
        <v>0</v>
      </c>
      <c r="CP26" s="33"/>
      <c r="CQ26" s="37">
        <f t="shared" si="63"/>
        <v>-1</v>
      </c>
      <c r="CR26" s="144"/>
      <c r="CS26" s="199"/>
      <c r="CT26" s="199"/>
      <c r="CU26" s="199"/>
    </row>
    <row r="27" spans="1:99" s="26" customFormat="1" ht="16" customHeight="1" x14ac:dyDescent="0.2">
      <c r="A27" s="29" t="s">
        <v>51</v>
      </c>
      <c r="B27" s="30">
        <f t="shared" si="0"/>
        <v>120443.8891177999</v>
      </c>
      <c r="C27" s="31">
        <f t="shared" si="0"/>
        <v>105641.3351452223</v>
      </c>
      <c r="D27" s="32">
        <f t="shared" si="0"/>
        <v>14802.553972577602</v>
      </c>
      <c r="E27" s="30">
        <f t="shared" si="14"/>
        <v>36508.6829957999</v>
      </c>
      <c r="F27" s="33">
        <f t="shared" si="14"/>
        <v>32021.765855616093</v>
      </c>
      <c r="G27" s="34">
        <f t="shared" si="14"/>
        <v>4486.9171401838075</v>
      </c>
      <c r="H27" s="31">
        <f t="shared" si="1"/>
        <v>6356.6744940000035</v>
      </c>
      <c r="I27" s="33">
        <f t="shared" si="1"/>
        <v>50705.035505999993</v>
      </c>
      <c r="J27" s="33">
        <f t="shared" si="1"/>
        <v>57061.709999999992</v>
      </c>
      <c r="K27" s="37">
        <f t="shared" si="2"/>
        <v>0.56296270688714212</v>
      </c>
      <c r="L27" s="36">
        <f>[1]FUNIL!$E27</f>
        <v>3029.8775823999999</v>
      </c>
      <c r="M27" s="31">
        <f t="shared" si="15"/>
        <v>2657.5056275230399</v>
      </c>
      <c r="N27" s="31">
        <f t="shared" si="16"/>
        <v>372.37195487695999</v>
      </c>
      <c r="O27" s="31">
        <f t="shared" si="17"/>
        <v>1562.8049780000001</v>
      </c>
      <c r="P27" s="31">
        <f t="shared" si="18"/>
        <v>12465.965021999998</v>
      </c>
      <c r="Q27" s="33">
        <v>14028.769999999999</v>
      </c>
      <c r="R27" s="37">
        <f t="shared" si="3"/>
        <v>3.6301441620910815</v>
      </c>
      <c r="S27" s="36">
        <f>[1]FUNIL!$F27</f>
        <v>10938.065739199999</v>
      </c>
      <c r="T27" s="31">
        <f t="shared" si="19"/>
        <v>9593.7774598523192</v>
      </c>
      <c r="U27" s="31">
        <f t="shared" si="20"/>
        <v>1344.2882793476799</v>
      </c>
      <c r="V27" s="31">
        <f t="shared" si="21"/>
        <v>591.03938400000061</v>
      </c>
      <c r="W27" s="31">
        <f t="shared" si="22"/>
        <v>4714.5206159999989</v>
      </c>
      <c r="X27" s="33">
        <v>5305.5599999999995</v>
      </c>
      <c r="Y27" s="37">
        <f t="shared" si="4"/>
        <v>-0.51494531789237141</v>
      </c>
      <c r="Z27" s="36">
        <f>[1]FUNIL!$G27</f>
        <v>10938.065739199999</v>
      </c>
      <c r="AA27" s="31">
        <f t="shared" si="23"/>
        <v>9593.7774598523192</v>
      </c>
      <c r="AB27" s="31">
        <f t="shared" si="24"/>
        <v>1344.2882793476799</v>
      </c>
      <c r="AC27" s="31">
        <f t="shared" si="25"/>
        <v>1460.5709700000007</v>
      </c>
      <c r="AD27" s="31">
        <f t="shared" si="26"/>
        <v>11650.479029999999</v>
      </c>
      <c r="AE27" s="33">
        <v>13111.05</v>
      </c>
      <c r="AF27" s="37">
        <f t="shared" si="5"/>
        <v>0.19866257093449602</v>
      </c>
      <c r="AG27" s="36">
        <f>[1]FUNIL!$H27</f>
        <v>11602.673934999901</v>
      </c>
      <c r="AH27" s="31">
        <f t="shared" si="27"/>
        <v>10176.705308388413</v>
      </c>
      <c r="AI27" s="31">
        <f t="shared" si="28"/>
        <v>1425.9686266114877</v>
      </c>
      <c r="AJ27" s="31">
        <f t="shared" si="29"/>
        <v>2742.2591620000021</v>
      </c>
      <c r="AK27" s="31">
        <f t="shared" si="30"/>
        <v>21874.070837999996</v>
      </c>
      <c r="AL27" s="33">
        <v>24616.329999999998</v>
      </c>
      <c r="AM27" s="37">
        <f t="shared" si="6"/>
        <v>1.1216083583753842</v>
      </c>
      <c r="AN27" s="36">
        <f>[1]FUNIL!$I27</f>
        <v>4544.9905349999999</v>
      </c>
      <c r="AO27" s="31">
        <f t="shared" si="31"/>
        <v>3986.4111982485001</v>
      </c>
      <c r="AP27" s="31">
        <f t="shared" si="32"/>
        <v>558.57933675150002</v>
      </c>
      <c r="AQ27" s="31">
        <f t="shared" si="33"/>
        <v>0</v>
      </c>
      <c r="AR27" s="31">
        <f t="shared" si="34"/>
        <v>0</v>
      </c>
      <c r="AS27" s="33"/>
      <c r="AT27" s="37">
        <f t="shared" si="7"/>
        <v>-1</v>
      </c>
      <c r="AU27" s="36">
        <f>[1]FUNIL!$J27</f>
        <v>14632.551517399999</v>
      </c>
      <c r="AV27" s="31">
        <f t="shared" si="35"/>
        <v>12834.21093591154</v>
      </c>
      <c r="AW27" s="31">
        <f t="shared" si="36"/>
        <v>1798.3405814884597</v>
      </c>
      <c r="AX27" s="31">
        <f t="shared" si="37"/>
        <v>0</v>
      </c>
      <c r="AY27" s="31">
        <f t="shared" si="38"/>
        <v>0</v>
      </c>
      <c r="AZ27" s="33"/>
      <c r="BA27" s="37">
        <f t="shared" si="8"/>
        <v>-1</v>
      </c>
      <c r="BB27" s="36">
        <f>[1]FUNIL!$K27</f>
        <v>7574.8681173999903</v>
      </c>
      <c r="BC27" s="31">
        <f t="shared" si="39"/>
        <v>6643.9168257715319</v>
      </c>
      <c r="BD27" s="31">
        <f t="shared" si="40"/>
        <v>930.95129162845876</v>
      </c>
      <c r="BE27" s="31">
        <f t="shared" si="41"/>
        <v>0</v>
      </c>
      <c r="BF27" s="31">
        <f t="shared" si="42"/>
        <v>0</v>
      </c>
      <c r="BG27" s="33"/>
      <c r="BH27" s="37">
        <f t="shared" si="9"/>
        <v>-1</v>
      </c>
      <c r="BI27" s="36">
        <f>[1]FUNIL!$L27</f>
        <v>14632.551517399999</v>
      </c>
      <c r="BJ27" s="31">
        <f t="shared" si="43"/>
        <v>12834.21093591154</v>
      </c>
      <c r="BK27" s="31">
        <f t="shared" si="44"/>
        <v>1798.3405814884597</v>
      </c>
      <c r="BL27" s="31">
        <f t="shared" si="45"/>
        <v>0</v>
      </c>
      <c r="BM27" s="31">
        <f t="shared" si="46"/>
        <v>0</v>
      </c>
      <c r="BN27" s="33"/>
      <c r="BO27" s="37">
        <f t="shared" si="10"/>
        <v>-1</v>
      </c>
      <c r="BP27" s="36">
        <f>[1]FUNIL!$M27</f>
        <v>14632.551517399999</v>
      </c>
      <c r="BQ27" s="31">
        <f t="shared" si="47"/>
        <v>12834.21093591154</v>
      </c>
      <c r="BR27" s="31">
        <f t="shared" si="48"/>
        <v>1798.3405814884597</v>
      </c>
      <c r="BS27" s="31">
        <f t="shared" si="49"/>
        <v>0</v>
      </c>
      <c r="BT27" s="31">
        <f t="shared" si="50"/>
        <v>0</v>
      </c>
      <c r="BU27" s="33"/>
      <c r="BV27" s="37">
        <f t="shared" si="11"/>
        <v>-1</v>
      </c>
      <c r="BW27" s="36">
        <f>[1]FUNIL!$N27</f>
        <v>11325.8160274</v>
      </c>
      <c r="BX27" s="31">
        <f t="shared" si="51"/>
        <v>9933.8732376325406</v>
      </c>
      <c r="BY27" s="31">
        <f t="shared" si="52"/>
        <v>1391.94278976746</v>
      </c>
      <c r="BZ27" s="31">
        <f t="shared" si="53"/>
        <v>0</v>
      </c>
      <c r="CA27" s="31">
        <f t="shared" si="54"/>
        <v>0</v>
      </c>
      <c r="CB27" s="33"/>
      <c r="CC27" s="37">
        <f t="shared" si="12"/>
        <v>-1</v>
      </c>
      <c r="CD27" s="36">
        <f>[1]FUNIL!$O27</f>
        <v>8295.9384449999998</v>
      </c>
      <c r="CE27" s="31">
        <f t="shared" si="55"/>
        <v>7276.3676101094998</v>
      </c>
      <c r="CF27" s="31">
        <f t="shared" si="56"/>
        <v>1019.5708348904999</v>
      </c>
      <c r="CG27" s="31">
        <f t="shared" si="57"/>
        <v>0</v>
      </c>
      <c r="CH27" s="31">
        <f t="shared" si="58"/>
        <v>0</v>
      </c>
      <c r="CI27" s="33"/>
      <c r="CJ27" s="37">
        <f t="shared" si="13"/>
        <v>-1</v>
      </c>
      <c r="CK27" s="36">
        <f>[1]FUNIL!$P27</f>
        <v>8295.9384449999998</v>
      </c>
      <c r="CL27" s="31">
        <f t="shared" si="59"/>
        <v>7276.3676101094998</v>
      </c>
      <c r="CM27" s="31">
        <f t="shared" si="60"/>
        <v>1019.5708348904999</v>
      </c>
      <c r="CN27" s="31">
        <f t="shared" si="61"/>
        <v>0</v>
      </c>
      <c r="CO27" s="31">
        <f t="shared" si="62"/>
        <v>0</v>
      </c>
      <c r="CP27" s="33"/>
      <c r="CQ27" s="37">
        <f t="shared" si="63"/>
        <v>-1</v>
      </c>
      <c r="CR27" s="144"/>
      <c r="CS27" s="199"/>
      <c r="CT27" s="199"/>
      <c r="CU27" s="199"/>
    </row>
    <row r="28" spans="1:99" s="26" customFormat="1" ht="16" customHeight="1" x14ac:dyDescent="0.2">
      <c r="A28" s="29" t="s">
        <v>52</v>
      </c>
      <c r="B28" s="30">
        <f t="shared" si="0"/>
        <v>129918.94743499934</v>
      </c>
      <c r="C28" s="31">
        <f t="shared" si="0"/>
        <v>113951.90879523795</v>
      </c>
      <c r="D28" s="32">
        <f t="shared" si="0"/>
        <v>15967.038639761418</v>
      </c>
      <c r="E28" s="30">
        <f t="shared" si="14"/>
        <v>44974.900864999778</v>
      </c>
      <c r="F28" s="33">
        <f t="shared" si="14"/>
        <v>39447.485548691307</v>
      </c>
      <c r="G28" s="34">
        <f t="shared" si="14"/>
        <v>5527.4153163084729</v>
      </c>
      <c r="H28" s="31">
        <f t="shared" si="1"/>
        <v>4188.0607200000031</v>
      </c>
      <c r="I28" s="33">
        <f t="shared" si="1"/>
        <v>33406.739280000002</v>
      </c>
      <c r="J28" s="33">
        <f t="shared" si="1"/>
        <v>37594.800000000003</v>
      </c>
      <c r="K28" s="37">
        <f t="shared" si="2"/>
        <v>-0.16409376614642179</v>
      </c>
      <c r="L28" s="36">
        <f>[1]FUNIL!$E28</f>
        <v>9575.1449699999903</v>
      </c>
      <c r="M28" s="31">
        <f t="shared" si="15"/>
        <v>8398.3596531869916</v>
      </c>
      <c r="N28" s="31">
        <f t="shared" si="16"/>
        <v>1176.7853168129989</v>
      </c>
      <c r="O28" s="31">
        <f t="shared" si="17"/>
        <v>1624.3167160000012</v>
      </c>
      <c r="P28" s="31">
        <f t="shared" si="18"/>
        <v>12956.623283999999</v>
      </c>
      <c r="Q28" s="33">
        <v>14580.94</v>
      </c>
      <c r="R28" s="37">
        <f t="shared" si="3"/>
        <v>0.52279052125933667</v>
      </c>
      <c r="S28" s="36">
        <f>[1]FUNIL!$F28</f>
        <v>9575.1449699999903</v>
      </c>
      <c r="T28" s="31">
        <f t="shared" si="19"/>
        <v>8398.3596531869916</v>
      </c>
      <c r="U28" s="31">
        <f t="shared" si="20"/>
        <v>1176.7853168129989</v>
      </c>
      <c r="V28" s="31">
        <f t="shared" si="21"/>
        <v>957.04074200000014</v>
      </c>
      <c r="W28" s="31">
        <f t="shared" si="22"/>
        <v>7633.9892579999987</v>
      </c>
      <c r="X28" s="33">
        <v>8591.0299999999988</v>
      </c>
      <c r="Y28" s="37">
        <f t="shared" si="4"/>
        <v>-0.10277807522323001</v>
      </c>
      <c r="Z28" s="36">
        <f>[1]FUNIL!$G28</f>
        <v>12766.8599599999</v>
      </c>
      <c r="AA28" s="31">
        <f t="shared" si="23"/>
        <v>11197.812870915912</v>
      </c>
      <c r="AB28" s="31">
        <f t="shared" si="24"/>
        <v>1569.0470890839877</v>
      </c>
      <c r="AC28" s="31">
        <f t="shared" si="25"/>
        <v>627.8593120000005</v>
      </c>
      <c r="AD28" s="31">
        <f t="shared" si="26"/>
        <v>5008.2206879999994</v>
      </c>
      <c r="AE28" s="33">
        <v>5636.08</v>
      </c>
      <c r="AF28" s="37">
        <f t="shared" si="5"/>
        <v>-0.55853827662725886</v>
      </c>
      <c r="AG28" s="36">
        <f>[1]FUNIL!$H28</f>
        <v>13057.750964999899</v>
      </c>
      <c r="AH28" s="31">
        <f t="shared" si="27"/>
        <v>11452.953371401412</v>
      </c>
      <c r="AI28" s="31">
        <f t="shared" si="28"/>
        <v>1604.7975935984875</v>
      </c>
      <c r="AJ28" s="31">
        <f t="shared" si="29"/>
        <v>978.84395000000131</v>
      </c>
      <c r="AK28" s="31">
        <f t="shared" si="30"/>
        <v>7807.9060500000023</v>
      </c>
      <c r="AL28" s="33">
        <v>8786.7500000000036</v>
      </c>
      <c r="AM28" s="37">
        <f t="shared" si="6"/>
        <v>-0.32708549706974199</v>
      </c>
      <c r="AN28" s="36">
        <f>[1]FUNIL!$I28</f>
        <v>11171.0024649999</v>
      </c>
      <c r="AO28" s="31">
        <f t="shared" si="31"/>
        <v>9798.0862620514126</v>
      </c>
      <c r="AP28" s="31">
        <f t="shared" si="32"/>
        <v>1372.9162029484876</v>
      </c>
      <c r="AQ28" s="31">
        <f t="shared" si="33"/>
        <v>0</v>
      </c>
      <c r="AR28" s="31">
        <f t="shared" si="34"/>
        <v>0</v>
      </c>
      <c r="AS28" s="33"/>
      <c r="AT28" s="37">
        <f t="shared" si="7"/>
        <v>-1</v>
      </c>
      <c r="AU28" s="36">
        <f>[1]FUNIL!$J28</f>
        <v>9866.0359749999898</v>
      </c>
      <c r="AV28" s="31">
        <f t="shared" si="35"/>
        <v>8653.5001536724903</v>
      </c>
      <c r="AW28" s="31">
        <f t="shared" si="36"/>
        <v>1212.5358213274988</v>
      </c>
      <c r="AX28" s="31">
        <f t="shared" si="37"/>
        <v>0</v>
      </c>
      <c r="AY28" s="31">
        <f t="shared" si="38"/>
        <v>0</v>
      </c>
      <c r="AZ28" s="33"/>
      <c r="BA28" s="37">
        <f t="shared" si="8"/>
        <v>-1</v>
      </c>
      <c r="BB28" s="36">
        <f>[1]FUNIL!$K28</f>
        <v>7979.2874749999901</v>
      </c>
      <c r="BC28" s="31">
        <f t="shared" si="39"/>
        <v>6998.6330443224915</v>
      </c>
      <c r="BD28" s="31">
        <f t="shared" si="40"/>
        <v>980.65443067749879</v>
      </c>
      <c r="BE28" s="31">
        <f t="shared" si="41"/>
        <v>0</v>
      </c>
      <c r="BF28" s="31">
        <f t="shared" si="42"/>
        <v>0</v>
      </c>
      <c r="BG28" s="33"/>
      <c r="BH28" s="37">
        <f t="shared" si="9"/>
        <v>-1</v>
      </c>
      <c r="BI28" s="36">
        <f>[1]FUNIL!$L28</f>
        <v>13057.750964999899</v>
      </c>
      <c r="BJ28" s="31">
        <f t="shared" si="43"/>
        <v>11452.953371401412</v>
      </c>
      <c r="BK28" s="31">
        <f t="shared" si="44"/>
        <v>1604.7975935984875</v>
      </c>
      <c r="BL28" s="31">
        <f t="shared" si="45"/>
        <v>0</v>
      </c>
      <c r="BM28" s="31">
        <f t="shared" si="46"/>
        <v>0</v>
      </c>
      <c r="BN28" s="33"/>
      <c r="BO28" s="37">
        <f t="shared" si="10"/>
        <v>-1</v>
      </c>
      <c r="BP28" s="36">
        <f>[1]FUNIL!$M28</f>
        <v>13057.750964999899</v>
      </c>
      <c r="BQ28" s="31">
        <f t="shared" si="47"/>
        <v>11452.953371401412</v>
      </c>
      <c r="BR28" s="31">
        <f t="shared" si="48"/>
        <v>1604.7975935984875</v>
      </c>
      <c r="BS28" s="31">
        <f t="shared" si="49"/>
        <v>0</v>
      </c>
      <c r="BT28" s="31">
        <f t="shared" si="50"/>
        <v>0</v>
      </c>
      <c r="BU28" s="33"/>
      <c r="BV28" s="37">
        <f t="shared" si="11"/>
        <v>-1</v>
      </c>
      <c r="BW28" s="36">
        <f>[1]FUNIL!$N28</f>
        <v>12065.2162349999</v>
      </c>
      <c r="BX28" s="31">
        <f t="shared" si="51"/>
        <v>10582.401159718413</v>
      </c>
      <c r="BY28" s="31">
        <f t="shared" si="52"/>
        <v>1482.8150752814877</v>
      </c>
      <c r="BZ28" s="31">
        <f t="shared" si="53"/>
        <v>0</v>
      </c>
      <c r="CA28" s="31">
        <f t="shared" si="54"/>
        <v>0</v>
      </c>
      <c r="CB28" s="33"/>
      <c r="CC28" s="37">
        <f t="shared" si="12"/>
        <v>-1</v>
      </c>
      <c r="CD28" s="36">
        <f>[1]FUNIL!$O28</f>
        <v>8873.5012449999995</v>
      </c>
      <c r="CE28" s="31">
        <f t="shared" si="55"/>
        <v>7782.9479419894997</v>
      </c>
      <c r="CF28" s="31">
        <f t="shared" si="56"/>
        <v>1090.5533030104998</v>
      </c>
      <c r="CG28" s="31">
        <f t="shared" si="57"/>
        <v>0</v>
      </c>
      <c r="CH28" s="31">
        <f t="shared" si="58"/>
        <v>0</v>
      </c>
      <c r="CI28" s="33"/>
      <c r="CJ28" s="37">
        <f t="shared" si="13"/>
        <v>-1</v>
      </c>
      <c r="CK28" s="36">
        <f>[1]FUNIL!$P28</f>
        <v>8873.5012449999995</v>
      </c>
      <c r="CL28" s="31">
        <f t="shared" si="59"/>
        <v>7782.9479419894997</v>
      </c>
      <c r="CM28" s="31">
        <f t="shared" si="60"/>
        <v>1090.5533030104998</v>
      </c>
      <c r="CN28" s="31">
        <f t="shared" si="61"/>
        <v>0</v>
      </c>
      <c r="CO28" s="31">
        <f t="shared" si="62"/>
        <v>0</v>
      </c>
      <c r="CP28" s="33"/>
      <c r="CQ28" s="37">
        <f t="shared" si="63"/>
        <v>-1</v>
      </c>
      <c r="CR28" s="144"/>
      <c r="CS28" s="199"/>
      <c r="CT28" s="199"/>
      <c r="CU28" s="199"/>
    </row>
    <row r="29" spans="1:99" s="26" customFormat="1" ht="16" customHeight="1" x14ac:dyDescent="0.2">
      <c r="A29" s="29" t="s">
        <v>53</v>
      </c>
      <c r="B29" s="30">
        <f t="shared" si="0"/>
        <v>315873.73399999889</v>
      </c>
      <c r="C29" s="31">
        <f t="shared" si="0"/>
        <v>277052.85209139896</v>
      </c>
      <c r="D29" s="32">
        <f t="shared" si="0"/>
        <v>38820.881908599862</v>
      </c>
      <c r="E29" s="30">
        <f t="shared" si="14"/>
        <v>105291.24466666627</v>
      </c>
      <c r="F29" s="33">
        <f t="shared" si="14"/>
        <v>92350.950697132997</v>
      </c>
      <c r="G29" s="34">
        <f t="shared" si="14"/>
        <v>12940.293969533284</v>
      </c>
      <c r="H29" s="31">
        <f t="shared" si="1"/>
        <v>582.75456600000052</v>
      </c>
      <c r="I29" s="33">
        <f t="shared" si="1"/>
        <v>4648.4354339999991</v>
      </c>
      <c r="J29" s="33">
        <f t="shared" si="1"/>
        <v>5231.1899999999996</v>
      </c>
      <c r="K29" s="37">
        <f t="shared" si="2"/>
        <v>-0.95031695164625474</v>
      </c>
      <c r="L29" s="36">
        <f>[1]FUNIL!$E29</f>
        <v>20798.441666666567</v>
      </c>
      <c r="M29" s="31">
        <f t="shared" si="15"/>
        <v>18242.313185833245</v>
      </c>
      <c r="N29" s="31">
        <f t="shared" si="16"/>
        <v>2556.1284808333212</v>
      </c>
      <c r="O29" s="31">
        <f t="shared" si="17"/>
        <v>0</v>
      </c>
      <c r="P29" s="31">
        <f t="shared" si="18"/>
        <v>0</v>
      </c>
      <c r="Q29" s="33">
        <v>0</v>
      </c>
      <c r="R29" s="37">
        <f t="shared" si="3"/>
        <v>-1</v>
      </c>
      <c r="S29" s="36">
        <f>[1]FUNIL!$F29</f>
        <v>31847.180666666569</v>
      </c>
      <c r="T29" s="31">
        <f t="shared" si="19"/>
        <v>27933.16216273325</v>
      </c>
      <c r="U29" s="31">
        <f t="shared" si="20"/>
        <v>3914.018503933321</v>
      </c>
      <c r="V29" s="31">
        <f t="shared" si="21"/>
        <v>0</v>
      </c>
      <c r="W29" s="31">
        <f t="shared" si="22"/>
        <v>0</v>
      </c>
      <c r="X29" s="33">
        <v>0</v>
      </c>
      <c r="Y29" s="37">
        <f t="shared" si="4"/>
        <v>-1</v>
      </c>
      <c r="Z29" s="36">
        <f>[1]FUNIL!$G29</f>
        <v>20798.441666666567</v>
      </c>
      <c r="AA29" s="31">
        <f t="shared" si="23"/>
        <v>18242.313185833245</v>
      </c>
      <c r="AB29" s="31">
        <f t="shared" si="24"/>
        <v>2556.1284808333212</v>
      </c>
      <c r="AC29" s="31">
        <f t="shared" si="25"/>
        <v>0</v>
      </c>
      <c r="AD29" s="31">
        <f t="shared" si="26"/>
        <v>0</v>
      </c>
      <c r="AE29" s="33">
        <v>0</v>
      </c>
      <c r="AF29" s="37">
        <f t="shared" si="5"/>
        <v>-1</v>
      </c>
      <c r="AG29" s="36">
        <f>[1]FUNIL!$H29</f>
        <v>31847.180666666569</v>
      </c>
      <c r="AH29" s="31">
        <f t="shared" si="27"/>
        <v>27933.16216273325</v>
      </c>
      <c r="AI29" s="31">
        <f t="shared" si="28"/>
        <v>3914.018503933321</v>
      </c>
      <c r="AJ29" s="31">
        <f t="shared" si="29"/>
        <v>582.75456600000052</v>
      </c>
      <c r="AK29" s="31">
        <f t="shared" si="30"/>
        <v>4648.4354339999991</v>
      </c>
      <c r="AL29" s="33">
        <v>5231.1899999999996</v>
      </c>
      <c r="AM29" s="37">
        <f t="shared" si="6"/>
        <v>-0.8357408759427386</v>
      </c>
      <c r="AN29" s="36">
        <f>[1]FUNIL!$I29</f>
        <v>20798.441666666567</v>
      </c>
      <c r="AO29" s="31">
        <f t="shared" si="31"/>
        <v>18242.313185833245</v>
      </c>
      <c r="AP29" s="31">
        <f t="shared" si="32"/>
        <v>2556.1284808333212</v>
      </c>
      <c r="AQ29" s="31">
        <f t="shared" si="33"/>
        <v>0</v>
      </c>
      <c r="AR29" s="31">
        <f t="shared" si="34"/>
        <v>0</v>
      </c>
      <c r="AS29" s="33"/>
      <c r="AT29" s="37">
        <f t="shared" si="7"/>
        <v>-1</v>
      </c>
      <c r="AU29" s="36">
        <f>[1]FUNIL!$J29</f>
        <v>31847.180666666569</v>
      </c>
      <c r="AV29" s="31">
        <f t="shared" si="35"/>
        <v>27933.16216273325</v>
      </c>
      <c r="AW29" s="31">
        <f t="shared" si="36"/>
        <v>3914.018503933321</v>
      </c>
      <c r="AX29" s="31">
        <f t="shared" si="37"/>
        <v>0</v>
      </c>
      <c r="AY29" s="31">
        <f t="shared" si="38"/>
        <v>0</v>
      </c>
      <c r="AZ29" s="33"/>
      <c r="BA29" s="37">
        <f t="shared" si="8"/>
        <v>-1</v>
      </c>
      <c r="BB29" s="36">
        <f>[1]FUNIL!$K29</f>
        <v>20798.441666666567</v>
      </c>
      <c r="BC29" s="31">
        <f t="shared" si="39"/>
        <v>18242.313185833245</v>
      </c>
      <c r="BD29" s="31">
        <f t="shared" si="40"/>
        <v>2556.1284808333212</v>
      </c>
      <c r="BE29" s="31">
        <f t="shared" si="41"/>
        <v>0</v>
      </c>
      <c r="BF29" s="31">
        <f t="shared" si="42"/>
        <v>0</v>
      </c>
      <c r="BG29" s="33"/>
      <c r="BH29" s="37">
        <f t="shared" si="9"/>
        <v>-1</v>
      </c>
      <c r="BI29" s="36">
        <f>[1]FUNIL!$L29</f>
        <v>31847.180666666569</v>
      </c>
      <c r="BJ29" s="31">
        <f t="shared" si="43"/>
        <v>27933.16216273325</v>
      </c>
      <c r="BK29" s="31">
        <f t="shared" si="44"/>
        <v>3914.018503933321</v>
      </c>
      <c r="BL29" s="31">
        <f t="shared" si="45"/>
        <v>0</v>
      </c>
      <c r="BM29" s="31">
        <f t="shared" si="46"/>
        <v>0</v>
      </c>
      <c r="BN29" s="33"/>
      <c r="BO29" s="37">
        <f t="shared" si="10"/>
        <v>-1</v>
      </c>
      <c r="BP29" s="36">
        <f>[1]FUNIL!$M29</f>
        <v>20798.441666666567</v>
      </c>
      <c r="BQ29" s="31">
        <f t="shared" si="47"/>
        <v>18242.313185833245</v>
      </c>
      <c r="BR29" s="31">
        <f t="shared" si="48"/>
        <v>2556.1284808333212</v>
      </c>
      <c r="BS29" s="31">
        <f t="shared" si="49"/>
        <v>0</v>
      </c>
      <c r="BT29" s="31">
        <f t="shared" si="50"/>
        <v>0</v>
      </c>
      <c r="BU29" s="33"/>
      <c r="BV29" s="37">
        <f t="shared" si="11"/>
        <v>-1</v>
      </c>
      <c r="BW29" s="36">
        <f>[1]FUNIL!$N29</f>
        <v>31847.180666666569</v>
      </c>
      <c r="BX29" s="31">
        <f t="shared" si="51"/>
        <v>27933.16216273325</v>
      </c>
      <c r="BY29" s="31">
        <f t="shared" si="52"/>
        <v>3914.018503933321</v>
      </c>
      <c r="BZ29" s="31">
        <f t="shared" si="53"/>
        <v>0</v>
      </c>
      <c r="CA29" s="31">
        <f t="shared" si="54"/>
        <v>0</v>
      </c>
      <c r="CB29" s="33"/>
      <c r="CC29" s="37">
        <f t="shared" si="12"/>
        <v>-1</v>
      </c>
      <c r="CD29" s="36">
        <f>[1]FUNIL!$O29</f>
        <v>20798.441666666567</v>
      </c>
      <c r="CE29" s="31">
        <f t="shared" si="55"/>
        <v>18242.313185833245</v>
      </c>
      <c r="CF29" s="31">
        <f t="shared" si="56"/>
        <v>2556.1284808333212</v>
      </c>
      <c r="CG29" s="31">
        <f t="shared" si="57"/>
        <v>0</v>
      </c>
      <c r="CH29" s="31">
        <f t="shared" si="58"/>
        <v>0</v>
      </c>
      <c r="CI29" s="33"/>
      <c r="CJ29" s="37">
        <f t="shared" si="13"/>
        <v>-1</v>
      </c>
      <c r="CK29" s="36">
        <f>[1]FUNIL!$P29</f>
        <v>31847.180666666569</v>
      </c>
      <c r="CL29" s="31">
        <f t="shared" si="59"/>
        <v>27933.16216273325</v>
      </c>
      <c r="CM29" s="31">
        <f t="shared" si="60"/>
        <v>3914.018503933321</v>
      </c>
      <c r="CN29" s="31">
        <f t="shared" si="61"/>
        <v>0</v>
      </c>
      <c r="CO29" s="31">
        <f t="shared" si="62"/>
        <v>0</v>
      </c>
      <c r="CP29" s="33"/>
      <c r="CQ29" s="37">
        <f t="shared" si="63"/>
        <v>-1</v>
      </c>
      <c r="CR29" s="144"/>
      <c r="CS29" s="199"/>
      <c r="CT29" s="199"/>
      <c r="CU29" s="199"/>
    </row>
    <row r="30" spans="1:99" s="26" customFormat="1" ht="16" customHeight="1" x14ac:dyDescent="0.2">
      <c r="A30" s="29" t="s">
        <v>54</v>
      </c>
      <c r="B30" s="30">
        <f t="shared" si="0"/>
        <v>37904.000000000007</v>
      </c>
      <c r="C30" s="31">
        <f t="shared" si="0"/>
        <v>33245.598399999995</v>
      </c>
      <c r="D30" s="32">
        <f t="shared" si="0"/>
        <v>4658.4016000000001</v>
      </c>
      <c r="E30" s="30">
        <f t="shared" si="14"/>
        <v>12634.666666666668</v>
      </c>
      <c r="F30" s="33">
        <f t="shared" si="14"/>
        <v>11081.866133333335</v>
      </c>
      <c r="G30" s="34">
        <f t="shared" si="14"/>
        <v>1552.8005333333335</v>
      </c>
      <c r="H30" s="31">
        <f t="shared" si="1"/>
        <v>0</v>
      </c>
      <c r="I30" s="33">
        <f t="shared" si="1"/>
        <v>0</v>
      </c>
      <c r="J30" s="33">
        <f t="shared" si="1"/>
        <v>0</v>
      </c>
      <c r="K30" s="37">
        <f t="shared" si="2"/>
        <v>-1</v>
      </c>
      <c r="L30" s="36">
        <f>[1]FUNIL!$E30</f>
        <v>3158.666666666667</v>
      </c>
      <c r="M30" s="31">
        <f t="shared" si="15"/>
        <v>2770.4665333333337</v>
      </c>
      <c r="N30" s="31">
        <f t="shared" si="16"/>
        <v>388.20013333333338</v>
      </c>
      <c r="O30" s="31">
        <f t="shared" si="17"/>
        <v>0</v>
      </c>
      <c r="P30" s="31">
        <f t="shared" si="18"/>
        <v>0</v>
      </c>
      <c r="Q30" s="33">
        <f>[4]SLP!CS30*'[3]SLP-CITROS'!$V$7</f>
        <v>0</v>
      </c>
      <c r="R30" s="37">
        <f t="shared" si="3"/>
        <v>-1</v>
      </c>
      <c r="S30" s="36">
        <f>[1]FUNIL!$F30</f>
        <v>3158.666666666667</v>
      </c>
      <c r="T30" s="31">
        <f t="shared" si="19"/>
        <v>2770.4665333333337</v>
      </c>
      <c r="U30" s="31">
        <f t="shared" si="20"/>
        <v>388.20013333333338</v>
      </c>
      <c r="V30" s="31">
        <f t="shared" si="21"/>
        <v>0</v>
      </c>
      <c r="W30" s="31">
        <f t="shared" si="22"/>
        <v>0</v>
      </c>
      <c r="X30" s="33">
        <f>[4]SLP!$CT30*'[3]SLP-CITROS'!$V$7</f>
        <v>0</v>
      </c>
      <c r="Y30" s="37">
        <f t="shared" si="4"/>
        <v>-1</v>
      </c>
      <c r="Z30" s="36">
        <f>[1]FUNIL!$G30</f>
        <v>3158.666666666667</v>
      </c>
      <c r="AA30" s="31">
        <f t="shared" si="23"/>
        <v>2770.4665333333337</v>
      </c>
      <c r="AB30" s="31">
        <f t="shared" si="24"/>
        <v>388.20013333333338</v>
      </c>
      <c r="AC30" s="31">
        <f t="shared" si="25"/>
        <v>0</v>
      </c>
      <c r="AD30" s="31">
        <f t="shared" si="26"/>
        <v>0</v>
      </c>
      <c r="AE30" s="33">
        <f>[4]SLP!CU30*'[2]SLP-CITROS'!$V$7</f>
        <v>0</v>
      </c>
      <c r="AF30" s="37">
        <f t="shared" si="5"/>
        <v>-1</v>
      </c>
      <c r="AG30" s="36">
        <f>[1]FUNIL!$H30</f>
        <v>3158.666666666667</v>
      </c>
      <c r="AH30" s="31">
        <f t="shared" si="27"/>
        <v>2770.4665333333337</v>
      </c>
      <c r="AI30" s="31">
        <f t="shared" si="28"/>
        <v>388.20013333333338</v>
      </c>
      <c r="AJ30" s="31">
        <f t="shared" si="29"/>
        <v>0</v>
      </c>
      <c r="AK30" s="31">
        <f t="shared" si="30"/>
        <v>0</v>
      </c>
      <c r="AL30" s="33">
        <f>[4]SLP!CV30*'[2]SLP-CITROS'!$V$7</f>
        <v>0</v>
      </c>
      <c r="AM30" s="37">
        <f t="shared" si="6"/>
        <v>-1</v>
      </c>
      <c r="AN30" s="36">
        <f>[1]FUNIL!$I30</f>
        <v>3158.666666666667</v>
      </c>
      <c r="AO30" s="31">
        <f t="shared" si="31"/>
        <v>2770.4665333333337</v>
      </c>
      <c r="AP30" s="31">
        <f t="shared" si="32"/>
        <v>388.20013333333338</v>
      </c>
      <c r="AQ30" s="31">
        <f t="shared" si="33"/>
        <v>0</v>
      </c>
      <c r="AR30" s="31">
        <f t="shared" si="34"/>
        <v>0</v>
      </c>
      <c r="AS30" s="33">
        <f>[4]SLP!CW30*0.4</f>
        <v>0</v>
      </c>
      <c r="AT30" s="37">
        <f t="shared" si="7"/>
        <v>-1</v>
      </c>
      <c r="AU30" s="36">
        <f>[1]FUNIL!$J30</f>
        <v>3158.666666666667</v>
      </c>
      <c r="AV30" s="31">
        <f t="shared" si="35"/>
        <v>2770.4665333333337</v>
      </c>
      <c r="AW30" s="31">
        <f t="shared" si="36"/>
        <v>388.20013333333338</v>
      </c>
      <c r="AX30" s="31">
        <f t="shared" si="37"/>
        <v>0</v>
      </c>
      <c r="AY30" s="31">
        <f t="shared" si="38"/>
        <v>0</v>
      </c>
      <c r="AZ30" s="33">
        <f>[4]SLP!CX30*0.4</f>
        <v>0</v>
      </c>
      <c r="BA30" s="37">
        <f t="shared" si="8"/>
        <v>-1</v>
      </c>
      <c r="BB30" s="36">
        <f>[1]FUNIL!$K30</f>
        <v>3158.666666666667</v>
      </c>
      <c r="BC30" s="31">
        <f t="shared" si="39"/>
        <v>2770.4665333333337</v>
      </c>
      <c r="BD30" s="31">
        <f t="shared" si="40"/>
        <v>388.20013333333338</v>
      </c>
      <c r="BE30" s="31">
        <f t="shared" si="41"/>
        <v>0</v>
      </c>
      <c r="BF30" s="31">
        <f t="shared" si="42"/>
        <v>0</v>
      </c>
      <c r="BG30" s="33">
        <f>[4]SLP!CY30*0.4</f>
        <v>0</v>
      </c>
      <c r="BH30" s="37">
        <f t="shared" si="9"/>
        <v>-1</v>
      </c>
      <c r="BI30" s="36">
        <f>[1]FUNIL!$L30</f>
        <v>3158.666666666667</v>
      </c>
      <c r="BJ30" s="31">
        <f t="shared" si="43"/>
        <v>2770.4665333333337</v>
      </c>
      <c r="BK30" s="31">
        <f t="shared" si="44"/>
        <v>388.20013333333338</v>
      </c>
      <c r="BL30" s="31">
        <f t="shared" si="45"/>
        <v>0</v>
      </c>
      <c r="BM30" s="31">
        <f t="shared" si="46"/>
        <v>0</v>
      </c>
      <c r="BN30" s="33">
        <f>[4]SLP!CZ30*0.4</f>
        <v>0</v>
      </c>
      <c r="BO30" s="37">
        <f t="shared" si="10"/>
        <v>-1</v>
      </c>
      <c r="BP30" s="36">
        <f>[1]FUNIL!$M30</f>
        <v>3158.666666666667</v>
      </c>
      <c r="BQ30" s="31">
        <f t="shared" si="47"/>
        <v>2770.4665333333337</v>
      </c>
      <c r="BR30" s="31">
        <f t="shared" si="48"/>
        <v>388.20013333333338</v>
      </c>
      <c r="BS30" s="31">
        <f t="shared" si="49"/>
        <v>0</v>
      </c>
      <c r="BT30" s="31">
        <f t="shared" si="50"/>
        <v>0</v>
      </c>
      <c r="BU30" s="33">
        <f>[4]SLP!DA30*0.4</f>
        <v>0</v>
      </c>
      <c r="BV30" s="37">
        <f t="shared" si="11"/>
        <v>-1</v>
      </c>
      <c r="BW30" s="36">
        <f>[1]FUNIL!$N30</f>
        <v>3158.666666666667</v>
      </c>
      <c r="BX30" s="31">
        <f t="shared" si="51"/>
        <v>2770.4665333333337</v>
      </c>
      <c r="BY30" s="31">
        <f t="shared" si="52"/>
        <v>388.20013333333338</v>
      </c>
      <c r="BZ30" s="31">
        <f t="shared" si="53"/>
        <v>0</v>
      </c>
      <c r="CA30" s="31">
        <f t="shared" si="54"/>
        <v>0</v>
      </c>
      <c r="CB30" s="33">
        <f>[4]SLP!DB30*0.4</f>
        <v>0</v>
      </c>
      <c r="CC30" s="37">
        <f t="shared" si="12"/>
        <v>-1</v>
      </c>
      <c r="CD30" s="36">
        <f>[1]FUNIL!$O30</f>
        <v>3158.666666666667</v>
      </c>
      <c r="CE30" s="31">
        <f t="shared" si="55"/>
        <v>2770.4665333333337</v>
      </c>
      <c r="CF30" s="31">
        <f t="shared" si="56"/>
        <v>388.20013333333338</v>
      </c>
      <c r="CG30" s="31">
        <f t="shared" si="57"/>
        <v>0</v>
      </c>
      <c r="CH30" s="31">
        <f t="shared" si="58"/>
        <v>0</v>
      </c>
      <c r="CI30" s="33">
        <f>[4]SLP!DC30*0.4</f>
        <v>0</v>
      </c>
      <c r="CJ30" s="37">
        <f t="shared" si="13"/>
        <v>-1</v>
      </c>
      <c r="CK30" s="36">
        <f>[1]FUNIL!$P30</f>
        <v>3158.666666666667</v>
      </c>
      <c r="CL30" s="31">
        <f t="shared" si="59"/>
        <v>2770.4665333333337</v>
      </c>
      <c r="CM30" s="31">
        <f t="shared" si="60"/>
        <v>388.20013333333338</v>
      </c>
      <c r="CN30" s="31">
        <f t="shared" si="61"/>
        <v>0</v>
      </c>
      <c r="CO30" s="31">
        <f t="shared" si="62"/>
        <v>0</v>
      </c>
      <c r="CP30" s="33">
        <f>[4]SLP!DD30*0.4</f>
        <v>0</v>
      </c>
      <c r="CQ30" s="37">
        <f t="shared" si="63"/>
        <v>-1</v>
      </c>
      <c r="CR30" s="144"/>
    </row>
    <row r="31" spans="1:99" s="26" customFormat="1" ht="16" customHeight="1" x14ac:dyDescent="0.2">
      <c r="A31" s="38" t="s">
        <v>55</v>
      </c>
      <c r="B31" s="30">
        <f t="shared" si="0"/>
        <v>20373.399999999998</v>
      </c>
      <c r="C31" s="31">
        <f t="shared" si="0"/>
        <v>17869.509139999998</v>
      </c>
      <c r="D31" s="32">
        <f t="shared" si="0"/>
        <v>2503.89086</v>
      </c>
      <c r="E31" s="30">
        <f t="shared" si="14"/>
        <v>6791.1333333333332</v>
      </c>
      <c r="F31" s="33">
        <f t="shared" si="14"/>
        <v>5956.5030466666667</v>
      </c>
      <c r="G31" s="34">
        <f t="shared" si="14"/>
        <v>834.63028666666662</v>
      </c>
      <c r="H31" s="31">
        <f t="shared" si="1"/>
        <v>423.30338483480296</v>
      </c>
      <c r="I31" s="33">
        <f t="shared" si="1"/>
        <v>3376.5474664650428</v>
      </c>
      <c r="J31" s="33">
        <f t="shared" si="1"/>
        <v>3799.8508512998455</v>
      </c>
      <c r="K31" s="37">
        <f t="shared" si="2"/>
        <v>-0.44046881944596694</v>
      </c>
      <c r="L31" s="36">
        <f>[1]FUNIL!$E31</f>
        <v>1697.7833333333333</v>
      </c>
      <c r="M31" s="31">
        <f t="shared" si="15"/>
        <v>1489.1257616666667</v>
      </c>
      <c r="N31" s="31">
        <f t="shared" si="16"/>
        <v>208.65757166666666</v>
      </c>
      <c r="O31" s="31">
        <f t="shared" si="17"/>
        <v>29.133279524819045</v>
      </c>
      <c r="P31" s="31">
        <f t="shared" si="18"/>
        <v>232.38628532992999</v>
      </c>
      <c r="Q31" s="33">
        <f>[4]SLP!CS31*'[3]SLP-CITROS'!$V$7</f>
        <v>261.51956485474904</v>
      </c>
      <c r="R31" s="37">
        <f t="shared" si="3"/>
        <v>-0.8459641111323104</v>
      </c>
      <c r="S31" s="36">
        <f>[1]FUNIL!$F31</f>
        <v>1697.7833333333333</v>
      </c>
      <c r="T31" s="31">
        <f t="shared" si="19"/>
        <v>1489.1257616666667</v>
      </c>
      <c r="U31" s="31">
        <f t="shared" si="20"/>
        <v>208.65757166666666</v>
      </c>
      <c r="V31" s="31">
        <f t="shared" si="21"/>
        <v>297.08556240073631</v>
      </c>
      <c r="W31" s="31">
        <f t="shared" si="22"/>
        <v>2369.7507248590146</v>
      </c>
      <c r="X31" s="33">
        <f>[4]SLP!$CT31*'[3]SLP-CITROS'!$V$7</f>
        <v>2666.8362872597509</v>
      </c>
      <c r="Y31" s="37">
        <f t="shared" si="4"/>
        <v>0.57077539571779923</v>
      </c>
      <c r="Z31" s="36">
        <f>[1]FUNIL!$G31</f>
        <v>1697.7833333333333</v>
      </c>
      <c r="AA31" s="31">
        <f t="shared" si="23"/>
        <v>1489.1257616666667</v>
      </c>
      <c r="AB31" s="31">
        <f t="shared" si="24"/>
        <v>208.65757166666666</v>
      </c>
      <c r="AC31" s="31">
        <f t="shared" si="25"/>
        <v>67.660986142786328</v>
      </c>
      <c r="AD31" s="31">
        <f t="shared" si="26"/>
        <v>539.70872788581562</v>
      </c>
      <c r="AE31" s="33">
        <f>[4]SLP!CU31*'[2]SLP-CITROS'!$V$7</f>
        <v>607.36971402860195</v>
      </c>
      <c r="AF31" s="37">
        <f t="shared" si="5"/>
        <v>-0.64225722911525696</v>
      </c>
      <c r="AG31" s="36">
        <f>[1]FUNIL!$H31</f>
        <v>1697.7833333333333</v>
      </c>
      <c r="AH31" s="31">
        <f t="shared" si="27"/>
        <v>1489.1257616666667</v>
      </c>
      <c r="AI31" s="31">
        <f t="shared" si="28"/>
        <v>208.65757166666666</v>
      </c>
      <c r="AJ31" s="31">
        <f t="shared" si="29"/>
        <v>29.423556766461274</v>
      </c>
      <c r="AK31" s="31">
        <f t="shared" si="30"/>
        <v>234.70172839028254</v>
      </c>
      <c r="AL31" s="33">
        <f>[4]SLP!CV31*'[2]SLP-CITROS'!$V$7</f>
        <v>264.12528515674381</v>
      </c>
      <c r="AM31" s="37">
        <f t="shared" si="6"/>
        <v>-0.84442933325409963</v>
      </c>
      <c r="AN31" s="36">
        <f>[1]FUNIL!$I31</f>
        <v>1697.7833333333333</v>
      </c>
      <c r="AO31" s="31">
        <f t="shared" si="31"/>
        <v>1489.1257616666667</v>
      </c>
      <c r="AP31" s="31">
        <f t="shared" si="32"/>
        <v>208.65757166666666</v>
      </c>
      <c r="AQ31" s="31">
        <f t="shared" si="33"/>
        <v>0</v>
      </c>
      <c r="AR31" s="31">
        <f t="shared" si="34"/>
        <v>0</v>
      </c>
      <c r="AS31" s="33">
        <f>[4]SLP!CW31*0.4</f>
        <v>0</v>
      </c>
      <c r="AT31" s="37">
        <f t="shared" si="7"/>
        <v>-1</v>
      </c>
      <c r="AU31" s="36">
        <f>[1]FUNIL!$J31</f>
        <v>1697.7833333333333</v>
      </c>
      <c r="AV31" s="31">
        <f t="shared" si="35"/>
        <v>1489.1257616666667</v>
      </c>
      <c r="AW31" s="31">
        <f t="shared" si="36"/>
        <v>208.65757166666666</v>
      </c>
      <c r="AX31" s="31">
        <f t="shared" si="37"/>
        <v>0</v>
      </c>
      <c r="AY31" s="31">
        <f t="shared" si="38"/>
        <v>0</v>
      </c>
      <c r="AZ31" s="33">
        <f>[4]SLP!CX31*0.4</f>
        <v>0</v>
      </c>
      <c r="BA31" s="37">
        <f t="shared" si="8"/>
        <v>-1</v>
      </c>
      <c r="BB31" s="36">
        <f>[1]FUNIL!$K31</f>
        <v>1697.7833333333333</v>
      </c>
      <c r="BC31" s="31">
        <f t="shared" si="39"/>
        <v>1489.1257616666667</v>
      </c>
      <c r="BD31" s="31">
        <f t="shared" si="40"/>
        <v>208.65757166666666</v>
      </c>
      <c r="BE31" s="31">
        <f t="shared" si="41"/>
        <v>0</v>
      </c>
      <c r="BF31" s="31">
        <f t="shared" si="42"/>
        <v>0</v>
      </c>
      <c r="BG31" s="33">
        <f>[4]SLP!CY31*0.4</f>
        <v>0</v>
      </c>
      <c r="BH31" s="37">
        <f t="shared" si="9"/>
        <v>-1</v>
      </c>
      <c r="BI31" s="36">
        <f>[1]FUNIL!$L31</f>
        <v>1697.7833333333333</v>
      </c>
      <c r="BJ31" s="31">
        <f t="shared" si="43"/>
        <v>1489.1257616666667</v>
      </c>
      <c r="BK31" s="31">
        <f t="shared" si="44"/>
        <v>208.65757166666666</v>
      </c>
      <c r="BL31" s="31">
        <f t="shared" si="45"/>
        <v>0</v>
      </c>
      <c r="BM31" s="31">
        <f t="shared" si="46"/>
        <v>0</v>
      </c>
      <c r="BN31" s="33">
        <f>[4]SLP!CZ31*0.4</f>
        <v>0</v>
      </c>
      <c r="BO31" s="37">
        <f t="shared" si="10"/>
        <v>-1</v>
      </c>
      <c r="BP31" s="36">
        <f>[1]FUNIL!$M31</f>
        <v>1697.7833333333333</v>
      </c>
      <c r="BQ31" s="31">
        <f t="shared" si="47"/>
        <v>1489.1257616666667</v>
      </c>
      <c r="BR31" s="31">
        <f t="shared" si="48"/>
        <v>208.65757166666666</v>
      </c>
      <c r="BS31" s="31">
        <f t="shared" si="49"/>
        <v>0</v>
      </c>
      <c r="BT31" s="31">
        <f t="shared" si="50"/>
        <v>0</v>
      </c>
      <c r="BU31" s="33">
        <f>[4]SLP!DA31*0.4</f>
        <v>0</v>
      </c>
      <c r="BV31" s="37">
        <f t="shared" si="11"/>
        <v>-1</v>
      </c>
      <c r="BW31" s="36">
        <f>[1]FUNIL!$N31</f>
        <v>1697.7833333333333</v>
      </c>
      <c r="BX31" s="31">
        <f t="shared" si="51"/>
        <v>1489.1257616666667</v>
      </c>
      <c r="BY31" s="31">
        <f t="shared" si="52"/>
        <v>208.65757166666666</v>
      </c>
      <c r="BZ31" s="31">
        <f t="shared" si="53"/>
        <v>0</v>
      </c>
      <c r="CA31" s="31">
        <f t="shared" si="54"/>
        <v>0</v>
      </c>
      <c r="CB31" s="33">
        <f>[4]SLP!DB31*0.4</f>
        <v>0</v>
      </c>
      <c r="CC31" s="37">
        <f t="shared" si="12"/>
        <v>-1</v>
      </c>
      <c r="CD31" s="36">
        <f>[1]FUNIL!$O31</f>
        <v>1697.7833333333333</v>
      </c>
      <c r="CE31" s="31">
        <f t="shared" si="55"/>
        <v>1489.1257616666667</v>
      </c>
      <c r="CF31" s="31">
        <f t="shared" si="56"/>
        <v>208.65757166666666</v>
      </c>
      <c r="CG31" s="31">
        <f t="shared" si="57"/>
        <v>0</v>
      </c>
      <c r="CH31" s="31">
        <f t="shared" si="58"/>
        <v>0</v>
      </c>
      <c r="CI31" s="33">
        <f>[4]SLP!DC31*0.4</f>
        <v>0</v>
      </c>
      <c r="CJ31" s="37">
        <f t="shared" si="13"/>
        <v>-1</v>
      </c>
      <c r="CK31" s="36">
        <f>[1]FUNIL!$P31</f>
        <v>1697.7833333333333</v>
      </c>
      <c r="CL31" s="31">
        <f t="shared" si="59"/>
        <v>1489.1257616666667</v>
      </c>
      <c r="CM31" s="31">
        <f t="shared" si="60"/>
        <v>208.65757166666666</v>
      </c>
      <c r="CN31" s="31">
        <f t="shared" si="61"/>
        <v>0</v>
      </c>
      <c r="CO31" s="31">
        <f t="shared" si="62"/>
        <v>0</v>
      </c>
      <c r="CP31" s="33">
        <f>[4]SLP!DD31*0.4</f>
        <v>0</v>
      </c>
      <c r="CQ31" s="37">
        <f t="shared" si="63"/>
        <v>-1</v>
      </c>
      <c r="CR31" s="144"/>
    </row>
    <row r="32" spans="1:99" s="26" customFormat="1" ht="16" customHeight="1" x14ac:dyDescent="0.2">
      <c r="A32" s="29" t="s">
        <v>215</v>
      </c>
      <c r="B32" s="30">
        <f t="shared" si="0"/>
        <v>2094648.0259056001</v>
      </c>
      <c r="C32" s="31">
        <f t="shared" si="0"/>
        <v>1837215.7835218017</v>
      </c>
      <c r="D32" s="32">
        <f t="shared" si="0"/>
        <v>257432.24238379821</v>
      </c>
      <c r="E32" s="30">
        <f t="shared" si="14"/>
        <v>1036439.6083536</v>
      </c>
      <c r="F32" s="33">
        <f t="shared" si="14"/>
        <v>909061.18048694253</v>
      </c>
      <c r="G32" s="34">
        <f t="shared" si="14"/>
        <v>127378.42786665744</v>
      </c>
      <c r="H32" s="31">
        <f t="shared" si="1"/>
        <v>98222.845665737623</v>
      </c>
      <c r="I32" s="33">
        <f t="shared" si="1"/>
        <v>783490.31111826235</v>
      </c>
      <c r="J32" s="33">
        <f t="shared" si="1"/>
        <v>881713.15678399999</v>
      </c>
      <c r="K32" s="37">
        <f t="shared" si="2"/>
        <v>-0.14928650962634027</v>
      </c>
      <c r="L32" s="36">
        <f>[1]FUNIL!$E32</f>
        <v>253847.93617920001</v>
      </c>
      <c r="M32" s="31">
        <f t="shared" si="15"/>
        <v>222650.02482277632</v>
      </c>
      <c r="N32" s="31">
        <f t="shared" si="16"/>
        <v>31197.91135642368</v>
      </c>
      <c r="O32" s="31">
        <f t="shared" si="17"/>
        <v>4429.3486640000046</v>
      </c>
      <c r="P32" s="31">
        <f t="shared" si="18"/>
        <v>35331.411336000012</v>
      </c>
      <c r="Q32" s="33">
        <f>(52369.8)+26591.46+2056.6-(41257.1)</f>
        <v>39760.760000000017</v>
      </c>
      <c r="R32" s="37">
        <f t="shared" si="3"/>
        <v>-0.84336780279382884</v>
      </c>
      <c r="S32" s="36">
        <f>[1]FUNIL!$F32</f>
        <v>254237.38718400002</v>
      </c>
      <c r="T32" s="31">
        <f t="shared" si="19"/>
        <v>222991.61229908641</v>
      </c>
      <c r="U32" s="31">
        <f t="shared" si="20"/>
        <v>31245.774884913601</v>
      </c>
      <c r="V32" s="31">
        <f t="shared" si="21"/>
        <v>42840.711083737609</v>
      </c>
      <c r="W32" s="31">
        <f t="shared" si="22"/>
        <v>341725.81570026238</v>
      </c>
      <c r="X32" s="33">
        <f>366198.64+((11798.13+1227.28+317.4+10876.45)*0.7584)</f>
        <v>384566.52678399999</v>
      </c>
      <c r="Y32" s="37">
        <f t="shared" si="4"/>
        <v>0.51262774937848321</v>
      </c>
      <c r="Z32" s="36">
        <f>[1]FUNIL!$G32</f>
        <v>254237.38718400002</v>
      </c>
      <c r="AA32" s="31">
        <f t="shared" si="23"/>
        <v>222991.61229908641</v>
      </c>
      <c r="AB32" s="31">
        <f t="shared" si="24"/>
        <v>31245.774884913601</v>
      </c>
      <c r="AC32" s="31">
        <f t="shared" si="25"/>
        <v>34928.567660000001</v>
      </c>
      <c r="AD32" s="31">
        <f t="shared" si="26"/>
        <v>278613.33234000002</v>
      </c>
      <c r="AE32" s="33">
        <f>300470.96+13070.94</f>
        <v>313541.90000000002</v>
      </c>
      <c r="AF32" s="37">
        <f t="shared" si="5"/>
        <v>0.23326432619872461</v>
      </c>
      <c r="AG32" s="36">
        <f>[1]FUNIL!$H32</f>
        <v>274116.89780639997</v>
      </c>
      <c r="AH32" s="31">
        <f t="shared" si="27"/>
        <v>240427.93106599341</v>
      </c>
      <c r="AI32" s="31">
        <f t="shared" si="28"/>
        <v>33688.966740406555</v>
      </c>
      <c r="AJ32" s="31">
        <f t="shared" si="29"/>
        <v>16024.218258000008</v>
      </c>
      <c r="AK32" s="31">
        <f t="shared" si="30"/>
        <v>127819.75174199999</v>
      </c>
      <c r="AL32" s="33">
        <f>136009.14+7834.83</f>
        <v>143843.97</v>
      </c>
      <c r="AM32" s="37">
        <f t="shared" si="6"/>
        <v>-0.47524588541932056</v>
      </c>
      <c r="AN32" s="36">
        <f>[1]FUNIL!$I32</f>
        <v>293996.4084288</v>
      </c>
      <c r="AO32" s="31">
        <f t="shared" si="31"/>
        <v>257864.24983290047</v>
      </c>
      <c r="AP32" s="31">
        <f t="shared" si="32"/>
        <v>36132.15859589952</v>
      </c>
      <c r="AQ32" s="31">
        <f t="shared" si="33"/>
        <v>0</v>
      </c>
      <c r="AR32" s="31">
        <f t="shared" si="34"/>
        <v>0</v>
      </c>
      <c r="AS32" s="33"/>
      <c r="AT32" s="37">
        <f t="shared" si="7"/>
        <v>-1</v>
      </c>
      <c r="AU32" s="36">
        <f>[1]FUNIL!$J32</f>
        <v>278726.02718400001</v>
      </c>
      <c r="AV32" s="31">
        <f t="shared" si="35"/>
        <v>244470.5984430864</v>
      </c>
      <c r="AW32" s="31">
        <f t="shared" si="36"/>
        <v>34255.428740913601</v>
      </c>
      <c r="AX32" s="31">
        <f t="shared" si="37"/>
        <v>0</v>
      </c>
      <c r="AY32" s="31">
        <f t="shared" si="38"/>
        <v>0</v>
      </c>
      <c r="AZ32" s="33"/>
      <c r="BA32" s="37">
        <f t="shared" si="8"/>
        <v>-1</v>
      </c>
      <c r="BB32" s="36">
        <f>[1]FUNIL!$K32</f>
        <v>277740.68593919999</v>
      </c>
      <c r="BC32" s="31">
        <f t="shared" si="39"/>
        <v>243606.3556372723</v>
      </c>
      <c r="BD32" s="31">
        <f t="shared" si="40"/>
        <v>34134.330301927679</v>
      </c>
      <c r="BE32" s="31">
        <f t="shared" si="41"/>
        <v>0</v>
      </c>
      <c r="BF32" s="31">
        <f t="shared" si="42"/>
        <v>0</v>
      </c>
      <c r="BG32" s="33"/>
      <c r="BH32" s="37">
        <f t="shared" si="9"/>
        <v>-1</v>
      </c>
      <c r="BI32" s="36">
        <f>[1]FUNIL!$L32</f>
        <v>201214.992</v>
      </c>
      <c r="BJ32" s="31">
        <f t="shared" si="43"/>
        <v>176485.66948320001</v>
      </c>
      <c r="BK32" s="31">
        <f t="shared" si="44"/>
        <v>24729.322516799999</v>
      </c>
      <c r="BL32" s="31">
        <f t="shared" si="45"/>
        <v>0</v>
      </c>
      <c r="BM32" s="31">
        <f t="shared" si="46"/>
        <v>0</v>
      </c>
      <c r="BN32" s="33"/>
      <c r="BO32" s="37">
        <f t="shared" si="10"/>
        <v>-1</v>
      </c>
      <c r="BP32" s="36">
        <f>[1]FUNIL!$M32</f>
        <v>3265.152</v>
      </c>
      <c r="BQ32" s="31">
        <f t="shared" si="47"/>
        <v>2863.8648192000001</v>
      </c>
      <c r="BR32" s="31">
        <f t="shared" si="48"/>
        <v>401.28718079999999</v>
      </c>
      <c r="BS32" s="31">
        <f t="shared" si="49"/>
        <v>0</v>
      </c>
      <c r="BT32" s="31">
        <f t="shared" si="50"/>
        <v>0</v>
      </c>
      <c r="BU32" s="33"/>
      <c r="BV32" s="37">
        <f t="shared" si="11"/>
        <v>-1</v>
      </c>
      <c r="BW32" s="36">
        <f>[1]FUNIL!$N32</f>
        <v>3265.152</v>
      </c>
      <c r="BX32" s="31">
        <f t="shared" si="51"/>
        <v>2863.8648192000001</v>
      </c>
      <c r="BY32" s="31">
        <f t="shared" si="52"/>
        <v>401.28718079999999</v>
      </c>
      <c r="BZ32" s="31">
        <f t="shared" si="53"/>
        <v>0</v>
      </c>
      <c r="CA32" s="31">
        <f t="shared" si="54"/>
        <v>0</v>
      </c>
      <c r="CB32" s="33"/>
      <c r="CC32" s="37">
        <f t="shared" si="12"/>
        <v>-1</v>
      </c>
      <c r="CD32" s="36">
        <f>[1]FUNIL!$O32</f>
        <v>0</v>
      </c>
      <c r="CE32" s="31">
        <f t="shared" si="55"/>
        <v>0</v>
      </c>
      <c r="CF32" s="31">
        <f t="shared" si="56"/>
        <v>0</v>
      </c>
      <c r="CG32" s="31">
        <f t="shared" si="57"/>
        <v>0</v>
      </c>
      <c r="CH32" s="31">
        <f t="shared" si="58"/>
        <v>0</v>
      </c>
      <c r="CI32" s="33"/>
      <c r="CJ32" s="37" t="str">
        <f t="shared" si="13"/>
        <v/>
      </c>
      <c r="CK32" s="36">
        <f>[1]FUNIL!$P32</f>
        <v>0</v>
      </c>
      <c r="CL32" s="31">
        <f t="shared" si="59"/>
        <v>0</v>
      </c>
      <c r="CM32" s="31">
        <f t="shared" si="60"/>
        <v>0</v>
      </c>
      <c r="CN32" s="31">
        <f t="shared" si="61"/>
        <v>0</v>
      </c>
      <c r="CO32" s="31">
        <f t="shared" si="62"/>
        <v>0</v>
      </c>
      <c r="CP32" s="33"/>
      <c r="CQ32" s="37" t="str">
        <f t="shared" si="63"/>
        <v/>
      </c>
      <c r="CR32" s="144"/>
      <c r="CS32" s="199"/>
      <c r="CT32" s="199"/>
      <c r="CU32" s="199"/>
    </row>
    <row r="33" spans="1:99" s="26" customFormat="1" ht="16" customHeight="1" x14ac:dyDescent="0.2">
      <c r="A33" s="29" t="s">
        <v>57</v>
      </c>
      <c r="B33" s="30">
        <f t="shared" si="0"/>
        <v>1306212.2448979593</v>
      </c>
      <c r="C33" s="31">
        <f t="shared" si="0"/>
        <v>1145678.76</v>
      </c>
      <c r="D33" s="32">
        <f t="shared" si="0"/>
        <v>160533.48489795922</v>
      </c>
      <c r="E33" s="30">
        <f t="shared" si="14"/>
        <v>738293.87755102047</v>
      </c>
      <c r="F33" s="33">
        <f t="shared" si="14"/>
        <v>647557.56000000006</v>
      </c>
      <c r="G33" s="34">
        <f t="shared" si="14"/>
        <v>90736.317551020416</v>
      </c>
      <c r="H33" s="31">
        <f t="shared" si="1"/>
        <v>95156.642346000022</v>
      </c>
      <c r="I33" s="33">
        <f t="shared" si="1"/>
        <v>759032.24765400006</v>
      </c>
      <c r="J33" s="33">
        <f t="shared" si="1"/>
        <v>854188.8899999999</v>
      </c>
      <c r="K33" s="37">
        <f t="shared" si="2"/>
        <v>0.15697680283278581</v>
      </c>
      <c r="L33" s="36">
        <f>[1]FUNIL!$E33</f>
        <v>151444.8979591837</v>
      </c>
      <c r="M33" s="31">
        <f t="shared" si="15"/>
        <v>132832.32000000001</v>
      </c>
      <c r="N33" s="31">
        <f t="shared" si="16"/>
        <v>18612.577959183676</v>
      </c>
      <c r="O33" s="31">
        <f t="shared" si="17"/>
        <v>3669.5761560000028</v>
      </c>
      <c r="P33" s="31">
        <f t="shared" si="18"/>
        <v>29270.963843999998</v>
      </c>
      <c r="Q33" s="33">
        <f>(4328.6)+28611.94</f>
        <v>32940.54</v>
      </c>
      <c r="R33" s="37">
        <f t="shared" si="3"/>
        <v>-0.78249158311772316</v>
      </c>
      <c r="S33" s="36">
        <f>[1]FUNIL!$F33</f>
        <v>189306.12244897962</v>
      </c>
      <c r="T33" s="31">
        <f t="shared" si="19"/>
        <v>166040.40000000002</v>
      </c>
      <c r="U33" s="31">
        <f t="shared" si="20"/>
        <v>23265.722448979595</v>
      </c>
      <c r="V33" s="31">
        <f t="shared" si="21"/>
        <v>48355.211962000001</v>
      </c>
      <c r="W33" s="31">
        <f t="shared" si="22"/>
        <v>385713.11803800002</v>
      </c>
      <c r="X33" s="33">
        <v>434068.33</v>
      </c>
      <c r="Y33" s="37">
        <f t="shared" si="4"/>
        <v>1.2929439596808967</v>
      </c>
      <c r="Z33" s="36">
        <f>[1]FUNIL!$G33</f>
        <v>189306.12244897962</v>
      </c>
      <c r="AA33" s="31">
        <f t="shared" si="23"/>
        <v>166040.40000000002</v>
      </c>
      <c r="AB33" s="31">
        <f t="shared" si="24"/>
        <v>23265.722448979595</v>
      </c>
      <c r="AC33" s="31">
        <f t="shared" si="25"/>
        <v>31353.900962000014</v>
      </c>
      <c r="AD33" s="31">
        <f t="shared" si="26"/>
        <v>250099.429038</v>
      </c>
      <c r="AE33" s="33">
        <v>281453.33</v>
      </c>
      <c r="AF33" s="37">
        <f t="shared" si="5"/>
        <v>0.48676295493747301</v>
      </c>
      <c r="AG33" s="36">
        <f>[1]FUNIL!$H33</f>
        <v>208236.73469387754</v>
      </c>
      <c r="AH33" s="31">
        <f t="shared" si="27"/>
        <v>182644.44</v>
      </c>
      <c r="AI33" s="31">
        <f t="shared" si="28"/>
        <v>25592.294693877549</v>
      </c>
      <c r="AJ33" s="31">
        <f t="shared" si="29"/>
        <v>11777.953266000011</v>
      </c>
      <c r="AK33" s="31">
        <f t="shared" si="30"/>
        <v>93948.736733999991</v>
      </c>
      <c r="AL33" s="33">
        <v>105726.69</v>
      </c>
      <c r="AM33" s="37">
        <f t="shared" si="6"/>
        <v>-0.49227647006938724</v>
      </c>
      <c r="AN33" s="36">
        <f>[1]FUNIL!$I33</f>
        <v>227167.3469387755</v>
      </c>
      <c r="AO33" s="31">
        <f t="shared" si="31"/>
        <v>199248.47999999998</v>
      </c>
      <c r="AP33" s="31">
        <f t="shared" si="32"/>
        <v>27918.866938775507</v>
      </c>
      <c r="AQ33" s="31">
        <f t="shared" si="33"/>
        <v>0</v>
      </c>
      <c r="AR33" s="31">
        <f t="shared" si="34"/>
        <v>0</v>
      </c>
      <c r="AS33" s="33"/>
      <c r="AT33" s="37">
        <f t="shared" si="7"/>
        <v>-1</v>
      </c>
      <c r="AU33" s="36">
        <f>[1]FUNIL!$J33</f>
        <v>189306.12244897962</v>
      </c>
      <c r="AV33" s="31">
        <f t="shared" si="35"/>
        <v>166040.40000000002</v>
      </c>
      <c r="AW33" s="31">
        <f t="shared" si="36"/>
        <v>23265.722448979595</v>
      </c>
      <c r="AX33" s="31">
        <f t="shared" si="37"/>
        <v>0</v>
      </c>
      <c r="AY33" s="31">
        <f t="shared" si="38"/>
        <v>0</v>
      </c>
      <c r="AZ33" s="33"/>
      <c r="BA33" s="37">
        <f t="shared" si="8"/>
        <v>-1</v>
      </c>
      <c r="BB33" s="36">
        <f>[1]FUNIL!$K33</f>
        <v>151444.8979591837</v>
      </c>
      <c r="BC33" s="31">
        <f t="shared" si="39"/>
        <v>132832.32000000001</v>
      </c>
      <c r="BD33" s="31">
        <f t="shared" si="40"/>
        <v>18612.577959183676</v>
      </c>
      <c r="BE33" s="31">
        <f t="shared" si="41"/>
        <v>0</v>
      </c>
      <c r="BF33" s="31">
        <f t="shared" si="42"/>
        <v>0</v>
      </c>
      <c r="BG33" s="33"/>
      <c r="BH33" s="37">
        <f t="shared" si="9"/>
        <v>-1</v>
      </c>
      <c r="BI33" s="36">
        <f>[1]FUNIL!$L33</f>
        <v>0</v>
      </c>
      <c r="BJ33" s="31">
        <f t="shared" si="43"/>
        <v>0</v>
      </c>
      <c r="BK33" s="31">
        <f t="shared" si="44"/>
        <v>0</v>
      </c>
      <c r="BL33" s="31">
        <f t="shared" si="45"/>
        <v>0</v>
      </c>
      <c r="BM33" s="31">
        <f t="shared" si="46"/>
        <v>0</v>
      </c>
      <c r="BN33" s="33"/>
      <c r="BO33" s="37" t="str">
        <f t="shared" si="10"/>
        <v/>
      </c>
      <c r="BP33" s="36">
        <f>[1]FUNIL!$M33</f>
        <v>0</v>
      </c>
      <c r="BQ33" s="31">
        <f t="shared" si="47"/>
        <v>0</v>
      </c>
      <c r="BR33" s="31">
        <f t="shared" si="48"/>
        <v>0</v>
      </c>
      <c r="BS33" s="31">
        <f t="shared" si="49"/>
        <v>0</v>
      </c>
      <c r="BT33" s="31">
        <f t="shared" si="50"/>
        <v>0</v>
      </c>
      <c r="BU33" s="33"/>
      <c r="BV33" s="37" t="str">
        <f t="shared" si="11"/>
        <v/>
      </c>
      <c r="BW33" s="36">
        <f>[1]FUNIL!$N33</f>
        <v>0</v>
      </c>
      <c r="BX33" s="31">
        <f t="shared" si="51"/>
        <v>0</v>
      </c>
      <c r="BY33" s="31">
        <f t="shared" si="52"/>
        <v>0</v>
      </c>
      <c r="BZ33" s="31">
        <f t="shared" si="53"/>
        <v>0</v>
      </c>
      <c r="CA33" s="31">
        <f t="shared" si="54"/>
        <v>0</v>
      </c>
      <c r="CB33" s="33"/>
      <c r="CC33" s="37" t="str">
        <f t="shared" si="12"/>
        <v/>
      </c>
      <c r="CD33" s="36">
        <f>[1]FUNIL!$O33</f>
        <v>0</v>
      </c>
      <c r="CE33" s="31">
        <f t="shared" si="55"/>
        <v>0</v>
      </c>
      <c r="CF33" s="31">
        <f t="shared" si="56"/>
        <v>0</v>
      </c>
      <c r="CG33" s="31">
        <f t="shared" si="57"/>
        <v>0</v>
      </c>
      <c r="CH33" s="31">
        <f t="shared" si="58"/>
        <v>0</v>
      </c>
      <c r="CI33" s="33"/>
      <c r="CJ33" s="37" t="str">
        <f t="shared" si="13"/>
        <v/>
      </c>
      <c r="CK33" s="36">
        <f>[1]FUNIL!$P33</f>
        <v>0</v>
      </c>
      <c r="CL33" s="31">
        <f t="shared" si="59"/>
        <v>0</v>
      </c>
      <c r="CM33" s="31">
        <f t="shared" si="60"/>
        <v>0</v>
      </c>
      <c r="CN33" s="31">
        <f t="shared" si="61"/>
        <v>0</v>
      </c>
      <c r="CO33" s="31">
        <f t="shared" si="62"/>
        <v>0</v>
      </c>
      <c r="CP33" s="33"/>
      <c r="CQ33" s="37" t="str">
        <f t="shared" si="63"/>
        <v/>
      </c>
      <c r="CR33" s="144"/>
      <c r="CS33" s="199"/>
      <c r="CT33" s="199"/>
      <c r="CU33" s="199"/>
    </row>
    <row r="34" spans="1:99" s="26" customFormat="1" ht="16" customHeight="1" x14ac:dyDescent="0.2">
      <c r="A34" s="29" t="s">
        <v>216</v>
      </c>
      <c r="B34" s="30">
        <f t="shared" si="0"/>
        <v>615436.32000000007</v>
      </c>
      <c r="C34" s="31">
        <f t="shared" si="0"/>
        <v>539799.19627200009</v>
      </c>
      <c r="D34" s="32">
        <f t="shared" si="0"/>
        <v>75637.123728000006</v>
      </c>
      <c r="E34" s="30">
        <f t="shared" si="14"/>
        <v>565436.32000000007</v>
      </c>
      <c r="F34" s="33">
        <f t="shared" si="14"/>
        <v>495944.19627200009</v>
      </c>
      <c r="G34" s="34">
        <f t="shared" si="14"/>
        <v>69492.123728000006</v>
      </c>
      <c r="H34" s="31">
        <f t="shared" si="1"/>
        <v>49519.84660400002</v>
      </c>
      <c r="I34" s="33">
        <f t="shared" si="1"/>
        <v>395003.01339600002</v>
      </c>
      <c r="J34" s="33">
        <f t="shared" si="1"/>
        <v>444522.86000000004</v>
      </c>
      <c r="K34" s="37">
        <f t="shared" si="2"/>
        <v>-0.21384098566572451</v>
      </c>
      <c r="L34" s="36">
        <f>[1]FUNIL!$E34</f>
        <v>316714.10000000003</v>
      </c>
      <c r="M34" s="31">
        <f t="shared" si="15"/>
        <v>277789.93711000006</v>
      </c>
      <c r="N34" s="31">
        <f t="shared" si="16"/>
        <v>38924.16289</v>
      </c>
      <c r="O34" s="31">
        <f t="shared" si="17"/>
        <v>43626.601680000022</v>
      </c>
      <c r="P34" s="31">
        <f t="shared" si="18"/>
        <v>347994.59831999999</v>
      </c>
      <c r="Q34" s="33">
        <f>46077.2+(345544)</f>
        <v>391621.2</v>
      </c>
      <c r="R34" s="37">
        <f t="shared" si="3"/>
        <v>0.23651330963793527</v>
      </c>
      <c r="S34" s="36">
        <f>[1]FUNIL!$F34</f>
        <v>248722.22000000003</v>
      </c>
      <c r="T34" s="31">
        <f t="shared" si="19"/>
        <v>218154.25916200003</v>
      </c>
      <c r="U34" s="31">
        <f t="shared" si="20"/>
        <v>30567.960838000003</v>
      </c>
      <c r="V34" s="31">
        <f t="shared" si="21"/>
        <v>3000.0866640000022</v>
      </c>
      <c r="W34" s="31">
        <f t="shared" si="22"/>
        <v>23930.673335999996</v>
      </c>
      <c r="X34" s="33">
        <v>26930.76</v>
      </c>
      <c r="Y34" s="37">
        <f t="shared" si="4"/>
        <v>-0.8917235460506906</v>
      </c>
      <c r="Z34" s="36">
        <f>[1]FUNIL!$G34</f>
        <v>0</v>
      </c>
      <c r="AA34" s="31">
        <f t="shared" si="23"/>
        <v>0</v>
      </c>
      <c r="AB34" s="31">
        <f t="shared" si="24"/>
        <v>0</v>
      </c>
      <c r="AC34" s="31">
        <f t="shared" si="25"/>
        <v>2893.1582600000002</v>
      </c>
      <c r="AD34" s="31">
        <f t="shared" si="26"/>
        <v>23077.741740000001</v>
      </c>
      <c r="AE34" s="33">
        <v>25970.9</v>
      </c>
      <c r="AF34" s="37" t="str">
        <f t="shared" si="5"/>
        <v/>
      </c>
      <c r="AG34" s="36">
        <f>[1]FUNIL!$H34</f>
        <v>0</v>
      </c>
      <c r="AH34" s="31">
        <f t="shared" si="27"/>
        <v>0</v>
      </c>
      <c r="AI34" s="31">
        <f t="shared" si="28"/>
        <v>0</v>
      </c>
      <c r="AJ34" s="31">
        <f t="shared" si="29"/>
        <v>0</v>
      </c>
      <c r="AK34" s="31">
        <f t="shared" si="30"/>
        <v>0</v>
      </c>
      <c r="AL34" s="33"/>
      <c r="AM34" s="37" t="str">
        <f t="shared" si="6"/>
        <v/>
      </c>
      <c r="AN34" s="36">
        <f>[1]FUNIL!$I34</f>
        <v>0</v>
      </c>
      <c r="AO34" s="31">
        <f t="shared" si="31"/>
        <v>0</v>
      </c>
      <c r="AP34" s="31">
        <f t="shared" si="32"/>
        <v>0</v>
      </c>
      <c r="AQ34" s="31">
        <f t="shared" si="33"/>
        <v>0</v>
      </c>
      <c r="AR34" s="31">
        <f t="shared" si="34"/>
        <v>0</v>
      </c>
      <c r="AS34" s="33"/>
      <c r="AT34" s="37" t="str">
        <f t="shared" si="7"/>
        <v/>
      </c>
      <c r="AU34" s="36">
        <f>[1]FUNIL!$J34</f>
        <v>10000</v>
      </c>
      <c r="AV34" s="31">
        <f t="shared" si="35"/>
        <v>8771</v>
      </c>
      <c r="AW34" s="31">
        <f t="shared" si="36"/>
        <v>1229</v>
      </c>
      <c r="AX34" s="31">
        <f t="shared" si="37"/>
        <v>0</v>
      </c>
      <c r="AY34" s="31">
        <f t="shared" si="38"/>
        <v>0</v>
      </c>
      <c r="AZ34" s="33"/>
      <c r="BA34" s="37">
        <f t="shared" si="8"/>
        <v>-1</v>
      </c>
      <c r="BB34" s="36">
        <f>[1]FUNIL!$K34</f>
        <v>25000</v>
      </c>
      <c r="BC34" s="31">
        <f t="shared" si="39"/>
        <v>21927.5</v>
      </c>
      <c r="BD34" s="31">
        <f t="shared" si="40"/>
        <v>3072.5</v>
      </c>
      <c r="BE34" s="31">
        <f t="shared" si="41"/>
        <v>0</v>
      </c>
      <c r="BF34" s="31">
        <f t="shared" si="42"/>
        <v>0</v>
      </c>
      <c r="BG34" s="33"/>
      <c r="BH34" s="37">
        <f t="shared" si="9"/>
        <v>-1</v>
      </c>
      <c r="BI34" s="36">
        <f>[1]FUNIL!$L34</f>
        <v>0</v>
      </c>
      <c r="BJ34" s="31">
        <f t="shared" si="43"/>
        <v>0</v>
      </c>
      <c r="BK34" s="31">
        <f t="shared" si="44"/>
        <v>0</v>
      </c>
      <c r="BL34" s="31">
        <f t="shared" si="45"/>
        <v>0</v>
      </c>
      <c r="BM34" s="31">
        <f t="shared" si="46"/>
        <v>0</v>
      </c>
      <c r="BN34" s="33"/>
      <c r="BO34" s="37" t="str">
        <f t="shared" si="10"/>
        <v/>
      </c>
      <c r="BP34" s="36">
        <f>[1]FUNIL!$M34</f>
        <v>15000</v>
      </c>
      <c r="BQ34" s="31">
        <f t="shared" si="47"/>
        <v>13156.5</v>
      </c>
      <c r="BR34" s="31">
        <f t="shared" si="48"/>
        <v>1843.5</v>
      </c>
      <c r="BS34" s="31">
        <f t="shared" si="49"/>
        <v>0</v>
      </c>
      <c r="BT34" s="31">
        <f t="shared" si="50"/>
        <v>0</v>
      </c>
      <c r="BU34" s="33"/>
      <c r="BV34" s="37">
        <f t="shared" si="11"/>
        <v>-1</v>
      </c>
      <c r="BW34" s="36">
        <f>[1]FUNIL!$N34</f>
        <v>0</v>
      </c>
      <c r="BX34" s="31">
        <f t="shared" si="51"/>
        <v>0</v>
      </c>
      <c r="BY34" s="31">
        <f t="shared" si="52"/>
        <v>0</v>
      </c>
      <c r="BZ34" s="31">
        <f t="shared" si="53"/>
        <v>0</v>
      </c>
      <c r="CA34" s="31">
        <f t="shared" si="54"/>
        <v>0</v>
      </c>
      <c r="CB34" s="33"/>
      <c r="CC34" s="37" t="str">
        <f t="shared" si="12"/>
        <v/>
      </c>
      <c r="CD34" s="36">
        <f>[1]FUNIL!$O34</f>
        <v>0</v>
      </c>
      <c r="CE34" s="31">
        <f t="shared" si="55"/>
        <v>0</v>
      </c>
      <c r="CF34" s="31">
        <f t="shared" si="56"/>
        <v>0</v>
      </c>
      <c r="CG34" s="31">
        <f t="shared" si="57"/>
        <v>0</v>
      </c>
      <c r="CH34" s="31">
        <f t="shared" si="58"/>
        <v>0</v>
      </c>
      <c r="CI34" s="33"/>
      <c r="CJ34" s="37" t="str">
        <f t="shared" si="13"/>
        <v/>
      </c>
      <c r="CK34" s="36">
        <f>[1]FUNIL!$P34</f>
        <v>0</v>
      </c>
      <c r="CL34" s="31">
        <f t="shared" si="59"/>
        <v>0</v>
      </c>
      <c r="CM34" s="31">
        <f t="shared" si="60"/>
        <v>0</v>
      </c>
      <c r="CN34" s="31">
        <f t="shared" si="61"/>
        <v>0</v>
      </c>
      <c r="CO34" s="31">
        <f t="shared" si="62"/>
        <v>0</v>
      </c>
      <c r="CP34" s="33"/>
      <c r="CQ34" s="37" t="str">
        <f t="shared" si="63"/>
        <v/>
      </c>
      <c r="CR34" s="144"/>
      <c r="CS34" s="199"/>
      <c r="CT34" s="199"/>
      <c r="CU34" s="199"/>
    </row>
    <row r="35" spans="1:99" s="26" customFormat="1" ht="16" customHeight="1" x14ac:dyDescent="0.2">
      <c r="A35" s="29" t="s">
        <v>59</v>
      </c>
      <c r="B35" s="30">
        <f t="shared" si="0"/>
        <v>208163.26530612243</v>
      </c>
      <c r="C35" s="31">
        <f t="shared" si="0"/>
        <v>182580</v>
      </c>
      <c r="D35" s="32">
        <f t="shared" si="0"/>
        <v>25583.265306122448</v>
      </c>
      <c r="E35" s="30">
        <f t="shared" si="14"/>
        <v>208163.26530612243</v>
      </c>
      <c r="F35" s="33">
        <f t="shared" si="14"/>
        <v>182580</v>
      </c>
      <c r="G35" s="34">
        <f t="shared" si="14"/>
        <v>25583.265306122448</v>
      </c>
      <c r="H35" s="31">
        <f t="shared" si="1"/>
        <v>15373.598812000004</v>
      </c>
      <c r="I35" s="33">
        <f t="shared" si="1"/>
        <v>122629.98118800001</v>
      </c>
      <c r="J35" s="33">
        <f t="shared" si="1"/>
        <v>138003.58000000002</v>
      </c>
      <c r="K35" s="37">
        <f t="shared" si="2"/>
        <v>-0.3370416254901959</v>
      </c>
      <c r="L35" s="36">
        <f>[1]FUNIL!$E35</f>
        <v>122448.97959183673</v>
      </c>
      <c r="M35" s="31">
        <f t="shared" si="15"/>
        <v>107400</v>
      </c>
      <c r="N35" s="31">
        <f t="shared" si="16"/>
        <v>15048.979591836734</v>
      </c>
      <c r="O35" s="31">
        <f t="shared" si="17"/>
        <v>8994.7579459999979</v>
      </c>
      <c r="P35" s="31">
        <f t="shared" si="18"/>
        <v>71748.132054000002</v>
      </c>
      <c r="Q35" s="33">
        <f>80742.89</f>
        <v>80742.89</v>
      </c>
      <c r="R35" s="37">
        <f t="shared" si="3"/>
        <v>-0.34059973166666668</v>
      </c>
      <c r="S35" s="36">
        <f>[1]FUNIL!$F35</f>
        <v>85714.28571428571</v>
      </c>
      <c r="T35" s="31">
        <f t="shared" si="19"/>
        <v>75180</v>
      </c>
      <c r="U35" s="31">
        <f t="shared" si="20"/>
        <v>10534.285714285714</v>
      </c>
      <c r="V35" s="31">
        <f t="shared" si="21"/>
        <v>6378.8408660000059</v>
      </c>
      <c r="W35" s="31">
        <f t="shared" si="22"/>
        <v>50881.849133999996</v>
      </c>
      <c r="X35" s="33">
        <v>57260.69</v>
      </c>
      <c r="Y35" s="37">
        <f t="shared" si="4"/>
        <v>-0.33195861666666659</v>
      </c>
      <c r="Z35" s="36">
        <f>[1]FUNIL!$G35</f>
        <v>0</v>
      </c>
      <c r="AA35" s="31">
        <f t="shared" si="23"/>
        <v>0</v>
      </c>
      <c r="AB35" s="31">
        <f t="shared" si="24"/>
        <v>0</v>
      </c>
      <c r="AC35" s="31">
        <f t="shared" si="25"/>
        <v>0</v>
      </c>
      <c r="AD35" s="31">
        <f t="shared" si="26"/>
        <v>0</v>
      </c>
      <c r="AE35" s="33"/>
      <c r="AF35" s="37" t="str">
        <f t="shared" si="5"/>
        <v/>
      </c>
      <c r="AG35" s="36">
        <f>[1]FUNIL!$H35</f>
        <v>0</v>
      </c>
      <c r="AH35" s="31">
        <f t="shared" si="27"/>
        <v>0</v>
      </c>
      <c r="AI35" s="31">
        <f t="shared" si="28"/>
        <v>0</v>
      </c>
      <c r="AJ35" s="31">
        <f t="shared" si="29"/>
        <v>0</v>
      </c>
      <c r="AK35" s="31">
        <f t="shared" si="30"/>
        <v>0</v>
      </c>
      <c r="AL35" s="33"/>
      <c r="AM35" s="37" t="str">
        <f t="shared" si="6"/>
        <v/>
      </c>
      <c r="AN35" s="36">
        <f>[1]FUNIL!$I35</f>
        <v>0</v>
      </c>
      <c r="AO35" s="31">
        <f t="shared" si="31"/>
        <v>0</v>
      </c>
      <c r="AP35" s="31">
        <f t="shared" si="32"/>
        <v>0</v>
      </c>
      <c r="AQ35" s="31">
        <f t="shared" si="33"/>
        <v>0</v>
      </c>
      <c r="AR35" s="31">
        <f t="shared" si="34"/>
        <v>0</v>
      </c>
      <c r="AS35" s="33"/>
      <c r="AT35" s="37" t="str">
        <f t="shared" si="7"/>
        <v/>
      </c>
      <c r="AU35" s="36">
        <f>[1]FUNIL!$J35</f>
        <v>0</v>
      </c>
      <c r="AV35" s="31">
        <f t="shared" si="35"/>
        <v>0</v>
      </c>
      <c r="AW35" s="31">
        <f t="shared" si="36"/>
        <v>0</v>
      </c>
      <c r="AX35" s="31">
        <f t="shared" si="37"/>
        <v>0</v>
      </c>
      <c r="AY35" s="31">
        <f t="shared" si="38"/>
        <v>0</v>
      </c>
      <c r="AZ35" s="33"/>
      <c r="BA35" s="37" t="str">
        <f t="shared" si="8"/>
        <v/>
      </c>
      <c r="BB35" s="36">
        <f>[1]FUNIL!$K35</f>
        <v>0</v>
      </c>
      <c r="BC35" s="31">
        <f t="shared" si="39"/>
        <v>0</v>
      </c>
      <c r="BD35" s="31">
        <f t="shared" si="40"/>
        <v>0</v>
      </c>
      <c r="BE35" s="31">
        <f t="shared" si="41"/>
        <v>0</v>
      </c>
      <c r="BF35" s="31">
        <f t="shared" si="42"/>
        <v>0</v>
      </c>
      <c r="BG35" s="33"/>
      <c r="BH35" s="37" t="str">
        <f t="shared" si="9"/>
        <v/>
      </c>
      <c r="BI35" s="36">
        <f>[1]FUNIL!$L35</f>
        <v>0</v>
      </c>
      <c r="BJ35" s="31">
        <f t="shared" si="43"/>
        <v>0</v>
      </c>
      <c r="BK35" s="31">
        <f t="shared" si="44"/>
        <v>0</v>
      </c>
      <c r="BL35" s="31">
        <f t="shared" si="45"/>
        <v>0</v>
      </c>
      <c r="BM35" s="31">
        <f t="shared" si="46"/>
        <v>0</v>
      </c>
      <c r="BN35" s="33"/>
      <c r="BO35" s="37" t="str">
        <f t="shared" si="10"/>
        <v/>
      </c>
      <c r="BP35" s="36">
        <f>[1]FUNIL!$M35</f>
        <v>0</v>
      </c>
      <c r="BQ35" s="31">
        <f t="shared" si="47"/>
        <v>0</v>
      </c>
      <c r="BR35" s="31">
        <f t="shared" si="48"/>
        <v>0</v>
      </c>
      <c r="BS35" s="31">
        <f t="shared" si="49"/>
        <v>0</v>
      </c>
      <c r="BT35" s="31">
        <f t="shared" si="50"/>
        <v>0</v>
      </c>
      <c r="BU35" s="33"/>
      <c r="BV35" s="37" t="str">
        <f t="shared" si="11"/>
        <v/>
      </c>
      <c r="BW35" s="36">
        <f>[1]FUNIL!$N35</f>
        <v>0</v>
      </c>
      <c r="BX35" s="31">
        <f t="shared" si="51"/>
        <v>0</v>
      </c>
      <c r="BY35" s="31">
        <f t="shared" si="52"/>
        <v>0</v>
      </c>
      <c r="BZ35" s="31">
        <f t="shared" si="53"/>
        <v>0</v>
      </c>
      <c r="CA35" s="31">
        <f t="shared" si="54"/>
        <v>0</v>
      </c>
      <c r="CB35" s="33"/>
      <c r="CC35" s="37" t="str">
        <f t="shared" si="12"/>
        <v/>
      </c>
      <c r="CD35" s="36">
        <f>[1]FUNIL!$O35</f>
        <v>0</v>
      </c>
      <c r="CE35" s="31">
        <f t="shared" si="55"/>
        <v>0</v>
      </c>
      <c r="CF35" s="31">
        <f t="shared" si="56"/>
        <v>0</v>
      </c>
      <c r="CG35" s="31">
        <f t="shared" si="57"/>
        <v>0</v>
      </c>
      <c r="CH35" s="31">
        <f t="shared" si="58"/>
        <v>0</v>
      </c>
      <c r="CI35" s="33"/>
      <c r="CJ35" s="37" t="str">
        <f t="shared" si="13"/>
        <v/>
      </c>
      <c r="CK35" s="36">
        <f>[1]FUNIL!$P35</f>
        <v>0</v>
      </c>
      <c r="CL35" s="31">
        <f t="shared" si="59"/>
        <v>0</v>
      </c>
      <c r="CM35" s="31">
        <f t="shared" si="60"/>
        <v>0</v>
      </c>
      <c r="CN35" s="31">
        <f t="shared" si="61"/>
        <v>0</v>
      </c>
      <c r="CO35" s="31">
        <f t="shared" si="62"/>
        <v>0</v>
      </c>
      <c r="CP35" s="33"/>
      <c r="CQ35" s="37" t="str">
        <f t="shared" si="63"/>
        <v/>
      </c>
      <c r="CR35" s="144"/>
      <c r="CS35" s="199"/>
      <c r="CT35" s="199"/>
      <c r="CU35" s="199"/>
    </row>
    <row r="36" spans="1:99" s="26" customFormat="1" ht="16" customHeight="1" x14ac:dyDescent="0.2">
      <c r="A36" s="38" t="s">
        <v>60</v>
      </c>
      <c r="B36" s="30">
        <f t="shared" ref="B36:D54" si="64">+L36+S36+Z36+AG36+AN36+AU36+BB36+BI36+BP36+BW36+CD36+CK36</f>
        <v>94760.000000000015</v>
      </c>
      <c r="C36" s="31">
        <f t="shared" si="64"/>
        <v>83113.995999999985</v>
      </c>
      <c r="D36" s="32">
        <f t="shared" si="64"/>
        <v>11646.003999999999</v>
      </c>
      <c r="E36" s="30">
        <f t="shared" si="14"/>
        <v>31586.666666666668</v>
      </c>
      <c r="F36" s="33">
        <f t="shared" si="14"/>
        <v>27704.665333333334</v>
      </c>
      <c r="G36" s="34">
        <f t="shared" si="14"/>
        <v>3882.0013333333332</v>
      </c>
      <c r="H36" s="31">
        <f t="shared" ref="H36:J54" si="65">+O36+V36+AC36+AJ36+AQ36+AX36+BE36+BL36+BS36+BZ36+CG36+CN36</f>
        <v>4749.1620895151809</v>
      </c>
      <c r="I36" s="33">
        <f t="shared" si="65"/>
        <v>37882.45451295501</v>
      </c>
      <c r="J36" s="33">
        <f t="shared" si="65"/>
        <v>42631.616602470196</v>
      </c>
      <c r="K36" s="37">
        <f t="shared" si="2"/>
        <v>0.34967127276710208</v>
      </c>
      <c r="L36" s="36">
        <f>[1]FUNIL!$E36</f>
        <v>7896.666666666667</v>
      </c>
      <c r="M36" s="31">
        <f t="shared" si="15"/>
        <v>6926.1663333333336</v>
      </c>
      <c r="N36" s="31">
        <f t="shared" si="16"/>
        <v>970.50033333333329</v>
      </c>
      <c r="O36" s="31">
        <f t="shared" si="17"/>
        <v>1105.4427638275483</v>
      </c>
      <c r="P36" s="31">
        <f t="shared" si="18"/>
        <v>8817.7418306746804</v>
      </c>
      <c r="Q36" s="33">
        <f>[4]SLP!CS36*'[3]SLP-CITROS'!$V$7</f>
        <v>9923.1845945022287</v>
      </c>
      <c r="R36" s="37">
        <f t="shared" si="3"/>
        <v>0.25662953919403475</v>
      </c>
      <c r="S36" s="36">
        <f>[1]FUNIL!$F36</f>
        <v>7896.666666666667</v>
      </c>
      <c r="T36" s="31">
        <f t="shared" si="19"/>
        <v>6926.1663333333336</v>
      </c>
      <c r="U36" s="31">
        <f t="shared" si="20"/>
        <v>970.50033333333329</v>
      </c>
      <c r="V36" s="31">
        <f t="shared" si="21"/>
        <v>1452.3652341806337</v>
      </c>
      <c r="W36" s="31">
        <f t="shared" si="22"/>
        <v>11585.024659720913</v>
      </c>
      <c r="X36" s="33">
        <f>[4]SLP!$CT36*'[3]SLP-CITROS'!$V$7</f>
        <v>13037.389893901547</v>
      </c>
      <c r="Y36" s="37">
        <f t="shared" si="4"/>
        <v>0.6509991423260717</v>
      </c>
      <c r="Z36" s="36">
        <f>[1]FUNIL!$G36</f>
        <v>7896.666666666667</v>
      </c>
      <c r="AA36" s="31">
        <f t="shared" si="23"/>
        <v>6926.1663333333336</v>
      </c>
      <c r="AB36" s="31">
        <f t="shared" si="24"/>
        <v>970.50033333333329</v>
      </c>
      <c r="AC36" s="31">
        <f t="shared" si="25"/>
        <v>1140.1256164357637</v>
      </c>
      <c r="AD36" s="31">
        <f t="shared" si="26"/>
        <v>9094.3951774220768</v>
      </c>
      <c r="AE36" s="33">
        <f>[4]SLP!CU36*'[2]SLP-CITROS'!$V$7</f>
        <v>10234.520793857841</v>
      </c>
      <c r="AF36" s="37">
        <f t="shared" si="5"/>
        <v>0.29605582024371135</v>
      </c>
      <c r="AG36" s="36">
        <f>[1]FUNIL!$H36</f>
        <v>7896.666666666667</v>
      </c>
      <c r="AH36" s="31">
        <f t="shared" si="27"/>
        <v>6926.1663333333336</v>
      </c>
      <c r="AI36" s="31">
        <f t="shared" si="28"/>
        <v>970.50033333333329</v>
      </c>
      <c r="AJ36" s="31">
        <f t="shared" si="29"/>
        <v>1051.2284750712352</v>
      </c>
      <c r="AK36" s="31">
        <f t="shared" si="30"/>
        <v>8385.2928451373409</v>
      </c>
      <c r="AL36" s="33">
        <f>[4]SLP!CV36*'[2]SLP-CITROS'!$V$7</f>
        <v>9436.5213202085761</v>
      </c>
      <c r="AM36" s="37">
        <f t="shared" si="6"/>
        <v>0.19500058930458963</v>
      </c>
      <c r="AN36" s="36">
        <f>[1]FUNIL!$I36</f>
        <v>7896.666666666667</v>
      </c>
      <c r="AO36" s="31">
        <f t="shared" si="31"/>
        <v>6926.1663333333336</v>
      </c>
      <c r="AP36" s="31">
        <f t="shared" si="32"/>
        <v>970.50033333333329</v>
      </c>
      <c r="AQ36" s="31">
        <f t="shared" si="33"/>
        <v>0</v>
      </c>
      <c r="AR36" s="31">
        <f t="shared" si="34"/>
        <v>0</v>
      </c>
      <c r="AS36" s="33">
        <f>[4]SLP!CW36*0.4</f>
        <v>0</v>
      </c>
      <c r="AT36" s="37">
        <f t="shared" si="7"/>
        <v>-1</v>
      </c>
      <c r="AU36" s="36">
        <f>[1]FUNIL!$J36</f>
        <v>7896.666666666667</v>
      </c>
      <c r="AV36" s="31">
        <f t="shared" si="35"/>
        <v>6926.1663333333336</v>
      </c>
      <c r="AW36" s="31">
        <f t="shared" si="36"/>
        <v>970.50033333333329</v>
      </c>
      <c r="AX36" s="31">
        <f t="shared" si="37"/>
        <v>0</v>
      </c>
      <c r="AY36" s="31">
        <f t="shared" si="38"/>
        <v>0</v>
      </c>
      <c r="AZ36" s="33">
        <f>[4]SLP!CX36*0.4</f>
        <v>0</v>
      </c>
      <c r="BA36" s="37">
        <f t="shared" si="8"/>
        <v>-1</v>
      </c>
      <c r="BB36" s="36">
        <f>[1]FUNIL!$K36</f>
        <v>7896.666666666667</v>
      </c>
      <c r="BC36" s="31">
        <f t="shared" si="39"/>
        <v>6926.1663333333336</v>
      </c>
      <c r="BD36" s="31">
        <f t="shared" si="40"/>
        <v>970.50033333333329</v>
      </c>
      <c r="BE36" s="31">
        <f t="shared" si="41"/>
        <v>0</v>
      </c>
      <c r="BF36" s="31">
        <f t="shared" si="42"/>
        <v>0</v>
      </c>
      <c r="BG36" s="33">
        <f>[4]SLP!CY36*0.4</f>
        <v>0</v>
      </c>
      <c r="BH36" s="37">
        <f t="shared" si="9"/>
        <v>-1</v>
      </c>
      <c r="BI36" s="36">
        <f>[1]FUNIL!$L36</f>
        <v>7896.666666666667</v>
      </c>
      <c r="BJ36" s="31">
        <f t="shared" si="43"/>
        <v>6926.1663333333336</v>
      </c>
      <c r="BK36" s="31">
        <f t="shared" si="44"/>
        <v>970.50033333333329</v>
      </c>
      <c r="BL36" s="31">
        <f t="shared" si="45"/>
        <v>0</v>
      </c>
      <c r="BM36" s="31">
        <f t="shared" si="46"/>
        <v>0</v>
      </c>
      <c r="BN36" s="33">
        <f>[4]SLP!CZ36*0.4</f>
        <v>0</v>
      </c>
      <c r="BO36" s="37">
        <f t="shared" si="10"/>
        <v>-1</v>
      </c>
      <c r="BP36" s="36">
        <f>[1]FUNIL!$M36</f>
        <v>7896.666666666667</v>
      </c>
      <c r="BQ36" s="31">
        <f t="shared" si="47"/>
        <v>6926.1663333333336</v>
      </c>
      <c r="BR36" s="31">
        <f t="shared" si="48"/>
        <v>970.50033333333329</v>
      </c>
      <c r="BS36" s="31">
        <f t="shared" si="49"/>
        <v>0</v>
      </c>
      <c r="BT36" s="31">
        <f t="shared" si="50"/>
        <v>0</v>
      </c>
      <c r="BU36" s="33">
        <f>[4]SLP!DA36*0.4</f>
        <v>0</v>
      </c>
      <c r="BV36" s="37">
        <f t="shared" si="11"/>
        <v>-1</v>
      </c>
      <c r="BW36" s="36">
        <f>[1]FUNIL!$N36</f>
        <v>7896.666666666667</v>
      </c>
      <c r="BX36" s="31">
        <f t="shared" si="51"/>
        <v>6926.1663333333336</v>
      </c>
      <c r="BY36" s="31">
        <f t="shared" si="52"/>
        <v>970.50033333333329</v>
      </c>
      <c r="BZ36" s="31">
        <f t="shared" si="53"/>
        <v>0</v>
      </c>
      <c r="CA36" s="31">
        <f t="shared" si="54"/>
        <v>0</v>
      </c>
      <c r="CB36" s="33">
        <f>[4]SLP!DB36*0.4</f>
        <v>0</v>
      </c>
      <c r="CC36" s="37">
        <f t="shared" si="12"/>
        <v>-1</v>
      </c>
      <c r="CD36" s="36">
        <f>[1]FUNIL!$O36</f>
        <v>7896.666666666667</v>
      </c>
      <c r="CE36" s="31">
        <f t="shared" si="55"/>
        <v>6926.1663333333336</v>
      </c>
      <c r="CF36" s="31">
        <f t="shared" si="56"/>
        <v>970.50033333333329</v>
      </c>
      <c r="CG36" s="31">
        <f t="shared" si="57"/>
        <v>0</v>
      </c>
      <c r="CH36" s="31">
        <f t="shared" si="58"/>
        <v>0</v>
      </c>
      <c r="CI36" s="33">
        <f>[4]SLP!DC36*0.4</f>
        <v>0</v>
      </c>
      <c r="CJ36" s="37">
        <f t="shared" si="13"/>
        <v>-1</v>
      </c>
      <c r="CK36" s="36">
        <f>[1]FUNIL!$P36</f>
        <v>7896.666666666667</v>
      </c>
      <c r="CL36" s="31">
        <f t="shared" si="59"/>
        <v>6926.1663333333336</v>
      </c>
      <c r="CM36" s="31">
        <f t="shared" si="60"/>
        <v>970.50033333333329</v>
      </c>
      <c r="CN36" s="31">
        <f t="shared" si="61"/>
        <v>0</v>
      </c>
      <c r="CO36" s="31">
        <f t="shared" si="62"/>
        <v>0</v>
      </c>
      <c r="CP36" s="33">
        <f>[4]SLP!DD36*0.4</f>
        <v>0</v>
      </c>
      <c r="CQ36" s="37">
        <f t="shared" si="63"/>
        <v>-1</v>
      </c>
      <c r="CR36" s="144"/>
    </row>
    <row r="37" spans="1:99" s="26" customFormat="1" ht="16" customHeight="1" x14ac:dyDescent="0.2">
      <c r="A37" s="38" t="s">
        <v>61</v>
      </c>
      <c r="B37" s="30">
        <f t="shared" si="64"/>
        <v>142140</v>
      </c>
      <c r="C37" s="31">
        <f t="shared" si="64"/>
        <v>124670.99400000002</v>
      </c>
      <c r="D37" s="32">
        <f t="shared" si="64"/>
        <v>17469.005999999998</v>
      </c>
      <c r="E37" s="30">
        <f t="shared" ref="E37:G54" si="66">+L37+S37+Z37+AG37</f>
        <v>47380</v>
      </c>
      <c r="F37" s="33">
        <f t="shared" si="66"/>
        <v>41556.998</v>
      </c>
      <c r="G37" s="34">
        <f t="shared" si="66"/>
        <v>5823.0019999999995</v>
      </c>
      <c r="H37" s="31">
        <f t="shared" si="65"/>
        <v>10260.273966170629</v>
      </c>
      <c r="I37" s="33">
        <f t="shared" si="65"/>
        <v>81842.723934822425</v>
      </c>
      <c r="J37" s="33">
        <f t="shared" si="65"/>
        <v>92102.997900993054</v>
      </c>
      <c r="K37" s="37">
        <f t="shared" si="2"/>
        <v>0.9439214415574726</v>
      </c>
      <c r="L37" s="36">
        <f>[1]FUNIL!$E37</f>
        <v>11845</v>
      </c>
      <c r="M37" s="31">
        <f t="shared" si="15"/>
        <v>10389.2495</v>
      </c>
      <c r="N37" s="31">
        <f t="shared" si="16"/>
        <v>1455.7504999999999</v>
      </c>
      <c r="O37" s="31">
        <f t="shared" si="17"/>
        <v>2305.9946019907693</v>
      </c>
      <c r="P37" s="31">
        <f t="shared" si="18"/>
        <v>18394.136475125641</v>
      </c>
      <c r="Q37" s="33">
        <f>[4]SLP!CS37*'[3]SLP-CITROS'!$V$7</f>
        <v>20700.13107711641</v>
      </c>
      <c r="R37" s="37">
        <f t="shared" si="3"/>
        <v>0.74758388156322586</v>
      </c>
      <c r="S37" s="36">
        <f>[1]FUNIL!$F37</f>
        <v>11845</v>
      </c>
      <c r="T37" s="31">
        <f t="shared" si="19"/>
        <v>10389.2495</v>
      </c>
      <c r="U37" s="31">
        <f t="shared" si="20"/>
        <v>1455.7504999999999</v>
      </c>
      <c r="V37" s="31">
        <f t="shared" si="21"/>
        <v>1732.2716616441794</v>
      </c>
      <c r="W37" s="31">
        <f t="shared" si="22"/>
        <v>13817.743254371793</v>
      </c>
      <c r="X37" s="33">
        <f>[4]SLP!$CT37*'[3]SLP-CITROS'!$V$7</f>
        <v>15550.014916015973</v>
      </c>
      <c r="Y37" s="37">
        <f t="shared" si="4"/>
        <v>0.31279146610518982</v>
      </c>
      <c r="Z37" s="36">
        <f>[1]FUNIL!$G37</f>
        <v>11845</v>
      </c>
      <c r="AA37" s="31">
        <f t="shared" si="23"/>
        <v>10389.2495</v>
      </c>
      <c r="AB37" s="31">
        <f t="shared" si="24"/>
        <v>1455.7504999999999</v>
      </c>
      <c r="AC37" s="31">
        <f t="shared" si="25"/>
        <v>2435.7749178449885</v>
      </c>
      <c r="AD37" s="31">
        <f t="shared" si="26"/>
        <v>19429.350017926907</v>
      </c>
      <c r="AE37" s="33">
        <f>[4]SLP!CU37*'[2]SLP-CITROS'!$V$7</f>
        <v>21865.124935771895</v>
      </c>
      <c r="AF37" s="37">
        <f t="shared" si="5"/>
        <v>0.84593709884102108</v>
      </c>
      <c r="AG37" s="36">
        <f>[1]FUNIL!$H37</f>
        <v>11845</v>
      </c>
      <c r="AH37" s="31">
        <f t="shared" si="27"/>
        <v>10389.2495</v>
      </c>
      <c r="AI37" s="31">
        <f t="shared" si="28"/>
        <v>1455.7504999999999</v>
      </c>
      <c r="AJ37" s="31">
        <f t="shared" si="29"/>
        <v>3786.2327846906919</v>
      </c>
      <c r="AK37" s="31">
        <f t="shared" si="30"/>
        <v>30201.494187398079</v>
      </c>
      <c r="AL37" s="33">
        <f>[4]SLP!CV37*'[2]SLP-CITROS'!$V$7</f>
        <v>33987.726972088771</v>
      </c>
      <c r="AM37" s="37">
        <f t="shared" si="6"/>
        <v>1.8693733197204536</v>
      </c>
      <c r="AN37" s="36">
        <f>[1]FUNIL!$I37</f>
        <v>11845</v>
      </c>
      <c r="AO37" s="31">
        <f t="shared" si="31"/>
        <v>10389.2495</v>
      </c>
      <c r="AP37" s="31">
        <f t="shared" si="32"/>
        <v>1455.7504999999999</v>
      </c>
      <c r="AQ37" s="31">
        <f t="shared" si="33"/>
        <v>0</v>
      </c>
      <c r="AR37" s="31">
        <f t="shared" si="34"/>
        <v>0</v>
      </c>
      <c r="AS37" s="33">
        <f>[4]SLP!CW37*0.4</f>
        <v>0</v>
      </c>
      <c r="AT37" s="37">
        <f t="shared" si="7"/>
        <v>-1</v>
      </c>
      <c r="AU37" s="36">
        <f>[1]FUNIL!$J37</f>
        <v>11845</v>
      </c>
      <c r="AV37" s="31">
        <f t="shared" si="35"/>
        <v>10389.2495</v>
      </c>
      <c r="AW37" s="31">
        <f t="shared" si="36"/>
        <v>1455.7504999999999</v>
      </c>
      <c r="AX37" s="31">
        <f t="shared" si="37"/>
        <v>0</v>
      </c>
      <c r="AY37" s="31">
        <f t="shared" si="38"/>
        <v>0</v>
      </c>
      <c r="AZ37" s="33">
        <f>[4]SLP!CX37*0.4</f>
        <v>0</v>
      </c>
      <c r="BA37" s="37">
        <f t="shared" si="8"/>
        <v>-1</v>
      </c>
      <c r="BB37" s="36">
        <f>[1]FUNIL!$K37</f>
        <v>11845</v>
      </c>
      <c r="BC37" s="31">
        <f t="shared" si="39"/>
        <v>10389.2495</v>
      </c>
      <c r="BD37" s="31">
        <f t="shared" si="40"/>
        <v>1455.7504999999999</v>
      </c>
      <c r="BE37" s="31">
        <f t="shared" si="41"/>
        <v>0</v>
      </c>
      <c r="BF37" s="31">
        <f t="shared" si="42"/>
        <v>0</v>
      </c>
      <c r="BG37" s="33">
        <f>[4]SLP!CY37*0.4</f>
        <v>0</v>
      </c>
      <c r="BH37" s="37">
        <f t="shared" si="9"/>
        <v>-1</v>
      </c>
      <c r="BI37" s="36">
        <f>[1]FUNIL!$L37</f>
        <v>11845</v>
      </c>
      <c r="BJ37" s="31">
        <f t="shared" si="43"/>
        <v>10389.2495</v>
      </c>
      <c r="BK37" s="31">
        <f t="shared" si="44"/>
        <v>1455.7504999999999</v>
      </c>
      <c r="BL37" s="31">
        <f t="shared" si="45"/>
        <v>0</v>
      </c>
      <c r="BM37" s="31">
        <f t="shared" si="46"/>
        <v>0</v>
      </c>
      <c r="BN37" s="33">
        <f>[4]SLP!CZ37*0.4</f>
        <v>0</v>
      </c>
      <c r="BO37" s="37">
        <f t="shared" si="10"/>
        <v>-1</v>
      </c>
      <c r="BP37" s="36">
        <f>[1]FUNIL!$M37</f>
        <v>11845</v>
      </c>
      <c r="BQ37" s="31">
        <f t="shared" si="47"/>
        <v>10389.2495</v>
      </c>
      <c r="BR37" s="31">
        <f t="shared" si="48"/>
        <v>1455.7504999999999</v>
      </c>
      <c r="BS37" s="31">
        <f t="shared" si="49"/>
        <v>0</v>
      </c>
      <c r="BT37" s="31">
        <f t="shared" si="50"/>
        <v>0</v>
      </c>
      <c r="BU37" s="33">
        <f>[4]SLP!DA37*0.4</f>
        <v>0</v>
      </c>
      <c r="BV37" s="37">
        <f t="shared" si="11"/>
        <v>-1</v>
      </c>
      <c r="BW37" s="36">
        <f>[1]FUNIL!$N37</f>
        <v>11845</v>
      </c>
      <c r="BX37" s="31">
        <f t="shared" si="51"/>
        <v>10389.2495</v>
      </c>
      <c r="BY37" s="31">
        <f t="shared" si="52"/>
        <v>1455.7504999999999</v>
      </c>
      <c r="BZ37" s="31">
        <f t="shared" si="53"/>
        <v>0</v>
      </c>
      <c r="CA37" s="31">
        <f t="shared" si="54"/>
        <v>0</v>
      </c>
      <c r="CB37" s="33">
        <f>[4]SLP!DB37*0.4</f>
        <v>0</v>
      </c>
      <c r="CC37" s="37">
        <f t="shared" si="12"/>
        <v>-1</v>
      </c>
      <c r="CD37" s="36">
        <f>[1]FUNIL!$O37</f>
        <v>11845</v>
      </c>
      <c r="CE37" s="31">
        <f t="shared" si="55"/>
        <v>10389.2495</v>
      </c>
      <c r="CF37" s="31">
        <f t="shared" si="56"/>
        <v>1455.7504999999999</v>
      </c>
      <c r="CG37" s="31">
        <f t="shared" si="57"/>
        <v>0</v>
      </c>
      <c r="CH37" s="31">
        <f t="shared" si="58"/>
        <v>0</v>
      </c>
      <c r="CI37" s="33">
        <f>[4]SLP!DC37*0.4</f>
        <v>0</v>
      </c>
      <c r="CJ37" s="37">
        <f t="shared" si="13"/>
        <v>-1</v>
      </c>
      <c r="CK37" s="36">
        <f>[1]FUNIL!$P37</f>
        <v>11845</v>
      </c>
      <c r="CL37" s="31">
        <f t="shared" si="59"/>
        <v>10389.2495</v>
      </c>
      <c r="CM37" s="31">
        <f t="shared" si="60"/>
        <v>1455.7504999999999</v>
      </c>
      <c r="CN37" s="31">
        <f t="shared" si="61"/>
        <v>0</v>
      </c>
      <c r="CO37" s="31">
        <f t="shared" si="62"/>
        <v>0</v>
      </c>
      <c r="CP37" s="33">
        <f>[4]SLP!DD37*0.4</f>
        <v>0</v>
      </c>
      <c r="CQ37" s="37">
        <f t="shared" si="63"/>
        <v>-1</v>
      </c>
      <c r="CR37" s="144"/>
    </row>
    <row r="38" spans="1:99" s="26" customFormat="1" ht="16" customHeight="1" x14ac:dyDescent="0.2">
      <c r="A38" s="38" t="s">
        <v>62</v>
      </c>
      <c r="B38" s="30">
        <f t="shared" si="64"/>
        <v>9476.0000000000018</v>
      </c>
      <c r="C38" s="31">
        <f t="shared" si="64"/>
        <v>8311.3995999999988</v>
      </c>
      <c r="D38" s="32">
        <f t="shared" si="64"/>
        <v>1164.6004</v>
      </c>
      <c r="E38" s="30">
        <f t="shared" si="66"/>
        <v>3158.666666666667</v>
      </c>
      <c r="F38" s="33">
        <f t="shared" si="66"/>
        <v>2770.4665333333337</v>
      </c>
      <c r="G38" s="34">
        <f t="shared" si="66"/>
        <v>388.20013333333338</v>
      </c>
      <c r="H38" s="31">
        <f t="shared" si="65"/>
        <v>596.24528763720718</v>
      </c>
      <c r="I38" s="33">
        <f t="shared" si="65"/>
        <v>4756.0463428583662</v>
      </c>
      <c r="J38" s="33">
        <f t="shared" si="65"/>
        <v>5352.2916304955734</v>
      </c>
      <c r="K38" s="37">
        <f t="shared" si="2"/>
        <v>0.69447814388842533</v>
      </c>
      <c r="L38" s="36">
        <f>[1]FUNIL!$E38</f>
        <v>789.66666666666674</v>
      </c>
      <c r="M38" s="31">
        <f t="shared" si="15"/>
        <v>692.61663333333343</v>
      </c>
      <c r="N38" s="31">
        <f t="shared" si="16"/>
        <v>97.050033333333346</v>
      </c>
      <c r="O38" s="31">
        <f t="shared" si="17"/>
        <v>206.1316748349725</v>
      </c>
      <c r="P38" s="31">
        <f t="shared" si="18"/>
        <v>1644.2424260175621</v>
      </c>
      <c r="Q38" s="33">
        <f>[4]SLP!CS38*'[3]SLP-CITROS'!$V$7</f>
        <v>1850.3741008525346</v>
      </c>
      <c r="R38" s="37">
        <f t="shared" si="3"/>
        <v>1.343234403781175</v>
      </c>
      <c r="S38" s="36">
        <f>[1]FUNIL!$F38</f>
        <v>789.66666666666674</v>
      </c>
      <c r="T38" s="31">
        <f t="shared" si="19"/>
        <v>692.61663333333343</v>
      </c>
      <c r="U38" s="31">
        <f t="shared" si="20"/>
        <v>97.050033333333346</v>
      </c>
      <c r="V38" s="31">
        <f t="shared" si="21"/>
        <v>57.204144345227576</v>
      </c>
      <c r="W38" s="31">
        <f t="shared" si="22"/>
        <v>456.29804905896964</v>
      </c>
      <c r="X38" s="33">
        <f>[4]SLP!$CT38*'[3]SLP-CITROS'!$V$7</f>
        <v>513.50219340419721</v>
      </c>
      <c r="Y38" s="37">
        <f t="shared" si="4"/>
        <v>-0.34972284499257433</v>
      </c>
      <c r="Z38" s="36">
        <f>[1]FUNIL!$G38</f>
        <v>789.66666666666674</v>
      </c>
      <c r="AA38" s="31">
        <f t="shared" si="23"/>
        <v>692.61663333333343</v>
      </c>
      <c r="AB38" s="31">
        <f t="shared" si="24"/>
        <v>97.050033333333346</v>
      </c>
      <c r="AC38" s="31">
        <f t="shared" si="25"/>
        <v>223.65967023893563</v>
      </c>
      <c r="AD38" s="31">
        <f t="shared" si="26"/>
        <v>1784.0572977945969</v>
      </c>
      <c r="AE38" s="33">
        <f>[4]SLP!CU38*'[2]SLP-CITROS'!$V$7</f>
        <v>2007.7169680335326</v>
      </c>
      <c r="AF38" s="37">
        <f t="shared" si="5"/>
        <v>1.542486662769353</v>
      </c>
      <c r="AG38" s="36">
        <f>[1]FUNIL!$H38</f>
        <v>789.66666666666674</v>
      </c>
      <c r="AH38" s="31">
        <f t="shared" si="27"/>
        <v>692.61663333333343</v>
      </c>
      <c r="AI38" s="31">
        <f t="shared" si="28"/>
        <v>97.050033333333346</v>
      </c>
      <c r="AJ38" s="31">
        <f t="shared" si="29"/>
        <v>109.24979821807142</v>
      </c>
      <c r="AK38" s="31">
        <f t="shared" si="30"/>
        <v>871.44856998723753</v>
      </c>
      <c r="AL38" s="33">
        <f>[4]SLP!CV38*'[2]SLP-CITROS'!$V$7</f>
        <v>980.69836820530895</v>
      </c>
      <c r="AM38" s="37">
        <f t="shared" si="6"/>
        <v>0.24191435399574779</v>
      </c>
      <c r="AN38" s="36">
        <f>[1]FUNIL!$I38</f>
        <v>789.66666666666674</v>
      </c>
      <c r="AO38" s="31">
        <f t="shared" si="31"/>
        <v>692.61663333333343</v>
      </c>
      <c r="AP38" s="31">
        <f t="shared" si="32"/>
        <v>97.050033333333346</v>
      </c>
      <c r="AQ38" s="31">
        <f t="shared" si="33"/>
        <v>0</v>
      </c>
      <c r="AR38" s="31">
        <f t="shared" si="34"/>
        <v>0</v>
      </c>
      <c r="AS38" s="33">
        <f>[4]SLP!CW38*0.4</f>
        <v>0</v>
      </c>
      <c r="AT38" s="37">
        <f t="shared" si="7"/>
        <v>-1</v>
      </c>
      <c r="AU38" s="36">
        <f>[1]FUNIL!$J38</f>
        <v>789.66666666666674</v>
      </c>
      <c r="AV38" s="31">
        <f t="shared" si="35"/>
        <v>692.61663333333343</v>
      </c>
      <c r="AW38" s="31">
        <f t="shared" si="36"/>
        <v>97.050033333333346</v>
      </c>
      <c r="AX38" s="31">
        <f t="shared" si="37"/>
        <v>0</v>
      </c>
      <c r="AY38" s="31">
        <f t="shared" si="38"/>
        <v>0</v>
      </c>
      <c r="AZ38" s="33">
        <f>[4]SLP!CX38*0.4</f>
        <v>0</v>
      </c>
      <c r="BA38" s="37">
        <f t="shared" si="8"/>
        <v>-1</v>
      </c>
      <c r="BB38" s="36">
        <f>[1]FUNIL!$K38</f>
        <v>789.66666666666674</v>
      </c>
      <c r="BC38" s="31">
        <f t="shared" si="39"/>
        <v>692.61663333333343</v>
      </c>
      <c r="BD38" s="31">
        <f t="shared" si="40"/>
        <v>97.050033333333346</v>
      </c>
      <c r="BE38" s="31">
        <f t="shared" si="41"/>
        <v>0</v>
      </c>
      <c r="BF38" s="31">
        <f t="shared" si="42"/>
        <v>0</v>
      </c>
      <c r="BG38" s="33">
        <f>[4]SLP!CY38*0.4</f>
        <v>0</v>
      </c>
      <c r="BH38" s="37">
        <f t="shared" si="9"/>
        <v>-1</v>
      </c>
      <c r="BI38" s="36">
        <f>[1]FUNIL!$L38</f>
        <v>789.66666666666674</v>
      </c>
      <c r="BJ38" s="31">
        <f t="shared" si="43"/>
        <v>692.61663333333343</v>
      </c>
      <c r="BK38" s="31">
        <f t="shared" si="44"/>
        <v>97.050033333333346</v>
      </c>
      <c r="BL38" s="31">
        <f t="shared" si="45"/>
        <v>0</v>
      </c>
      <c r="BM38" s="31">
        <f t="shared" si="46"/>
        <v>0</v>
      </c>
      <c r="BN38" s="33">
        <f>[4]SLP!CZ38*0.4</f>
        <v>0</v>
      </c>
      <c r="BO38" s="37">
        <f t="shared" si="10"/>
        <v>-1</v>
      </c>
      <c r="BP38" s="36">
        <f>[1]FUNIL!$M38</f>
        <v>789.66666666666674</v>
      </c>
      <c r="BQ38" s="31">
        <f t="shared" si="47"/>
        <v>692.61663333333343</v>
      </c>
      <c r="BR38" s="31">
        <f t="shared" si="48"/>
        <v>97.050033333333346</v>
      </c>
      <c r="BS38" s="31">
        <f t="shared" si="49"/>
        <v>0</v>
      </c>
      <c r="BT38" s="31">
        <f t="shared" si="50"/>
        <v>0</v>
      </c>
      <c r="BU38" s="33">
        <f>[4]SLP!DA38*0.4</f>
        <v>0</v>
      </c>
      <c r="BV38" s="37">
        <f t="shared" si="11"/>
        <v>-1</v>
      </c>
      <c r="BW38" s="36">
        <f>[1]FUNIL!$N38</f>
        <v>789.66666666666674</v>
      </c>
      <c r="BX38" s="31">
        <f t="shared" si="51"/>
        <v>692.61663333333343</v>
      </c>
      <c r="BY38" s="31">
        <f t="shared" si="52"/>
        <v>97.050033333333346</v>
      </c>
      <c r="BZ38" s="31">
        <f t="shared" si="53"/>
        <v>0</v>
      </c>
      <c r="CA38" s="31">
        <f t="shared" si="54"/>
        <v>0</v>
      </c>
      <c r="CB38" s="33">
        <f>[4]SLP!DB38*0.4</f>
        <v>0</v>
      </c>
      <c r="CC38" s="37">
        <f t="shared" si="12"/>
        <v>-1</v>
      </c>
      <c r="CD38" s="36">
        <f>[1]FUNIL!$O38</f>
        <v>789.66666666666674</v>
      </c>
      <c r="CE38" s="31">
        <f t="shared" si="55"/>
        <v>692.61663333333343</v>
      </c>
      <c r="CF38" s="31">
        <f t="shared" si="56"/>
        <v>97.050033333333346</v>
      </c>
      <c r="CG38" s="31">
        <f t="shared" si="57"/>
        <v>0</v>
      </c>
      <c r="CH38" s="31">
        <f t="shared" si="58"/>
        <v>0</v>
      </c>
      <c r="CI38" s="33">
        <f>[4]SLP!DC38*0.4</f>
        <v>0</v>
      </c>
      <c r="CJ38" s="37">
        <f t="shared" si="13"/>
        <v>-1</v>
      </c>
      <c r="CK38" s="36">
        <f>[1]FUNIL!$P38</f>
        <v>789.66666666666674</v>
      </c>
      <c r="CL38" s="31">
        <f t="shared" si="59"/>
        <v>692.61663333333343</v>
      </c>
      <c r="CM38" s="31">
        <f t="shared" si="60"/>
        <v>97.050033333333346</v>
      </c>
      <c r="CN38" s="31">
        <f t="shared" si="61"/>
        <v>0</v>
      </c>
      <c r="CO38" s="31">
        <f t="shared" si="62"/>
        <v>0</v>
      </c>
      <c r="CP38" s="33">
        <f>[4]SLP!DD38*0.4</f>
        <v>0</v>
      </c>
      <c r="CQ38" s="37">
        <f t="shared" si="63"/>
        <v>-1</v>
      </c>
      <c r="CR38" s="144"/>
    </row>
    <row r="39" spans="1:99" s="26" customFormat="1" ht="16" customHeight="1" x14ac:dyDescent="0.2">
      <c r="A39" s="38" t="s">
        <v>63</v>
      </c>
      <c r="B39" s="30">
        <f t="shared" si="64"/>
        <v>28428</v>
      </c>
      <c r="C39" s="31">
        <f t="shared" si="64"/>
        <v>24934.198800000009</v>
      </c>
      <c r="D39" s="32">
        <f t="shared" si="64"/>
        <v>3493.8011999999994</v>
      </c>
      <c r="E39" s="30">
        <f t="shared" si="66"/>
        <v>9476</v>
      </c>
      <c r="F39" s="33">
        <f t="shared" si="66"/>
        <v>8311.3996000000006</v>
      </c>
      <c r="G39" s="34">
        <f t="shared" si="66"/>
        <v>1164.6004</v>
      </c>
      <c r="H39" s="31">
        <f t="shared" si="65"/>
        <v>8345.3350585754251</v>
      </c>
      <c r="I39" s="33">
        <f t="shared" si="65"/>
        <v>66567.906041742535</v>
      </c>
      <c r="J39" s="33">
        <f t="shared" si="65"/>
        <v>74913.241100317973</v>
      </c>
      <c r="K39" s="37">
        <f t="shared" si="2"/>
        <v>6.9055763086025719</v>
      </c>
      <c r="L39" s="36">
        <f>[1]FUNIL!$E39</f>
        <v>2369</v>
      </c>
      <c r="M39" s="31">
        <f t="shared" si="15"/>
        <v>2077.8499000000002</v>
      </c>
      <c r="N39" s="31">
        <f t="shared" si="16"/>
        <v>291.15010000000001</v>
      </c>
      <c r="O39" s="31">
        <f t="shared" si="17"/>
        <v>1094.2517844970371</v>
      </c>
      <c r="P39" s="31">
        <f t="shared" si="18"/>
        <v>8728.4751858533764</v>
      </c>
      <c r="Q39" s="33">
        <f>[4]SLP!CS39*'[3]SLP-CITROS'!$V$7</f>
        <v>9822.7269703504135</v>
      </c>
      <c r="R39" s="37">
        <f t="shared" si="3"/>
        <v>3.1463600550233908</v>
      </c>
      <c r="S39" s="36">
        <f>[1]FUNIL!$F39</f>
        <v>2369</v>
      </c>
      <c r="T39" s="31">
        <f t="shared" si="19"/>
        <v>2077.8499000000002</v>
      </c>
      <c r="U39" s="31">
        <f t="shared" si="20"/>
        <v>291.15010000000001</v>
      </c>
      <c r="V39" s="31">
        <f t="shared" si="21"/>
        <v>564.67631816660833</v>
      </c>
      <c r="W39" s="31">
        <f t="shared" si="22"/>
        <v>4504.2313853038413</v>
      </c>
      <c r="X39" s="33">
        <f>[4]SLP!$CT39*'[3]SLP-CITROS'!$V$7</f>
        <v>5068.9077034704496</v>
      </c>
      <c r="Y39" s="37">
        <f t="shared" si="4"/>
        <v>1.13968244131298</v>
      </c>
      <c r="Z39" s="36">
        <f>[1]FUNIL!$G39</f>
        <v>2369</v>
      </c>
      <c r="AA39" s="31">
        <f t="shared" si="23"/>
        <v>2077.8499000000002</v>
      </c>
      <c r="AB39" s="31">
        <f t="shared" si="24"/>
        <v>291.15010000000001</v>
      </c>
      <c r="AC39" s="31">
        <f t="shared" si="25"/>
        <v>6291.9734899771065</v>
      </c>
      <c r="AD39" s="31">
        <f t="shared" si="26"/>
        <v>50188.937551110001</v>
      </c>
      <c r="AE39" s="33">
        <f>[4]SLP!CU39*'[2]SLP-CITROS'!$V$7</f>
        <v>56480.911041087107</v>
      </c>
      <c r="AF39" s="37">
        <f t="shared" si="5"/>
        <v>22.841667809661082</v>
      </c>
      <c r="AG39" s="36">
        <f>[1]FUNIL!$H39</f>
        <v>2369</v>
      </c>
      <c r="AH39" s="31">
        <f t="shared" si="27"/>
        <v>2077.8499000000002</v>
      </c>
      <c r="AI39" s="31">
        <f t="shared" si="28"/>
        <v>291.15010000000001</v>
      </c>
      <c r="AJ39" s="31">
        <f t="shared" si="29"/>
        <v>394.43346593467368</v>
      </c>
      <c r="AK39" s="31">
        <f t="shared" si="30"/>
        <v>3146.2619194753233</v>
      </c>
      <c r="AL39" s="33">
        <f>[4]SLP!CV39*'[2]SLP-CITROS'!$V$7</f>
        <v>3540.695385409997</v>
      </c>
      <c r="AM39" s="37">
        <f t="shared" si="6"/>
        <v>0.49459492841283126</v>
      </c>
      <c r="AN39" s="36">
        <f>[1]FUNIL!$I39</f>
        <v>2369</v>
      </c>
      <c r="AO39" s="31">
        <f t="shared" si="31"/>
        <v>2077.8499000000002</v>
      </c>
      <c r="AP39" s="31">
        <f t="shared" si="32"/>
        <v>291.15010000000001</v>
      </c>
      <c r="AQ39" s="31">
        <f t="shared" si="33"/>
        <v>0</v>
      </c>
      <c r="AR39" s="31">
        <f t="shared" si="34"/>
        <v>0</v>
      </c>
      <c r="AS39" s="33">
        <f>[4]SLP!CW39*0.4</f>
        <v>0</v>
      </c>
      <c r="AT39" s="37">
        <f t="shared" si="7"/>
        <v>-1</v>
      </c>
      <c r="AU39" s="36">
        <f>[1]FUNIL!$J39</f>
        <v>2369</v>
      </c>
      <c r="AV39" s="31">
        <f t="shared" si="35"/>
        <v>2077.8499000000002</v>
      </c>
      <c r="AW39" s="31">
        <f t="shared" si="36"/>
        <v>291.15010000000001</v>
      </c>
      <c r="AX39" s="31">
        <f t="shared" si="37"/>
        <v>0</v>
      </c>
      <c r="AY39" s="31">
        <f t="shared" si="38"/>
        <v>0</v>
      </c>
      <c r="AZ39" s="33">
        <f>[4]SLP!CX39*0.4</f>
        <v>0</v>
      </c>
      <c r="BA39" s="37">
        <f t="shared" si="8"/>
        <v>-1</v>
      </c>
      <c r="BB39" s="36">
        <f>[1]FUNIL!$K39</f>
        <v>2369</v>
      </c>
      <c r="BC39" s="31">
        <f t="shared" si="39"/>
        <v>2077.8499000000002</v>
      </c>
      <c r="BD39" s="31">
        <f t="shared" si="40"/>
        <v>291.15010000000001</v>
      </c>
      <c r="BE39" s="31">
        <f t="shared" si="41"/>
        <v>0</v>
      </c>
      <c r="BF39" s="31">
        <f t="shared" si="42"/>
        <v>0</v>
      </c>
      <c r="BG39" s="33">
        <f>[4]SLP!CY39*0.4</f>
        <v>0</v>
      </c>
      <c r="BH39" s="37">
        <f t="shared" si="9"/>
        <v>-1</v>
      </c>
      <c r="BI39" s="36">
        <f>[1]FUNIL!$L39</f>
        <v>2369</v>
      </c>
      <c r="BJ39" s="31">
        <f t="shared" si="43"/>
        <v>2077.8499000000002</v>
      </c>
      <c r="BK39" s="31">
        <f t="shared" si="44"/>
        <v>291.15010000000001</v>
      </c>
      <c r="BL39" s="31">
        <f t="shared" si="45"/>
        <v>0</v>
      </c>
      <c r="BM39" s="31">
        <f t="shared" si="46"/>
        <v>0</v>
      </c>
      <c r="BN39" s="33">
        <f>[4]SLP!CZ39*0.4</f>
        <v>0</v>
      </c>
      <c r="BO39" s="37">
        <f t="shared" si="10"/>
        <v>-1</v>
      </c>
      <c r="BP39" s="36">
        <f>[1]FUNIL!$M39</f>
        <v>2369</v>
      </c>
      <c r="BQ39" s="31">
        <f t="shared" si="47"/>
        <v>2077.8499000000002</v>
      </c>
      <c r="BR39" s="31">
        <f t="shared" si="48"/>
        <v>291.15010000000001</v>
      </c>
      <c r="BS39" s="31">
        <f t="shared" si="49"/>
        <v>0</v>
      </c>
      <c r="BT39" s="31">
        <f t="shared" si="50"/>
        <v>0</v>
      </c>
      <c r="BU39" s="33">
        <f>[4]SLP!DA39*0.4</f>
        <v>0</v>
      </c>
      <c r="BV39" s="37">
        <f t="shared" si="11"/>
        <v>-1</v>
      </c>
      <c r="BW39" s="36">
        <f>[1]FUNIL!$N39</f>
        <v>2369</v>
      </c>
      <c r="BX39" s="31">
        <f t="shared" si="51"/>
        <v>2077.8499000000002</v>
      </c>
      <c r="BY39" s="31">
        <f t="shared" si="52"/>
        <v>291.15010000000001</v>
      </c>
      <c r="BZ39" s="31">
        <f t="shared" si="53"/>
        <v>0</v>
      </c>
      <c r="CA39" s="31">
        <f t="shared" si="54"/>
        <v>0</v>
      </c>
      <c r="CB39" s="33">
        <f>[4]SLP!DB39*0.4</f>
        <v>0</v>
      </c>
      <c r="CC39" s="37">
        <f t="shared" si="12"/>
        <v>-1</v>
      </c>
      <c r="CD39" s="36">
        <f>[1]FUNIL!$O39</f>
        <v>2369</v>
      </c>
      <c r="CE39" s="31">
        <f t="shared" si="55"/>
        <v>2077.8499000000002</v>
      </c>
      <c r="CF39" s="31">
        <f t="shared" si="56"/>
        <v>291.15010000000001</v>
      </c>
      <c r="CG39" s="31">
        <f t="shared" si="57"/>
        <v>0</v>
      </c>
      <c r="CH39" s="31">
        <f t="shared" si="58"/>
        <v>0</v>
      </c>
      <c r="CI39" s="33">
        <f>[4]SLP!DC39*0.4</f>
        <v>0</v>
      </c>
      <c r="CJ39" s="37">
        <f t="shared" si="13"/>
        <v>-1</v>
      </c>
      <c r="CK39" s="36">
        <f>[1]FUNIL!$P39</f>
        <v>2369</v>
      </c>
      <c r="CL39" s="31">
        <f t="shared" si="59"/>
        <v>2077.8499000000002</v>
      </c>
      <c r="CM39" s="31">
        <f t="shared" si="60"/>
        <v>291.15010000000001</v>
      </c>
      <c r="CN39" s="31">
        <f t="shared" si="61"/>
        <v>0</v>
      </c>
      <c r="CO39" s="31">
        <f t="shared" si="62"/>
        <v>0</v>
      </c>
      <c r="CP39" s="33">
        <f>[4]SLP!DD39*0.4</f>
        <v>0</v>
      </c>
      <c r="CQ39" s="37">
        <f t="shared" si="63"/>
        <v>-1</v>
      </c>
      <c r="CR39" s="144"/>
    </row>
    <row r="40" spans="1:99" s="26" customFormat="1" ht="16" customHeight="1" x14ac:dyDescent="0.2">
      <c r="A40" s="38" t="s">
        <v>64</v>
      </c>
      <c r="B40" s="30">
        <f t="shared" si="64"/>
        <v>61594.000000000022</v>
      </c>
      <c r="C40" s="31">
        <f t="shared" si="64"/>
        <v>54024.097399999991</v>
      </c>
      <c r="D40" s="32">
        <f t="shared" si="64"/>
        <v>7569.9026000000022</v>
      </c>
      <c r="E40" s="30">
        <f t="shared" si="66"/>
        <v>20531.333333333336</v>
      </c>
      <c r="F40" s="33">
        <f t="shared" si="66"/>
        <v>18008.032466666667</v>
      </c>
      <c r="G40" s="34">
        <f t="shared" si="66"/>
        <v>2523.3008666666669</v>
      </c>
      <c r="H40" s="31">
        <f t="shared" si="65"/>
        <v>1497.1486792443916</v>
      </c>
      <c r="I40" s="33">
        <f t="shared" si="65"/>
        <v>11942.247005175635</v>
      </c>
      <c r="J40" s="33">
        <f t="shared" si="65"/>
        <v>13439.395684420027</v>
      </c>
      <c r="K40" s="37">
        <f t="shared" si="2"/>
        <v>-0.34542021863720362</v>
      </c>
      <c r="L40" s="36">
        <f>[1]FUNIL!$E40</f>
        <v>5132.8333333333339</v>
      </c>
      <c r="M40" s="31">
        <f t="shared" si="15"/>
        <v>4502.0081166666669</v>
      </c>
      <c r="N40" s="31">
        <f t="shared" si="16"/>
        <v>630.82521666666673</v>
      </c>
      <c r="O40" s="31">
        <f t="shared" si="17"/>
        <v>561.29062997545407</v>
      </c>
      <c r="P40" s="31">
        <f t="shared" si="18"/>
        <v>4477.224899427184</v>
      </c>
      <c r="Q40" s="33">
        <f>[4]SLP!CS40*'[3]SLP-CITROS'!$V$7</f>
        <v>5038.5155294026381</v>
      </c>
      <c r="R40" s="37">
        <f t="shared" si="3"/>
        <v>-1.8375387978834756E-2</v>
      </c>
      <c r="S40" s="36">
        <f>[1]FUNIL!$F40</f>
        <v>5132.8333333333339</v>
      </c>
      <c r="T40" s="31">
        <f t="shared" si="19"/>
        <v>4502.0081166666669</v>
      </c>
      <c r="U40" s="31">
        <f t="shared" si="20"/>
        <v>630.82521666666673</v>
      </c>
      <c r="V40" s="31">
        <f t="shared" si="21"/>
        <v>194.34641882429833</v>
      </c>
      <c r="W40" s="31">
        <f t="shared" si="22"/>
        <v>1550.2354377672484</v>
      </c>
      <c r="X40" s="33">
        <f>[4]SLP!$CT40*'[3]SLP-CITROS'!$V$7</f>
        <v>1744.5818565915467</v>
      </c>
      <c r="Y40" s="37">
        <f t="shared" si="4"/>
        <v>-0.66011328572428218</v>
      </c>
      <c r="Z40" s="36">
        <f>[1]FUNIL!$G40</f>
        <v>5132.8333333333339</v>
      </c>
      <c r="AA40" s="31">
        <f t="shared" si="23"/>
        <v>4502.0081166666669</v>
      </c>
      <c r="AB40" s="31">
        <f t="shared" si="24"/>
        <v>630.82521666666673</v>
      </c>
      <c r="AC40" s="31">
        <f t="shared" si="25"/>
        <v>308.742040871482</v>
      </c>
      <c r="AD40" s="31">
        <f t="shared" si="26"/>
        <v>2462.7304983698264</v>
      </c>
      <c r="AE40" s="33">
        <f>[4]SLP!CU40*'[2]SLP-CITROS'!$V$7</f>
        <v>2771.4725392413084</v>
      </c>
      <c r="AF40" s="37">
        <f t="shared" si="5"/>
        <v>-0.46005015957892492</v>
      </c>
      <c r="AG40" s="36">
        <f>[1]FUNIL!$H40</f>
        <v>5132.8333333333339</v>
      </c>
      <c r="AH40" s="31">
        <f t="shared" si="27"/>
        <v>4502.0081166666669</v>
      </c>
      <c r="AI40" s="31">
        <f t="shared" si="28"/>
        <v>630.82521666666673</v>
      </c>
      <c r="AJ40" s="31">
        <f t="shared" si="29"/>
        <v>432.76958957315719</v>
      </c>
      <c r="AK40" s="31">
        <f t="shared" si="30"/>
        <v>3452.0561696113768</v>
      </c>
      <c r="AL40" s="33">
        <f>[4]SLP!CV40*'[2]SLP-CITROS'!$V$7</f>
        <v>3884.825759184534</v>
      </c>
      <c r="AM40" s="37">
        <f t="shared" si="6"/>
        <v>-0.24314204126677263</v>
      </c>
      <c r="AN40" s="36">
        <f>[1]FUNIL!$I40</f>
        <v>5132.8333333333339</v>
      </c>
      <c r="AO40" s="31">
        <f t="shared" si="31"/>
        <v>4502.0081166666669</v>
      </c>
      <c r="AP40" s="31">
        <f t="shared" si="32"/>
        <v>630.82521666666673</v>
      </c>
      <c r="AQ40" s="31">
        <f t="shared" si="33"/>
        <v>0</v>
      </c>
      <c r="AR40" s="31">
        <f t="shared" si="34"/>
        <v>0</v>
      </c>
      <c r="AS40" s="33">
        <f>[4]SLP!CW40*0.4</f>
        <v>0</v>
      </c>
      <c r="AT40" s="37">
        <f t="shared" si="7"/>
        <v>-1</v>
      </c>
      <c r="AU40" s="36">
        <f>[1]FUNIL!$J40</f>
        <v>5132.8333333333339</v>
      </c>
      <c r="AV40" s="31">
        <f t="shared" si="35"/>
        <v>4502.0081166666669</v>
      </c>
      <c r="AW40" s="31">
        <f t="shared" si="36"/>
        <v>630.82521666666673</v>
      </c>
      <c r="AX40" s="31">
        <f t="shared" si="37"/>
        <v>0</v>
      </c>
      <c r="AY40" s="31">
        <f t="shared" si="38"/>
        <v>0</v>
      </c>
      <c r="AZ40" s="33">
        <f>[4]SLP!CX40*0.4</f>
        <v>0</v>
      </c>
      <c r="BA40" s="37">
        <f t="shared" si="8"/>
        <v>-1</v>
      </c>
      <c r="BB40" s="36">
        <f>[1]FUNIL!$K40</f>
        <v>5132.8333333333339</v>
      </c>
      <c r="BC40" s="31">
        <f t="shared" si="39"/>
        <v>4502.0081166666669</v>
      </c>
      <c r="BD40" s="31">
        <f t="shared" si="40"/>
        <v>630.82521666666673</v>
      </c>
      <c r="BE40" s="31">
        <f t="shared" si="41"/>
        <v>0</v>
      </c>
      <c r="BF40" s="31">
        <f t="shared" si="42"/>
        <v>0</v>
      </c>
      <c r="BG40" s="33">
        <f>[4]SLP!CY40*0.4</f>
        <v>0</v>
      </c>
      <c r="BH40" s="37">
        <f t="shared" si="9"/>
        <v>-1</v>
      </c>
      <c r="BI40" s="36">
        <f>[1]FUNIL!$L40</f>
        <v>5132.8333333333339</v>
      </c>
      <c r="BJ40" s="31">
        <f t="shared" si="43"/>
        <v>4502.0081166666669</v>
      </c>
      <c r="BK40" s="31">
        <f t="shared" si="44"/>
        <v>630.82521666666673</v>
      </c>
      <c r="BL40" s="31">
        <f t="shared" si="45"/>
        <v>0</v>
      </c>
      <c r="BM40" s="31">
        <f t="shared" si="46"/>
        <v>0</v>
      </c>
      <c r="BN40" s="33">
        <f>[4]SLP!CZ40*0.4</f>
        <v>0</v>
      </c>
      <c r="BO40" s="37">
        <f t="shared" si="10"/>
        <v>-1</v>
      </c>
      <c r="BP40" s="36">
        <f>[1]FUNIL!$M40</f>
        <v>5132.8333333333339</v>
      </c>
      <c r="BQ40" s="31">
        <f t="shared" si="47"/>
        <v>4502.0081166666669</v>
      </c>
      <c r="BR40" s="31">
        <f t="shared" si="48"/>
        <v>630.82521666666673</v>
      </c>
      <c r="BS40" s="31">
        <f t="shared" si="49"/>
        <v>0</v>
      </c>
      <c r="BT40" s="31">
        <f t="shared" si="50"/>
        <v>0</v>
      </c>
      <c r="BU40" s="33">
        <f>[4]SLP!DA40*0.4</f>
        <v>0</v>
      </c>
      <c r="BV40" s="37">
        <f t="shared" si="11"/>
        <v>-1</v>
      </c>
      <c r="BW40" s="36">
        <f>[1]FUNIL!$N40</f>
        <v>5132.8333333333339</v>
      </c>
      <c r="BX40" s="31">
        <f t="shared" si="51"/>
        <v>4502.0081166666669</v>
      </c>
      <c r="BY40" s="31">
        <f t="shared" si="52"/>
        <v>630.82521666666673</v>
      </c>
      <c r="BZ40" s="31">
        <f t="shared" si="53"/>
        <v>0</v>
      </c>
      <c r="CA40" s="31">
        <f t="shared" si="54"/>
        <v>0</v>
      </c>
      <c r="CB40" s="33">
        <f>[4]SLP!DB40*0.4</f>
        <v>0</v>
      </c>
      <c r="CC40" s="37">
        <f t="shared" si="12"/>
        <v>-1</v>
      </c>
      <c r="CD40" s="36">
        <f>[1]FUNIL!$O40</f>
        <v>5132.8333333333339</v>
      </c>
      <c r="CE40" s="31">
        <f t="shared" si="55"/>
        <v>4502.0081166666669</v>
      </c>
      <c r="CF40" s="31">
        <f t="shared" si="56"/>
        <v>630.82521666666673</v>
      </c>
      <c r="CG40" s="31">
        <f t="shared" si="57"/>
        <v>0</v>
      </c>
      <c r="CH40" s="31">
        <f t="shared" si="58"/>
        <v>0</v>
      </c>
      <c r="CI40" s="33">
        <f>[4]SLP!DC40*0.4</f>
        <v>0</v>
      </c>
      <c r="CJ40" s="37">
        <f t="shared" si="13"/>
        <v>-1</v>
      </c>
      <c r="CK40" s="36">
        <f>[1]FUNIL!$P40</f>
        <v>5132.8333333333339</v>
      </c>
      <c r="CL40" s="31">
        <f t="shared" si="59"/>
        <v>4502.0081166666669</v>
      </c>
      <c r="CM40" s="31">
        <f t="shared" si="60"/>
        <v>630.82521666666673</v>
      </c>
      <c r="CN40" s="31">
        <f t="shared" si="61"/>
        <v>0</v>
      </c>
      <c r="CO40" s="31">
        <f t="shared" si="62"/>
        <v>0</v>
      </c>
      <c r="CP40" s="33">
        <f>[4]SLP!DD40*0.4</f>
        <v>0</v>
      </c>
      <c r="CQ40" s="37">
        <f t="shared" si="63"/>
        <v>-1</v>
      </c>
      <c r="CR40" s="144"/>
    </row>
    <row r="41" spans="1:99" s="26" customFormat="1" ht="16" customHeight="1" x14ac:dyDescent="0.2">
      <c r="A41" s="29" t="s">
        <v>65</v>
      </c>
      <c r="B41" s="30">
        <f t="shared" si="64"/>
        <v>406046.60000000003</v>
      </c>
      <c r="C41" s="31">
        <f t="shared" si="64"/>
        <v>356143.47285999986</v>
      </c>
      <c r="D41" s="32">
        <f t="shared" si="64"/>
        <v>49903.127140000019</v>
      </c>
      <c r="E41" s="30">
        <f t="shared" si="66"/>
        <v>135348.86666666667</v>
      </c>
      <c r="F41" s="33">
        <f t="shared" si="66"/>
        <v>118714.49095333333</v>
      </c>
      <c r="G41" s="34">
        <f t="shared" si="66"/>
        <v>16634.375713333335</v>
      </c>
      <c r="H41" s="31">
        <f t="shared" si="65"/>
        <v>15077.86374666667</v>
      </c>
      <c r="I41" s="33">
        <f t="shared" si="65"/>
        <v>120271.00292</v>
      </c>
      <c r="J41" s="33">
        <f t="shared" si="65"/>
        <v>135348.86666666667</v>
      </c>
      <c r="K41" s="37">
        <f t="shared" si="2"/>
        <v>0</v>
      </c>
      <c r="L41" s="46">
        <f>[1]FUNIL!$E41</f>
        <v>33837.216666666667</v>
      </c>
      <c r="M41" s="47">
        <f t="shared" si="15"/>
        <v>29678.622738333332</v>
      </c>
      <c r="N41" s="47">
        <f t="shared" si="16"/>
        <v>4158.5939283333337</v>
      </c>
      <c r="O41" s="47">
        <f t="shared" si="17"/>
        <v>3769.4659366666674</v>
      </c>
      <c r="P41" s="47">
        <f t="shared" si="18"/>
        <v>30067.75073</v>
      </c>
      <c r="Q41" s="45">
        <v>33837.216666666667</v>
      </c>
      <c r="R41" s="37">
        <f t="shared" si="3"/>
        <v>0</v>
      </c>
      <c r="S41" s="46">
        <f>[1]FUNIL!$F41</f>
        <v>33837.216666666667</v>
      </c>
      <c r="T41" s="47">
        <f t="shared" si="19"/>
        <v>29678.622738333332</v>
      </c>
      <c r="U41" s="47">
        <f t="shared" si="20"/>
        <v>4158.5939283333337</v>
      </c>
      <c r="V41" s="47">
        <f t="shared" si="21"/>
        <v>3769.4659366666674</v>
      </c>
      <c r="W41" s="47">
        <f t="shared" si="22"/>
        <v>30067.75073</v>
      </c>
      <c r="X41" s="45">
        <v>33837.216666666667</v>
      </c>
      <c r="Y41" s="37">
        <f t="shared" si="4"/>
        <v>0</v>
      </c>
      <c r="Z41" s="46">
        <f>[1]FUNIL!$G41</f>
        <v>33837.216666666667</v>
      </c>
      <c r="AA41" s="47">
        <f t="shared" si="23"/>
        <v>29678.622738333332</v>
      </c>
      <c r="AB41" s="47">
        <f t="shared" si="24"/>
        <v>4158.5939283333337</v>
      </c>
      <c r="AC41" s="47">
        <f t="shared" si="25"/>
        <v>3769.4659366666674</v>
      </c>
      <c r="AD41" s="47">
        <f t="shared" si="26"/>
        <v>30067.75073</v>
      </c>
      <c r="AE41" s="45">
        <v>33837.216666666667</v>
      </c>
      <c r="AF41" s="37">
        <f t="shared" si="5"/>
        <v>0</v>
      </c>
      <c r="AG41" s="46">
        <f>[1]FUNIL!$H41</f>
        <v>33837.216666666667</v>
      </c>
      <c r="AH41" s="47">
        <f t="shared" si="27"/>
        <v>29678.622738333332</v>
      </c>
      <c r="AI41" s="47">
        <f t="shared" si="28"/>
        <v>4158.5939283333337</v>
      </c>
      <c r="AJ41" s="47">
        <f t="shared" si="29"/>
        <v>3769.4659366666674</v>
      </c>
      <c r="AK41" s="47">
        <f t="shared" si="30"/>
        <v>30067.75073</v>
      </c>
      <c r="AL41" s="45">
        <v>33837.216666666667</v>
      </c>
      <c r="AM41" s="37">
        <f t="shared" si="6"/>
        <v>0</v>
      </c>
      <c r="AN41" s="46">
        <f>[1]FUNIL!$I41</f>
        <v>33837.216666666667</v>
      </c>
      <c r="AO41" s="47">
        <f t="shared" si="31"/>
        <v>29678.622738333332</v>
      </c>
      <c r="AP41" s="47">
        <f t="shared" si="32"/>
        <v>4158.5939283333337</v>
      </c>
      <c r="AQ41" s="47">
        <f t="shared" si="33"/>
        <v>0</v>
      </c>
      <c r="AR41" s="47">
        <f t="shared" si="34"/>
        <v>0</v>
      </c>
      <c r="AS41" s="45"/>
      <c r="AT41" s="37">
        <f t="shared" si="7"/>
        <v>-1</v>
      </c>
      <c r="AU41" s="46">
        <f>[1]FUNIL!$J41</f>
        <v>33837.216666666667</v>
      </c>
      <c r="AV41" s="47">
        <f t="shared" si="35"/>
        <v>29678.622738333332</v>
      </c>
      <c r="AW41" s="47">
        <f t="shared" si="36"/>
        <v>4158.5939283333337</v>
      </c>
      <c r="AX41" s="47">
        <f t="shared" si="37"/>
        <v>0</v>
      </c>
      <c r="AY41" s="47">
        <f t="shared" si="38"/>
        <v>0</v>
      </c>
      <c r="AZ41" s="45"/>
      <c r="BA41" s="37">
        <f t="shared" si="8"/>
        <v>-1</v>
      </c>
      <c r="BB41" s="46">
        <f>[1]FUNIL!$K41</f>
        <v>33837.216666666667</v>
      </c>
      <c r="BC41" s="47">
        <f t="shared" si="39"/>
        <v>29678.622738333332</v>
      </c>
      <c r="BD41" s="47">
        <f t="shared" si="40"/>
        <v>4158.5939283333337</v>
      </c>
      <c r="BE41" s="47">
        <f t="shared" si="41"/>
        <v>0</v>
      </c>
      <c r="BF41" s="47">
        <f t="shared" si="42"/>
        <v>0</v>
      </c>
      <c r="BG41" s="45"/>
      <c r="BH41" s="37">
        <f t="shared" si="9"/>
        <v>-1</v>
      </c>
      <c r="BI41" s="46">
        <f>[1]FUNIL!$L41</f>
        <v>33837.216666666667</v>
      </c>
      <c r="BJ41" s="47">
        <f t="shared" si="43"/>
        <v>29678.622738333332</v>
      </c>
      <c r="BK41" s="47">
        <f t="shared" si="44"/>
        <v>4158.5939283333337</v>
      </c>
      <c r="BL41" s="47">
        <f t="shared" si="45"/>
        <v>0</v>
      </c>
      <c r="BM41" s="47">
        <f t="shared" si="46"/>
        <v>0</v>
      </c>
      <c r="BN41" s="45"/>
      <c r="BO41" s="37">
        <f t="shared" si="10"/>
        <v>-1</v>
      </c>
      <c r="BP41" s="46">
        <f>[1]FUNIL!$M41</f>
        <v>33837.216666666667</v>
      </c>
      <c r="BQ41" s="47">
        <f t="shared" si="47"/>
        <v>29678.622738333332</v>
      </c>
      <c r="BR41" s="47">
        <f t="shared" si="48"/>
        <v>4158.5939283333337</v>
      </c>
      <c r="BS41" s="47">
        <f t="shared" si="49"/>
        <v>0</v>
      </c>
      <c r="BT41" s="47">
        <f t="shared" si="50"/>
        <v>0</v>
      </c>
      <c r="BU41" s="45"/>
      <c r="BV41" s="37">
        <f t="shared" si="11"/>
        <v>-1</v>
      </c>
      <c r="BW41" s="46">
        <f>[1]FUNIL!$N41</f>
        <v>33837.216666666667</v>
      </c>
      <c r="BX41" s="47">
        <f t="shared" si="51"/>
        <v>29678.622738333332</v>
      </c>
      <c r="BY41" s="47">
        <f t="shared" si="52"/>
        <v>4158.5939283333337</v>
      </c>
      <c r="BZ41" s="47">
        <f t="shared" si="53"/>
        <v>0</v>
      </c>
      <c r="CA41" s="47">
        <f t="shared" si="54"/>
        <v>0</v>
      </c>
      <c r="CB41" s="45"/>
      <c r="CC41" s="37">
        <f t="shared" si="12"/>
        <v>-1</v>
      </c>
      <c r="CD41" s="46">
        <f>[1]FUNIL!$O41</f>
        <v>33837.216666666667</v>
      </c>
      <c r="CE41" s="47">
        <f t="shared" si="55"/>
        <v>29678.622738333332</v>
      </c>
      <c r="CF41" s="47">
        <f t="shared" si="56"/>
        <v>4158.5939283333337</v>
      </c>
      <c r="CG41" s="47">
        <f t="shared" si="57"/>
        <v>0</v>
      </c>
      <c r="CH41" s="47">
        <f t="shared" si="58"/>
        <v>0</v>
      </c>
      <c r="CI41" s="45"/>
      <c r="CJ41" s="37">
        <f t="shared" si="13"/>
        <v>-1</v>
      </c>
      <c r="CK41" s="46">
        <f>[1]FUNIL!$P41</f>
        <v>33837.216666666667</v>
      </c>
      <c r="CL41" s="47">
        <f t="shared" si="59"/>
        <v>29678.622738333332</v>
      </c>
      <c r="CM41" s="47">
        <f t="shared" si="60"/>
        <v>4158.5939283333337</v>
      </c>
      <c r="CN41" s="47">
        <f t="shared" si="61"/>
        <v>0</v>
      </c>
      <c r="CO41" s="47">
        <f t="shared" si="62"/>
        <v>0</v>
      </c>
      <c r="CP41" s="46"/>
      <c r="CQ41" s="37">
        <f t="shared" si="63"/>
        <v>-1</v>
      </c>
      <c r="CR41" s="144"/>
      <c r="CS41" s="199"/>
      <c r="CT41" s="199"/>
      <c r="CU41" s="199"/>
    </row>
    <row r="42" spans="1:99" s="26" customFormat="1" ht="16" customHeight="1" x14ac:dyDescent="0.2">
      <c r="A42" s="29" t="s">
        <v>66</v>
      </c>
      <c r="B42" s="30">
        <f t="shared" si="64"/>
        <v>660994.80000000016</v>
      </c>
      <c r="C42" s="31">
        <f t="shared" si="64"/>
        <v>579758.53907999978</v>
      </c>
      <c r="D42" s="32">
        <f t="shared" si="64"/>
        <v>81236.260920000015</v>
      </c>
      <c r="E42" s="30">
        <f t="shared" si="66"/>
        <v>220331.59999999998</v>
      </c>
      <c r="F42" s="33">
        <f t="shared" si="66"/>
        <v>193252.84635999997</v>
      </c>
      <c r="G42" s="34">
        <f t="shared" si="66"/>
        <v>27078.753639999995</v>
      </c>
      <c r="H42" s="31">
        <f t="shared" si="65"/>
        <v>24289.049984000012</v>
      </c>
      <c r="I42" s="33">
        <f t="shared" si="65"/>
        <v>193745.51001599999</v>
      </c>
      <c r="J42" s="33">
        <f t="shared" si="65"/>
        <v>218034.56</v>
      </c>
      <c r="K42" s="37">
        <f t="shared" si="2"/>
        <v>-1.042537702263302E-2</v>
      </c>
      <c r="L42" s="36">
        <f>[1]FUNIL!$E42</f>
        <v>55082.899999999994</v>
      </c>
      <c r="M42" s="31">
        <f t="shared" si="15"/>
        <v>48313.211589999992</v>
      </c>
      <c r="N42" s="31">
        <f t="shared" si="16"/>
        <v>6769.6884099999988</v>
      </c>
      <c r="O42" s="31">
        <f t="shared" si="17"/>
        <v>6072.262496000003</v>
      </c>
      <c r="P42" s="31">
        <f t="shared" si="18"/>
        <v>48436.377503999996</v>
      </c>
      <c r="Q42" s="33">
        <v>54508.639999999999</v>
      </c>
      <c r="R42" s="37">
        <f t="shared" si="3"/>
        <v>-1.042537702263302E-2</v>
      </c>
      <c r="S42" s="36">
        <f>[1]FUNIL!$F42</f>
        <v>55082.899999999994</v>
      </c>
      <c r="T42" s="31">
        <f t="shared" si="19"/>
        <v>48313.211589999992</v>
      </c>
      <c r="U42" s="31">
        <f t="shared" si="20"/>
        <v>6769.6884099999988</v>
      </c>
      <c r="V42" s="31">
        <f t="shared" si="21"/>
        <v>6072.262496000003</v>
      </c>
      <c r="W42" s="31">
        <f t="shared" si="22"/>
        <v>48436.377503999996</v>
      </c>
      <c r="X42" s="33">
        <v>54508.639999999999</v>
      </c>
      <c r="Y42" s="37">
        <f t="shared" si="4"/>
        <v>-1.042537702263302E-2</v>
      </c>
      <c r="Z42" s="36">
        <f>[1]FUNIL!$G42</f>
        <v>55082.899999999994</v>
      </c>
      <c r="AA42" s="31">
        <f t="shared" si="23"/>
        <v>48313.211589999992</v>
      </c>
      <c r="AB42" s="31">
        <f t="shared" si="24"/>
        <v>6769.6884099999988</v>
      </c>
      <c r="AC42" s="31">
        <f t="shared" si="25"/>
        <v>6072.262496000003</v>
      </c>
      <c r="AD42" s="31">
        <f t="shared" si="26"/>
        <v>48436.377503999996</v>
      </c>
      <c r="AE42" s="33">
        <v>54508.639999999999</v>
      </c>
      <c r="AF42" s="37">
        <f t="shared" si="5"/>
        <v>-1.042537702263302E-2</v>
      </c>
      <c r="AG42" s="36">
        <f>[1]FUNIL!$H42</f>
        <v>55082.899999999994</v>
      </c>
      <c r="AH42" s="31">
        <f t="shared" si="27"/>
        <v>48313.211589999992</v>
      </c>
      <c r="AI42" s="31">
        <f t="shared" si="28"/>
        <v>6769.6884099999988</v>
      </c>
      <c r="AJ42" s="31">
        <f t="shared" si="29"/>
        <v>6072.262496000003</v>
      </c>
      <c r="AK42" s="31">
        <f t="shared" si="30"/>
        <v>48436.377503999996</v>
      </c>
      <c r="AL42" s="33">
        <f>54508.64</f>
        <v>54508.639999999999</v>
      </c>
      <c r="AM42" s="37">
        <f t="shared" si="6"/>
        <v>-1.042537702263302E-2</v>
      </c>
      <c r="AN42" s="36">
        <f>[1]FUNIL!$I42</f>
        <v>55082.899999999994</v>
      </c>
      <c r="AO42" s="31">
        <f t="shared" si="31"/>
        <v>48313.211589999992</v>
      </c>
      <c r="AP42" s="31">
        <f t="shared" si="32"/>
        <v>6769.6884099999988</v>
      </c>
      <c r="AQ42" s="31">
        <f t="shared" si="33"/>
        <v>0</v>
      </c>
      <c r="AR42" s="31">
        <f t="shared" si="34"/>
        <v>0</v>
      </c>
      <c r="AS42" s="33"/>
      <c r="AT42" s="37">
        <f t="shared" si="7"/>
        <v>-1</v>
      </c>
      <c r="AU42" s="36">
        <f>[1]FUNIL!$J42</f>
        <v>55082.899999999994</v>
      </c>
      <c r="AV42" s="31">
        <f t="shared" si="35"/>
        <v>48313.211589999992</v>
      </c>
      <c r="AW42" s="31">
        <f t="shared" si="36"/>
        <v>6769.6884099999988</v>
      </c>
      <c r="AX42" s="31">
        <f t="shared" si="37"/>
        <v>0</v>
      </c>
      <c r="AY42" s="31">
        <f t="shared" si="38"/>
        <v>0</v>
      </c>
      <c r="AZ42" s="33"/>
      <c r="BA42" s="37">
        <f t="shared" si="8"/>
        <v>-1</v>
      </c>
      <c r="BB42" s="36">
        <f>[1]FUNIL!$K42</f>
        <v>55082.899999999994</v>
      </c>
      <c r="BC42" s="31">
        <f t="shared" si="39"/>
        <v>48313.211589999992</v>
      </c>
      <c r="BD42" s="31">
        <f t="shared" si="40"/>
        <v>6769.6884099999988</v>
      </c>
      <c r="BE42" s="31">
        <f t="shared" si="41"/>
        <v>0</v>
      </c>
      <c r="BF42" s="31">
        <f t="shared" si="42"/>
        <v>0</v>
      </c>
      <c r="BG42" s="33"/>
      <c r="BH42" s="37">
        <f t="shared" si="9"/>
        <v>-1</v>
      </c>
      <c r="BI42" s="36">
        <f>[1]FUNIL!$L42</f>
        <v>55082.899999999994</v>
      </c>
      <c r="BJ42" s="31">
        <f t="shared" si="43"/>
        <v>48313.211589999992</v>
      </c>
      <c r="BK42" s="31">
        <f t="shared" si="44"/>
        <v>6769.6884099999988</v>
      </c>
      <c r="BL42" s="31">
        <f t="shared" si="45"/>
        <v>0</v>
      </c>
      <c r="BM42" s="31">
        <f t="shared" si="46"/>
        <v>0</v>
      </c>
      <c r="BN42" s="33"/>
      <c r="BO42" s="37">
        <f t="shared" si="10"/>
        <v>-1</v>
      </c>
      <c r="BP42" s="36">
        <f>[1]FUNIL!$M42</f>
        <v>55082.899999999994</v>
      </c>
      <c r="BQ42" s="31">
        <f t="shared" si="47"/>
        <v>48313.211589999992</v>
      </c>
      <c r="BR42" s="31">
        <f t="shared" si="48"/>
        <v>6769.6884099999988</v>
      </c>
      <c r="BS42" s="31">
        <f t="shared" si="49"/>
        <v>0</v>
      </c>
      <c r="BT42" s="31">
        <f t="shared" si="50"/>
        <v>0</v>
      </c>
      <c r="BU42" s="33"/>
      <c r="BV42" s="37">
        <f t="shared" si="11"/>
        <v>-1</v>
      </c>
      <c r="BW42" s="36">
        <f>[1]FUNIL!$N42</f>
        <v>55082.899999999994</v>
      </c>
      <c r="BX42" s="31">
        <f t="shared" si="51"/>
        <v>48313.211589999992</v>
      </c>
      <c r="BY42" s="31">
        <f t="shared" si="52"/>
        <v>6769.6884099999988</v>
      </c>
      <c r="BZ42" s="31">
        <f t="shared" si="53"/>
        <v>0</v>
      </c>
      <c r="CA42" s="31">
        <f t="shared" si="54"/>
        <v>0</v>
      </c>
      <c r="CB42" s="33"/>
      <c r="CC42" s="37">
        <f t="shared" si="12"/>
        <v>-1</v>
      </c>
      <c r="CD42" s="36">
        <f>[1]FUNIL!$O42</f>
        <v>55082.899999999994</v>
      </c>
      <c r="CE42" s="31">
        <f t="shared" si="55"/>
        <v>48313.211589999992</v>
      </c>
      <c r="CF42" s="31">
        <f t="shared" si="56"/>
        <v>6769.6884099999988</v>
      </c>
      <c r="CG42" s="31">
        <f t="shared" si="57"/>
        <v>0</v>
      </c>
      <c r="CH42" s="31">
        <f t="shared" si="58"/>
        <v>0</v>
      </c>
      <c r="CI42" s="33"/>
      <c r="CJ42" s="37">
        <f t="shared" si="13"/>
        <v>-1</v>
      </c>
      <c r="CK42" s="36">
        <f>[1]FUNIL!$P42</f>
        <v>55082.899999999994</v>
      </c>
      <c r="CL42" s="31">
        <f t="shared" si="59"/>
        <v>48313.211589999992</v>
      </c>
      <c r="CM42" s="31">
        <f t="shared" si="60"/>
        <v>6769.6884099999988</v>
      </c>
      <c r="CN42" s="31">
        <f t="shared" si="61"/>
        <v>0</v>
      </c>
      <c r="CO42" s="31">
        <f t="shared" si="62"/>
        <v>0</v>
      </c>
      <c r="CP42" s="33"/>
      <c r="CQ42" s="37">
        <f t="shared" si="63"/>
        <v>-1</v>
      </c>
      <c r="CR42" s="144"/>
      <c r="CS42" s="199"/>
      <c r="CT42" s="199"/>
      <c r="CU42" s="199"/>
    </row>
    <row r="43" spans="1:99" s="26" customFormat="1" ht="16" customHeight="1" x14ac:dyDescent="0.2">
      <c r="A43" s="38" t="s">
        <v>67</v>
      </c>
      <c r="B43" s="30">
        <f t="shared" si="64"/>
        <v>65566.339200000031</v>
      </c>
      <c r="C43" s="31">
        <f t="shared" si="64"/>
        <v>57508.236112320003</v>
      </c>
      <c r="D43" s="32">
        <f t="shared" si="64"/>
        <v>8058.1030876800005</v>
      </c>
      <c r="E43" s="30">
        <f t="shared" si="66"/>
        <v>21855.446400000004</v>
      </c>
      <c r="F43" s="33">
        <f t="shared" si="66"/>
        <v>19169.412037440004</v>
      </c>
      <c r="G43" s="34">
        <f t="shared" si="66"/>
        <v>2686.0343625600003</v>
      </c>
      <c r="H43" s="31">
        <f t="shared" si="65"/>
        <v>2724.8620227964757</v>
      </c>
      <c r="I43" s="33">
        <f t="shared" si="65"/>
        <v>21735.299761732022</v>
      </c>
      <c r="J43" s="33">
        <f t="shared" si="65"/>
        <v>24460.161784528496</v>
      </c>
      <c r="K43" s="37">
        <f t="shared" si="2"/>
        <v>0.11917923509118955</v>
      </c>
      <c r="L43" s="36">
        <f>[1]FUNIL!$E43</f>
        <v>5463.8616000000011</v>
      </c>
      <c r="M43" s="31">
        <f t="shared" si="15"/>
        <v>4792.3530093600011</v>
      </c>
      <c r="N43" s="31">
        <f t="shared" si="16"/>
        <v>671.50859064000008</v>
      </c>
      <c r="O43" s="31">
        <f t="shared" si="17"/>
        <v>732.8207298298712</v>
      </c>
      <c r="P43" s="31">
        <f t="shared" si="18"/>
        <v>5845.4623027542466</v>
      </c>
      <c r="Q43" s="33">
        <f>[4]SLP!CS43*'[3]SLP-CITROS'!$V$7</f>
        <v>6578.2830325841178</v>
      </c>
      <c r="R43" s="37">
        <f t="shared" si="3"/>
        <v>0.20396223663207658</v>
      </c>
      <c r="S43" s="36">
        <f>[1]FUNIL!$F43</f>
        <v>5463.8616000000011</v>
      </c>
      <c r="T43" s="31">
        <f t="shared" si="19"/>
        <v>4792.3530093600011</v>
      </c>
      <c r="U43" s="31">
        <f t="shared" si="20"/>
        <v>671.50859064000008</v>
      </c>
      <c r="V43" s="31">
        <f t="shared" si="21"/>
        <v>625.67306661809198</v>
      </c>
      <c r="W43" s="31">
        <f t="shared" si="22"/>
        <v>4990.7817504204359</v>
      </c>
      <c r="X43" s="33">
        <f>[4]SLP!$CT43*'[3]SLP-CITROS'!$V$7</f>
        <v>5616.4548170385278</v>
      </c>
      <c r="Y43" s="37">
        <f t="shared" si="4"/>
        <v>2.7927723688778494E-2</v>
      </c>
      <c r="Z43" s="36">
        <f>[1]FUNIL!$G43</f>
        <v>5463.8616000000011</v>
      </c>
      <c r="AA43" s="31">
        <f t="shared" si="23"/>
        <v>4792.3530093600011</v>
      </c>
      <c r="AB43" s="31">
        <f t="shared" si="24"/>
        <v>671.50859064000008</v>
      </c>
      <c r="AC43" s="31">
        <f t="shared" si="25"/>
        <v>655.29031747124918</v>
      </c>
      <c r="AD43" s="31">
        <f t="shared" si="26"/>
        <v>5227.0285108164444</v>
      </c>
      <c r="AE43" s="33">
        <f>[4]SLP!CU43*'[2]SLP-CITROS'!$V$7</f>
        <v>5882.3188282876936</v>
      </c>
      <c r="AF43" s="37">
        <f t="shared" si="5"/>
        <v>7.658635209348863E-2</v>
      </c>
      <c r="AG43" s="36">
        <f>[1]FUNIL!$H43</f>
        <v>5463.8616000000011</v>
      </c>
      <c r="AH43" s="31">
        <f t="shared" si="27"/>
        <v>4792.3530093600011</v>
      </c>
      <c r="AI43" s="31">
        <f t="shared" si="28"/>
        <v>671.50859064000008</v>
      </c>
      <c r="AJ43" s="31">
        <f t="shared" si="29"/>
        <v>711.07790887726333</v>
      </c>
      <c r="AK43" s="31">
        <f t="shared" si="30"/>
        <v>5672.0271977408929</v>
      </c>
      <c r="AL43" s="33">
        <f>[4]SLP!CV43*'[2]SLP-CITROS'!$V$7</f>
        <v>6383.1051066181562</v>
      </c>
      <c r="AM43" s="37">
        <f t="shared" si="6"/>
        <v>0.16824062795041428</v>
      </c>
      <c r="AN43" s="36">
        <f>[1]FUNIL!$I43</f>
        <v>5463.8616000000011</v>
      </c>
      <c r="AO43" s="31">
        <f t="shared" si="31"/>
        <v>4792.3530093600011</v>
      </c>
      <c r="AP43" s="31">
        <f t="shared" si="32"/>
        <v>671.50859064000008</v>
      </c>
      <c r="AQ43" s="31">
        <f t="shared" si="33"/>
        <v>0</v>
      </c>
      <c r="AR43" s="31">
        <f t="shared" si="34"/>
        <v>0</v>
      </c>
      <c r="AS43" s="33">
        <f>[4]SLP!CW43*0.4</f>
        <v>0</v>
      </c>
      <c r="AT43" s="37">
        <f t="shared" si="7"/>
        <v>-1</v>
      </c>
      <c r="AU43" s="36">
        <f>[1]FUNIL!$J43</f>
        <v>5463.8616000000011</v>
      </c>
      <c r="AV43" s="31">
        <f t="shared" si="35"/>
        <v>4792.3530093600011</v>
      </c>
      <c r="AW43" s="31">
        <f t="shared" si="36"/>
        <v>671.50859064000008</v>
      </c>
      <c r="AX43" s="31">
        <f t="shared" si="37"/>
        <v>0</v>
      </c>
      <c r="AY43" s="31">
        <f t="shared" si="38"/>
        <v>0</v>
      </c>
      <c r="AZ43" s="33">
        <f>[4]SLP!CX43*0.4</f>
        <v>0</v>
      </c>
      <c r="BA43" s="37">
        <f t="shared" si="8"/>
        <v>-1</v>
      </c>
      <c r="BB43" s="36">
        <f>[1]FUNIL!$K43</f>
        <v>5463.8616000000011</v>
      </c>
      <c r="BC43" s="31">
        <f t="shared" si="39"/>
        <v>4792.3530093600011</v>
      </c>
      <c r="BD43" s="31">
        <f t="shared" si="40"/>
        <v>671.50859064000008</v>
      </c>
      <c r="BE43" s="31">
        <f t="shared" si="41"/>
        <v>0</v>
      </c>
      <c r="BF43" s="31">
        <f t="shared" si="42"/>
        <v>0</v>
      </c>
      <c r="BG43" s="33">
        <f>[4]SLP!CY43*0.4</f>
        <v>0</v>
      </c>
      <c r="BH43" s="37">
        <f t="shared" si="9"/>
        <v>-1</v>
      </c>
      <c r="BI43" s="36">
        <f>[1]FUNIL!$L43</f>
        <v>5463.8616000000011</v>
      </c>
      <c r="BJ43" s="31">
        <f t="shared" si="43"/>
        <v>4792.3530093600011</v>
      </c>
      <c r="BK43" s="31">
        <f t="shared" si="44"/>
        <v>671.50859064000008</v>
      </c>
      <c r="BL43" s="31">
        <f t="shared" si="45"/>
        <v>0</v>
      </c>
      <c r="BM43" s="31">
        <f t="shared" si="46"/>
        <v>0</v>
      </c>
      <c r="BN43" s="33">
        <f>[4]SLP!CZ43*0.4</f>
        <v>0</v>
      </c>
      <c r="BO43" s="37">
        <f t="shared" si="10"/>
        <v>-1</v>
      </c>
      <c r="BP43" s="36">
        <f>[1]FUNIL!$M43</f>
        <v>5463.8616000000011</v>
      </c>
      <c r="BQ43" s="31">
        <f t="shared" si="47"/>
        <v>4792.3530093600011</v>
      </c>
      <c r="BR43" s="31">
        <f t="shared" si="48"/>
        <v>671.50859064000008</v>
      </c>
      <c r="BS43" s="31">
        <f t="shared" si="49"/>
        <v>0</v>
      </c>
      <c r="BT43" s="31">
        <f t="shared" si="50"/>
        <v>0</v>
      </c>
      <c r="BU43" s="33">
        <f>[4]SLP!DA43*0.4</f>
        <v>0</v>
      </c>
      <c r="BV43" s="37">
        <f t="shared" si="11"/>
        <v>-1</v>
      </c>
      <c r="BW43" s="36">
        <f>[1]FUNIL!$N43</f>
        <v>5463.8616000000011</v>
      </c>
      <c r="BX43" s="31">
        <f t="shared" si="51"/>
        <v>4792.3530093600011</v>
      </c>
      <c r="BY43" s="31">
        <f t="shared" si="52"/>
        <v>671.50859064000008</v>
      </c>
      <c r="BZ43" s="31">
        <f t="shared" si="53"/>
        <v>0</v>
      </c>
      <c r="CA43" s="31">
        <f t="shared" si="54"/>
        <v>0</v>
      </c>
      <c r="CB43" s="33">
        <f>[4]SLP!DB43*0.4</f>
        <v>0</v>
      </c>
      <c r="CC43" s="37">
        <f t="shared" si="12"/>
        <v>-1</v>
      </c>
      <c r="CD43" s="36">
        <f>[1]FUNIL!$O43</f>
        <v>5463.8616000000011</v>
      </c>
      <c r="CE43" s="31">
        <f t="shared" si="55"/>
        <v>4792.3530093600011</v>
      </c>
      <c r="CF43" s="31">
        <f t="shared" si="56"/>
        <v>671.50859064000008</v>
      </c>
      <c r="CG43" s="31">
        <f t="shared" si="57"/>
        <v>0</v>
      </c>
      <c r="CH43" s="31">
        <f t="shared" si="58"/>
        <v>0</v>
      </c>
      <c r="CI43" s="33">
        <f>[4]SLP!DC43*0.4</f>
        <v>0</v>
      </c>
      <c r="CJ43" s="37">
        <f t="shared" si="13"/>
        <v>-1</v>
      </c>
      <c r="CK43" s="36">
        <f>[1]FUNIL!$P43</f>
        <v>5463.8616000000011</v>
      </c>
      <c r="CL43" s="31">
        <f t="shared" si="59"/>
        <v>4792.3530093600011</v>
      </c>
      <c r="CM43" s="31">
        <f t="shared" si="60"/>
        <v>671.50859064000008</v>
      </c>
      <c r="CN43" s="31">
        <f t="shared" si="61"/>
        <v>0</v>
      </c>
      <c r="CO43" s="31">
        <f t="shared" si="62"/>
        <v>0</v>
      </c>
      <c r="CP43" s="33">
        <f>[4]SLP!DD43*0.4</f>
        <v>0</v>
      </c>
      <c r="CQ43" s="37">
        <f t="shared" si="63"/>
        <v>-1</v>
      </c>
      <c r="CR43" s="144"/>
    </row>
    <row r="44" spans="1:99" s="26" customFormat="1" ht="16" customHeight="1" x14ac:dyDescent="0.2">
      <c r="A44" s="29" t="s">
        <v>68</v>
      </c>
      <c r="B44" s="30">
        <f t="shared" si="64"/>
        <v>0</v>
      </c>
      <c r="C44" s="31">
        <f t="shared" si="64"/>
        <v>0</v>
      </c>
      <c r="D44" s="32">
        <f t="shared" si="64"/>
        <v>0</v>
      </c>
      <c r="E44" s="30">
        <f t="shared" si="66"/>
        <v>0</v>
      </c>
      <c r="F44" s="33">
        <f t="shared" si="66"/>
        <v>0</v>
      </c>
      <c r="G44" s="34">
        <f t="shared" si="66"/>
        <v>0</v>
      </c>
      <c r="H44" s="31">
        <f t="shared" si="65"/>
        <v>0</v>
      </c>
      <c r="I44" s="33">
        <f t="shared" si="65"/>
        <v>0</v>
      </c>
      <c r="J44" s="33">
        <f t="shared" si="65"/>
        <v>0</v>
      </c>
      <c r="K44" s="37" t="str">
        <f t="shared" si="2"/>
        <v/>
      </c>
      <c r="L44" s="36">
        <f>[1]FUNIL!$E44</f>
        <v>0</v>
      </c>
      <c r="M44" s="31">
        <f t="shared" si="15"/>
        <v>0</v>
      </c>
      <c r="N44" s="31">
        <f t="shared" si="16"/>
        <v>0</v>
      </c>
      <c r="O44" s="31">
        <f t="shared" si="17"/>
        <v>0</v>
      </c>
      <c r="P44" s="31">
        <f t="shared" si="18"/>
        <v>0</v>
      </c>
      <c r="Q44" s="33">
        <f>[4]SLP!CS44*'[3]SLP-CITROS'!$V$7</f>
        <v>0</v>
      </c>
      <c r="R44" s="37" t="str">
        <f t="shared" si="3"/>
        <v/>
      </c>
      <c r="S44" s="36">
        <f>[1]FUNIL!$F44</f>
        <v>0</v>
      </c>
      <c r="T44" s="31">
        <f t="shared" si="19"/>
        <v>0</v>
      </c>
      <c r="U44" s="31">
        <f t="shared" si="20"/>
        <v>0</v>
      </c>
      <c r="V44" s="31">
        <f t="shared" si="21"/>
        <v>0</v>
      </c>
      <c r="W44" s="31">
        <f t="shared" si="22"/>
        <v>0</v>
      </c>
      <c r="X44" s="33">
        <f>[4]SLP!$CT44*'[3]SLP-CITROS'!$V$7</f>
        <v>0</v>
      </c>
      <c r="Y44" s="37" t="str">
        <f t="shared" si="4"/>
        <v/>
      </c>
      <c r="Z44" s="36">
        <f>[1]FUNIL!$G44</f>
        <v>0</v>
      </c>
      <c r="AA44" s="31">
        <f t="shared" si="23"/>
        <v>0</v>
      </c>
      <c r="AB44" s="31">
        <f t="shared" si="24"/>
        <v>0</v>
      </c>
      <c r="AC44" s="31">
        <f t="shared" si="25"/>
        <v>0</v>
      </c>
      <c r="AD44" s="31">
        <f t="shared" si="26"/>
        <v>0</v>
      </c>
      <c r="AE44" s="33">
        <f>[4]SLP!CU44*'[2]SLP-CITROS'!$V$7</f>
        <v>0</v>
      </c>
      <c r="AF44" s="37" t="str">
        <f t="shared" si="5"/>
        <v/>
      </c>
      <c r="AG44" s="36">
        <f>[1]FUNIL!$H44</f>
        <v>0</v>
      </c>
      <c r="AH44" s="31">
        <f t="shared" si="27"/>
        <v>0</v>
      </c>
      <c r="AI44" s="31">
        <f t="shared" si="28"/>
        <v>0</v>
      </c>
      <c r="AJ44" s="31">
        <f t="shared" si="29"/>
        <v>0</v>
      </c>
      <c r="AK44" s="31">
        <f t="shared" si="30"/>
        <v>0</v>
      </c>
      <c r="AL44" s="33">
        <f>[4]SLP!CV44*'[2]SLP-CITROS'!$V$7</f>
        <v>0</v>
      </c>
      <c r="AM44" s="37" t="str">
        <f t="shared" si="6"/>
        <v/>
      </c>
      <c r="AN44" s="36">
        <f>[1]FUNIL!$I44</f>
        <v>0</v>
      </c>
      <c r="AO44" s="31">
        <f t="shared" si="31"/>
        <v>0</v>
      </c>
      <c r="AP44" s="31">
        <f t="shared" si="32"/>
        <v>0</v>
      </c>
      <c r="AQ44" s="31">
        <f t="shared" si="33"/>
        <v>0</v>
      </c>
      <c r="AR44" s="31">
        <f t="shared" si="34"/>
        <v>0</v>
      </c>
      <c r="AS44" s="33">
        <f>[4]SLP!CW44*0.4</f>
        <v>0</v>
      </c>
      <c r="AT44" s="37" t="str">
        <f t="shared" si="7"/>
        <v/>
      </c>
      <c r="AU44" s="36">
        <f>[1]FUNIL!$J44</f>
        <v>0</v>
      </c>
      <c r="AV44" s="31">
        <f t="shared" si="35"/>
        <v>0</v>
      </c>
      <c r="AW44" s="31">
        <f t="shared" si="36"/>
        <v>0</v>
      </c>
      <c r="AX44" s="31">
        <f t="shared" si="37"/>
        <v>0</v>
      </c>
      <c r="AY44" s="31">
        <f t="shared" si="38"/>
        <v>0</v>
      </c>
      <c r="AZ44" s="33">
        <f>[4]SLP!CX44*0.4</f>
        <v>0</v>
      </c>
      <c r="BA44" s="37" t="str">
        <f t="shared" si="8"/>
        <v/>
      </c>
      <c r="BB44" s="36">
        <f>[1]FUNIL!$K44</f>
        <v>0</v>
      </c>
      <c r="BC44" s="31">
        <f t="shared" si="39"/>
        <v>0</v>
      </c>
      <c r="BD44" s="31">
        <f t="shared" si="40"/>
        <v>0</v>
      </c>
      <c r="BE44" s="31">
        <f t="shared" si="41"/>
        <v>0</v>
      </c>
      <c r="BF44" s="31">
        <f t="shared" si="42"/>
        <v>0</v>
      </c>
      <c r="BG44" s="33">
        <f>[4]SLP!CY44*0.4</f>
        <v>0</v>
      </c>
      <c r="BH44" s="37" t="str">
        <f t="shared" si="9"/>
        <v/>
      </c>
      <c r="BI44" s="36">
        <f>[1]FUNIL!$L44</f>
        <v>0</v>
      </c>
      <c r="BJ44" s="31">
        <f t="shared" si="43"/>
        <v>0</v>
      </c>
      <c r="BK44" s="31">
        <f t="shared" si="44"/>
        <v>0</v>
      </c>
      <c r="BL44" s="31">
        <f t="shared" si="45"/>
        <v>0</v>
      </c>
      <c r="BM44" s="31">
        <f t="shared" si="46"/>
        <v>0</v>
      </c>
      <c r="BN44" s="33">
        <f>[4]SLP!CZ44*0.4</f>
        <v>0</v>
      </c>
      <c r="BO44" s="37" t="str">
        <f t="shared" si="10"/>
        <v/>
      </c>
      <c r="BP44" s="36">
        <f>[1]FUNIL!$M44</f>
        <v>0</v>
      </c>
      <c r="BQ44" s="31">
        <f t="shared" si="47"/>
        <v>0</v>
      </c>
      <c r="BR44" s="31">
        <f t="shared" si="48"/>
        <v>0</v>
      </c>
      <c r="BS44" s="31">
        <f t="shared" si="49"/>
        <v>0</v>
      </c>
      <c r="BT44" s="31">
        <f t="shared" si="50"/>
        <v>0</v>
      </c>
      <c r="BU44" s="33">
        <f>[4]SLP!DA44*0.4</f>
        <v>0</v>
      </c>
      <c r="BV44" s="37" t="str">
        <f t="shared" si="11"/>
        <v/>
      </c>
      <c r="BW44" s="36">
        <f>[1]FUNIL!$N44</f>
        <v>0</v>
      </c>
      <c r="BX44" s="31">
        <f t="shared" si="51"/>
        <v>0</v>
      </c>
      <c r="BY44" s="31">
        <f t="shared" si="52"/>
        <v>0</v>
      </c>
      <c r="BZ44" s="31">
        <f t="shared" si="53"/>
        <v>0</v>
      </c>
      <c r="CA44" s="31">
        <f t="shared" si="54"/>
        <v>0</v>
      </c>
      <c r="CB44" s="33">
        <f>[4]SLP!DB44*0.4</f>
        <v>0</v>
      </c>
      <c r="CC44" s="37" t="str">
        <f t="shared" si="12"/>
        <v/>
      </c>
      <c r="CD44" s="36">
        <f>[1]FUNIL!$O44</f>
        <v>0</v>
      </c>
      <c r="CE44" s="31">
        <f t="shared" si="55"/>
        <v>0</v>
      </c>
      <c r="CF44" s="31">
        <f t="shared" si="56"/>
        <v>0</v>
      </c>
      <c r="CG44" s="31">
        <f t="shared" si="57"/>
        <v>0</v>
      </c>
      <c r="CH44" s="31">
        <f t="shared" si="58"/>
        <v>0</v>
      </c>
      <c r="CI44" s="33">
        <f>[4]SLP!DC44*0.4</f>
        <v>0</v>
      </c>
      <c r="CJ44" s="37" t="str">
        <f t="shared" si="13"/>
        <v/>
      </c>
      <c r="CK44" s="36">
        <f>[1]FUNIL!$P44</f>
        <v>0</v>
      </c>
      <c r="CL44" s="31">
        <f t="shared" si="59"/>
        <v>0</v>
      </c>
      <c r="CM44" s="31">
        <f t="shared" si="60"/>
        <v>0</v>
      </c>
      <c r="CN44" s="31">
        <f t="shared" si="61"/>
        <v>0</v>
      </c>
      <c r="CO44" s="31">
        <f t="shared" si="62"/>
        <v>0</v>
      </c>
      <c r="CP44" s="33">
        <f>[4]SLP!DD44*0.4</f>
        <v>0</v>
      </c>
      <c r="CQ44" s="37" t="str">
        <f t="shared" si="63"/>
        <v/>
      </c>
      <c r="CR44" s="144"/>
    </row>
    <row r="45" spans="1:99" s="26" customFormat="1" ht="16" customHeight="1" x14ac:dyDescent="0.2">
      <c r="A45" s="39" t="s">
        <v>69</v>
      </c>
      <c r="B45" s="30">
        <f t="shared" si="64"/>
        <v>0</v>
      </c>
      <c r="C45" s="31">
        <f t="shared" si="64"/>
        <v>0</v>
      </c>
      <c r="D45" s="32">
        <f t="shared" si="64"/>
        <v>0</v>
      </c>
      <c r="E45" s="30">
        <f t="shared" si="66"/>
        <v>0</v>
      </c>
      <c r="F45" s="33">
        <f t="shared" si="66"/>
        <v>0</v>
      </c>
      <c r="G45" s="34">
        <f t="shared" si="66"/>
        <v>0</v>
      </c>
      <c r="H45" s="31">
        <f t="shared" si="65"/>
        <v>0</v>
      </c>
      <c r="I45" s="33">
        <f t="shared" si="65"/>
        <v>0</v>
      </c>
      <c r="J45" s="33">
        <f t="shared" si="65"/>
        <v>0</v>
      </c>
      <c r="K45" s="37" t="str">
        <f t="shared" si="2"/>
        <v/>
      </c>
      <c r="L45" s="36">
        <f>[1]FUNIL!$E45</f>
        <v>0</v>
      </c>
      <c r="M45" s="31">
        <f t="shared" si="15"/>
        <v>0</v>
      </c>
      <c r="N45" s="31">
        <f t="shared" si="16"/>
        <v>0</v>
      </c>
      <c r="O45" s="31">
        <f t="shared" si="17"/>
        <v>0</v>
      </c>
      <c r="P45" s="31">
        <f t="shared" si="18"/>
        <v>0</v>
      </c>
      <c r="Q45" s="33">
        <f>[4]SLP!CS45*'[3]SLP-CITROS'!$V$7</f>
        <v>0</v>
      </c>
      <c r="R45" s="37" t="str">
        <f t="shared" si="3"/>
        <v/>
      </c>
      <c r="S45" s="36">
        <f>[1]FUNIL!$F45</f>
        <v>0</v>
      </c>
      <c r="T45" s="31">
        <f t="shared" si="19"/>
        <v>0</v>
      </c>
      <c r="U45" s="31">
        <f t="shared" si="20"/>
        <v>0</v>
      </c>
      <c r="V45" s="31">
        <f t="shared" si="21"/>
        <v>0</v>
      </c>
      <c r="W45" s="31">
        <f t="shared" si="22"/>
        <v>0</v>
      </c>
      <c r="X45" s="33">
        <f>[4]SLP!$CT45*'[3]SLP-CITROS'!$V$7</f>
        <v>0</v>
      </c>
      <c r="Y45" s="37" t="str">
        <f t="shared" si="4"/>
        <v/>
      </c>
      <c r="Z45" s="36">
        <f>[1]FUNIL!$G45</f>
        <v>0</v>
      </c>
      <c r="AA45" s="31">
        <f t="shared" si="23"/>
        <v>0</v>
      </c>
      <c r="AB45" s="31">
        <f t="shared" si="24"/>
        <v>0</v>
      </c>
      <c r="AC45" s="31">
        <f t="shared" si="25"/>
        <v>0</v>
      </c>
      <c r="AD45" s="31">
        <f t="shared" si="26"/>
        <v>0</v>
      </c>
      <c r="AE45" s="33">
        <f>[4]SLP!CU45*'[2]SLP-CITROS'!$V$7</f>
        <v>0</v>
      </c>
      <c r="AF45" s="37" t="str">
        <f t="shared" si="5"/>
        <v/>
      </c>
      <c r="AG45" s="36">
        <f>[1]FUNIL!$H45</f>
        <v>0</v>
      </c>
      <c r="AH45" s="31">
        <f t="shared" si="27"/>
        <v>0</v>
      </c>
      <c r="AI45" s="31">
        <f t="shared" si="28"/>
        <v>0</v>
      </c>
      <c r="AJ45" s="31">
        <f t="shared" si="29"/>
        <v>0</v>
      </c>
      <c r="AK45" s="31">
        <f t="shared" si="30"/>
        <v>0</v>
      </c>
      <c r="AL45" s="33">
        <f>[4]SLP!CV45*'[2]SLP-CITROS'!$V$7</f>
        <v>0</v>
      </c>
      <c r="AM45" s="37" t="str">
        <f t="shared" si="6"/>
        <v/>
      </c>
      <c r="AN45" s="36">
        <f>[1]FUNIL!$I45</f>
        <v>0</v>
      </c>
      <c r="AO45" s="31">
        <f t="shared" si="31"/>
        <v>0</v>
      </c>
      <c r="AP45" s="31">
        <f t="shared" si="32"/>
        <v>0</v>
      </c>
      <c r="AQ45" s="31">
        <f t="shared" si="33"/>
        <v>0</v>
      </c>
      <c r="AR45" s="31">
        <f t="shared" si="34"/>
        <v>0</v>
      </c>
      <c r="AS45" s="33">
        <f>[4]SLP!CW45*0.4</f>
        <v>0</v>
      </c>
      <c r="AT45" s="37" t="str">
        <f t="shared" si="7"/>
        <v/>
      </c>
      <c r="AU45" s="36">
        <f>[1]FUNIL!$J45</f>
        <v>0</v>
      </c>
      <c r="AV45" s="31">
        <f t="shared" si="35"/>
        <v>0</v>
      </c>
      <c r="AW45" s="31">
        <f t="shared" si="36"/>
        <v>0</v>
      </c>
      <c r="AX45" s="31">
        <f t="shared" si="37"/>
        <v>0</v>
      </c>
      <c r="AY45" s="31">
        <f t="shared" si="38"/>
        <v>0</v>
      </c>
      <c r="AZ45" s="33">
        <f>[4]SLP!CX45*0.4</f>
        <v>0</v>
      </c>
      <c r="BA45" s="37" t="str">
        <f t="shared" si="8"/>
        <v/>
      </c>
      <c r="BB45" s="36">
        <f>[1]FUNIL!$K45</f>
        <v>0</v>
      </c>
      <c r="BC45" s="31">
        <f t="shared" si="39"/>
        <v>0</v>
      </c>
      <c r="BD45" s="31">
        <f t="shared" si="40"/>
        <v>0</v>
      </c>
      <c r="BE45" s="31">
        <f t="shared" si="41"/>
        <v>0</v>
      </c>
      <c r="BF45" s="31">
        <f t="shared" si="42"/>
        <v>0</v>
      </c>
      <c r="BG45" s="33">
        <f>[4]SLP!CY45*0.4</f>
        <v>0</v>
      </c>
      <c r="BH45" s="37" t="str">
        <f t="shared" si="9"/>
        <v/>
      </c>
      <c r="BI45" s="36">
        <f>[1]FUNIL!$L45</f>
        <v>0</v>
      </c>
      <c r="BJ45" s="31">
        <f t="shared" si="43"/>
        <v>0</v>
      </c>
      <c r="BK45" s="31">
        <f t="shared" si="44"/>
        <v>0</v>
      </c>
      <c r="BL45" s="31">
        <f t="shared" si="45"/>
        <v>0</v>
      </c>
      <c r="BM45" s="31">
        <f t="shared" si="46"/>
        <v>0</v>
      </c>
      <c r="BN45" s="33">
        <f>[4]SLP!CZ45*0.4</f>
        <v>0</v>
      </c>
      <c r="BO45" s="37" t="str">
        <f t="shared" si="10"/>
        <v/>
      </c>
      <c r="BP45" s="36">
        <f>[1]FUNIL!$M45</f>
        <v>0</v>
      </c>
      <c r="BQ45" s="31">
        <f t="shared" si="47"/>
        <v>0</v>
      </c>
      <c r="BR45" s="31">
        <f t="shared" si="48"/>
        <v>0</v>
      </c>
      <c r="BS45" s="31">
        <f t="shared" si="49"/>
        <v>0</v>
      </c>
      <c r="BT45" s="31">
        <f t="shared" si="50"/>
        <v>0</v>
      </c>
      <c r="BU45" s="33">
        <f>[4]SLP!DA45*0.4</f>
        <v>0</v>
      </c>
      <c r="BV45" s="37" t="str">
        <f t="shared" si="11"/>
        <v/>
      </c>
      <c r="BW45" s="36">
        <f>[1]FUNIL!$N45</f>
        <v>0</v>
      </c>
      <c r="BX45" s="31">
        <f t="shared" si="51"/>
        <v>0</v>
      </c>
      <c r="BY45" s="31">
        <f t="shared" si="52"/>
        <v>0</v>
      </c>
      <c r="BZ45" s="31">
        <f t="shared" si="53"/>
        <v>0</v>
      </c>
      <c r="CA45" s="31">
        <f t="shared" si="54"/>
        <v>0</v>
      </c>
      <c r="CB45" s="33">
        <f>[4]SLP!DB45*0.4</f>
        <v>0</v>
      </c>
      <c r="CC45" s="37" t="str">
        <f t="shared" si="12"/>
        <v/>
      </c>
      <c r="CD45" s="36">
        <f>[1]FUNIL!$O45</f>
        <v>0</v>
      </c>
      <c r="CE45" s="31">
        <f t="shared" si="55"/>
        <v>0</v>
      </c>
      <c r="CF45" s="31">
        <f t="shared" si="56"/>
        <v>0</v>
      </c>
      <c r="CG45" s="31">
        <f t="shared" si="57"/>
        <v>0</v>
      </c>
      <c r="CH45" s="31">
        <f t="shared" si="58"/>
        <v>0</v>
      </c>
      <c r="CI45" s="33">
        <f>[4]SLP!DC45*0.4</f>
        <v>0</v>
      </c>
      <c r="CJ45" s="37" t="str">
        <f t="shared" si="13"/>
        <v/>
      </c>
      <c r="CK45" s="36">
        <f>[1]FUNIL!$P45</f>
        <v>0</v>
      </c>
      <c r="CL45" s="31">
        <f t="shared" si="59"/>
        <v>0</v>
      </c>
      <c r="CM45" s="31">
        <f t="shared" si="60"/>
        <v>0</v>
      </c>
      <c r="CN45" s="31">
        <f t="shared" si="61"/>
        <v>0</v>
      </c>
      <c r="CO45" s="31">
        <f t="shared" si="62"/>
        <v>0</v>
      </c>
      <c r="CP45" s="33">
        <f>[4]SLP!DD45*0.4</f>
        <v>0</v>
      </c>
      <c r="CQ45" s="37" t="str">
        <f t="shared" si="63"/>
        <v/>
      </c>
      <c r="CR45" s="144"/>
    </row>
    <row r="46" spans="1:99" s="26" customFormat="1" ht="16" customHeight="1" x14ac:dyDescent="0.2">
      <c r="A46" s="38" t="s">
        <v>70</v>
      </c>
      <c r="B46" s="30">
        <f t="shared" si="64"/>
        <v>0</v>
      </c>
      <c r="C46" s="31">
        <f t="shared" si="64"/>
        <v>0</v>
      </c>
      <c r="D46" s="32">
        <f t="shared" si="64"/>
        <v>0</v>
      </c>
      <c r="E46" s="30">
        <f t="shared" si="66"/>
        <v>0</v>
      </c>
      <c r="F46" s="33">
        <f t="shared" si="66"/>
        <v>0</v>
      </c>
      <c r="G46" s="34">
        <f t="shared" si="66"/>
        <v>0</v>
      </c>
      <c r="H46" s="31">
        <f t="shared" si="65"/>
        <v>0</v>
      </c>
      <c r="I46" s="33">
        <f t="shared" si="65"/>
        <v>0</v>
      </c>
      <c r="J46" s="33">
        <f t="shared" si="65"/>
        <v>0</v>
      </c>
      <c r="K46" s="37" t="str">
        <f t="shared" si="2"/>
        <v/>
      </c>
      <c r="L46" s="36">
        <f>[1]FUNIL!$E46</f>
        <v>0</v>
      </c>
      <c r="M46" s="31">
        <f t="shared" si="15"/>
        <v>0</v>
      </c>
      <c r="N46" s="31">
        <f t="shared" si="16"/>
        <v>0</v>
      </c>
      <c r="O46" s="31">
        <f t="shared" si="17"/>
        <v>0</v>
      </c>
      <c r="P46" s="31">
        <f t="shared" si="18"/>
        <v>0</v>
      </c>
      <c r="Q46" s="33">
        <f>[4]SLP!CS46*'[3]SLP-CITROS'!$V$7</f>
        <v>0</v>
      </c>
      <c r="R46" s="37" t="str">
        <f t="shared" si="3"/>
        <v/>
      </c>
      <c r="S46" s="36">
        <f>[1]FUNIL!$F46</f>
        <v>0</v>
      </c>
      <c r="T46" s="31">
        <f t="shared" si="19"/>
        <v>0</v>
      </c>
      <c r="U46" s="31">
        <f t="shared" si="20"/>
        <v>0</v>
      </c>
      <c r="V46" s="31">
        <f t="shared" si="21"/>
        <v>0</v>
      </c>
      <c r="W46" s="31">
        <f t="shared" si="22"/>
        <v>0</v>
      </c>
      <c r="X46" s="33">
        <f>[4]SLP!$CT46*'[3]SLP-CITROS'!$V$7</f>
        <v>0</v>
      </c>
      <c r="Y46" s="37" t="str">
        <f t="shared" si="4"/>
        <v/>
      </c>
      <c r="Z46" s="36">
        <f>[1]FUNIL!$G46</f>
        <v>0</v>
      </c>
      <c r="AA46" s="31">
        <f t="shared" si="23"/>
        <v>0</v>
      </c>
      <c r="AB46" s="31">
        <f t="shared" si="24"/>
        <v>0</v>
      </c>
      <c r="AC46" s="31">
        <f t="shared" si="25"/>
        <v>0</v>
      </c>
      <c r="AD46" s="31">
        <f t="shared" si="26"/>
        <v>0</v>
      </c>
      <c r="AE46" s="33">
        <f>[4]SLP!CU46*'[2]SLP-CITROS'!$V$7</f>
        <v>0</v>
      </c>
      <c r="AF46" s="37" t="str">
        <f t="shared" si="5"/>
        <v/>
      </c>
      <c r="AG46" s="36">
        <f>[1]FUNIL!$H46</f>
        <v>0</v>
      </c>
      <c r="AH46" s="31">
        <f t="shared" si="27"/>
        <v>0</v>
      </c>
      <c r="AI46" s="31">
        <f t="shared" si="28"/>
        <v>0</v>
      </c>
      <c r="AJ46" s="31">
        <f t="shared" si="29"/>
        <v>0</v>
      </c>
      <c r="AK46" s="31">
        <f t="shared" si="30"/>
        <v>0</v>
      </c>
      <c r="AL46" s="33">
        <f>[4]SLP!CV46*'[2]SLP-CITROS'!$V$7</f>
        <v>0</v>
      </c>
      <c r="AM46" s="37" t="str">
        <f t="shared" si="6"/>
        <v/>
      </c>
      <c r="AN46" s="36">
        <f>[1]FUNIL!$I46</f>
        <v>0</v>
      </c>
      <c r="AO46" s="31">
        <f t="shared" si="31"/>
        <v>0</v>
      </c>
      <c r="AP46" s="31">
        <f t="shared" si="32"/>
        <v>0</v>
      </c>
      <c r="AQ46" s="31">
        <f t="shared" si="33"/>
        <v>0</v>
      </c>
      <c r="AR46" s="31">
        <f t="shared" si="34"/>
        <v>0</v>
      </c>
      <c r="AS46" s="33">
        <f>[4]SLP!CW46*0.4</f>
        <v>0</v>
      </c>
      <c r="AT46" s="37" t="str">
        <f t="shared" si="7"/>
        <v/>
      </c>
      <c r="AU46" s="36">
        <f>[1]FUNIL!$J46</f>
        <v>0</v>
      </c>
      <c r="AV46" s="31">
        <f t="shared" si="35"/>
        <v>0</v>
      </c>
      <c r="AW46" s="31">
        <f t="shared" si="36"/>
        <v>0</v>
      </c>
      <c r="AX46" s="31">
        <f t="shared" si="37"/>
        <v>0</v>
      </c>
      <c r="AY46" s="31">
        <f t="shared" si="38"/>
        <v>0</v>
      </c>
      <c r="AZ46" s="33">
        <f>[4]SLP!CX46*0.4</f>
        <v>0</v>
      </c>
      <c r="BA46" s="37" t="str">
        <f t="shared" si="8"/>
        <v/>
      </c>
      <c r="BB46" s="36">
        <f>[1]FUNIL!$K46</f>
        <v>0</v>
      </c>
      <c r="BC46" s="31">
        <f t="shared" si="39"/>
        <v>0</v>
      </c>
      <c r="BD46" s="31">
        <f t="shared" si="40"/>
        <v>0</v>
      </c>
      <c r="BE46" s="31">
        <f t="shared" si="41"/>
        <v>0</v>
      </c>
      <c r="BF46" s="31">
        <f t="shared" si="42"/>
        <v>0</v>
      </c>
      <c r="BG46" s="33">
        <f>[4]SLP!CY46*0.4</f>
        <v>0</v>
      </c>
      <c r="BH46" s="37" t="str">
        <f t="shared" si="9"/>
        <v/>
      </c>
      <c r="BI46" s="36">
        <f>[1]FUNIL!$L46</f>
        <v>0</v>
      </c>
      <c r="BJ46" s="31">
        <f t="shared" si="43"/>
        <v>0</v>
      </c>
      <c r="BK46" s="31">
        <f t="shared" si="44"/>
        <v>0</v>
      </c>
      <c r="BL46" s="31">
        <f t="shared" si="45"/>
        <v>0</v>
      </c>
      <c r="BM46" s="31">
        <f t="shared" si="46"/>
        <v>0</v>
      </c>
      <c r="BN46" s="33">
        <f>[4]SLP!CZ46*0.4</f>
        <v>0</v>
      </c>
      <c r="BO46" s="37" t="str">
        <f t="shared" si="10"/>
        <v/>
      </c>
      <c r="BP46" s="36">
        <f>[1]FUNIL!$M46</f>
        <v>0</v>
      </c>
      <c r="BQ46" s="31">
        <f t="shared" si="47"/>
        <v>0</v>
      </c>
      <c r="BR46" s="31">
        <f t="shared" si="48"/>
        <v>0</v>
      </c>
      <c r="BS46" s="31">
        <f t="shared" si="49"/>
        <v>0</v>
      </c>
      <c r="BT46" s="31">
        <f t="shared" si="50"/>
        <v>0</v>
      </c>
      <c r="BU46" s="33">
        <f>[4]SLP!DA46*0.4</f>
        <v>0</v>
      </c>
      <c r="BV46" s="37" t="str">
        <f t="shared" si="11"/>
        <v/>
      </c>
      <c r="BW46" s="36">
        <f>[1]FUNIL!$N46</f>
        <v>0</v>
      </c>
      <c r="BX46" s="31">
        <f t="shared" si="51"/>
        <v>0</v>
      </c>
      <c r="BY46" s="31">
        <f t="shared" si="52"/>
        <v>0</v>
      </c>
      <c r="BZ46" s="31">
        <f t="shared" si="53"/>
        <v>0</v>
      </c>
      <c r="CA46" s="31">
        <f t="shared" si="54"/>
        <v>0</v>
      </c>
      <c r="CB46" s="33">
        <f>[4]SLP!DB46*0.4</f>
        <v>0</v>
      </c>
      <c r="CC46" s="37" t="str">
        <f t="shared" si="12"/>
        <v/>
      </c>
      <c r="CD46" s="36">
        <f>[1]FUNIL!$O46</f>
        <v>0</v>
      </c>
      <c r="CE46" s="31">
        <f t="shared" si="55"/>
        <v>0</v>
      </c>
      <c r="CF46" s="31">
        <f t="shared" si="56"/>
        <v>0</v>
      </c>
      <c r="CG46" s="31">
        <f t="shared" si="57"/>
        <v>0</v>
      </c>
      <c r="CH46" s="31">
        <f t="shared" si="58"/>
        <v>0</v>
      </c>
      <c r="CI46" s="33">
        <f>[4]SLP!DC46*0.4</f>
        <v>0</v>
      </c>
      <c r="CJ46" s="37" t="str">
        <f t="shared" si="13"/>
        <v/>
      </c>
      <c r="CK46" s="36">
        <f>[1]FUNIL!$P46</f>
        <v>0</v>
      </c>
      <c r="CL46" s="31">
        <f t="shared" si="59"/>
        <v>0</v>
      </c>
      <c r="CM46" s="31">
        <f t="shared" si="60"/>
        <v>0</v>
      </c>
      <c r="CN46" s="31">
        <f t="shared" si="61"/>
        <v>0</v>
      </c>
      <c r="CO46" s="31">
        <f t="shared" si="62"/>
        <v>0</v>
      </c>
      <c r="CP46" s="33">
        <f>[4]SLP!DD46*0.4</f>
        <v>0</v>
      </c>
      <c r="CQ46" s="37" t="str">
        <f t="shared" si="63"/>
        <v/>
      </c>
      <c r="CR46" s="144"/>
    </row>
    <row r="47" spans="1:99" s="26" customFormat="1" ht="16" customHeight="1" x14ac:dyDescent="0.2">
      <c r="A47" s="29" t="s">
        <v>71</v>
      </c>
      <c r="B47" s="30">
        <f t="shared" si="64"/>
        <v>0</v>
      </c>
      <c r="C47" s="31">
        <f t="shared" si="64"/>
        <v>0</v>
      </c>
      <c r="D47" s="32">
        <f t="shared" si="64"/>
        <v>0</v>
      </c>
      <c r="E47" s="30">
        <f t="shared" si="66"/>
        <v>0</v>
      </c>
      <c r="F47" s="33">
        <f t="shared" si="66"/>
        <v>0</v>
      </c>
      <c r="G47" s="34">
        <f t="shared" si="66"/>
        <v>0</v>
      </c>
      <c r="H47" s="31">
        <f t="shared" si="65"/>
        <v>0</v>
      </c>
      <c r="I47" s="33">
        <f t="shared" si="65"/>
        <v>0</v>
      </c>
      <c r="J47" s="33">
        <f t="shared" si="65"/>
        <v>0</v>
      </c>
      <c r="K47" s="37" t="str">
        <f t="shared" si="2"/>
        <v/>
      </c>
      <c r="L47" s="36">
        <f>[1]FUNIL!$E47</f>
        <v>0</v>
      </c>
      <c r="M47" s="31">
        <f t="shared" si="15"/>
        <v>0</v>
      </c>
      <c r="N47" s="31">
        <f t="shared" si="16"/>
        <v>0</v>
      </c>
      <c r="O47" s="31">
        <f t="shared" si="17"/>
        <v>0</v>
      </c>
      <c r="P47" s="31">
        <f t="shared" si="18"/>
        <v>0</v>
      </c>
      <c r="Q47" s="33">
        <f>[4]SLP!CS47*'[3]SLP-CITROS'!$V$7</f>
        <v>0</v>
      </c>
      <c r="R47" s="37" t="str">
        <f t="shared" si="3"/>
        <v/>
      </c>
      <c r="S47" s="36">
        <f>[1]FUNIL!$F47</f>
        <v>0</v>
      </c>
      <c r="T47" s="31">
        <f t="shared" si="19"/>
        <v>0</v>
      </c>
      <c r="U47" s="31">
        <f t="shared" si="20"/>
        <v>0</v>
      </c>
      <c r="V47" s="31">
        <f t="shared" si="21"/>
        <v>0</v>
      </c>
      <c r="W47" s="31">
        <f t="shared" si="22"/>
        <v>0</v>
      </c>
      <c r="X47" s="33">
        <f>[4]SLP!$CT47*'[3]SLP-CITROS'!$V$7</f>
        <v>0</v>
      </c>
      <c r="Y47" s="37" t="str">
        <f t="shared" si="4"/>
        <v/>
      </c>
      <c r="Z47" s="36">
        <f>[1]FUNIL!$G47</f>
        <v>0</v>
      </c>
      <c r="AA47" s="31">
        <f t="shared" si="23"/>
        <v>0</v>
      </c>
      <c r="AB47" s="31">
        <f t="shared" si="24"/>
        <v>0</v>
      </c>
      <c r="AC47" s="31">
        <f t="shared" si="25"/>
        <v>0</v>
      </c>
      <c r="AD47" s="31">
        <f t="shared" si="26"/>
        <v>0</v>
      </c>
      <c r="AE47" s="33">
        <f>[4]SLP!CU47*'[2]SLP-CITROS'!$V$7</f>
        <v>0</v>
      </c>
      <c r="AF47" s="37" t="str">
        <f t="shared" si="5"/>
        <v/>
      </c>
      <c r="AG47" s="36">
        <f>[1]FUNIL!$H47</f>
        <v>0</v>
      </c>
      <c r="AH47" s="31">
        <f t="shared" si="27"/>
        <v>0</v>
      </c>
      <c r="AI47" s="31">
        <f t="shared" si="28"/>
        <v>0</v>
      </c>
      <c r="AJ47" s="31">
        <f t="shared" si="29"/>
        <v>0</v>
      </c>
      <c r="AK47" s="31">
        <f t="shared" si="30"/>
        <v>0</v>
      </c>
      <c r="AL47" s="33">
        <f>[4]SLP!CV47*'[2]SLP-CITROS'!$V$7</f>
        <v>0</v>
      </c>
      <c r="AM47" s="37" t="str">
        <f t="shared" si="6"/>
        <v/>
      </c>
      <c r="AN47" s="36">
        <f>[1]FUNIL!$I47</f>
        <v>0</v>
      </c>
      <c r="AO47" s="31">
        <f t="shared" si="31"/>
        <v>0</v>
      </c>
      <c r="AP47" s="31">
        <f t="shared" si="32"/>
        <v>0</v>
      </c>
      <c r="AQ47" s="31">
        <f t="shared" si="33"/>
        <v>0</v>
      </c>
      <c r="AR47" s="31">
        <f t="shared" si="34"/>
        <v>0</v>
      </c>
      <c r="AS47" s="33">
        <f>[4]SLP!CW47*0.4</f>
        <v>0</v>
      </c>
      <c r="AT47" s="37" t="str">
        <f t="shared" si="7"/>
        <v/>
      </c>
      <c r="AU47" s="36">
        <f>[1]FUNIL!$J47</f>
        <v>0</v>
      </c>
      <c r="AV47" s="31">
        <f t="shared" si="35"/>
        <v>0</v>
      </c>
      <c r="AW47" s="31">
        <f t="shared" si="36"/>
        <v>0</v>
      </c>
      <c r="AX47" s="31">
        <f t="shared" si="37"/>
        <v>0</v>
      </c>
      <c r="AY47" s="31">
        <f t="shared" si="38"/>
        <v>0</v>
      </c>
      <c r="AZ47" s="33">
        <f>[4]SLP!CX47*0.4</f>
        <v>0</v>
      </c>
      <c r="BA47" s="37" t="str">
        <f t="shared" si="8"/>
        <v/>
      </c>
      <c r="BB47" s="36">
        <f>[1]FUNIL!$K47</f>
        <v>0</v>
      </c>
      <c r="BC47" s="31">
        <f t="shared" si="39"/>
        <v>0</v>
      </c>
      <c r="BD47" s="31">
        <f t="shared" si="40"/>
        <v>0</v>
      </c>
      <c r="BE47" s="31">
        <f t="shared" si="41"/>
        <v>0</v>
      </c>
      <c r="BF47" s="31">
        <f t="shared" si="42"/>
        <v>0</v>
      </c>
      <c r="BG47" s="33">
        <f>[4]SLP!CY47*0.4</f>
        <v>0</v>
      </c>
      <c r="BH47" s="37" t="str">
        <f t="shared" si="9"/>
        <v/>
      </c>
      <c r="BI47" s="36">
        <f>[1]FUNIL!$L47</f>
        <v>0</v>
      </c>
      <c r="BJ47" s="31">
        <f t="shared" si="43"/>
        <v>0</v>
      </c>
      <c r="BK47" s="31">
        <f t="shared" si="44"/>
        <v>0</v>
      </c>
      <c r="BL47" s="31">
        <f t="shared" si="45"/>
        <v>0</v>
      </c>
      <c r="BM47" s="31">
        <f t="shared" si="46"/>
        <v>0</v>
      </c>
      <c r="BN47" s="33">
        <f>[4]SLP!CZ47*0.4</f>
        <v>0</v>
      </c>
      <c r="BO47" s="37" t="str">
        <f t="shared" si="10"/>
        <v/>
      </c>
      <c r="BP47" s="36">
        <f>[1]FUNIL!$M47</f>
        <v>0</v>
      </c>
      <c r="BQ47" s="31">
        <f t="shared" si="47"/>
        <v>0</v>
      </c>
      <c r="BR47" s="31">
        <f t="shared" si="48"/>
        <v>0</v>
      </c>
      <c r="BS47" s="31">
        <f t="shared" si="49"/>
        <v>0</v>
      </c>
      <c r="BT47" s="31">
        <f t="shared" si="50"/>
        <v>0</v>
      </c>
      <c r="BU47" s="33">
        <f>[4]SLP!DA47*0.4</f>
        <v>0</v>
      </c>
      <c r="BV47" s="37" t="str">
        <f t="shared" si="11"/>
        <v/>
      </c>
      <c r="BW47" s="36">
        <f>[1]FUNIL!$N47</f>
        <v>0</v>
      </c>
      <c r="BX47" s="31">
        <f t="shared" si="51"/>
        <v>0</v>
      </c>
      <c r="BY47" s="31">
        <f t="shared" si="52"/>
        <v>0</v>
      </c>
      <c r="BZ47" s="31">
        <f t="shared" si="53"/>
        <v>0</v>
      </c>
      <c r="CA47" s="31">
        <f t="shared" si="54"/>
        <v>0</v>
      </c>
      <c r="CB47" s="33">
        <f>[4]SLP!DB47*0.4</f>
        <v>0</v>
      </c>
      <c r="CC47" s="37" t="str">
        <f t="shared" si="12"/>
        <v/>
      </c>
      <c r="CD47" s="36">
        <f>[1]FUNIL!$O47</f>
        <v>0</v>
      </c>
      <c r="CE47" s="31">
        <f t="shared" si="55"/>
        <v>0</v>
      </c>
      <c r="CF47" s="31">
        <f t="shared" si="56"/>
        <v>0</v>
      </c>
      <c r="CG47" s="31">
        <f t="shared" si="57"/>
        <v>0</v>
      </c>
      <c r="CH47" s="31">
        <f t="shared" si="58"/>
        <v>0</v>
      </c>
      <c r="CI47" s="33">
        <f>[4]SLP!DC47*0.4</f>
        <v>0</v>
      </c>
      <c r="CJ47" s="37" t="str">
        <f t="shared" si="13"/>
        <v/>
      </c>
      <c r="CK47" s="36">
        <f>[1]FUNIL!$P47</f>
        <v>0</v>
      </c>
      <c r="CL47" s="31">
        <f t="shared" si="59"/>
        <v>0</v>
      </c>
      <c r="CM47" s="31">
        <f t="shared" si="60"/>
        <v>0</v>
      </c>
      <c r="CN47" s="31">
        <f t="shared" si="61"/>
        <v>0</v>
      </c>
      <c r="CO47" s="31">
        <f t="shared" si="62"/>
        <v>0</v>
      </c>
      <c r="CP47" s="33">
        <f>[4]SLP!DD47*0.4</f>
        <v>0</v>
      </c>
      <c r="CQ47" s="37" t="str">
        <f t="shared" si="63"/>
        <v/>
      </c>
      <c r="CR47" s="144"/>
    </row>
    <row r="48" spans="1:99" s="26" customFormat="1" ht="16" customHeight="1" x14ac:dyDescent="0.2">
      <c r="A48" s="38" t="s">
        <v>72</v>
      </c>
      <c r="B48" s="30">
        <f t="shared" si="64"/>
        <v>47380.000000000007</v>
      </c>
      <c r="C48" s="31">
        <f t="shared" si="64"/>
        <v>41556.997999999992</v>
      </c>
      <c r="D48" s="32">
        <f t="shared" si="64"/>
        <v>5823.0019999999995</v>
      </c>
      <c r="E48" s="30">
        <f t="shared" si="66"/>
        <v>15793.333333333334</v>
      </c>
      <c r="F48" s="33">
        <f t="shared" si="66"/>
        <v>13852.332666666667</v>
      </c>
      <c r="G48" s="34">
        <f t="shared" si="66"/>
        <v>1941.0006666666666</v>
      </c>
      <c r="H48" s="31">
        <f t="shared" si="65"/>
        <v>1192.0599094031782</v>
      </c>
      <c r="I48" s="33">
        <f t="shared" si="65"/>
        <v>9508.6574101944643</v>
      </c>
      <c r="J48" s="33">
        <f t="shared" si="65"/>
        <v>10700.717319597643</v>
      </c>
      <c r="K48" s="37">
        <f t="shared" si="2"/>
        <v>-0.32245352556367823</v>
      </c>
      <c r="L48" s="36">
        <f>[1]FUNIL!$E48</f>
        <v>3948.3333333333335</v>
      </c>
      <c r="M48" s="31">
        <f t="shared" si="15"/>
        <v>3463.0831666666668</v>
      </c>
      <c r="N48" s="31">
        <f t="shared" si="16"/>
        <v>485.25016666666664</v>
      </c>
      <c r="O48" s="31">
        <f t="shared" si="17"/>
        <v>445.17181666652186</v>
      </c>
      <c r="P48" s="31">
        <f t="shared" si="18"/>
        <v>3550.9845268390582</v>
      </c>
      <c r="Q48" s="33">
        <f>[4]SLP!CS48*'[3]SLP-CITROS'!$V$7</f>
        <v>3996.15634350558</v>
      </c>
      <c r="R48" s="37">
        <f t="shared" si="3"/>
        <v>1.211220181652517E-2</v>
      </c>
      <c r="S48" s="36">
        <f>[1]FUNIL!$F48</f>
        <v>3948.3333333333335</v>
      </c>
      <c r="T48" s="31">
        <f t="shared" si="19"/>
        <v>3463.0831666666668</v>
      </c>
      <c r="U48" s="31">
        <f t="shared" si="20"/>
        <v>485.25016666666664</v>
      </c>
      <c r="V48" s="31">
        <f t="shared" si="21"/>
        <v>102.27258888259848</v>
      </c>
      <c r="W48" s="31">
        <f t="shared" si="22"/>
        <v>815.79373860930855</v>
      </c>
      <c r="X48" s="33">
        <f>[4]SLP!$CT48*'[3]SLP-CITROS'!$V$7</f>
        <v>918.06632749190703</v>
      </c>
      <c r="Y48" s="37">
        <f t="shared" si="4"/>
        <v>-0.76748003524898933</v>
      </c>
      <c r="Z48" s="36">
        <f>[1]FUNIL!$G48</f>
        <v>3948.3333333333335</v>
      </c>
      <c r="AA48" s="31">
        <f t="shared" si="23"/>
        <v>3463.0831666666668</v>
      </c>
      <c r="AB48" s="31">
        <f t="shared" si="24"/>
        <v>485.25016666666664</v>
      </c>
      <c r="AC48" s="31">
        <f t="shared" si="25"/>
        <v>77.723050891711523</v>
      </c>
      <c r="AD48" s="31">
        <f t="shared" si="26"/>
        <v>619.97040415058234</v>
      </c>
      <c r="AE48" s="33">
        <f>[4]SLP!CU48*'[2]SLP-CITROS'!$V$7</f>
        <v>697.69345504229386</v>
      </c>
      <c r="AF48" s="37">
        <f t="shared" si="5"/>
        <v>-0.82329418614378369</v>
      </c>
      <c r="AG48" s="36">
        <f>[1]FUNIL!$H48</f>
        <v>3948.3333333333335</v>
      </c>
      <c r="AH48" s="31">
        <f t="shared" si="27"/>
        <v>3463.0831666666668</v>
      </c>
      <c r="AI48" s="31">
        <f t="shared" si="28"/>
        <v>485.25016666666664</v>
      </c>
      <c r="AJ48" s="31">
        <f t="shared" si="29"/>
        <v>566.8924529623464</v>
      </c>
      <c r="AK48" s="31">
        <f t="shared" si="30"/>
        <v>4521.9087405955142</v>
      </c>
      <c r="AL48" s="33">
        <f>[4]SLP!CV48*'[2]SLP-CITROS'!$V$7</f>
        <v>5088.8011935578606</v>
      </c>
      <c r="AM48" s="37">
        <f t="shared" si="6"/>
        <v>0.28884791732153503</v>
      </c>
      <c r="AN48" s="36">
        <f>[1]FUNIL!$I48</f>
        <v>3948.3333333333335</v>
      </c>
      <c r="AO48" s="31">
        <f t="shared" si="31"/>
        <v>3463.0831666666668</v>
      </c>
      <c r="AP48" s="31">
        <f t="shared" si="32"/>
        <v>485.25016666666664</v>
      </c>
      <c r="AQ48" s="31">
        <f t="shared" si="33"/>
        <v>0</v>
      </c>
      <c r="AR48" s="31">
        <f t="shared" si="34"/>
        <v>0</v>
      </c>
      <c r="AS48" s="33">
        <f>[4]SLP!CW48*0.4</f>
        <v>0</v>
      </c>
      <c r="AT48" s="37">
        <f t="shared" si="7"/>
        <v>-1</v>
      </c>
      <c r="AU48" s="36">
        <f>[1]FUNIL!$J48</f>
        <v>3948.3333333333335</v>
      </c>
      <c r="AV48" s="31">
        <f t="shared" si="35"/>
        <v>3463.0831666666668</v>
      </c>
      <c r="AW48" s="31">
        <f t="shared" si="36"/>
        <v>485.25016666666664</v>
      </c>
      <c r="AX48" s="31">
        <f t="shared" si="37"/>
        <v>0</v>
      </c>
      <c r="AY48" s="31">
        <f t="shared" si="38"/>
        <v>0</v>
      </c>
      <c r="AZ48" s="33">
        <f>[4]SLP!CX48*0.4</f>
        <v>0</v>
      </c>
      <c r="BA48" s="37">
        <f t="shared" si="8"/>
        <v>-1</v>
      </c>
      <c r="BB48" s="36">
        <f>[1]FUNIL!$K48</f>
        <v>3948.3333333333335</v>
      </c>
      <c r="BC48" s="31">
        <f t="shared" si="39"/>
        <v>3463.0831666666668</v>
      </c>
      <c r="BD48" s="31">
        <f t="shared" si="40"/>
        <v>485.25016666666664</v>
      </c>
      <c r="BE48" s="31">
        <f t="shared" si="41"/>
        <v>0</v>
      </c>
      <c r="BF48" s="31">
        <f t="shared" si="42"/>
        <v>0</v>
      </c>
      <c r="BG48" s="33">
        <f>[4]SLP!CY48*0.4</f>
        <v>0</v>
      </c>
      <c r="BH48" s="37">
        <f t="shared" si="9"/>
        <v>-1</v>
      </c>
      <c r="BI48" s="36">
        <f>[1]FUNIL!$L48</f>
        <v>3948.3333333333335</v>
      </c>
      <c r="BJ48" s="31">
        <f t="shared" si="43"/>
        <v>3463.0831666666668</v>
      </c>
      <c r="BK48" s="31">
        <f t="shared" si="44"/>
        <v>485.25016666666664</v>
      </c>
      <c r="BL48" s="31">
        <f t="shared" si="45"/>
        <v>0</v>
      </c>
      <c r="BM48" s="31">
        <f t="shared" si="46"/>
        <v>0</v>
      </c>
      <c r="BN48" s="33">
        <f>[4]SLP!CZ48*0.4</f>
        <v>0</v>
      </c>
      <c r="BO48" s="37">
        <f t="shared" si="10"/>
        <v>-1</v>
      </c>
      <c r="BP48" s="36">
        <f>[1]FUNIL!$M48</f>
        <v>3948.3333333333335</v>
      </c>
      <c r="BQ48" s="31">
        <f t="shared" si="47"/>
        <v>3463.0831666666668</v>
      </c>
      <c r="BR48" s="31">
        <f t="shared" si="48"/>
        <v>485.25016666666664</v>
      </c>
      <c r="BS48" s="31">
        <f t="shared" si="49"/>
        <v>0</v>
      </c>
      <c r="BT48" s="31">
        <f t="shared" si="50"/>
        <v>0</v>
      </c>
      <c r="BU48" s="33">
        <f>[4]SLP!DA48*0.4</f>
        <v>0</v>
      </c>
      <c r="BV48" s="37">
        <f t="shared" si="11"/>
        <v>-1</v>
      </c>
      <c r="BW48" s="36">
        <f>[1]FUNIL!$N48</f>
        <v>3948.3333333333335</v>
      </c>
      <c r="BX48" s="31">
        <f t="shared" si="51"/>
        <v>3463.0831666666668</v>
      </c>
      <c r="BY48" s="31">
        <f t="shared" si="52"/>
        <v>485.25016666666664</v>
      </c>
      <c r="BZ48" s="31">
        <f t="shared" si="53"/>
        <v>0</v>
      </c>
      <c r="CA48" s="31">
        <f t="shared" si="54"/>
        <v>0</v>
      </c>
      <c r="CB48" s="33">
        <f>[4]SLP!DB48*0.4</f>
        <v>0</v>
      </c>
      <c r="CC48" s="37">
        <f t="shared" si="12"/>
        <v>-1</v>
      </c>
      <c r="CD48" s="36">
        <f>[1]FUNIL!$O48</f>
        <v>3948.3333333333335</v>
      </c>
      <c r="CE48" s="31">
        <f t="shared" si="55"/>
        <v>3463.0831666666668</v>
      </c>
      <c r="CF48" s="31">
        <f t="shared" si="56"/>
        <v>485.25016666666664</v>
      </c>
      <c r="CG48" s="31">
        <f t="shared" si="57"/>
        <v>0</v>
      </c>
      <c r="CH48" s="31">
        <f t="shared" si="58"/>
        <v>0</v>
      </c>
      <c r="CI48" s="33">
        <f>[4]SLP!DC48*0.4</f>
        <v>0</v>
      </c>
      <c r="CJ48" s="37">
        <f t="shared" si="13"/>
        <v>-1</v>
      </c>
      <c r="CK48" s="36">
        <f>[1]FUNIL!$P48</f>
        <v>3948.3333333333335</v>
      </c>
      <c r="CL48" s="31">
        <f t="shared" si="59"/>
        <v>3463.0831666666668</v>
      </c>
      <c r="CM48" s="31">
        <f t="shared" si="60"/>
        <v>485.25016666666664</v>
      </c>
      <c r="CN48" s="31">
        <f t="shared" si="61"/>
        <v>0</v>
      </c>
      <c r="CO48" s="31">
        <f t="shared" si="62"/>
        <v>0</v>
      </c>
      <c r="CP48" s="33">
        <f>[4]SLP!DD48*0.4</f>
        <v>0</v>
      </c>
      <c r="CQ48" s="37">
        <f t="shared" si="63"/>
        <v>-1</v>
      </c>
      <c r="CR48" s="144"/>
    </row>
    <row r="49" spans="1:99" s="26" customFormat="1" ht="16" customHeight="1" x14ac:dyDescent="0.2">
      <c r="A49" s="29" t="s">
        <v>73</v>
      </c>
      <c r="B49" s="30">
        <f t="shared" si="64"/>
        <v>77229.400000000009</v>
      </c>
      <c r="C49" s="31">
        <f t="shared" si="64"/>
        <v>67737.906739999991</v>
      </c>
      <c r="D49" s="32">
        <f t="shared" si="64"/>
        <v>9491.4932599999975</v>
      </c>
      <c r="E49" s="30">
        <f t="shared" si="66"/>
        <v>25743.133333333335</v>
      </c>
      <c r="F49" s="33">
        <f t="shared" si="66"/>
        <v>22579.30224666667</v>
      </c>
      <c r="G49" s="34">
        <f t="shared" si="66"/>
        <v>3163.8310866666666</v>
      </c>
      <c r="H49" s="31">
        <f t="shared" si="65"/>
        <v>4476.0502606132741</v>
      </c>
      <c r="I49" s="33">
        <f t="shared" si="65"/>
        <v>35703.934125502281</v>
      </c>
      <c r="J49" s="33">
        <f t="shared" si="65"/>
        <v>40179.984386115553</v>
      </c>
      <c r="K49" s="37">
        <f t="shared" si="2"/>
        <v>0.56080395753879553</v>
      </c>
      <c r="L49" s="36">
        <f>[1]FUNIL!$E49</f>
        <v>6435.7833333333338</v>
      </c>
      <c r="M49" s="31">
        <f t="shared" si="15"/>
        <v>5644.8255616666675</v>
      </c>
      <c r="N49" s="31">
        <f t="shared" si="16"/>
        <v>790.95777166666664</v>
      </c>
      <c r="O49" s="31">
        <f t="shared" si="17"/>
        <v>1282.8127140070046</v>
      </c>
      <c r="P49" s="31">
        <f t="shared" si="18"/>
        <v>10232.561738479562</v>
      </c>
      <c r="Q49" s="33">
        <f>[4]SLP!CS49*'[3]SLP-CITROS'!$V$7</f>
        <v>11515.374452486567</v>
      </c>
      <c r="R49" s="37">
        <f t="shared" si="3"/>
        <v>0.78927317096648153</v>
      </c>
      <c r="S49" s="36">
        <f>[1]FUNIL!$F49</f>
        <v>6435.7833333333338</v>
      </c>
      <c r="T49" s="31">
        <f t="shared" si="19"/>
        <v>5644.8255616666675</v>
      </c>
      <c r="U49" s="31">
        <f t="shared" si="20"/>
        <v>790.95777166666664</v>
      </c>
      <c r="V49" s="31">
        <f t="shared" si="21"/>
        <v>906.02282659614684</v>
      </c>
      <c r="W49" s="31">
        <f t="shared" si="22"/>
        <v>7227.0366581089411</v>
      </c>
      <c r="X49" s="33">
        <f>[4]SLP!$CT49*'[3]SLP-CITROS'!$V$7</f>
        <v>8133.0594847050879</v>
      </c>
      <c r="Y49" s="37">
        <f t="shared" si="4"/>
        <v>0.26372487441908188</v>
      </c>
      <c r="Z49" s="36">
        <f>[1]FUNIL!$G49</f>
        <v>6435.7833333333338</v>
      </c>
      <c r="AA49" s="31">
        <f t="shared" si="23"/>
        <v>5644.8255616666675</v>
      </c>
      <c r="AB49" s="31">
        <f t="shared" si="24"/>
        <v>790.95777166666664</v>
      </c>
      <c r="AC49" s="31">
        <f t="shared" si="25"/>
        <v>1700.8114141949955</v>
      </c>
      <c r="AD49" s="31">
        <f t="shared" si="26"/>
        <v>13566.795535490781</v>
      </c>
      <c r="AE49" s="33">
        <f>[4]SLP!CU49*'[2]SLP-CITROS'!$V$7</f>
        <v>15267.606949685776</v>
      </c>
      <c r="AF49" s="37">
        <f t="shared" si="5"/>
        <v>1.3722997122369112</v>
      </c>
      <c r="AG49" s="36">
        <f>[1]FUNIL!$H49</f>
        <v>6435.7833333333338</v>
      </c>
      <c r="AH49" s="31">
        <f t="shared" si="27"/>
        <v>5644.8255616666675</v>
      </c>
      <c r="AI49" s="31">
        <f t="shared" si="28"/>
        <v>790.95777166666664</v>
      </c>
      <c r="AJ49" s="31">
        <f t="shared" si="29"/>
        <v>586.40330581512717</v>
      </c>
      <c r="AK49" s="31">
        <f t="shared" si="30"/>
        <v>4677.5401934229958</v>
      </c>
      <c r="AL49" s="33">
        <f>[4]SLP!CV49*'[2]SLP-CITROS'!$V$7</f>
        <v>5263.943499238123</v>
      </c>
      <c r="AM49" s="37">
        <f t="shared" si="6"/>
        <v>-0.18208192746729257</v>
      </c>
      <c r="AN49" s="36">
        <f>[1]FUNIL!$I49</f>
        <v>6435.7833333333338</v>
      </c>
      <c r="AO49" s="31">
        <f t="shared" si="31"/>
        <v>5644.8255616666675</v>
      </c>
      <c r="AP49" s="31">
        <f t="shared" si="32"/>
        <v>790.95777166666664</v>
      </c>
      <c r="AQ49" s="31">
        <f t="shared" si="33"/>
        <v>0</v>
      </c>
      <c r="AR49" s="31">
        <f t="shared" si="34"/>
        <v>0</v>
      </c>
      <c r="AS49" s="33">
        <f>[4]SLP!CW49*0.4</f>
        <v>0</v>
      </c>
      <c r="AT49" s="37">
        <f t="shared" si="7"/>
        <v>-1</v>
      </c>
      <c r="AU49" s="36">
        <f>[1]FUNIL!$J49</f>
        <v>6435.7833333333338</v>
      </c>
      <c r="AV49" s="31">
        <f t="shared" si="35"/>
        <v>5644.8255616666675</v>
      </c>
      <c r="AW49" s="31">
        <f t="shared" si="36"/>
        <v>790.95777166666664</v>
      </c>
      <c r="AX49" s="31">
        <f t="shared" si="37"/>
        <v>0</v>
      </c>
      <c r="AY49" s="31">
        <f t="shared" si="38"/>
        <v>0</v>
      </c>
      <c r="AZ49" s="33">
        <f>[4]SLP!CX49*0.4</f>
        <v>0</v>
      </c>
      <c r="BA49" s="37">
        <f t="shared" si="8"/>
        <v>-1</v>
      </c>
      <c r="BB49" s="36">
        <f>[1]FUNIL!$K49</f>
        <v>6435.7833333333338</v>
      </c>
      <c r="BC49" s="31">
        <f t="shared" si="39"/>
        <v>5644.8255616666675</v>
      </c>
      <c r="BD49" s="31">
        <f t="shared" si="40"/>
        <v>790.95777166666664</v>
      </c>
      <c r="BE49" s="31">
        <f t="shared" si="41"/>
        <v>0</v>
      </c>
      <c r="BF49" s="31">
        <f t="shared" si="42"/>
        <v>0</v>
      </c>
      <c r="BG49" s="33">
        <f>[4]SLP!CY49*0.4</f>
        <v>0</v>
      </c>
      <c r="BH49" s="37">
        <f t="shared" si="9"/>
        <v>-1</v>
      </c>
      <c r="BI49" s="36">
        <f>[1]FUNIL!$L49</f>
        <v>6435.7833333333338</v>
      </c>
      <c r="BJ49" s="31">
        <f t="shared" si="43"/>
        <v>5644.8255616666675</v>
      </c>
      <c r="BK49" s="31">
        <f t="shared" si="44"/>
        <v>790.95777166666664</v>
      </c>
      <c r="BL49" s="31">
        <f t="shared" si="45"/>
        <v>0</v>
      </c>
      <c r="BM49" s="31">
        <f t="shared" si="46"/>
        <v>0</v>
      </c>
      <c r="BN49" s="33">
        <f>[4]SLP!CZ49*0.4</f>
        <v>0</v>
      </c>
      <c r="BO49" s="37">
        <f t="shared" si="10"/>
        <v>-1</v>
      </c>
      <c r="BP49" s="36">
        <f>[1]FUNIL!$M49</f>
        <v>6435.7833333333338</v>
      </c>
      <c r="BQ49" s="31">
        <f t="shared" si="47"/>
        <v>5644.8255616666675</v>
      </c>
      <c r="BR49" s="31">
        <f t="shared" si="48"/>
        <v>790.95777166666664</v>
      </c>
      <c r="BS49" s="31">
        <f t="shared" si="49"/>
        <v>0</v>
      </c>
      <c r="BT49" s="31">
        <f t="shared" si="50"/>
        <v>0</v>
      </c>
      <c r="BU49" s="33">
        <f>[4]SLP!DA49*0.4</f>
        <v>0</v>
      </c>
      <c r="BV49" s="37">
        <f t="shared" si="11"/>
        <v>-1</v>
      </c>
      <c r="BW49" s="36">
        <f>[1]FUNIL!$N49</f>
        <v>6435.7833333333338</v>
      </c>
      <c r="BX49" s="31">
        <f t="shared" si="51"/>
        <v>5644.8255616666675</v>
      </c>
      <c r="BY49" s="31">
        <f t="shared" si="52"/>
        <v>790.95777166666664</v>
      </c>
      <c r="BZ49" s="31">
        <f t="shared" si="53"/>
        <v>0</v>
      </c>
      <c r="CA49" s="31">
        <f t="shared" si="54"/>
        <v>0</v>
      </c>
      <c r="CB49" s="33">
        <f>[4]SLP!DB49*0.4</f>
        <v>0</v>
      </c>
      <c r="CC49" s="37">
        <f t="shared" si="12"/>
        <v>-1</v>
      </c>
      <c r="CD49" s="36">
        <f>[1]FUNIL!$O49</f>
        <v>6435.7833333333338</v>
      </c>
      <c r="CE49" s="31">
        <f t="shared" si="55"/>
        <v>5644.8255616666675</v>
      </c>
      <c r="CF49" s="31">
        <f t="shared" si="56"/>
        <v>790.95777166666664</v>
      </c>
      <c r="CG49" s="31">
        <f t="shared" si="57"/>
        <v>0</v>
      </c>
      <c r="CH49" s="31">
        <f t="shared" si="58"/>
        <v>0</v>
      </c>
      <c r="CI49" s="33">
        <f>[4]SLP!DC49*0.4</f>
        <v>0</v>
      </c>
      <c r="CJ49" s="37">
        <f t="shared" si="13"/>
        <v>-1</v>
      </c>
      <c r="CK49" s="36">
        <f>[1]FUNIL!$P49</f>
        <v>6435.7833333333338</v>
      </c>
      <c r="CL49" s="31">
        <f t="shared" si="59"/>
        <v>5644.8255616666675</v>
      </c>
      <c r="CM49" s="31">
        <f t="shared" si="60"/>
        <v>790.95777166666664</v>
      </c>
      <c r="CN49" s="31">
        <f t="shared" si="61"/>
        <v>0</v>
      </c>
      <c r="CO49" s="31">
        <f t="shared" si="62"/>
        <v>0</v>
      </c>
      <c r="CP49" s="33">
        <f>[4]SLP!DD49*0.4</f>
        <v>0</v>
      </c>
      <c r="CQ49" s="37">
        <f t="shared" si="63"/>
        <v>-1</v>
      </c>
      <c r="CR49" s="144"/>
    </row>
    <row r="50" spans="1:99" s="26" customFormat="1" ht="16" customHeight="1" x14ac:dyDescent="0.2">
      <c r="A50" s="29" t="s">
        <v>74</v>
      </c>
      <c r="B50" s="30">
        <f t="shared" si="64"/>
        <v>7804.6231200000002</v>
      </c>
      <c r="C50" s="31">
        <f t="shared" si="64"/>
        <v>6845.4349385519999</v>
      </c>
      <c r="D50" s="32">
        <f t="shared" si="64"/>
        <v>959.18818144800014</v>
      </c>
      <c r="E50" s="30">
        <f t="shared" si="66"/>
        <v>2601.5410400000001</v>
      </c>
      <c r="F50" s="33">
        <f t="shared" si="66"/>
        <v>2281.811646184</v>
      </c>
      <c r="G50" s="34">
        <f t="shared" si="66"/>
        <v>319.72939381599997</v>
      </c>
      <c r="H50" s="31">
        <f t="shared" si="65"/>
        <v>345.5370562452465</v>
      </c>
      <c r="I50" s="33">
        <f t="shared" si="65"/>
        <v>2756.2318508036442</v>
      </c>
      <c r="J50" s="33">
        <f t="shared" si="65"/>
        <v>3101.7689070488909</v>
      </c>
      <c r="K50" s="37">
        <f t="shared" si="2"/>
        <v>0.19228136683513197</v>
      </c>
      <c r="L50" s="36">
        <f>[1]FUNIL!$E50</f>
        <v>650.38526000000002</v>
      </c>
      <c r="M50" s="28">
        <f t="shared" si="15"/>
        <v>570.452911546</v>
      </c>
      <c r="N50" s="28">
        <f t="shared" si="16"/>
        <v>79.932348453999992</v>
      </c>
      <c r="O50" s="28">
        <f t="shared" si="17"/>
        <v>67.705847171040091</v>
      </c>
      <c r="P50" s="28">
        <f t="shared" si="18"/>
        <v>540.06656908605191</v>
      </c>
      <c r="Q50" s="151">
        <f>[4]SLP!CS50*'[3]SLP-CITROS'!$V$7</f>
        <v>607.772416257092</v>
      </c>
      <c r="R50" s="37">
        <f t="shared" si="3"/>
        <v>-6.5519387298088483E-2</v>
      </c>
      <c r="S50" s="36">
        <f>[1]FUNIL!$F50</f>
        <v>650.38526000000002</v>
      </c>
      <c r="T50" s="28">
        <f t="shared" si="19"/>
        <v>570.452911546</v>
      </c>
      <c r="U50" s="28">
        <f t="shared" si="20"/>
        <v>79.932348453999992</v>
      </c>
      <c r="V50" s="28">
        <f t="shared" si="21"/>
        <v>75.500582774338113</v>
      </c>
      <c r="W50" s="28">
        <f t="shared" si="22"/>
        <v>602.24253010122834</v>
      </c>
      <c r="X50" s="33">
        <f>[4]SLP!$CT50*'[3]SLP-CITROS'!$V$7</f>
        <v>677.74311287556645</v>
      </c>
      <c r="Y50" s="37">
        <f t="shared" si="4"/>
        <v>4.2064072724474766E-2</v>
      </c>
      <c r="Z50" s="36">
        <f>[1]FUNIL!$G50</f>
        <v>650.38526000000002</v>
      </c>
      <c r="AA50" s="28">
        <f t="shared" si="23"/>
        <v>570.452911546</v>
      </c>
      <c r="AB50" s="28">
        <f t="shared" si="24"/>
        <v>79.932348453999992</v>
      </c>
      <c r="AC50" s="28">
        <f t="shared" si="25"/>
        <v>138.30232789203365</v>
      </c>
      <c r="AD50" s="28">
        <f t="shared" si="26"/>
        <v>1103.1907411567422</v>
      </c>
      <c r="AE50" s="33">
        <f>[4]SLP!CU50*'[2]SLP-CITROS'!$V$7</f>
        <v>1241.4930690487759</v>
      </c>
      <c r="AF50" s="37">
        <f t="shared" si="5"/>
        <v>0.90885794221224492</v>
      </c>
      <c r="AG50" s="36">
        <f>[1]FUNIL!$H50</f>
        <v>650.38526000000002</v>
      </c>
      <c r="AH50" s="28">
        <f t="shared" si="27"/>
        <v>570.452911546</v>
      </c>
      <c r="AI50" s="28">
        <f t="shared" si="28"/>
        <v>79.932348453999992</v>
      </c>
      <c r="AJ50" s="28">
        <f t="shared" si="29"/>
        <v>64.028298407834654</v>
      </c>
      <c r="AK50" s="28">
        <f t="shared" si="30"/>
        <v>510.73201045962173</v>
      </c>
      <c r="AL50" s="151">
        <f>[4]SLP!CV50*'[2]SLP-CITROS'!$V$7</f>
        <v>574.76030886745639</v>
      </c>
      <c r="AM50" s="37">
        <f t="shared" si="6"/>
        <v>-0.11627716029810331</v>
      </c>
      <c r="AN50" s="36">
        <f>[1]FUNIL!$I50</f>
        <v>650.38526000000002</v>
      </c>
      <c r="AO50" s="28">
        <f t="shared" si="31"/>
        <v>570.452911546</v>
      </c>
      <c r="AP50" s="28">
        <f t="shared" si="32"/>
        <v>79.932348453999992</v>
      </c>
      <c r="AQ50" s="28">
        <f t="shared" si="33"/>
        <v>0</v>
      </c>
      <c r="AR50" s="28">
        <f t="shared" si="34"/>
        <v>0</v>
      </c>
      <c r="AS50" s="151">
        <f>[4]SLP!CW50*0.4</f>
        <v>0</v>
      </c>
      <c r="AT50" s="37">
        <f t="shared" si="7"/>
        <v>-1</v>
      </c>
      <c r="AU50" s="36">
        <f>[1]FUNIL!$J50</f>
        <v>650.38526000000002</v>
      </c>
      <c r="AV50" s="28">
        <f t="shared" si="35"/>
        <v>570.452911546</v>
      </c>
      <c r="AW50" s="28">
        <f t="shared" si="36"/>
        <v>79.932348453999992</v>
      </c>
      <c r="AX50" s="28">
        <f t="shared" si="37"/>
        <v>0</v>
      </c>
      <c r="AY50" s="28">
        <f t="shared" si="38"/>
        <v>0</v>
      </c>
      <c r="AZ50" s="151">
        <f>[4]SLP!CX50*0.4</f>
        <v>0</v>
      </c>
      <c r="BA50" s="37">
        <f t="shared" si="8"/>
        <v>-1</v>
      </c>
      <c r="BB50" s="36">
        <f>[1]FUNIL!$K50</f>
        <v>650.38526000000002</v>
      </c>
      <c r="BC50" s="28">
        <f t="shared" si="39"/>
        <v>570.452911546</v>
      </c>
      <c r="BD50" s="28">
        <f t="shared" si="40"/>
        <v>79.932348453999992</v>
      </c>
      <c r="BE50" s="28">
        <f t="shared" si="41"/>
        <v>0</v>
      </c>
      <c r="BF50" s="28">
        <f t="shared" si="42"/>
        <v>0</v>
      </c>
      <c r="BG50" s="151">
        <f>[4]SLP!CY50*0.4</f>
        <v>0</v>
      </c>
      <c r="BH50" s="37">
        <f t="shared" si="9"/>
        <v>-1</v>
      </c>
      <c r="BI50" s="36">
        <f>[1]FUNIL!$L50</f>
        <v>650.38526000000002</v>
      </c>
      <c r="BJ50" s="28">
        <f t="shared" si="43"/>
        <v>570.452911546</v>
      </c>
      <c r="BK50" s="28">
        <f t="shared" si="44"/>
        <v>79.932348453999992</v>
      </c>
      <c r="BL50" s="28">
        <f t="shared" si="45"/>
        <v>0</v>
      </c>
      <c r="BM50" s="28">
        <f t="shared" si="46"/>
        <v>0</v>
      </c>
      <c r="BN50" s="151">
        <f>[4]SLP!CZ50*0.4</f>
        <v>0</v>
      </c>
      <c r="BO50" s="37">
        <f t="shared" si="10"/>
        <v>-1</v>
      </c>
      <c r="BP50" s="36">
        <f>[1]FUNIL!$M50</f>
        <v>650.38526000000002</v>
      </c>
      <c r="BQ50" s="28">
        <f t="shared" si="47"/>
        <v>570.452911546</v>
      </c>
      <c r="BR50" s="28">
        <f t="shared" si="48"/>
        <v>79.932348453999992</v>
      </c>
      <c r="BS50" s="28">
        <f t="shared" si="49"/>
        <v>0</v>
      </c>
      <c r="BT50" s="28">
        <f t="shared" si="50"/>
        <v>0</v>
      </c>
      <c r="BU50" s="151">
        <f>[4]SLP!DA50*0.4</f>
        <v>0</v>
      </c>
      <c r="BV50" s="37">
        <f t="shared" si="11"/>
        <v>-1</v>
      </c>
      <c r="BW50" s="36">
        <f>[1]FUNIL!$N50</f>
        <v>650.38526000000002</v>
      </c>
      <c r="BX50" s="28">
        <f t="shared" si="51"/>
        <v>570.452911546</v>
      </c>
      <c r="BY50" s="28">
        <f t="shared" si="52"/>
        <v>79.932348453999992</v>
      </c>
      <c r="BZ50" s="28">
        <f t="shared" si="53"/>
        <v>0</v>
      </c>
      <c r="CA50" s="28">
        <f t="shared" si="54"/>
        <v>0</v>
      </c>
      <c r="CB50" s="151">
        <f>[4]SLP!DB50*0.4</f>
        <v>0</v>
      </c>
      <c r="CC50" s="37">
        <f t="shared" si="12"/>
        <v>-1</v>
      </c>
      <c r="CD50" s="36">
        <f>[1]FUNIL!$O50</f>
        <v>650.38526000000002</v>
      </c>
      <c r="CE50" s="28">
        <f t="shared" si="55"/>
        <v>570.452911546</v>
      </c>
      <c r="CF50" s="28">
        <f t="shared" si="56"/>
        <v>79.932348453999992</v>
      </c>
      <c r="CG50" s="28">
        <f t="shared" si="57"/>
        <v>0</v>
      </c>
      <c r="CH50" s="28">
        <f t="shared" si="58"/>
        <v>0</v>
      </c>
      <c r="CI50" s="151">
        <f>[4]SLP!DC50*0.4</f>
        <v>0</v>
      </c>
      <c r="CJ50" s="37">
        <f t="shared" si="13"/>
        <v>-1</v>
      </c>
      <c r="CK50" s="36">
        <f>[1]FUNIL!$P50</f>
        <v>650.38526000000002</v>
      </c>
      <c r="CL50" s="28">
        <f t="shared" si="59"/>
        <v>570.452911546</v>
      </c>
      <c r="CM50" s="28">
        <f t="shared" si="60"/>
        <v>79.932348453999992</v>
      </c>
      <c r="CN50" s="28">
        <f t="shared" si="61"/>
        <v>0</v>
      </c>
      <c r="CO50" s="28">
        <f t="shared" si="62"/>
        <v>0</v>
      </c>
      <c r="CP50" s="151">
        <f>[4]SLP!DD50*0.4</f>
        <v>0</v>
      </c>
      <c r="CQ50" s="37">
        <f t="shared" si="63"/>
        <v>-1</v>
      </c>
      <c r="CR50" s="144"/>
    </row>
    <row r="51" spans="1:99" s="26" customFormat="1" ht="16" customHeight="1" x14ac:dyDescent="0.2">
      <c r="A51" s="29" t="s">
        <v>75</v>
      </c>
      <c r="B51" s="30">
        <f t="shared" si="64"/>
        <v>5866.0578169200007</v>
      </c>
      <c r="C51" s="31">
        <f t="shared" si="64"/>
        <v>5145.119311220531</v>
      </c>
      <c r="D51" s="32">
        <f t="shared" si="64"/>
        <v>720.93850569946778</v>
      </c>
      <c r="E51" s="30">
        <f t="shared" si="66"/>
        <v>1955.3526056399996</v>
      </c>
      <c r="F51" s="33">
        <f t="shared" si="66"/>
        <v>1715.0397704068437</v>
      </c>
      <c r="G51" s="34">
        <f t="shared" si="66"/>
        <v>240.31283523315594</v>
      </c>
      <c r="H51" s="31">
        <f t="shared" si="65"/>
        <v>220.32887083529198</v>
      </c>
      <c r="I51" s="33">
        <f t="shared" si="65"/>
        <v>1757.4886411511695</v>
      </c>
      <c r="J51" s="33">
        <f t="shared" si="65"/>
        <v>1977.8175119864616</v>
      </c>
      <c r="K51" s="37">
        <f t="shared" si="2"/>
        <v>1.1488928534763687E-2</v>
      </c>
      <c r="L51" s="36">
        <f>[1]FUNIL!$E51</f>
        <v>488.83815140999991</v>
      </c>
      <c r="M51" s="31">
        <f t="shared" si="15"/>
        <v>428.75994260171092</v>
      </c>
      <c r="N51" s="31">
        <f t="shared" si="16"/>
        <v>60.078208808288984</v>
      </c>
      <c r="O51" s="31">
        <f t="shared" si="17"/>
        <v>53.897622674521244</v>
      </c>
      <c r="P51" s="31">
        <f t="shared" si="18"/>
        <v>429.92304765331721</v>
      </c>
      <c r="Q51" s="45">
        <f>[4]SLP!CS51*'[3]SLP-CITROS'!$V$7</f>
        <v>483.82067032783846</v>
      </c>
      <c r="R51" s="37">
        <f t="shared" si="3"/>
        <v>-1.0264094706374904E-2</v>
      </c>
      <c r="S51" s="36">
        <f>[1]FUNIL!$F51</f>
        <v>488.83815140999991</v>
      </c>
      <c r="T51" s="31">
        <f t="shared" si="19"/>
        <v>428.75994260171092</v>
      </c>
      <c r="U51" s="31">
        <f t="shared" si="20"/>
        <v>60.078208808288984</v>
      </c>
      <c r="V51" s="31">
        <f t="shared" si="21"/>
        <v>52.493736378578888</v>
      </c>
      <c r="W51" s="31">
        <f t="shared" si="22"/>
        <v>418.72472303415753</v>
      </c>
      <c r="X51" s="33">
        <f>[4]SLP!$CT51*'[3]SLP-CITROS'!$V$7</f>
        <v>471.21845941273642</v>
      </c>
      <c r="Y51" s="37">
        <f t="shared" si="4"/>
        <v>-3.6044019777182745E-2</v>
      </c>
      <c r="Z51" s="36">
        <f>[1]FUNIL!$G51</f>
        <v>488.83815140999991</v>
      </c>
      <c r="AA51" s="31">
        <f t="shared" si="23"/>
        <v>428.75994260171092</v>
      </c>
      <c r="AB51" s="31">
        <f t="shared" si="24"/>
        <v>60.078208808288984</v>
      </c>
      <c r="AC51" s="31">
        <f t="shared" si="25"/>
        <v>48.824104267418249</v>
      </c>
      <c r="AD51" s="31">
        <f t="shared" si="26"/>
        <v>389.4533128548278</v>
      </c>
      <c r="AE51" s="33">
        <f>[4]SLP!CU51*'[2]SLP-CITROS'!$V$7</f>
        <v>438.27741712224605</v>
      </c>
      <c r="AF51" s="37">
        <f t="shared" si="5"/>
        <v>-0.10343041790399743</v>
      </c>
      <c r="AG51" s="36">
        <f>[1]FUNIL!$H51</f>
        <v>488.83815140999991</v>
      </c>
      <c r="AH51" s="31">
        <f t="shared" si="27"/>
        <v>428.75994260171092</v>
      </c>
      <c r="AI51" s="31">
        <f t="shared" si="28"/>
        <v>60.078208808288984</v>
      </c>
      <c r="AJ51" s="31">
        <f t="shared" si="29"/>
        <v>65.113407514773598</v>
      </c>
      <c r="AK51" s="31">
        <f t="shared" si="30"/>
        <v>519.38755760886693</v>
      </c>
      <c r="AL51" s="45">
        <f>[4]SLP!CV51*'[2]SLP-CITROS'!$V$7</f>
        <v>584.50096512364053</v>
      </c>
      <c r="AM51" s="37">
        <f t="shared" si="6"/>
        <v>0.19569424652660961</v>
      </c>
      <c r="AN51" s="36">
        <f>[1]FUNIL!$I51</f>
        <v>488.83815140999991</v>
      </c>
      <c r="AO51" s="31">
        <f t="shared" si="31"/>
        <v>428.75994260171092</v>
      </c>
      <c r="AP51" s="31">
        <f t="shared" si="32"/>
        <v>60.078208808288984</v>
      </c>
      <c r="AQ51" s="31">
        <f t="shared" si="33"/>
        <v>0</v>
      </c>
      <c r="AR51" s="31">
        <f t="shared" si="34"/>
        <v>0</v>
      </c>
      <c r="AS51" s="45">
        <f>[4]SLP!CW51*0.4</f>
        <v>0</v>
      </c>
      <c r="AT51" s="37">
        <f t="shared" si="7"/>
        <v>-1</v>
      </c>
      <c r="AU51" s="36">
        <f>[1]FUNIL!$J51</f>
        <v>488.83815140999991</v>
      </c>
      <c r="AV51" s="31">
        <f t="shared" si="35"/>
        <v>428.75994260171092</v>
      </c>
      <c r="AW51" s="31">
        <f t="shared" si="36"/>
        <v>60.078208808288984</v>
      </c>
      <c r="AX51" s="31">
        <f t="shared" si="37"/>
        <v>0</v>
      </c>
      <c r="AY51" s="31">
        <f t="shared" si="38"/>
        <v>0</v>
      </c>
      <c r="AZ51" s="45">
        <f>[4]SLP!CX51*0.4</f>
        <v>0</v>
      </c>
      <c r="BA51" s="37">
        <f t="shared" si="8"/>
        <v>-1</v>
      </c>
      <c r="BB51" s="36">
        <f>[1]FUNIL!$K51</f>
        <v>488.83815140999991</v>
      </c>
      <c r="BC51" s="31">
        <f t="shared" si="39"/>
        <v>428.75994260171092</v>
      </c>
      <c r="BD51" s="31">
        <f t="shared" si="40"/>
        <v>60.078208808288984</v>
      </c>
      <c r="BE51" s="31">
        <f t="shared" si="41"/>
        <v>0</v>
      </c>
      <c r="BF51" s="31">
        <f t="shared" si="42"/>
        <v>0</v>
      </c>
      <c r="BG51" s="45">
        <f>[4]SLP!CY51*0.4</f>
        <v>0</v>
      </c>
      <c r="BH51" s="37">
        <f t="shared" si="9"/>
        <v>-1</v>
      </c>
      <c r="BI51" s="36">
        <f>[1]FUNIL!$L51</f>
        <v>488.83815140999991</v>
      </c>
      <c r="BJ51" s="31">
        <f t="shared" si="43"/>
        <v>428.75994260171092</v>
      </c>
      <c r="BK51" s="31">
        <f t="shared" si="44"/>
        <v>60.078208808288984</v>
      </c>
      <c r="BL51" s="31">
        <f t="shared" si="45"/>
        <v>0</v>
      </c>
      <c r="BM51" s="31">
        <f t="shared" si="46"/>
        <v>0</v>
      </c>
      <c r="BN51" s="45">
        <f>[4]SLP!CZ51*0.4</f>
        <v>0</v>
      </c>
      <c r="BO51" s="37">
        <f t="shared" si="10"/>
        <v>-1</v>
      </c>
      <c r="BP51" s="36">
        <f>[1]FUNIL!$M51</f>
        <v>488.83815140999991</v>
      </c>
      <c r="BQ51" s="31">
        <f t="shared" si="47"/>
        <v>428.75994260171092</v>
      </c>
      <c r="BR51" s="31">
        <f t="shared" si="48"/>
        <v>60.078208808288984</v>
      </c>
      <c r="BS51" s="31">
        <f t="shared" si="49"/>
        <v>0</v>
      </c>
      <c r="BT51" s="31">
        <f t="shared" si="50"/>
        <v>0</v>
      </c>
      <c r="BU51" s="45">
        <f>[4]SLP!DA51*0.4</f>
        <v>0</v>
      </c>
      <c r="BV51" s="37">
        <f t="shared" si="11"/>
        <v>-1</v>
      </c>
      <c r="BW51" s="36">
        <f>[1]FUNIL!$N51</f>
        <v>488.83815140999991</v>
      </c>
      <c r="BX51" s="31">
        <f t="shared" si="51"/>
        <v>428.75994260171092</v>
      </c>
      <c r="BY51" s="31">
        <f t="shared" si="52"/>
        <v>60.078208808288984</v>
      </c>
      <c r="BZ51" s="31">
        <f t="shared" si="53"/>
        <v>0</v>
      </c>
      <c r="CA51" s="31">
        <f t="shared" si="54"/>
        <v>0</v>
      </c>
      <c r="CB51" s="45">
        <f>[4]SLP!DB51*0.4</f>
        <v>0</v>
      </c>
      <c r="CC51" s="37">
        <f t="shared" si="12"/>
        <v>-1</v>
      </c>
      <c r="CD51" s="36">
        <f>[1]FUNIL!$O51</f>
        <v>488.83815140999991</v>
      </c>
      <c r="CE51" s="31">
        <f t="shared" si="55"/>
        <v>428.75994260171092</v>
      </c>
      <c r="CF51" s="31">
        <f t="shared" si="56"/>
        <v>60.078208808288984</v>
      </c>
      <c r="CG51" s="31">
        <f t="shared" si="57"/>
        <v>0</v>
      </c>
      <c r="CH51" s="31">
        <f t="shared" si="58"/>
        <v>0</v>
      </c>
      <c r="CI51" s="45">
        <f>[4]SLP!DC51*0.4</f>
        <v>0</v>
      </c>
      <c r="CJ51" s="37">
        <f t="shared" si="13"/>
        <v>-1</v>
      </c>
      <c r="CK51" s="36">
        <f>[1]FUNIL!$P51</f>
        <v>488.83815140999991</v>
      </c>
      <c r="CL51" s="31">
        <f t="shared" si="59"/>
        <v>428.75994260171092</v>
      </c>
      <c r="CM51" s="31">
        <f t="shared" si="60"/>
        <v>60.078208808288984</v>
      </c>
      <c r="CN51" s="31">
        <f t="shared" si="61"/>
        <v>0</v>
      </c>
      <c r="CO51" s="31">
        <f t="shared" si="62"/>
        <v>0</v>
      </c>
      <c r="CP51" s="45">
        <f>[4]SLP!DD51*0.4</f>
        <v>0</v>
      </c>
      <c r="CQ51" s="37">
        <f t="shared" si="63"/>
        <v>-1</v>
      </c>
      <c r="CR51" s="144"/>
    </row>
    <row r="52" spans="1:99" s="26" customFormat="1" ht="16" customHeight="1" x14ac:dyDescent="0.2">
      <c r="A52" s="29" t="s">
        <v>76</v>
      </c>
      <c r="B52" s="30">
        <f t="shared" si="64"/>
        <v>18952.000000000004</v>
      </c>
      <c r="C52" s="31">
        <f t="shared" si="64"/>
        <v>16622.799199999998</v>
      </c>
      <c r="D52" s="32">
        <f t="shared" si="64"/>
        <v>2329.2008000000001</v>
      </c>
      <c r="E52" s="30">
        <f t="shared" si="66"/>
        <v>6317.3333333333339</v>
      </c>
      <c r="F52" s="33">
        <f t="shared" si="66"/>
        <v>5540.9330666666674</v>
      </c>
      <c r="G52" s="34">
        <f t="shared" si="66"/>
        <v>776.40026666666677</v>
      </c>
      <c r="H52" s="31">
        <f t="shared" si="65"/>
        <v>738.6215246714886</v>
      </c>
      <c r="I52" s="33">
        <f t="shared" si="65"/>
        <v>5891.7332748930385</v>
      </c>
      <c r="J52" s="33">
        <f t="shared" si="65"/>
        <v>6630.3547995645276</v>
      </c>
      <c r="K52" s="37">
        <f t="shared" si="2"/>
        <v>4.954962002393315E-2</v>
      </c>
      <c r="L52" s="36">
        <f>[1]FUNIL!$E52</f>
        <v>1579.3333333333335</v>
      </c>
      <c r="M52" s="31">
        <f t="shared" si="15"/>
        <v>1385.2332666666669</v>
      </c>
      <c r="N52" s="31">
        <f t="shared" si="16"/>
        <v>194.10006666666669</v>
      </c>
      <c r="O52" s="31">
        <f t="shared" si="17"/>
        <v>109.54482545094061</v>
      </c>
      <c r="P52" s="31">
        <f t="shared" si="18"/>
        <v>873.80190211585045</v>
      </c>
      <c r="Q52" s="33">
        <f>[4]SLP!CS52*'[3]SLP-CITROS'!$V$7</f>
        <v>983.34672756679106</v>
      </c>
      <c r="R52" s="37">
        <f t="shared" si="3"/>
        <v>-0.37736593864491919</v>
      </c>
      <c r="S52" s="36">
        <f>[1]FUNIL!$F52</f>
        <v>1579.3333333333335</v>
      </c>
      <c r="T52" s="31">
        <f t="shared" si="19"/>
        <v>1385.2332666666669</v>
      </c>
      <c r="U52" s="31">
        <f t="shared" si="20"/>
        <v>194.10006666666669</v>
      </c>
      <c r="V52" s="31">
        <f t="shared" si="21"/>
        <v>73.27178133532891</v>
      </c>
      <c r="W52" s="31">
        <f t="shared" si="22"/>
        <v>584.46413729419396</v>
      </c>
      <c r="X52" s="33">
        <f>[4]SLP!$CT52*'[3]SLP-CITROS'!$V$7</f>
        <v>657.73591862952287</v>
      </c>
      <c r="Y52" s="37">
        <f t="shared" si="4"/>
        <v>-0.5835357205807159</v>
      </c>
      <c r="Z52" s="36">
        <f>[1]FUNIL!$G52</f>
        <v>1579.3333333333335</v>
      </c>
      <c r="AA52" s="31">
        <f t="shared" si="23"/>
        <v>1385.2332666666669</v>
      </c>
      <c r="AB52" s="31">
        <f t="shared" si="24"/>
        <v>194.10006666666669</v>
      </c>
      <c r="AC52" s="31">
        <f t="shared" si="25"/>
        <v>336.45401746586003</v>
      </c>
      <c r="AD52" s="31">
        <f t="shared" si="26"/>
        <v>2683.7795324969761</v>
      </c>
      <c r="AE52" s="33">
        <f>[4]SLP!CU52*'[2]SLP-CITROS'!$V$7</f>
        <v>3020.2335499628362</v>
      </c>
      <c r="AF52" s="37">
        <f t="shared" si="5"/>
        <v>0.91234711901403709</v>
      </c>
      <c r="AG52" s="36">
        <f>[1]FUNIL!$H52</f>
        <v>1579.3333333333335</v>
      </c>
      <c r="AH52" s="31">
        <f t="shared" si="27"/>
        <v>1385.2332666666669</v>
      </c>
      <c r="AI52" s="31">
        <f t="shared" si="28"/>
        <v>194.10006666666669</v>
      </c>
      <c r="AJ52" s="31">
        <f t="shared" si="29"/>
        <v>219.35090041935905</v>
      </c>
      <c r="AK52" s="31">
        <f t="shared" si="30"/>
        <v>1749.6877029860182</v>
      </c>
      <c r="AL52" s="33">
        <f>[4]SLP!CV52*'[2]SLP-CITROS'!$V$7</f>
        <v>1969.0386034053772</v>
      </c>
      <c r="AM52" s="37">
        <f t="shared" si="6"/>
        <v>0.24675302030733026</v>
      </c>
      <c r="AN52" s="36">
        <f>[1]FUNIL!$I52</f>
        <v>1579.3333333333335</v>
      </c>
      <c r="AO52" s="31">
        <f t="shared" si="31"/>
        <v>1385.2332666666669</v>
      </c>
      <c r="AP52" s="31">
        <f t="shared" si="32"/>
        <v>194.10006666666669</v>
      </c>
      <c r="AQ52" s="31">
        <f t="shared" si="33"/>
        <v>0</v>
      </c>
      <c r="AR52" s="31">
        <f t="shared" si="34"/>
        <v>0</v>
      </c>
      <c r="AS52" s="33">
        <f>[4]SLP!CW52*0.4</f>
        <v>0</v>
      </c>
      <c r="AT52" s="37">
        <f t="shared" si="7"/>
        <v>-1</v>
      </c>
      <c r="AU52" s="36">
        <f>[1]FUNIL!$J52</f>
        <v>1579.3333333333335</v>
      </c>
      <c r="AV52" s="31">
        <f t="shared" si="35"/>
        <v>1385.2332666666669</v>
      </c>
      <c r="AW52" s="31">
        <f t="shared" si="36"/>
        <v>194.10006666666669</v>
      </c>
      <c r="AX52" s="31">
        <f t="shared" si="37"/>
        <v>0</v>
      </c>
      <c r="AY52" s="31">
        <f t="shared" si="38"/>
        <v>0</v>
      </c>
      <c r="AZ52" s="33">
        <f>[4]SLP!CX52*0.4</f>
        <v>0</v>
      </c>
      <c r="BA52" s="37">
        <f t="shared" si="8"/>
        <v>-1</v>
      </c>
      <c r="BB52" s="36">
        <f>[1]FUNIL!$K52</f>
        <v>1579.3333333333335</v>
      </c>
      <c r="BC52" s="31">
        <f t="shared" si="39"/>
        <v>1385.2332666666669</v>
      </c>
      <c r="BD52" s="31">
        <f t="shared" si="40"/>
        <v>194.10006666666669</v>
      </c>
      <c r="BE52" s="31">
        <f t="shared" si="41"/>
        <v>0</v>
      </c>
      <c r="BF52" s="31">
        <f t="shared" si="42"/>
        <v>0</v>
      </c>
      <c r="BG52" s="33">
        <f>[4]SLP!CY52*0.4</f>
        <v>0</v>
      </c>
      <c r="BH52" s="37">
        <f t="shared" si="9"/>
        <v>-1</v>
      </c>
      <c r="BI52" s="36">
        <f>[1]FUNIL!$L52</f>
        <v>1579.3333333333335</v>
      </c>
      <c r="BJ52" s="31">
        <f t="shared" si="43"/>
        <v>1385.2332666666669</v>
      </c>
      <c r="BK52" s="31">
        <f t="shared" si="44"/>
        <v>194.10006666666669</v>
      </c>
      <c r="BL52" s="31">
        <f t="shared" si="45"/>
        <v>0</v>
      </c>
      <c r="BM52" s="31">
        <f t="shared" si="46"/>
        <v>0</v>
      </c>
      <c r="BN52" s="33">
        <f>[4]SLP!CZ52*0.4</f>
        <v>0</v>
      </c>
      <c r="BO52" s="37">
        <f t="shared" si="10"/>
        <v>-1</v>
      </c>
      <c r="BP52" s="36">
        <f>[1]FUNIL!$M52</f>
        <v>1579.3333333333335</v>
      </c>
      <c r="BQ52" s="31">
        <f t="shared" si="47"/>
        <v>1385.2332666666669</v>
      </c>
      <c r="BR52" s="31">
        <f t="shared" si="48"/>
        <v>194.10006666666669</v>
      </c>
      <c r="BS52" s="31">
        <f t="shared" si="49"/>
        <v>0</v>
      </c>
      <c r="BT52" s="31">
        <f t="shared" si="50"/>
        <v>0</v>
      </c>
      <c r="BU52" s="33">
        <f>([4]SLP!DA52*0.4)</f>
        <v>0</v>
      </c>
      <c r="BV52" s="37">
        <f t="shared" si="11"/>
        <v>-1</v>
      </c>
      <c r="BW52" s="36">
        <f>[1]FUNIL!$N52</f>
        <v>1579.3333333333335</v>
      </c>
      <c r="BX52" s="31">
        <f t="shared" si="51"/>
        <v>1385.2332666666669</v>
      </c>
      <c r="BY52" s="31">
        <f t="shared" si="52"/>
        <v>194.10006666666669</v>
      </c>
      <c r="BZ52" s="31">
        <f t="shared" si="53"/>
        <v>0</v>
      </c>
      <c r="CA52" s="31">
        <f t="shared" si="54"/>
        <v>0</v>
      </c>
      <c r="CB52" s="33">
        <f>([4]SLP!DB52*0.4)</f>
        <v>0</v>
      </c>
      <c r="CC52" s="37">
        <f t="shared" si="12"/>
        <v>-1</v>
      </c>
      <c r="CD52" s="36">
        <f>[1]FUNIL!$O52</f>
        <v>1579.3333333333335</v>
      </c>
      <c r="CE52" s="31">
        <f t="shared" si="55"/>
        <v>1385.2332666666669</v>
      </c>
      <c r="CF52" s="31">
        <f t="shared" si="56"/>
        <v>194.10006666666669</v>
      </c>
      <c r="CG52" s="31">
        <f t="shared" si="57"/>
        <v>0</v>
      </c>
      <c r="CH52" s="31">
        <f t="shared" si="58"/>
        <v>0</v>
      </c>
      <c r="CI52" s="33">
        <f>[4]SLP!DC52*0.4</f>
        <v>0</v>
      </c>
      <c r="CJ52" s="37">
        <f t="shared" si="13"/>
        <v>-1</v>
      </c>
      <c r="CK52" s="36">
        <f>[1]FUNIL!$P52</f>
        <v>1579.3333333333335</v>
      </c>
      <c r="CL52" s="31">
        <f t="shared" si="59"/>
        <v>1385.2332666666669</v>
      </c>
      <c r="CM52" s="31">
        <f t="shared" si="60"/>
        <v>194.10006666666669</v>
      </c>
      <c r="CN52" s="31">
        <f t="shared" si="61"/>
        <v>0</v>
      </c>
      <c r="CO52" s="31">
        <f t="shared" si="62"/>
        <v>0</v>
      </c>
      <c r="CP52" s="33">
        <f>[4]SLP!DD52*0.4</f>
        <v>0</v>
      </c>
      <c r="CQ52" s="37">
        <f t="shared" si="63"/>
        <v>-1</v>
      </c>
      <c r="CR52" s="144"/>
    </row>
    <row r="53" spans="1:99" s="26" customFormat="1" ht="16" customHeight="1" x14ac:dyDescent="0.2">
      <c r="A53" s="38" t="s">
        <v>77</v>
      </c>
      <c r="B53" s="30">
        <f t="shared" si="64"/>
        <v>16582.999999999996</v>
      </c>
      <c r="C53" s="31">
        <f t="shared" si="64"/>
        <v>14544.949299999998</v>
      </c>
      <c r="D53" s="32">
        <f t="shared" si="64"/>
        <v>2038.0507</v>
      </c>
      <c r="E53" s="30">
        <f t="shared" si="66"/>
        <v>5527.6666666666661</v>
      </c>
      <c r="F53" s="33">
        <f t="shared" si="66"/>
        <v>4848.3164333333325</v>
      </c>
      <c r="G53" s="34">
        <f t="shared" si="66"/>
        <v>679.35023333333322</v>
      </c>
      <c r="H53" s="31">
        <f t="shared" si="65"/>
        <v>28.91319659797395</v>
      </c>
      <c r="I53" s="33">
        <f t="shared" si="65"/>
        <v>230.63075850053542</v>
      </c>
      <c r="J53" s="33">
        <f t="shared" si="65"/>
        <v>259.5439550985094</v>
      </c>
      <c r="K53" s="37">
        <f t="shared" si="2"/>
        <v>-0.95304638091445892</v>
      </c>
      <c r="L53" s="36">
        <f>[1]FUNIL!$E53</f>
        <v>1381.9166666666665</v>
      </c>
      <c r="M53" s="31">
        <f t="shared" si="15"/>
        <v>1212.0791083333331</v>
      </c>
      <c r="N53" s="31">
        <f t="shared" si="16"/>
        <v>169.83755833333331</v>
      </c>
      <c r="O53" s="31">
        <f t="shared" si="17"/>
        <v>0</v>
      </c>
      <c r="P53" s="31">
        <f t="shared" si="18"/>
        <v>0</v>
      </c>
      <c r="Q53" s="33">
        <f>[4]SLP!CS53*'[3]SLP-CITROS'!$V$7</f>
        <v>0</v>
      </c>
      <c r="R53" s="37">
        <f t="shared" si="3"/>
        <v>-1</v>
      </c>
      <c r="S53" s="36">
        <f>[1]FUNIL!$F53</f>
        <v>1381.9166666666665</v>
      </c>
      <c r="T53" s="31">
        <f t="shared" si="19"/>
        <v>1212.0791083333331</v>
      </c>
      <c r="U53" s="31">
        <f t="shared" si="20"/>
        <v>169.83755833333331</v>
      </c>
      <c r="V53" s="31">
        <f t="shared" si="21"/>
        <v>5.6910172665964467</v>
      </c>
      <c r="W53" s="31">
        <f t="shared" si="22"/>
        <v>45.395313672330346</v>
      </c>
      <c r="X53" s="33">
        <f>[4]SLP!$CT53*'[3]SLP-CITROS'!$V$7</f>
        <v>51.086330938926793</v>
      </c>
      <c r="Y53" s="37">
        <f t="shared" si="4"/>
        <v>-0.96303226368768491</v>
      </c>
      <c r="Z53" s="36">
        <f>[1]FUNIL!$G53</f>
        <v>1381.9166666666665</v>
      </c>
      <c r="AA53" s="31">
        <f t="shared" si="23"/>
        <v>1212.0791083333331</v>
      </c>
      <c r="AB53" s="31">
        <f t="shared" si="24"/>
        <v>169.83755833333331</v>
      </c>
      <c r="AC53" s="31">
        <f t="shared" si="25"/>
        <v>23.222179331377504</v>
      </c>
      <c r="AD53" s="31">
        <f t="shared" si="26"/>
        <v>185.23544482820509</v>
      </c>
      <c r="AE53" s="33">
        <f>[4]SLP!CU53*'[2]SLP-CITROS'!$V$7</f>
        <v>208.45762415958259</v>
      </c>
      <c r="AF53" s="37">
        <f t="shared" si="5"/>
        <v>-0.84915325997015068</v>
      </c>
      <c r="AG53" s="36">
        <f>[1]FUNIL!$H53</f>
        <v>1381.9166666666665</v>
      </c>
      <c r="AH53" s="31">
        <f t="shared" si="27"/>
        <v>1212.0791083333331</v>
      </c>
      <c r="AI53" s="31">
        <f t="shared" si="28"/>
        <v>169.83755833333331</v>
      </c>
      <c r="AJ53" s="31">
        <f t="shared" si="29"/>
        <v>0</v>
      </c>
      <c r="AK53" s="31">
        <f t="shared" si="30"/>
        <v>0</v>
      </c>
      <c r="AL53" s="33">
        <f>[4]SLP!CV53*'[2]SLP-CITROS'!$V$7</f>
        <v>0</v>
      </c>
      <c r="AM53" s="37">
        <f t="shared" si="6"/>
        <v>-1</v>
      </c>
      <c r="AN53" s="36">
        <f>[1]FUNIL!$I53</f>
        <v>1381.9166666666665</v>
      </c>
      <c r="AO53" s="31">
        <f t="shared" si="31"/>
        <v>1212.0791083333331</v>
      </c>
      <c r="AP53" s="31">
        <f t="shared" si="32"/>
        <v>169.83755833333331</v>
      </c>
      <c r="AQ53" s="31">
        <f t="shared" si="33"/>
        <v>0</v>
      </c>
      <c r="AR53" s="31">
        <f t="shared" si="34"/>
        <v>0</v>
      </c>
      <c r="AS53" s="33">
        <f>[4]SLP!CW53*0.4</f>
        <v>0</v>
      </c>
      <c r="AT53" s="37">
        <f t="shared" si="7"/>
        <v>-1</v>
      </c>
      <c r="AU53" s="36">
        <f>[1]FUNIL!$J53</f>
        <v>1381.9166666666665</v>
      </c>
      <c r="AV53" s="31">
        <f t="shared" si="35"/>
        <v>1212.0791083333331</v>
      </c>
      <c r="AW53" s="31">
        <f t="shared" si="36"/>
        <v>169.83755833333331</v>
      </c>
      <c r="AX53" s="31">
        <f t="shared" si="37"/>
        <v>0</v>
      </c>
      <c r="AY53" s="31">
        <f t="shared" si="38"/>
        <v>0</v>
      </c>
      <c r="AZ53" s="33">
        <f>[4]SLP!CX53*0.4</f>
        <v>0</v>
      </c>
      <c r="BA53" s="37">
        <f t="shared" si="8"/>
        <v>-1</v>
      </c>
      <c r="BB53" s="36">
        <f>[1]FUNIL!$K53</f>
        <v>1381.9166666666665</v>
      </c>
      <c r="BC53" s="31">
        <f t="shared" si="39"/>
        <v>1212.0791083333331</v>
      </c>
      <c r="BD53" s="31">
        <f t="shared" si="40"/>
        <v>169.83755833333331</v>
      </c>
      <c r="BE53" s="31">
        <f t="shared" si="41"/>
        <v>0</v>
      </c>
      <c r="BF53" s="31">
        <f t="shared" si="42"/>
        <v>0</v>
      </c>
      <c r="BG53" s="33">
        <f>[4]SLP!CY53*0.4</f>
        <v>0</v>
      </c>
      <c r="BH53" s="37">
        <f t="shared" si="9"/>
        <v>-1</v>
      </c>
      <c r="BI53" s="36">
        <f>[1]FUNIL!$L53</f>
        <v>1381.9166666666665</v>
      </c>
      <c r="BJ53" s="31">
        <f t="shared" si="43"/>
        <v>1212.0791083333331</v>
      </c>
      <c r="BK53" s="31">
        <f t="shared" si="44"/>
        <v>169.83755833333331</v>
      </c>
      <c r="BL53" s="31">
        <f t="shared" si="45"/>
        <v>0</v>
      </c>
      <c r="BM53" s="31">
        <f t="shared" si="46"/>
        <v>0</v>
      </c>
      <c r="BN53" s="33">
        <f>[4]SLP!CZ53*0.4</f>
        <v>0</v>
      </c>
      <c r="BO53" s="37">
        <f t="shared" si="10"/>
        <v>-1</v>
      </c>
      <c r="BP53" s="36">
        <f>[1]FUNIL!$M53</f>
        <v>1381.9166666666665</v>
      </c>
      <c r="BQ53" s="31">
        <f t="shared" si="47"/>
        <v>1212.0791083333331</v>
      </c>
      <c r="BR53" s="31">
        <f t="shared" si="48"/>
        <v>169.83755833333331</v>
      </c>
      <c r="BS53" s="31">
        <f t="shared" si="49"/>
        <v>0</v>
      </c>
      <c r="BT53" s="31">
        <f t="shared" si="50"/>
        <v>0</v>
      </c>
      <c r="BU53" s="33">
        <f>[4]SLP!DA53*0.4</f>
        <v>0</v>
      </c>
      <c r="BV53" s="37">
        <f t="shared" si="11"/>
        <v>-1</v>
      </c>
      <c r="BW53" s="36">
        <f>[1]FUNIL!$N53</f>
        <v>1381.9166666666665</v>
      </c>
      <c r="BX53" s="31">
        <f t="shared" si="51"/>
        <v>1212.0791083333331</v>
      </c>
      <c r="BY53" s="31">
        <f t="shared" si="52"/>
        <v>169.83755833333331</v>
      </c>
      <c r="BZ53" s="31">
        <f t="shared" si="53"/>
        <v>0</v>
      </c>
      <c r="CA53" s="31">
        <f t="shared" si="54"/>
        <v>0</v>
      </c>
      <c r="CB53" s="33">
        <f>[4]SLP!DB53*0.4</f>
        <v>0</v>
      </c>
      <c r="CC53" s="37">
        <f t="shared" si="12"/>
        <v>-1</v>
      </c>
      <c r="CD53" s="36">
        <f>[1]FUNIL!$O53</f>
        <v>1381.9166666666665</v>
      </c>
      <c r="CE53" s="31">
        <f t="shared" si="55"/>
        <v>1212.0791083333331</v>
      </c>
      <c r="CF53" s="31">
        <f t="shared" si="56"/>
        <v>169.83755833333331</v>
      </c>
      <c r="CG53" s="31">
        <f t="shared" si="57"/>
        <v>0</v>
      </c>
      <c r="CH53" s="31">
        <f t="shared" si="58"/>
        <v>0</v>
      </c>
      <c r="CI53" s="33">
        <f>[4]SLP!DC53*0.4</f>
        <v>0</v>
      </c>
      <c r="CJ53" s="37">
        <f t="shared" si="13"/>
        <v>-1</v>
      </c>
      <c r="CK53" s="36">
        <f>[1]FUNIL!$P53</f>
        <v>1381.9166666666665</v>
      </c>
      <c r="CL53" s="31">
        <f t="shared" si="59"/>
        <v>1212.0791083333331</v>
      </c>
      <c r="CM53" s="31">
        <f t="shared" si="60"/>
        <v>169.83755833333331</v>
      </c>
      <c r="CN53" s="31">
        <f t="shared" si="61"/>
        <v>0</v>
      </c>
      <c r="CO53" s="31">
        <f t="shared" si="62"/>
        <v>0</v>
      </c>
      <c r="CP53" s="33">
        <f>[4]SLP!DD53*0.4</f>
        <v>0</v>
      </c>
      <c r="CQ53" s="37">
        <f t="shared" si="63"/>
        <v>-1</v>
      </c>
      <c r="CR53" s="144"/>
    </row>
    <row r="54" spans="1:99" s="26" customFormat="1" ht="16" customHeight="1" thickBot="1" x14ac:dyDescent="0.25">
      <c r="A54" s="39" t="s">
        <v>78</v>
      </c>
      <c r="B54" s="50">
        <f t="shared" si="64"/>
        <v>186057.80694638035</v>
      </c>
      <c r="C54" s="40">
        <f t="shared" si="64"/>
        <v>163191.30247267021</v>
      </c>
      <c r="D54" s="51">
        <f t="shared" si="64"/>
        <v>22866.504473710142</v>
      </c>
      <c r="E54" s="52">
        <f t="shared" si="66"/>
        <v>106318.74682650305</v>
      </c>
      <c r="F54" s="53">
        <f t="shared" si="66"/>
        <v>93252.172841525826</v>
      </c>
      <c r="G54" s="54">
        <f t="shared" si="66"/>
        <v>13066.573984977224</v>
      </c>
      <c r="H54" s="40">
        <f t="shared" si="65"/>
        <v>6246.7052273519166</v>
      </c>
      <c r="I54" s="53">
        <f t="shared" si="65"/>
        <v>49827.847980474966</v>
      </c>
      <c r="J54" s="53">
        <f t="shared" si="65"/>
        <v>56074.553207826881</v>
      </c>
      <c r="K54" s="60">
        <f t="shared" si="2"/>
        <v>-0.47258075474372818</v>
      </c>
      <c r="L54" s="87">
        <f>[1]FUNIL!$E54</f>
        <v>26579.686706625762</v>
      </c>
      <c r="M54" s="40">
        <f t="shared" si="15"/>
        <v>23313.043210381456</v>
      </c>
      <c r="N54" s="40">
        <f t="shared" si="16"/>
        <v>3266.6434962443059</v>
      </c>
      <c r="O54" s="40">
        <f t="shared" si="17"/>
        <v>888.27129400000013</v>
      </c>
      <c r="P54" s="40">
        <f t="shared" si="18"/>
        <v>7085.4387059999999</v>
      </c>
      <c r="Q54" s="53">
        <f>[4]SLP!CS54*'[3]SLP-CITROS'!$V$7+7973.71</f>
        <v>7973.71</v>
      </c>
      <c r="R54" s="60">
        <f t="shared" si="3"/>
        <v>-0.70000737450331496</v>
      </c>
      <c r="S54" s="87">
        <f>[1]FUNIL!$F54</f>
        <v>26579.686706625762</v>
      </c>
      <c r="T54" s="40">
        <f t="shared" si="19"/>
        <v>23313.043210381456</v>
      </c>
      <c r="U54" s="40">
        <f t="shared" si="20"/>
        <v>3266.6434962443059</v>
      </c>
      <c r="V54" s="40">
        <f t="shared" si="21"/>
        <v>2828.6013034145726</v>
      </c>
      <c r="W54" s="40">
        <f t="shared" si="22"/>
        <v>22562.792802640815</v>
      </c>
      <c r="X54" s="53">
        <f>[4]SLP!$CT54*'[3]SLP-CITROS'!$V$7</f>
        <v>25391.394106055388</v>
      </c>
      <c r="Y54" s="60">
        <f t="shared" si="4"/>
        <v>-4.4706794842474862E-2</v>
      </c>
      <c r="Z54" s="87">
        <f>[1]FUNIL!$G54</f>
        <v>26579.686706625762</v>
      </c>
      <c r="AA54" s="40">
        <f t="shared" si="23"/>
        <v>23313.043210381456</v>
      </c>
      <c r="AB54" s="40">
        <f t="shared" si="24"/>
        <v>3266.6434962443059</v>
      </c>
      <c r="AC54" s="40">
        <f t="shared" si="25"/>
        <v>2529.8326299373439</v>
      </c>
      <c r="AD54" s="40">
        <f t="shared" si="26"/>
        <v>20179.616471834146</v>
      </c>
      <c r="AE54" s="53">
        <f>[4]SLP!CU54*'[2]SLP-CITROS'!$V$7</f>
        <v>22709.44910177149</v>
      </c>
      <c r="AF54" s="60">
        <f t="shared" si="5"/>
        <v>-0.14560884962912302</v>
      </c>
      <c r="AG54" s="87">
        <f>[1]FUNIL!$H54</f>
        <v>26579.686706625762</v>
      </c>
      <c r="AH54" s="40">
        <f t="shared" si="27"/>
        <v>23313.043210381456</v>
      </c>
      <c r="AI54" s="40">
        <f t="shared" si="28"/>
        <v>3266.6434962443059</v>
      </c>
      <c r="AJ54" s="40">
        <f t="shared" si="29"/>
        <v>0</v>
      </c>
      <c r="AK54" s="40">
        <f t="shared" si="30"/>
        <v>0</v>
      </c>
      <c r="AL54" s="53">
        <f>[4]SLP!CV54*'[2]SLP-CITROS'!$V$7</f>
        <v>0</v>
      </c>
      <c r="AM54" s="60">
        <f t="shared" si="6"/>
        <v>-1</v>
      </c>
      <c r="AN54" s="56">
        <f>[1]FUNIL!$I54</f>
        <v>26579.686706625762</v>
      </c>
      <c r="AO54" s="40">
        <f t="shared" si="31"/>
        <v>23313.043210381456</v>
      </c>
      <c r="AP54" s="40">
        <f t="shared" si="32"/>
        <v>3266.6434962443059</v>
      </c>
      <c r="AQ54" s="40">
        <f t="shared" si="33"/>
        <v>0</v>
      </c>
      <c r="AR54" s="40">
        <f t="shared" si="34"/>
        <v>0</v>
      </c>
      <c r="AS54" s="58">
        <f>[4]SLP!CW54*0.4</f>
        <v>0</v>
      </c>
      <c r="AT54" s="60">
        <f t="shared" si="7"/>
        <v>-1</v>
      </c>
      <c r="AU54" s="56">
        <f>[1]FUNIL!$J54</f>
        <v>26579.686706625762</v>
      </c>
      <c r="AV54" s="40">
        <f t="shared" si="35"/>
        <v>23313.043210381456</v>
      </c>
      <c r="AW54" s="40">
        <f t="shared" si="36"/>
        <v>3266.6434962443059</v>
      </c>
      <c r="AX54" s="40">
        <f t="shared" si="37"/>
        <v>0</v>
      </c>
      <c r="AY54" s="40">
        <f t="shared" si="38"/>
        <v>0</v>
      </c>
      <c r="AZ54" s="58">
        <f>[4]SLP!CX54*0.4</f>
        <v>0</v>
      </c>
      <c r="BA54" s="60">
        <f t="shared" si="8"/>
        <v>-1</v>
      </c>
      <c r="BB54" s="56">
        <f>[1]FUNIL!$K54</f>
        <v>26579.686706625762</v>
      </c>
      <c r="BC54" s="40">
        <f t="shared" si="39"/>
        <v>23313.043210381456</v>
      </c>
      <c r="BD54" s="40">
        <f t="shared" si="40"/>
        <v>3266.6434962443059</v>
      </c>
      <c r="BE54" s="40">
        <f t="shared" si="41"/>
        <v>0</v>
      </c>
      <c r="BF54" s="40">
        <f t="shared" si="42"/>
        <v>0</v>
      </c>
      <c r="BG54" s="58">
        <f>[4]SLP!CY54*0.4</f>
        <v>0</v>
      </c>
      <c r="BH54" s="60">
        <f t="shared" si="9"/>
        <v>-1</v>
      </c>
      <c r="BI54" s="56">
        <f>[1]FUNIL!$L54</f>
        <v>0</v>
      </c>
      <c r="BJ54" s="40">
        <f t="shared" si="43"/>
        <v>0</v>
      </c>
      <c r="BK54" s="40">
        <f t="shared" si="44"/>
        <v>0</v>
      </c>
      <c r="BL54" s="40">
        <f t="shared" si="45"/>
        <v>0</v>
      </c>
      <c r="BM54" s="40">
        <f t="shared" si="46"/>
        <v>0</v>
      </c>
      <c r="BN54" s="58">
        <f>([4]SLP!CZ54*0.4)</f>
        <v>0</v>
      </c>
      <c r="BO54" s="60" t="str">
        <f t="shared" si="10"/>
        <v/>
      </c>
      <c r="BP54" s="56">
        <f>[1]FUNIL!$M54</f>
        <v>0</v>
      </c>
      <c r="BQ54" s="40">
        <f t="shared" si="47"/>
        <v>0</v>
      </c>
      <c r="BR54" s="40">
        <f t="shared" si="48"/>
        <v>0</v>
      </c>
      <c r="BS54" s="40">
        <f t="shared" si="49"/>
        <v>0</v>
      </c>
      <c r="BT54" s="40">
        <f t="shared" si="50"/>
        <v>0</v>
      </c>
      <c r="BU54" s="58">
        <f>[4]SLP!DA54*0.4</f>
        <v>0</v>
      </c>
      <c r="BV54" s="60" t="str">
        <f t="shared" si="11"/>
        <v/>
      </c>
      <c r="BW54" s="87">
        <f>[1]FUNIL!$N54</f>
        <v>0</v>
      </c>
      <c r="BX54" s="40">
        <f t="shared" si="51"/>
        <v>0</v>
      </c>
      <c r="BY54" s="40">
        <f t="shared" si="52"/>
        <v>0</v>
      </c>
      <c r="BZ54" s="40">
        <f t="shared" si="53"/>
        <v>0</v>
      </c>
      <c r="CA54" s="40">
        <f t="shared" si="54"/>
        <v>0</v>
      </c>
      <c r="CB54" s="53">
        <f>[4]SLP!DB54*0.4</f>
        <v>0</v>
      </c>
      <c r="CC54" s="60" t="str">
        <f t="shared" si="12"/>
        <v/>
      </c>
      <c r="CD54" s="87">
        <f>[1]FUNIL!$O54</f>
        <v>0</v>
      </c>
      <c r="CE54" s="40">
        <f t="shared" si="55"/>
        <v>0</v>
      </c>
      <c r="CF54" s="40">
        <f t="shared" si="56"/>
        <v>0</v>
      </c>
      <c r="CG54" s="40">
        <f t="shared" si="57"/>
        <v>0</v>
      </c>
      <c r="CH54" s="40">
        <f t="shared" si="58"/>
        <v>0</v>
      </c>
      <c r="CI54" s="53">
        <f>[4]SLP!DC54*0.4</f>
        <v>0</v>
      </c>
      <c r="CJ54" s="60" t="str">
        <f t="shared" si="13"/>
        <v/>
      </c>
      <c r="CK54" s="87">
        <f>[1]FUNIL!$P54</f>
        <v>0</v>
      </c>
      <c r="CL54" s="40">
        <f t="shared" si="59"/>
        <v>0</v>
      </c>
      <c r="CM54" s="40">
        <f t="shared" si="60"/>
        <v>0</v>
      </c>
      <c r="CN54" s="40">
        <f t="shared" si="61"/>
        <v>0</v>
      </c>
      <c r="CO54" s="40">
        <f t="shared" si="62"/>
        <v>0</v>
      </c>
      <c r="CP54" s="53">
        <f>[4]SLP!DD54*0.4</f>
        <v>0</v>
      </c>
      <c r="CQ54" s="60" t="str">
        <f t="shared" si="63"/>
        <v/>
      </c>
      <c r="CR54" s="144"/>
    </row>
    <row r="55" spans="1:99" s="26" customFormat="1" ht="16" customHeight="1" thickBot="1" x14ac:dyDescent="0.25">
      <c r="A55" s="119" t="s">
        <v>79</v>
      </c>
      <c r="B55" s="63">
        <f t="shared" ref="B55:J55" si="67">SUM(B4:B54)</f>
        <v>12681392.440186968</v>
      </c>
      <c r="C55" s="64">
        <f t="shared" si="67"/>
        <v>11122849.309287984</v>
      </c>
      <c r="D55" s="65">
        <f t="shared" si="67"/>
        <v>1558543.1308989781</v>
      </c>
      <c r="E55" s="63">
        <f t="shared" si="67"/>
        <v>5539342.1019306676</v>
      </c>
      <c r="F55" s="66">
        <f t="shared" si="67"/>
        <v>4858556.9576033885</v>
      </c>
      <c r="G55" s="67">
        <f t="shared" si="67"/>
        <v>680785.14432727918</v>
      </c>
      <c r="H55" s="64">
        <f t="shared" si="67"/>
        <v>591767.21406018652</v>
      </c>
      <c r="I55" s="66">
        <f t="shared" si="67"/>
        <v>4720326.269424432</v>
      </c>
      <c r="J55" s="66">
        <f t="shared" si="67"/>
        <v>5312093.4834846146</v>
      </c>
      <c r="K55" s="120">
        <f>+J55/E55-1</f>
        <v>-4.1024478045298629E-2</v>
      </c>
      <c r="L55" s="69">
        <f t="shared" ref="L55:X55" si="68">SUM(L4:L54)</f>
        <v>1569529.9168592587</v>
      </c>
      <c r="M55" s="69">
        <f t="shared" si="68"/>
        <v>1376634.6900772559</v>
      </c>
      <c r="N55" s="69">
        <f t="shared" si="68"/>
        <v>192895.22678200289</v>
      </c>
      <c r="O55" s="64">
        <f t="shared" si="68"/>
        <v>118676.43469804598</v>
      </c>
      <c r="P55" s="64">
        <f t="shared" si="68"/>
        <v>946641.65056268941</v>
      </c>
      <c r="Q55" s="66">
        <f t="shared" si="68"/>
        <v>1065318.0852607354</v>
      </c>
      <c r="R55" s="120">
        <f>+Q55/L55-1</f>
        <v>-0.32125022032551453</v>
      </c>
      <c r="S55" s="69">
        <f t="shared" si="68"/>
        <v>1361242.3191371036</v>
      </c>
      <c r="T55" s="69">
        <f t="shared" si="68"/>
        <v>1193945.6381151536</v>
      </c>
      <c r="U55" s="69">
        <f t="shared" si="68"/>
        <v>167296.68102195006</v>
      </c>
      <c r="V55" s="64">
        <f t="shared" si="68"/>
        <v>183809.48514570965</v>
      </c>
      <c r="W55" s="64">
        <f t="shared" si="68"/>
        <v>1466185.8931820239</v>
      </c>
      <c r="X55" s="66">
        <f t="shared" si="68"/>
        <v>1649995.3783277336</v>
      </c>
      <c r="Y55" s="120">
        <f>+X55/S55-1</f>
        <v>0.21212465637541422</v>
      </c>
      <c r="Z55" s="69">
        <f t="shared" ref="Z55:AE55" si="69">SUM(Z4:Z54)</f>
        <v>1436536.6736445175</v>
      </c>
      <c r="AA55" s="69">
        <f t="shared" si="69"/>
        <v>1259986.3164536064</v>
      </c>
      <c r="AB55" s="69">
        <f t="shared" si="69"/>
        <v>176550.35719091122</v>
      </c>
      <c r="AC55" s="64">
        <f t="shared" si="69"/>
        <v>164229.05475137604</v>
      </c>
      <c r="AD55" s="64">
        <f t="shared" si="69"/>
        <v>1309999.443914477</v>
      </c>
      <c r="AE55" s="66">
        <f t="shared" si="69"/>
        <v>1474228.498665852</v>
      </c>
      <c r="AF55" s="120">
        <f>+AE55/Z55-1</f>
        <v>2.6237983138787335E-2</v>
      </c>
      <c r="AG55" s="69">
        <f t="shared" ref="AG55:AL55" si="70">SUM(AG4:AG54)</f>
        <v>1172033.1922897873</v>
      </c>
      <c r="AH55" s="69">
        <f t="shared" si="70"/>
        <v>1027990.3129573726</v>
      </c>
      <c r="AI55" s="69">
        <f t="shared" si="70"/>
        <v>144042.87933241486</v>
      </c>
      <c r="AJ55" s="64">
        <f t="shared" si="70"/>
        <v>125052.23946505491</v>
      </c>
      <c r="AK55" s="64">
        <f t="shared" si="70"/>
        <v>997499.28176524001</v>
      </c>
      <c r="AL55" s="66">
        <f t="shared" si="70"/>
        <v>1122551.5212302948</v>
      </c>
      <c r="AM55" s="120">
        <f>+AL55/AG55-1</f>
        <v>-4.2218660175332379E-2</v>
      </c>
      <c r="AN55" s="69">
        <f t="shared" ref="AN55:AS55" si="71">SUM(AN4:AN54)</f>
        <v>1226993.5198152133</v>
      </c>
      <c r="AO55" s="69">
        <f t="shared" si="71"/>
        <v>1076196.0162299243</v>
      </c>
      <c r="AP55" s="69">
        <f t="shared" si="71"/>
        <v>150797.50358528976</v>
      </c>
      <c r="AQ55" s="64">
        <f t="shared" si="71"/>
        <v>0</v>
      </c>
      <c r="AR55" s="64">
        <f t="shared" si="71"/>
        <v>0</v>
      </c>
      <c r="AS55" s="66">
        <f t="shared" si="71"/>
        <v>0</v>
      </c>
      <c r="AT55" s="120">
        <f>+AS55/AN55-1</f>
        <v>-1</v>
      </c>
      <c r="AU55" s="69">
        <f t="shared" ref="AU55:AZ55" si="72">SUM(AU4:AU54)</f>
        <v>1153311.937965289</v>
      </c>
      <c r="AV55" s="69">
        <f t="shared" si="72"/>
        <v>1011569.9007893549</v>
      </c>
      <c r="AW55" s="69">
        <f t="shared" si="72"/>
        <v>141742.03717593398</v>
      </c>
      <c r="AX55" s="64">
        <f t="shared" si="72"/>
        <v>0</v>
      </c>
      <c r="AY55" s="64">
        <f t="shared" si="72"/>
        <v>0</v>
      </c>
      <c r="AZ55" s="66">
        <f t="shared" si="72"/>
        <v>0</v>
      </c>
      <c r="BA55" s="120">
        <f>+AZ55/AU55-1</f>
        <v>-1</v>
      </c>
      <c r="BB55" s="69">
        <f t="shared" ref="BB55:BG55" si="73">SUM(BB4:BB54)</f>
        <v>1250035.0930176787</v>
      </c>
      <c r="BC55" s="69">
        <f t="shared" si="73"/>
        <v>1096405.7800858063</v>
      </c>
      <c r="BD55" s="69">
        <f t="shared" si="73"/>
        <v>153629.31293187273</v>
      </c>
      <c r="BE55" s="64">
        <f t="shared" si="73"/>
        <v>0</v>
      </c>
      <c r="BF55" s="64">
        <f t="shared" si="73"/>
        <v>0</v>
      </c>
      <c r="BG55" s="66">
        <f t="shared" si="73"/>
        <v>0</v>
      </c>
      <c r="BH55" s="120">
        <f>+BG55/BB55-1</f>
        <v>-1</v>
      </c>
      <c r="BI55" s="69">
        <f t="shared" ref="BI55:BN55" si="74">SUM(BI4:BI54)</f>
        <v>848550.07175015006</v>
      </c>
      <c r="BJ55" s="69">
        <f t="shared" si="74"/>
        <v>744263.26793205668</v>
      </c>
      <c r="BK55" s="69">
        <f t="shared" si="74"/>
        <v>104286.80381809344</v>
      </c>
      <c r="BL55" s="64">
        <f t="shared" si="74"/>
        <v>0</v>
      </c>
      <c r="BM55" s="64">
        <f t="shared" si="74"/>
        <v>0</v>
      </c>
      <c r="BN55" s="123">
        <f t="shared" si="74"/>
        <v>0</v>
      </c>
      <c r="BO55" s="120">
        <f>+BN55/BI55-1</f>
        <v>-1</v>
      </c>
      <c r="BP55" s="69">
        <f t="shared" ref="BP55:BU55" si="75">SUM(BP4:BP54)</f>
        <v>849809.00707092707</v>
      </c>
      <c r="BQ55" s="69">
        <f t="shared" si="75"/>
        <v>745367.48010191019</v>
      </c>
      <c r="BR55" s="69">
        <f t="shared" si="75"/>
        <v>104441.52696901695</v>
      </c>
      <c r="BS55" s="64">
        <f t="shared" si="75"/>
        <v>0</v>
      </c>
      <c r="BT55" s="64">
        <f t="shared" si="75"/>
        <v>0</v>
      </c>
      <c r="BU55" s="123">
        <f t="shared" si="75"/>
        <v>0</v>
      </c>
      <c r="BV55" s="120">
        <f>+BU55/BP55-1</f>
        <v>-1</v>
      </c>
      <c r="BW55" s="69">
        <f t="shared" ref="BW55:CB55" si="76">SUM(BW4:BW54)</f>
        <v>665591.79016425519</v>
      </c>
      <c r="BX55" s="69">
        <f t="shared" si="76"/>
        <v>583790.55915306823</v>
      </c>
      <c r="BY55" s="69">
        <f t="shared" si="76"/>
        <v>81801.231011186974</v>
      </c>
      <c r="BZ55" s="64">
        <f t="shared" si="76"/>
        <v>0</v>
      </c>
      <c r="CA55" s="64">
        <f t="shared" si="76"/>
        <v>0</v>
      </c>
      <c r="CB55" s="123">
        <f t="shared" si="76"/>
        <v>0</v>
      </c>
      <c r="CC55" s="120">
        <f>+CB55/BW55-1</f>
        <v>-1</v>
      </c>
      <c r="CD55" s="69">
        <f t="shared" ref="CD55:CI55" si="77">SUM(CD4:CD54)</f>
        <v>570585.98149452731</v>
      </c>
      <c r="CE55" s="69">
        <f t="shared" si="77"/>
        <v>500460.96436884999</v>
      </c>
      <c r="CF55" s="69">
        <f t="shared" si="77"/>
        <v>70125.017125677419</v>
      </c>
      <c r="CG55" s="64">
        <f t="shared" si="77"/>
        <v>0</v>
      </c>
      <c r="CH55" s="64">
        <f t="shared" si="77"/>
        <v>0</v>
      </c>
      <c r="CI55" s="123">
        <f t="shared" si="77"/>
        <v>0</v>
      </c>
      <c r="CJ55" s="120">
        <f>+CI55/CD55-1</f>
        <v>-1</v>
      </c>
      <c r="CK55" s="69">
        <f t="shared" ref="CK55:CP55" si="78">SUM(CK4:CK54)</f>
        <v>577172.93697825528</v>
      </c>
      <c r="CL55" s="69">
        <f t="shared" si="78"/>
        <v>506238.38302362792</v>
      </c>
      <c r="CM55" s="69">
        <f t="shared" si="78"/>
        <v>70934.553954627598</v>
      </c>
      <c r="CN55" s="64">
        <f t="shared" si="78"/>
        <v>0</v>
      </c>
      <c r="CO55" s="64">
        <f t="shared" si="78"/>
        <v>0</v>
      </c>
      <c r="CP55" s="123">
        <f t="shared" si="78"/>
        <v>0</v>
      </c>
      <c r="CQ55" s="120">
        <f>+CP55/CK55-1</f>
        <v>-1</v>
      </c>
      <c r="CR55" s="72"/>
      <c r="CS55" s="72"/>
      <c r="CT55" s="72"/>
      <c r="CU55" s="72"/>
    </row>
    <row r="56" spans="1:99" s="26" customFormat="1" ht="16" customHeight="1" x14ac:dyDescent="0.2">
      <c r="A56" s="125" t="s">
        <v>80</v>
      </c>
      <c r="B56" s="75">
        <f>+L56+S56+Z56+AG56+AN56+AU56+BB56+BI56+BP56+BW56+CD56+CK56</f>
        <v>-182251.26861591695</v>
      </c>
      <c r="C56" s="76">
        <f t="shared" ref="C56:D57" si="79">+M56+T56+AA56+AH56+AO56+AV56+BC56+BJ56+BQ56+BX56+CE56+CL56</f>
        <v>-159852.58770302075</v>
      </c>
      <c r="D56" s="77">
        <f t="shared" si="79"/>
        <v>-22398.68091289619</v>
      </c>
      <c r="E56" s="75">
        <f>+L56+S56+Z56+AG56</f>
        <v>-60750.422871972318</v>
      </c>
      <c r="F56" s="78">
        <f t="shared" ref="F56:G57" si="80">+M56+T56+AA56+AH56</f>
        <v>-53284.195901006919</v>
      </c>
      <c r="G56" s="79">
        <f t="shared" si="80"/>
        <v>-7466.2269709653974</v>
      </c>
      <c r="H56" s="76">
        <f t="shared" ref="H56:J57" si="81">+O56+V56+AC56+AJ56+AQ56+AX56+BE56+BL56+BS56+BZ56+CG56+CN56</f>
        <v>-15650.579315953024</v>
      </c>
      <c r="I56" s="78">
        <f t="shared" si="81"/>
        <v>-124839.36068362523</v>
      </c>
      <c r="J56" s="78">
        <f t="shared" si="81"/>
        <v>-140489.93999957826</v>
      </c>
      <c r="K56" s="25">
        <f t="shared" ref="K56:K57" si="82">IF(E56=0,"",(+J56/E56-1))</f>
        <v>1.3125755074273631</v>
      </c>
      <c r="L56" s="23">
        <f>[1]FUNIL!$E56</f>
        <v>-15187.605717993079</v>
      </c>
      <c r="M56" s="18">
        <f t="shared" ref="M56:M57" si="83">L56-N56</f>
        <v>-13321.04897525173</v>
      </c>
      <c r="N56" s="18">
        <f t="shared" ref="N56:N57" si="84">+L56*12.29%</f>
        <v>-1866.5567427413494</v>
      </c>
      <c r="O56" s="18">
        <f t="shared" ref="O56:O57" si="85">+Q56-P56</f>
        <v>0</v>
      </c>
      <c r="P56" s="18">
        <f t="shared" ref="P56:P57" si="86">+Q56*88.86%</f>
        <v>0</v>
      </c>
      <c r="Q56" s="20">
        <f>[4]SLP!CS56*'[3]SLP-CITROS'!$V$7</f>
        <v>0</v>
      </c>
      <c r="R56" s="25">
        <f t="shared" ref="R56:R57" si="87">IF(L56=0,"",(+Q56/L56-1))</f>
        <v>-1</v>
      </c>
      <c r="S56" s="23">
        <f>[1]FUNIL!$F56</f>
        <v>-15187.605717993079</v>
      </c>
      <c r="T56" s="18">
        <f t="shared" ref="T56:T57" si="88">S56-U56</f>
        <v>-13321.04897525173</v>
      </c>
      <c r="U56" s="18">
        <f t="shared" ref="U56:U57" si="89">+S56*12.29%</f>
        <v>-1866.5567427413494</v>
      </c>
      <c r="V56" s="18">
        <f t="shared" ref="V56:V57" si="90">+X56-W56</f>
        <v>-6151.3183330973625</v>
      </c>
      <c r="W56" s="18">
        <f t="shared" ref="W56:W57" si="91">+X56*88.86%</f>
        <v>-49066.979091474976</v>
      </c>
      <c r="X56" s="20">
        <f>[4]SLP!$CT56*'[3]SLP-CITROS'!$V$7</f>
        <v>-55218.297424572338</v>
      </c>
      <c r="Y56" s="25">
        <f>IF(S56=0,"",(+X56/S56-1))</f>
        <v>2.635747362018626</v>
      </c>
      <c r="Z56" s="81">
        <f>[1]FUNIL!$G56</f>
        <v>-15187.605717993079</v>
      </c>
      <c r="AA56" s="76">
        <f t="shared" ref="AA56:AA57" si="92">Z56-AB56</f>
        <v>-13321.04897525173</v>
      </c>
      <c r="AB56" s="76">
        <f t="shared" ref="AB56:AB57" si="93">+Z56*12.29%</f>
        <v>-1866.5567427413494</v>
      </c>
      <c r="AC56" s="18">
        <f t="shared" ref="AC56:AC57" si="94">+AE56-AD56</f>
        <v>848.40384968377293</v>
      </c>
      <c r="AD56" s="18">
        <f t="shared" ref="AD56:AD57" si="95">+AE56*88.86%</f>
        <v>6767.4296304219042</v>
      </c>
      <c r="AE56" s="78">
        <f>[4]SLP!CU56*'[2]SLP-CITROS'!$V$7</f>
        <v>7615.8334801056772</v>
      </c>
      <c r="AF56" s="25">
        <f t="shared" ref="AF56:AF57" si="96">IF(Z56=0,"",(+AE56/Z56-1))</f>
        <v>-1.5014505657783199</v>
      </c>
      <c r="AG56" s="23">
        <f>[1]FUNIL!$H56</f>
        <v>-15187.605717993079</v>
      </c>
      <c r="AH56" s="18">
        <f t="shared" ref="AH56:AH57" si="97">AG56-AI56</f>
        <v>-13321.04897525173</v>
      </c>
      <c r="AI56" s="18">
        <f t="shared" ref="AI56:AI57" si="98">+AG56*12.29%</f>
        <v>-1866.5567427413494</v>
      </c>
      <c r="AJ56" s="18">
        <f t="shared" ref="AJ56:AJ57" si="99">+AL56-AK56</f>
        <v>-10347.664832539434</v>
      </c>
      <c r="AK56" s="18">
        <f t="shared" ref="AK56:AK57" si="100">+AL56*88.86%</f>
        <v>-82539.811222572156</v>
      </c>
      <c r="AL56" s="20">
        <f>[4]SLP!CV56*'[2]SLP-CITROS'!$V$7</f>
        <v>-92887.476055111591</v>
      </c>
      <c r="AM56" s="25">
        <f t="shared" ref="AM56:AM57" si="101">IF(AG56=0,"",(+AL56/AG56-1))</f>
        <v>5.1160052334691457</v>
      </c>
      <c r="AN56" s="23">
        <f>[1]FUNIL!$I56</f>
        <v>-15187.605717993079</v>
      </c>
      <c r="AO56" s="18">
        <f t="shared" ref="AO56:AO57" si="102">AN56-AP56</f>
        <v>-13321.04897525173</v>
      </c>
      <c r="AP56" s="18">
        <f t="shared" ref="AP56:AP57" si="103">+AN56*12.29%</f>
        <v>-1866.5567427413494</v>
      </c>
      <c r="AQ56" s="18">
        <f t="shared" ref="AQ56:AQ57" si="104">+AS56-AR56</f>
        <v>0</v>
      </c>
      <c r="AR56" s="18">
        <f t="shared" ref="AR56:AR57" si="105">+AS56*88.86%</f>
        <v>0</v>
      </c>
      <c r="AS56" s="20">
        <f>[4]SLP!CW56*0.4</f>
        <v>0</v>
      </c>
      <c r="AT56" s="25">
        <f t="shared" ref="AT56:AT57" si="106">IF(AN56=0,"",(+AS56/AN56-1))</f>
        <v>-1</v>
      </c>
      <c r="AU56" s="23">
        <f>[1]FUNIL!$J56</f>
        <v>-15187.605717993079</v>
      </c>
      <c r="AV56" s="18">
        <f t="shared" ref="AV56:AV57" si="107">AU56-AW56</f>
        <v>-13321.04897525173</v>
      </c>
      <c r="AW56" s="18">
        <f t="shared" ref="AW56:AW57" si="108">+AU56*12.29%</f>
        <v>-1866.5567427413494</v>
      </c>
      <c r="AX56" s="18">
        <f t="shared" ref="AX56:AX57" si="109">+AZ56-AY56</f>
        <v>0</v>
      </c>
      <c r="AY56" s="18">
        <f t="shared" ref="AY56:AY57" si="110">+AZ56*88.86%</f>
        <v>0</v>
      </c>
      <c r="AZ56" s="20">
        <f>[4]SLP!CX56*0.4</f>
        <v>0</v>
      </c>
      <c r="BA56" s="25">
        <f t="shared" ref="BA56:BA57" si="111">IF(AU56=0,"",(+AZ56/AU56-1))</f>
        <v>-1</v>
      </c>
      <c r="BB56" s="23">
        <f>[1]FUNIL!$K56</f>
        <v>-15187.605717993079</v>
      </c>
      <c r="BC56" s="18">
        <f t="shared" ref="BC56:BC57" si="112">BB56-BD56</f>
        <v>-13321.04897525173</v>
      </c>
      <c r="BD56" s="18">
        <f t="shared" ref="BD56:BD57" si="113">+BB56*12.29%</f>
        <v>-1866.5567427413494</v>
      </c>
      <c r="BE56" s="18">
        <f t="shared" ref="BE56:BE57" si="114">+BG56-BF56</f>
        <v>0</v>
      </c>
      <c r="BF56" s="18">
        <f t="shared" ref="BF56:BF57" si="115">+BG56*88.86%</f>
        <v>0</v>
      </c>
      <c r="BG56" s="20">
        <f>[4]SLP!CY56*0.4</f>
        <v>0</v>
      </c>
      <c r="BH56" s="25">
        <f t="shared" ref="BH56:BH57" si="116">IF(BB56=0,"",(+BG56/BB56-1))</f>
        <v>-1</v>
      </c>
      <c r="BI56" s="23">
        <f>[1]FUNIL!$L56</f>
        <v>-15187.605717993079</v>
      </c>
      <c r="BJ56" s="18">
        <f t="shared" ref="BJ56:BJ57" si="117">BI56-BK56</f>
        <v>-13321.04897525173</v>
      </c>
      <c r="BK56" s="18">
        <f t="shared" ref="BK56:BK57" si="118">+BI56*12.29%</f>
        <v>-1866.5567427413494</v>
      </c>
      <c r="BL56" s="18">
        <f t="shared" ref="BL56:BL57" si="119">+BN56-BM56</f>
        <v>0</v>
      </c>
      <c r="BM56" s="18">
        <f t="shared" ref="BM56:BM57" si="120">+BN56*88.86%</f>
        <v>0</v>
      </c>
      <c r="BN56" s="20">
        <f>[4]SLP!CZ56*0.4</f>
        <v>0</v>
      </c>
      <c r="BO56" s="25">
        <f t="shared" ref="BO56:BO57" si="121">IF(BI56=0,"",(+BN56/BI56-1))</f>
        <v>-1</v>
      </c>
      <c r="BP56" s="23">
        <f>[1]FUNIL!$M56</f>
        <v>-15187.605717993079</v>
      </c>
      <c r="BQ56" s="18">
        <f t="shared" ref="BQ56:BQ57" si="122">BP56-BR56</f>
        <v>-13321.04897525173</v>
      </c>
      <c r="BR56" s="18">
        <f t="shared" ref="BR56:BR57" si="123">+BP56*12.29%</f>
        <v>-1866.5567427413494</v>
      </c>
      <c r="BS56" s="18">
        <f t="shared" ref="BS56:BS57" si="124">+BU56-BT56</f>
        <v>0</v>
      </c>
      <c r="BT56" s="18">
        <f t="shared" ref="BT56:BT57" si="125">+BU56*88.86%</f>
        <v>0</v>
      </c>
      <c r="BU56" s="20">
        <f>[4]SLP!DA56*0.4</f>
        <v>0</v>
      </c>
      <c r="BV56" s="25">
        <f t="shared" ref="BV56:BV57" si="126">IF(BP56=0,"",(+BU56/BP56-1))</f>
        <v>-1</v>
      </c>
      <c r="BW56" s="23">
        <f>[1]FUNIL!$N56</f>
        <v>-15187.605717993079</v>
      </c>
      <c r="BX56" s="18">
        <f t="shared" ref="BX56:BX57" si="127">BW56-BY56</f>
        <v>-13321.04897525173</v>
      </c>
      <c r="BY56" s="18">
        <f t="shared" ref="BY56:BY57" si="128">+BW56*12.29%</f>
        <v>-1866.5567427413494</v>
      </c>
      <c r="BZ56" s="18">
        <f t="shared" ref="BZ56:BZ57" si="129">+CB56-CA56</f>
        <v>0</v>
      </c>
      <c r="CA56" s="18">
        <f t="shared" ref="CA56:CA57" si="130">+CB56*88.86%</f>
        <v>0</v>
      </c>
      <c r="CB56" s="20">
        <f>[4]SLP!DB56*0.4</f>
        <v>0</v>
      </c>
      <c r="CC56" s="25">
        <f t="shared" ref="CC56:CC57" si="131">IF(BW56=0,"",(+CB56/BW56-1))</f>
        <v>-1</v>
      </c>
      <c r="CD56" s="23">
        <f>[1]FUNIL!$O56</f>
        <v>-15187.605717993079</v>
      </c>
      <c r="CE56" s="18">
        <f t="shared" ref="CE56:CE57" si="132">CD56-CF56</f>
        <v>-13321.04897525173</v>
      </c>
      <c r="CF56" s="18">
        <f t="shared" ref="CF56:CF57" si="133">+CD56*12.29%</f>
        <v>-1866.5567427413494</v>
      </c>
      <c r="CG56" s="18">
        <f t="shared" ref="CG56:CG57" si="134">+CI56-CH56</f>
        <v>0</v>
      </c>
      <c r="CH56" s="18">
        <f t="shared" ref="CH56:CH57" si="135">+CI56*88.86%</f>
        <v>0</v>
      </c>
      <c r="CI56" s="20">
        <f>[4]SLP!DC56*0.4</f>
        <v>0</v>
      </c>
      <c r="CJ56" s="25">
        <f t="shared" ref="CJ56:CJ57" si="136">IF(CD56=0,"",(+CI56/CD56-1))</f>
        <v>-1</v>
      </c>
      <c r="CK56" s="23">
        <f>[1]FUNIL!$P56</f>
        <v>-15187.605717993079</v>
      </c>
      <c r="CL56" s="18">
        <f t="shared" ref="CL56:CL57" si="137">CK56-CM56</f>
        <v>-13321.04897525173</v>
      </c>
      <c r="CM56" s="18">
        <f t="shared" ref="CM56:CM57" si="138">+CK56*12.29%</f>
        <v>-1866.5567427413494</v>
      </c>
      <c r="CN56" s="18">
        <f t="shared" ref="CN56:CN57" si="139">+CP56-CO56</f>
        <v>0</v>
      </c>
      <c r="CO56" s="18">
        <f t="shared" ref="CO56:CO57" si="140">+CP56*88.86%</f>
        <v>0</v>
      </c>
      <c r="CP56" s="20">
        <f>[4]SLP!DD56*0.4</f>
        <v>0</v>
      </c>
      <c r="CQ56" s="25">
        <f t="shared" ref="CQ56:CQ57" si="141">IF(CK56=0,"",(+CP56/CK56-1))</f>
        <v>-1</v>
      </c>
      <c r="CR56" s="144"/>
    </row>
    <row r="57" spans="1:99" s="26" customFormat="1" ht="16" customHeight="1" thickBot="1" x14ac:dyDescent="0.25">
      <c r="A57" s="126" t="s">
        <v>81</v>
      </c>
      <c r="B57" s="52">
        <f>+L57+S57+Z57+AG57+AN57+AU57+BB57+BI57+BP57+BW57+CD57+CK57</f>
        <v>-60750.422871972311</v>
      </c>
      <c r="C57" s="40">
        <f t="shared" si="79"/>
        <v>-53284.195901006933</v>
      </c>
      <c r="D57" s="51">
        <f t="shared" si="79"/>
        <v>-7466.2269709653983</v>
      </c>
      <c r="E57" s="50">
        <f>+L57+S57+Z57+AG57</f>
        <v>-20250.140957324107</v>
      </c>
      <c r="F57" s="58">
        <f t="shared" si="80"/>
        <v>-17761.398633668974</v>
      </c>
      <c r="G57" s="85">
        <f t="shared" si="80"/>
        <v>-2488.7423236551326</v>
      </c>
      <c r="H57" s="57">
        <f t="shared" si="81"/>
        <v>-3996.4605352936351</v>
      </c>
      <c r="I57" s="58">
        <f t="shared" si="81"/>
        <v>-31878.409619945458</v>
      </c>
      <c r="J57" s="58">
        <f t="shared" si="81"/>
        <v>-35874.870155239092</v>
      </c>
      <c r="K57" s="127">
        <f t="shared" si="82"/>
        <v>0.77158619442912091</v>
      </c>
      <c r="L57" s="56">
        <f>[1]FUNIL!$E57</f>
        <v>-5062.5352393310268</v>
      </c>
      <c r="M57" s="57">
        <f t="shared" si="83"/>
        <v>-4440.3496584172435</v>
      </c>
      <c r="N57" s="57">
        <f t="shared" si="84"/>
        <v>-622.18558091378316</v>
      </c>
      <c r="O57" s="57">
        <f t="shared" si="85"/>
        <v>-2223.5110043361237</v>
      </c>
      <c r="P57" s="57">
        <f t="shared" si="86"/>
        <v>-17736.192804785278</v>
      </c>
      <c r="Q57" s="58">
        <f>[4]SLP!CS57*'[3]SLP-CITROS'!$V$7</f>
        <v>-19959.703809121402</v>
      </c>
      <c r="R57" s="127">
        <f t="shared" si="87"/>
        <v>2.9426300984640483</v>
      </c>
      <c r="S57" s="56">
        <f>[1]FUNIL!$F57</f>
        <v>-5062.5352393310268</v>
      </c>
      <c r="T57" s="57">
        <f t="shared" si="88"/>
        <v>-4440.3496584172435</v>
      </c>
      <c r="U57" s="57">
        <f t="shared" si="89"/>
        <v>-622.18558091378316</v>
      </c>
      <c r="V57" s="57">
        <f t="shared" si="90"/>
        <v>-328.52628210820967</v>
      </c>
      <c r="W57" s="57">
        <f t="shared" si="91"/>
        <v>-2620.5426775705105</v>
      </c>
      <c r="X57" s="58">
        <f>[4]SLP!$CT57*'[3]SLP-CITROS'!$V$7</f>
        <v>-2949.0689596787201</v>
      </c>
      <c r="Y57" s="127">
        <f>IF(S57=0,"",(+X57/S57-1))</f>
        <v>-0.41747191471038214</v>
      </c>
      <c r="Z57" s="56">
        <f>[1]FUNIL!$G57</f>
        <v>-5062.5352393310268</v>
      </c>
      <c r="AA57" s="57">
        <f t="shared" si="92"/>
        <v>-4440.3496584172435</v>
      </c>
      <c r="AB57" s="57">
        <f t="shared" si="93"/>
        <v>-622.18558091378316</v>
      </c>
      <c r="AC57" s="57">
        <f t="shared" si="94"/>
        <v>-1444.4232488493017</v>
      </c>
      <c r="AD57" s="57">
        <f t="shared" si="95"/>
        <v>-11521.674137589669</v>
      </c>
      <c r="AE57" s="58">
        <f>[4]SLP!CU57*'[2]SLP-CITROS'!$V$7</f>
        <v>-12966.097386438971</v>
      </c>
      <c r="AF57" s="127">
        <f t="shared" si="96"/>
        <v>1.5611865939628178</v>
      </c>
      <c r="AG57" s="56">
        <f>[1]FUNIL!$H57</f>
        <v>-5062.5352393310268</v>
      </c>
      <c r="AH57" s="57">
        <f t="shared" si="97"/>
        <v>-4440.3496584172435</v>
      </c>
      <c r="AI57" s="57">
        <f t="shared" si="98"/>
        <v>-622.18558091378316</v>
      </c>
      <c r="AJ57" s="57">
        <f t="shared" si="99"/>
        <v>0</v>
      </c>
      <c r="AK57" s="57">
        <f t="shared" si="100"/>
        <v>0</v>
      </c>
      <c r="AL57" s="58">
        <f>[4]SLP!CV57*'[2]SLP-CITROS'!$V$7</f>
        <v>0</v>
      </c>
      <c r="AM57" s="127">
        <f t="shared" si="101"/>
        <v>-1</v>
      </c>
      <c r="AN57" s="56">
        <f>[1]FUNIL!$I57</f>
        <v>-5062.5352393310268</v>
      </c>
      <c r="AO57" s="57">
        <f t="shared" si="102"/>
        <v>-4440.3496584172435</v>
      </c>
      <c r="AP57" s="57">
        <f t="shared" si="103"/>
        <v>-622.18558091378316</v>
      </c>
      <c r="AQ57" s="57">
        <f t="shared" si="104"/>
        <v>0</v>
      </c>
      <c r="AR57" s="57">
        <f t="shared" si="105"/>
        <v>0</v>
      </c>
      <c r="AS57" s="58">
        <f>[4]SLP!CW57*0.4</f>
        <v>0</v>
      </c>
      <c r="AT57" s="127">
        <f t="shared" si="106"/>
        <v>-1</v>
      </c>
      <c r="AU57" s="56">
        <f>[1]FUNIL!$J57</f>
        <v>-5062.5352393310268</v>
      </c>
      <c r="AV57" s="57">
        <f t="shared" si="107"/>
        <v>-4440.3496584172435</v>
      </c>
      <c r="AW57" s="57">
        <f t="shared" si="108"/>
        <v>-622.18558091378316</v>
      </c>
      <c r="AX57" s="57">
        <f t="shared" si="109"/>
        <v>0</v>
      </c>
      <c r="AY57" s="57">
        <f t="shared" si="110"/>
        <v>0</v>
      </c>
      <c r="AZ57" s="58">
        <f>[4]SLP!CX57*0.4</f>
        <v>0</v>
      </c>
      <c r="BA57" s="127">
        <f t="shared" si="111"/>
        <v>-1</v>
      </c>
      <c r="BB57" s="56">
        <f>[1]FUNIL!$K57</f>
        <v>-5062.5352393310268</v>
      </c>
      <c r="BC57" s="57">
        <f t="shared" si="112"/>
        <v>-4440.3496584172435</v>
      </c>
      <c r="BD57" s="57">
        <f t="shared" si="113"/>
        <v>-622.18558091378316</v>
      </c>
      <c r="BE57" s="57">
        <f t="shared" si="114"/>
        <v>0</v>
      </c>
      <c r="BF57" s="57">
        <f t="shared" si="115"/>
        <v>0</v>
      </c>
      <c r="BG57" s="58">
        <f>[4]SLP!CY57*0.4</f>
        <v>0</v>
      </c>
      <c r="BH57" s="127">
        <f t="shared" si="116"/>
        <v>-1</v>
      </c>
      <c r="BI57" s="56">
        <f>[1]FUNIL!$L57</f>
        <v>-5062.5352393310268</v>
      </c>
      <c r="BJ57" s="57">
        <f t="shared" si="117"/>
        <v>-4440.3496584172435</v>
      </c>
      <c r="BK57" s="57">
        <f t="shared" si="118"/>
        <v>-622.18558091378316</v>
      </c>
      <c r="BL57" s="57">
        <f t="shared" si="119"/>
        <v>0</v>
      </c>
      <c r="BM57" s="57">
        <f t="shared" si="120"/>
        <v>0</v>
      </c>
      <c r="BN57" s="58">
        <f>[4]SLP!CZ57*0.4</f>
        <v>0</v>
      </c>
      <c r="BO57" s="127">
        <f t="shared" si="121"/>
        <v>-1</v>
      </c>
      <c r="BP57" s="56">
        <f>[1]FUNIL!$M57</f>
        <v>-5062.5352393310268</v>
      </c>
      <c r="BQ57" s="57">
        <f t="shared" si="122"/>
        <v>-4440.3496584172435</v>
      </c>
      <c r="BR57" s="57">
        <f t="shared" si="123"/>
        <v>-622.18558091378316</v>
      </c>
      <c r="BS57" s="57">
        <f t="shared" si="124"/>
        <v>0</v>
      </c>
      <c r="BT57" s="57">
        <f t="shared" si="125"/>
        <v>0</v>
      </c>
      <c r="BU57" s="58">
        <f>[4]SLP!DA57*0.4</f>
        <v>0</v>
      </c>
      <c r="BV57" s="127">
        <f t="shared" si="126"/>
        <v>-1</v>
      </c>
      <c r="BW57" s="56">
        <f>[1]FUNIL!$N57</f>
        <v>-5062.5352393310268</v>
      </c>
      <c r="BX57" s="57">
        <f t="shared" si="127"/>
        <v>-4440.3496584172435</v>
      </c>
      <c r="BY57" s="57">
        <f t="shared" si="128"/>
        <v>-622.18558091378316</v>
      </c>
      <c r="BZ57" s="57">
        <f t="shared" si="129"/>
        <v>0</v>
      </c>
      <c r="CA57" s="57">
        <f t="shared" si="130"/>
        <v>0</v>
      </c>
      <c r="CB57" s="58">
        <f>[4]SLP!DB57*0.4</f>
        <v>0</v>
      </c>
      <c r="CC57" s="127">
        <f t="shared" si="131"/>
        <v>-1</v>
      </c>
      <c r="CD57" s="56">
        <f>[1]FUNIL!$O57</f>
        <v>-5062.5352393310268</v>
      </c>
      <c r="CE57" s="57">
        <f t="shared" si="132"/>
        <v>-4440.3496584172435</v>
      </c>
      <c r="CF57" s="57">
        <f t="shared" si="133"/>
        <v>-622.18558091378316</v>
      </c>
      <c r="CG57" s="57">
        <f t="shared" si="134"/>
        <v>0</v>
      </c>
      <c r="CH57" s="57">
        <f t="shared" si="135"/>
        <v>0</v>
      </c>
      <c r="CI57" s="58">
        <f>[4]SLP!DC57*0.4</f>
        <v>0</v>
      </c>
      <c r="CJ57" s="127">
        <f t="shared" si="136"/>
        <v>-1</v>
      </c>
      <c r="CK57" s="56">
        <f>[1]FUNIL!$P57</f>
        <v>-5062.5352393310268</v>
      </c>
      <c r="CL57" s="57">
        <f t="shared" si="137"/>
        <v>-4440.3496584172435</v>
      </c>
      <c r="CM57" s="57">
        <f t="shared" si="138"/>
        <v>-622.18558091378316</v>
      </c>
      <c r="CN57" s="57">
        <f t="shared" si="139"/>
        <v>0</v>
      </c>
      <c r="CO57" s="57">
        <f t="shared" si="140"/>
        <v>0</v>
      </c>
      <c r="CP57" s="58">
        <f>[4]SLP!DD57*0.4</f>
        <v>0</v>
      </c>
      <c r="CQ57" s="127">
        <f t="shared" si="141"/>
        <v>-1</v>
      </c>
      <c r="CR57" s="144"/>
    </row>
    <row r="58" spans="1:99" s="26" customFormat="1" ht="16" customHeight="1" thickBot="1" x14ac:dyDescent="0.25">
      <c r="A58" s="131" t="s">
        <v>82</v>
      </c>
      <c r="B58" s="89">
        <f>+B55+B56+B57</f>
        <v>12438390.74869908</v>
      </c>
      <c r="C58" s="90">
        <f t="shared" ref="C58:D58" si="142">+C55+C56+C57</f>
        <v>10909712.525683956</v>
      </c>
      <c r="D58" s="91">
        <f t="shared" si="142"/>
        <v>1528678.2230151163</v>
      </c>
      <c r="E58" s="92">
        <f t="shared" ref="E58:J58" si="143">SUM(E55:E57)</f>
        <v>5458341.5381013714</v>
      </c>
      <c r="F58" s="93">
        <f t="shared" si="143"/>
        <v>4787511.3630687129</v>
      </c>
      <c r="G58" s="94">
        <f t="shared" si="143"/>
        <v>670830.17503265862</v>
      </c>
      <c r="H58" s="95">
        <f t="shared" si="143"/>
        <v>572120.17420893977</v>
      </c>
      <c r="I58" s="96">
        <f t="shared" si="143"/>
        <v>4563608.4991208613</v>
      </c>
      <c r="J58" s="96">
        <f t="shared" si="143"/>
        <v>5135728.6733297966</v>
      </c>
      <c r="K58" s="132">
        <f>+J58/E55-1</f>
        <v>-7.2863062286800617E-2</v>
      </c>
      <c r="L58" s="133">
        <f t="shared" ref="L58:Q58" si="144">SUM(L55:L57)</f>
        <v>1549279.7759019346</v>
      </c>
      <c r="M58" s="133">
        <f t="shared" si="144"/>
        <v>1358873.291443587</v>
      </c>
      <c r="N58" s="133">
        <f t="shared" si="144"/>
        <v>190406.48445834775</v>
      </c>
      <c r="O58" s="95">
        <f t="shared" si="144"/>
        <v>116452.92369370986</v>
      </c>
      <c r="P58" s="95">
        <f t="shared" si="144"/>
        <v>928905.45775790408</v>
      </c>
      <c r="Q58" s="96">
        <f t="shared" si="144"/>
        <v>1045358.381451614</v>
      </c>
      <c r="R58" s="132">
        <f>+Q58/L55-1</f>
        <v>-0.3339672151369687</v>
      </c>
      <c r="S58" s="133">
        <f t="shared" ref="S58:X58" si="145">SUM(S55:S57)</f>
        <v>1340992.1781797796</v>
      </c>
      <c r="T58" s="133">
        <f t="shared" si="145"/>
        <v>1176184.2394814848</v>
      </c>
      <c r="U58" s="133">
        <f t="shared" si="145"/>
        <v>164807.93869829492</v>
      </c>
      <c r="V58" s="95">
        <f t="shared" si="145"/>
        <v>177329.64053050408</v>
      </c>
      <c r="W58" s="95">
        <f t="shared" si="145"/>
        <v>1414498.3714129783</v>
      </c>
      <c r="X58" s="96">
        <f t="shared" si="145"/>
        <v>1591828.0119434826</v>
      </c>
      <c r="Y58" s="132">
        <f>+X58/S55-1</f>
        <v>0.16939356759974089</v>
      </c>
      <c r="Z58" s="133">
        <f t="shared" ref="Z58:AE58" si="146">SUM(Z55:Z57)</f>
        <v>1416286.5326871935</v>
      </c>
      <c r="AA58" s="133">
        <f t="shared" si="146"/>
        <v>1242224.9178199375</v>
      </c>
      <c r="AB58" s="133">
        <f t="shared" si="146"/>
        <v>174061.61486725608</v>
      </c>
      <c r="AC58" s="95">
        <f t="shared" si="146"/>
        <v>163633.03535221049</v>
      </c>
      <c r="AD58" s="95">
        <f t="shared" si="146"/>
        <v>1305245.1994073091</v>
      </c>
      <c r="AE58" s="96">
        <f t="shared" si="146"/>
        <v>1468878.2347595189</v>
      </c>
      <c r="AF58" s="132">
        <f>+AE58/Z55-1</f>
        <v>2.2513564539184516E-2</v>
      </c>
      <c r="AG58" s="133">
        <f t="shared" ref="AG58:AL58" si="147">SUM(AG55:AG57)</f>
        <v>1151783.0513324633</v>
      </c>
      <c r="AH58" s="133">
        <f t="shared" si="147"/>
        <v>1010228.9143237036</v>
      </c>
      <c r="AI58" s="133">
        <f t="shared" si="147"/>
        <v>141554.13700875972</v>
      </c>
      <c r="AJ58" s="95">
        <f t="shared" si="147"/>
        <v>114704.57463251548</v>
      </c>
      <c r="AK58" s="95">
        <f t="shared" si="147"/>
        <v>914959.4705426679</v>
      </c>
      <c r="AL58" s="96">
        <f t="shared" si="147"/>
        <v>1029664.0451751832</v>
      </c>
      <c r="AM58" s="132">
        <f>+AL58/AG55-1</f>
        <v>-0.12147194128219119</v>
      </c>
      <c r="AN58" s="133">
        <f t="shared" ref="AN58:AS58" si="148">SUM(AN55:AN57)</f>
        <v>1206743.3788578892</v>
      </c>
      <c r="AO58" s="133">
        <f t="shared" si="148"/>
        <v>1058434.6175962554</v>
      </c>
      <c r="AP58" s="133">
        <f t="shared" si="148"/>
        <v>148308.76126163462</v>
      </c>
      <c r="AQ58" s="95">
        <f t="shared" si="148"/>
        <v>0</v>
      </c>
      <c r="AR58" s="95">
        <f t="shared" si="148"/>
        <v>0</v>
      </c>
      <c r="AS58" s="96">
        <f t="shared" si="148"/>
        <v>0</v>
      </c>
      <c r="AT58" s="132">
        <f>+AS58/AN55-1</f>
        <v>-1</v>
      </c>
      <c r="AU58" s="133">
        <f t="shared" ref="AU58:AZ58" si="149">SUM(AU55:AU57)</f>
        <v>1133061.7970079649</v>
      </c>
      <c r="AV58" s="133">
        <f t="shared" si="149"/>
        <v>993808.50215568591</v>
      </c>
      <c r="AW58" s="133">
        <f t="shared" si="149"/>
        <v>139253.29485227884</v>
      </c>
      <c r="AX58" s="95">
        <f t="shared" si="149"/>
        <v>0</v>
      </c>
      <c r="AY58" s="95">
        <f t="shared" si="149"/>
        <v>0</v>
      </c>
      <c r="AZ58" s="96">
        <f t="shared" si="149"/>
        <v>0</v>
      </c>
      <c r="BA58" s="132">
        <f>+AZ58/AU55-1</f>
        <v>-1</v>
      </c>
      <c r="BB58" s="133">
        <f t="shared" ref="BB58:BG58" si="150">SUM(BB55:BB57)</f>
        <v>1229784.9520603546</v>
      </c>
      <c r="BC58" s="133">
        <f t="shared" si="150"/>
        <v>1078644.3814521374</v>
      </c>
      <c r="BD58" s="133">
        <f t="shared" si="150"/>
        <v>151140.57060821759</v>
      </c>
      <c r="BE58" s="95">
        <f t="shared" si="150"/>
        <v>0</v>
      </c>
      <c r="BF58" s="95">
        <f t="shared" si="150"/>
        <v>0</v>
      </c>
      <c r="BG58" s="96">
        <f t="shared" si="150"/>
        <v>0</v>
      </c>
      <c r="BH58" s="132">
        <f>+BG58/BB55-1</f>
        <v>-1</v>
      </c>
      <c r="BI58" s="133">
        <f t="shared" ref="BI58:BN58" si="151">SUM(BI55:BI57)</f>
        <v>828299.93079282588</v>
      </c>
      <c r="BJ58" s="133">
        <f t="shared" si="151"/>
        <v>726501.86929838767</v>
      </c>
      <c r="BK58" s="133">
        <f t="shared" si="151"/>
        <v>101798.06149443831</v>
      </c>
      <c r="BL58" s="95">
        <f t="shared" si="151"/>
        <v>0</v>
      </c>
      <c r="BM58" s="95">
        <f t="shared" si="151"/>
        <v>0</v>
      </c>
      <c r="BN58" s="96">
        <f t="shared" si="151"/>
        <v>0</v>
      </c>
      <c r="BO58" s="132">
        <f>+BN58/BI55-1</f>
        <v>-1</v>
      </c>
      <c r="BP58" s="133">
        <f t="shared" ref="BP58:BU58" si="152">SUM(BP55:BP57)</f>
        <v>829558.86611360288</v>
      </c>
      <c r="BQ58" s="133">
        <f t="shared" si="152"/>
        <v>727606.08146824117</v>
      </c>
      <c r="BR58" s="133">
        <f t="shared" si="152"/>
        <v>101952.78464536183</v>
      </c>
      <c r="BS58" s="95">
        <f t="shared" si="152"/>
        <v>0</v>
      </c>
      <c r="BT58" s="95">
        <f t="shared" si="152"/>
        <v>0</v>
      </c>
      <c r="BU58" s="96">
        <f t="shared" si="152"/>
        <v>0</v>
      </c>
      <c r="BV58" s="132">
        <f>+BU58/BP55-1</f>
        <v>-1</v>
      </c>
      <c r="BW58" s="133">
        <f t="shared" ref="BW58:CB58" si="153">SUM(BW55:BW57)</f>
        <v>645341.649206931</v>
      </c>
      <c r="BX58" s="133">
        <f t="shared" si="153"/>
        <v>566029.16051939921</v>
      </c>
      <c r="BY58" s="133">
        <f t="shared" si="153"/>
        <v>79312.488687531848</v>
      </c>
      <c r="BZ58" s="95">
        <f t="shared" si="153"/>
        <v>0</v>
      </c>
      <c r="CA58" s="95">
        <f t="shared" si="153"/>
        <v>0</v>
      </c>
      <c r="CB58" s="96">
        <f t="shared" si="153"/>
        <v>0</v>
      </c>
      <c r="CC58" s="132">
        <f>+CB58/BW55-1</f>
        <v>-1</v>
      </c>
      <c r="CD58" s="133">
        <f t="shared" ref="CD58:CI58" si="154">SUM(CD55:CD57)</f>
        <v>550335.84053720313</v>
      </c>
      <c r="CE58" s="133">
        <f t="shared" si="154"/>
        <v>482699.56573518104</v>
      </c>
      <c r="CF58" s="133">
        <f t="shared" si="154"/>
        <v>67636.274802022293</v>
      </c>
      <c r="CG58" s="95">
        <f t="shared" si="154"/>
        <v>0</v>
      </c>
      <c r="CH58" s="95">
        <f t="shared" si="154"/>
        <v>0</v>
      </c>
      <c r="CI58" s="96">
        <f t="shared" si="154"/>
        <v>0</v>
      </c>
      <c r="CJ58" s="132">
        <f>+CI58/CD55-1</f>
        <v>-1</v>
      </c>
      <c r="CK58" s="133">
        <f t="shared" ref="CK58:CP58" si="155">SUM(CK55:CK57)</f>
        <v>556922.7960209311</v>
      </c>
      <c r="CL58" s="133">
        <f t="shared" si="155"/>
        <v>488476.98438995896</v>
      </c>
      <c r="CM58" s="133">
        <f t="shared" si="155"/>
        <v>68445.811630972472</v>
      </c>
      <c r="CN58" s="95">
        <f t="shared" si="155"/>
        <v>0</v>
      </c>
      <c r="CO58" s="95">
        <f t="shared" si="155"/>
        <v>0</v>
      </c>
      <c r="CP58" s="96">
        <f t="shared" si="155"/>
        <v>0</v>
      </c>
      <c r="CQ58" s="132">
        <f>+CP58/CK55-1</f>
        <v>-1</v>
      </c>
    </row>
    <row r="59" spans="1:99" s="105" customFormat="1" ht="14.25" customHeight="1" x14ac:dyDescent="0.2">
      <c r="A59" s="104"/>
      <c r="B59" s="104"/>
      <c r="C59" s="104"/>
      <c r="D59" s="104"/>
      <c r="E59" s="104"/>
      <c r="F59" s="104"/>
      <c r="G59" s="104"/>
      <c r="H59" s="104"/>
      <c r="I59" s="104"/>
      <c r="J59" s="104">
        <f>+J58-[2]FUNIL!$O$40</f>
        <v>0</v>
      </c>
      <c r="K59" s="104"/>
      <c r="L59" s="104"/>
      <c r="M59" s="104"/>
      <c r="N59" s="104"/>
      <c r="O59" s="104"/>
      <c r="P59" s="104"/>
      <c r="Q59" s="104">
        <f>+Q58-[2]FUNIL!$O$90</f>
        <v>0</v>
      </c>
      <c r="R59" s="104"/>
      <c r="S59" s="104"/>
      <c r="T59" s="104"/>
      <c r="U59" s="104"/>
      <c r="V59" s="104"/>
      <c r="W59" s="104"/>
      <c r="X59" s="104">
        <f>+X58-[2]FUNIL!$O$136</f>
        <v>0</v>
      </c>
      <c r="Y59" s="104"/>
      <c r="Z59" s="104"/>
      <c r="AA59" s="104"/>
      <c r="AB59" s="104"/>
      <c r="AC59" s="104"/>
      <c r="AD59" s="104"/>
      <c r="AE59" s="104">
        <f>AE58-[2]FUNIL!$O$182</f>
        <v>0</v>
      </c>
      <c r="AF59" s="104"/>
      <c r="AG59" s="104"/>
      <c r="AH59" s="104"/>
      <c r="AI59" s="104"/>
      <c r="AJ59" s="104"/>
      <c r="AK59" s="104"/>
      <c r="AL59" s="104">
        <f>AL58-[2]FUNIL!$O$231</f>
        <v>0</v>
      </c>
      <c r="AM59" s="104"/>
      <c r="AN59" s="104"/>
      <c r="AO59" s="104"/>
      <c r="AP59" s="104"/>
      <c r="AQ59" s="104"/>
      <c r="AR59" s="104"/>
      <c r="AS59" s="104">
        <f>AS58-[3]FUNIL!$O$271</f>
        <v>0</v>
      </c>
      <c r="AT59" s="104"/>
      <c r="AU59" s="104"/>
      <c r="AV59" s="104"/>
      <c r="AW59" s="104"/>
      <c r="AX59" s="104"/>
      <c r="AY59" s="104"/>
      <c r="AZ59" s="104">
        <f>AZ58-[3]FUNIL!$O$317</f>
        <v>0</v>
      </c>
      <c r="BA59" s="104"/>
      <c r="BB59" s="104"/>
      <c r="BC59" s="104"/>
      <c r="BD59" s="104"/>
      <c r="BE59" s="104"/>
      <c r="BF59" s="104"/>
      <c r="BG59" s="104">
        <f>BG58-[3]FUNIL!$O$363</f>
        <v>0</v>
      </c>
      <c r="BH59" s="104"/>
      <c r="BI59" s="104"/>
      <c r="BJ59" s="104"/>
      <c r="BK59" s="104"/>
      <c r="BL59" s="104"/>
      <c r="BM59" s="104"/>
      <c r="BN59" s="104">
        <f>BN58-[3]FUNIL!$O$409</f>
        <v>0</v>
      </c>
      <c r="BO59" s="104"/>
      <c r="BP59" s="104"/>
      <c r="BQ59" s="104"/>
      <c r="BR59" s="104"/>
      <c r="BS59" s="104"/>
      <c r="BT59" s="104"/>
      <c r="BU59" s="104">
        <f>BU58-[3]FUNIL!$O$455</f>
        <v>0</v>
      </c>
      <c r="BV59" s="104"/>
      <c r="BW59" s="104"/>
      <c r="BX59" s="104"/>
      <c r="BY59" s="104"/>
      <c r="BZ59" s="104"/>
      <c r="CA59" s="104"/>
      <c r="CB59" s="104">
        <f>CB58-[3]FUNIL!$O$501</f>
        <v>0</v>
      </c>
      <c r="CC59" s="104"/>
      <c r="CD59" s="104"/>
      <c r="CE59" s="104"/>
      <c r="CF59" s="104"/>
      <c r="CG59" s="104"/>
      <c r="CH59" s="104"/>
      <c r="CI59" s="104">
        <f>CI58-[3]FUNIL!$O$547</f>
        <v>0</v>
      </c>
      <c r="CJ59" s="104"/>
      <c r="CK59" s="104"/>
      <c r="CL59" s="104"/>
      <c r="CM59" s="104"/>
      <c r="CN59" s="104"/>
      <c r="CO59" s="104"/>
      <c r="CP59" s="104">
        <f>CP58-[3]FUNIL!$O$593</f>
        <v>0</v>
      </c>
      <c r="CQ59" s="104"/>
      <c r="CR59" s="104"/>
      <c r="CS59" s="104"/>
      <c r="CT59" s="104"/>
      <c r="CU59" s="104"/>
    </row>
    <row r="60" spans="1:99" ht="14.25" customHeight="1" x14ac:dyDescent="0.2">
      <c r="L60" s="273"/>
      <c r="M60" s="273"/>
      <c r="N60" s="273"/>
      <c r="O60" s="273"/>
      <c r="P60" s="273"/>
      <c r="Q60" s="274"/>
      <c r="R60" s="274"/>
      <c r="S60" s="273"/>
      <c r="T60" s="273"/>
      <c r="U60" s="273"/>
      <c r="V60" s="273"/>
      <c r="W60" s="273"/>
      <c r="X60" s="274"/>
      <c r="Y60" s="274"/>
      <c r="Z60" s="273"/>
      <c r="AA60" s="273"/>
      <c r="AB60" s="273"/>
      <c r="AC60" s="273"/>
      <c r="AD60" s="273"/>
      <c r="AE60" s="274"/>
      <c r="AF60" s="274"/>
      <c r="AG60" s="273"/>
      <c r="AH60" s="273"/>
      <c r="AI60" s="273"/>
      <c r="AJ60" s="273"/>
      <c r="AK60" s="273"/>
      <c r="AL60" s="274"/>
      <c r="AM60" s="274"/>
      <c r="AN60" s="273"/>
      <c r="AO60" s="273"/>
      <c r="AP60" s="273"/>
      <c r="AQ60" s="273"/>
      <c r="AR60" s="273"/>
      <c r="AS60" s="274"/>
      <c r="AT60" s="274"/>
      <c r="AU60" s="273"/>
      <c r="AV60" s="273"/>
      <c r="AW60" s="273"/>
      <c r="AX60" s="273"/>
      <c r="AY60" s="273"/>
      <c r="AZ60" s="274"/>
      <c r="BA60" s="274"/>
      <c r="BB60" s="273"/>
      <c r="BC60" s="273"/>
      <c r="BD60" s="273"/>
      <c r="BE60" s="273"/>
      <c r="BF60" s="273"/>
      <c r="BG60" s="274"/>
      <c r="BH60" s="274"/>
      <c r="BI60" s="273"/>
      <c r="BJ60" s="273"/>
      <c r="BK60" s="273"/>
      <c r="BL60" s="273"/>
      <c r="BM60" s="273"/>
      <c r="BN60" s="274"/>
      <c r="BO60" s="274"/>
      <c r="BP60" s="273"/>
      <c r="BQ60" s="273"/>
      <c r="BR60" s="273"/>
      <c r="BS60" s="273"/>
      <c r="BT60" s="273"/>
      <c r="BU60" s="274"/>
      <c r="BV60" s="274"/>
      <c r="BW60" s="273"/>
      <c r="BX60" s="273"/>
      <c r="BY60" s="273"/>
      <c r="BZ60" s="273"/>
      <c r="CA60" s="273"/>
      <c r="CB60" s="274"/>
      <c r="CC60" s="274"/>
      <c r="CD60" s="273"/>
      <c r="CE60" s="273"/>
      <c r="CF60" s="273"/>
      <c r="CG60" s="273"/>
      <c r="CH60" s="273"/>
      <c r="CI60" s="274"/>
      <c r="CJ60" s="274"/>
      <c r="CK60" s="273"/>
      <c r="CL60" s="273"/>
      <c r="CM60" s="273"/>
      <c r="CN60" s="273"/>
      <c r="CO60" s="273"/>
      <c r="CP60" s="274"/>
      <c r="CQ60" s="274"/>
    </row>
    <row r="61" spans="1:99" ht="14.25" customHeight="1" x14ac:dyDescent="0.2">
      <c r="Y61" s="111"/>
      <c r="AF61" s="111"/>
      <c r="AM61" s="139"/>
      <c r="AT61" s="139"/>
      <c r="BA61" s="139"/>
    </row>
    <row r="62" spans="1:99" ht="14.25" customHeight="1" x14ac:dyDescent="0.2">
      <c r="Y62" s="111"/>
      <c r="AF62" s="111"/>
      <c r="AM62" s="139"/>
      <c r="AT62" s="139"/>
      <c r="BA62" s="139"/>
    </row>
    <row r="63" spans="1:99" ht="14.25" customHeight="1" x14ac:dyDescent="0.2">
      <c r="Y63" s="111"/>
      <c r="AF63" s="111"/>
      <c r="AM63" s="139"/>
      <c r="AT63" s="139"/>
      <c r="BA63" s="139"/>
    </row>
    <row r="64" spans="1:99" ht="14.25" customHeight="1" x14ac:dyDescent="0.2">
      <c r="Y64" s="111"/>
      <c r="AF64" s="111"/>
      <c r="AM64" s="139"/>
      <c r="AT64" s="139"/>
    </row>
    <row r="65" spans="18:99" ht="14.25" customHeight="1" x14ac:dyDescent="0.2">
      <c r="Y65" s="111"/>
      <c r="AF65" s="111"/>
      <c r="AM65" s="139"/>
      <c r="AT65" s="139"/>
    </row>
    <row r="66" spans="18:99" ht="14.25" customHeight="1" x14ac:dyDescent="0.2">
      <c r="Y66" s="111"/>
      <c r="AF66" s="111"/>
      <c r="AM66" s="139"/>
      <c r="AT66" s="139"/>
    </row>
    <row r="67" spans="18:99" ht="14.25" customHeight="1" x14ac:dyDescent="0.2">
      <c r="Y67" s="111"/>
      <c r="AF67" s="111"/>
      <c r="AM67" s="139"/>
      <c r="AT67" s="139"/>
    </row>
    <row r="68" spans="18:99" ht="14.25" customHeight="1" x14ac:dyDescent="0.2">
      <c r="Y68" s="111"/>
      <c r="AF68" s="111"/>
      <c r="AM68" s="139"/>
      <c r="AT68" s="139"/>
    </row>
    <row r="69" spans="18:99" ht="14.25" customHeight="1" x14ac:dyDescent="0.2">
      <c r="Y69" s="111"/>
      <c r="AF69" s="111"/>
      <c r="AM69" s="139"/>
    </row>
    <row r="70" spans="18:99" ht="14.25" customHeight="1" x14ac:dyDescent="0.2">
      <c r="Y70" s="111"/>
      <c r="AF70" s="111"/>
      <c r="AM70" s="139"/>
      <c r="AT70" s="139"/>
    </row>
    <row r="71" spans="18:99" ht="14.25" customHeight="1" x14ac:dyDescent="0.2">
      <c r="Y71" s="111"/>
      <c r="AF71" s="111"/>
      <c r="AM71" s="139"/>
      <c r="AT71" s="139"/>
      <c r="BA71" s="139"/>
    </row>
    <row r="72" spans="18:99" ht="14.25" customHeight="1" x14ac:dyDescent="0.2">
      <c r="Y72" s="111"/>
      <c r="AF72" s="111"/>
      <c r="AM72" s="139"/>
      <c r="AT72" s="139"/>
    </row>
    <row r="73" spans="18:99" ht="14.25" customHeight="1" x14ac:dyDescent="0.2">
      <c r="AF73" s="104"/>
      <c r="AM73" s="140"/>
      <c r="AT73" s="139"/>
      <c r="BA73" s="139"/>
    </row>
    <row r="74" spans="18:99" ht="14.25" customHeight="1" x14ac:dyDescent="0.2">
      <c r="Y74" s="141"/>
      <c r="AF74" s="142"/>
      <c r="AT74" s="140"/>
      <c r="BA74" s="140"/>
    </row>
    <row r="75" spans="18:99" ht="14.25" customHeight="1" x14ac:dyDescent="0.2">
      <c r="R75" s="141"/>
      <c r="Y75" s="141"/>
      <c r="AM75" s="141"/>
    </row>
    <row r="76" spans="18:99" ht="14.25" customHeight="1" x14ac:dyDescent="0.2">
      <c r="CU76" s="155"/>
    </row>
    <row r="77" spans="18:99" ht="14.25" customHeight="1" x14ac:dyDescent="0.2">
      <c r="CU77" s="155"/>
    </row>
    <row r="78" spans="18:99" ht="14.25" customHeight="1" x14ac:dyDescent="0.2">
      <c r="CU78" s="155"/>
    </row>
    <row r="79" spans="18:99" ht="14.25" customHeight="1" x14ac:dyDescent="0.2">
      <c r="CU79" s="155"/>
    </row>
    <row r="80" spans="18:99" ht="14.25" customHeight="1" x14ac:dyDescent="0.2">
      <c r="CU80" s="155"/>
    </row>
    <row r="81" spans="99:99" ht="14.25" customHeight="1" x14ac:dyDescent="0.2">
      <c r="CU81" s="155"/>
    </row>
    <row r="82" spans="99:99" ht="14.25" customHeight="1" x14ac:dyDescent="0.2">
      <c r="CU82" s="155"/>
    </row>
    <row r="83" spans="99:99" ht="14.25" customHeight="1" x14ac:dyDescent="0.2">
      <c r="CU83" s="155"/>
    </row>
    <row r="84" spans="99:99" ht="14.25" customHeight="1" x14ac:dyDescent="0.2">
      <c r="CU84" s="155"/>
    </row>
    <row r="85" spans="99:99" ht="14.25" customHeight="1" x14ac:dyDescent="0.2">
      <c r="CU85" s="155"/>
    </row>
    <row r="86" spans="99:99" ht="14.25" customHeight="1" x14ac:dyDescent="0.2">
      <c r="CU86" s="155"/>
    </row>
    <row r="87" spans="99:99" ht="14.25" customHeight="1" x14ac:dyDescent="0.2">
      <c r="CU87" s="155"/>
    </row>
    <row r="88" spans="99:99" ht="14.25" customHeight="1" x14ac:dyDescent="0.2">
      <c r="CU88" s="155"/>
    </row>
    <row r="89" spans="99:99" ht="14.25" customHeight="1" x14ac:dyDescent="0.2">
      <c r="CU89" s="155"/>
    </row>
    <row r="90" spans="99:99" ht="14.25" customHeight="1" x14ac:dyDescent="0.2">
      <c r="CU90" s="155"/>
    </row>
    <row r="91" spans="99:99" ht="14.25" customHeight="1" x14ac:dyDescent="0.2">
      <c r="CU91" s="155"/>
    </row>
    <row r="92" spans="99:99" ht="14.25" customHeight="1" x14ac:dyDescent="0.2">
      <c r="CU92" s="155"/>
    </row>
    <row r="93" spans="99:99" ht="14.25" customHeight="1" x14ac:dyDescent="0.2">
      <c r="CU93" s="155"/>
    </row>
    <row r="94" spans="99:99" ht="14.25" customHeight="1" x14ac:dyDescent="0.2">
      <c r="CU94" s="155"/>
    </row>
    <row r="95" spans="99:99" ht="14.25" customHeight="1" x14ac:dyDescent="0.2">
      <c r="CU95" s="155"/>
    </row>
    <row r="96" spans="99:99" ht="14.25" customHeight="1" x14ac:dyDescent="0.2">
      <c r="CU96" s="155"/>
    </row>
    <row r="97" spans="99:99" ht="14.25" customHeight="1" x14ac:dyDescent="0.2">
      <c r="CU97" s="155"/>
    </row>
    <row r="98" spans="99:99" ht="14.25" customHeight="1" x14ac:dyDescent="0.2">
      <c r="CU98" s="155"/>
    </row>
    <row r="99" spans="99:99" ht="14.25" customHeight="1" x14ac:dyDescent="0.2">
      <c r="CU99" s="155"/>
    </row>
    <row r="100" spans="99:99" ht="14.25" customHeight="1" x14ac:dyDescent="0.2">
      <c r="CU100" s="155"/>
    </row>
    <row r="101" spans="99:99" ht="14.25" customHeight="1" x14ac:dyDescent="0.2">
      <c r="CU101" s="155"/>
    </row>
    <row r="102" spans="99:99" ht="14.25" customHeight="1" x14ac:dyDescent="0.2">
      <c r="CU102" s="155"/>
    </row>
    <row r="103" spans="99:99" ht="14.25" customHeight="1" x14ac:dyDescent="0.2">
      <c r="CU103" s="155"/>
    </row>
    <row r="104" spans="99:99" ht="14.25" customHeight="1" x14ac:dyDescent="0.2">
      <c r="CU104" s="155"/>
    </row>
    <row r="105" spans="99:99" ht="14.25" customHeight="1" x14ac:dyDescent="0.2">
      <c r="CU105" s="155"/>
    </row>
    <row r="106" spans="99:99" ht="14.25" customHeight="1" x14ac:dyDescent="0.2">
      <c r="CU106" s="155"/>
    </row>
    <row r="107" spans="99:99" ht="14.25" customHeight="1" x14ac:dyDescent="0.2">
      <c r="CU107" s="155"/>
    </row>
    <row r="108" spans="99:99" ht="14.25" customHeight="1" x14ac:dyDescent="0.2">
      <c r="CU108" s="155"/>
    </row>
    <row r="109" spans="99:99" ht="14.25" customHeight="1" x14ac:dyDescent="0.2">
      <c r="CU109" s="155"/>
    </row>
    <row r="110" spans="99:99" ht="14.25" customHeight="1" x14ac:dyDescent="0.2">
      <c r="CU110" s="155"/>
    </row>
    <row r="111" spans="99:99" ht="14.25" customHeight="1" x14ac:dyDescent="0.2">
      <c r="CU111" s="155"/>
    </row>
    <row r="112" spans="99:99" ht="14.25" customHeight="1" x14ac:dyDescent="0.2">
      <c r="CU112" s="155"/>
    </row>
    <row r="113" spans="99:99" ht="14.25" customHeight="1" x14ac:dyDescent="0.2">
      <c r="CU113" s="155"/>
    </row>
    <row r="114" spans="99:99" ht="14.25" customHeight="1" x14ac:dyDescent="0.2">
      <c r="CU114" s="155"/>
    </row>
    <row r="115" spans="99:99" ht="14.25" customHeight="1" x14ac:dyDescent="0.2">
      <c r="CU115" s="155"/>
    </row>
    <row r="116" spans="99:99" ht="14.25" customHeight="1" x14ac:dyDescent="0.2">
      <c r="CU116" s="155"/>
    </row>
    <row r="117" spans="99:99" ht="14.25" customHeight="1" x14ac:dyDescent="0.2">
      <c r="CU117" s="155"/>
    </row>
    <row r="118" spans="99:99" ht="14.25" customHeight="1" x14ac:dyDescent="0.2">
      <c r="CU118" s="155"/>
    </row>
    <row r="119" spans="99:99" ht="14.25" customHeight="1" x14ac:dyDescent="0.2">
      <c r="CU119" s="155"/>
    </row>
    <row r="120" spans="99:99" ht="14.25" customHeight="1" x14ac:dyDescent="0.2">
      <c r="CU120" s="155"/>
    </row>
    <row r="121" spans="99:99" ht="14.25" customHeight="1" x14ac:dyDescent="0.2">
      <c r="CU121" s="155"/>
    </row>
    <row r="122" spans="99:99" ht="14.25" customHeight="1" x14ac:dyDescent="0.2">
      <c r="CU122" s="155"/>
    </row>
    <row r="123" spans="99:99" ht="14.25" customHeight="1" x14ac:dyDescent="0.2">
      <c r="CU123" s="155"/>
    </row>
    <row r="124" spans="99:99" ht="14.25" customHeight="1" x14ac:dyDescent="0.2">
      <c r="CU124" s="155"/>
    </row>
    <row r="125" spans="99:99" ht="14.25" customHeight="1" x14ac:dyDescent="0.2">
      <c r="CU125" s="155"/>
    </row>
    <row r="126" spans="99:99" ht="14.25" customHeight="1" x14ac:dyDescent="0.2">
      <c r="CU126" s="155"/>
    </row>
    <row r="127" spans="99:99" ht="14.25" customHeight="1" x14ac:dyDescent="0.2">
      <c r="CU127" s="155"/>
    </row>
    <row r="128" spans="99:99" ht="14.25" customHeight="1" x14ac:dyDescent="0.2">
      <c r="CU128" s="155"/>
    </row>
    <row r="129" spans="99:99" ht="14.25" customHeight="1" x14ac:dyDescent="0.2">
      <c r="CU129" s="155"/>
    </row>
    <row r="130" spans="99:99" ht="14.25" customHeight="1" x14ac:dyDescent="0.2">
      <c r="CU130" s="155"/>
    </row>
    <row r="131" spans="99:99" ht="14.25" customHeight="1" x14ac:dyDescent="0.2">
      <c r="CU131" s="155"/>
    </row>
    <row r="132" spans="99:99" ht="14.25" customHeight="1" x14ac:dyDescent="0.2">
      <c r="CU132" s="155"/>
    </row>
    <row r="133" spans="99:99" ht="14.25" customHeight="1" x14ac:dyDescent="0.2">
      <c r="CU133" s="155"/>
    </row>
    <row r="134" spans="99:99" ht="14.25" customHeight="1" x14ac:dyDescent="0.2">
      <c r="CU134" s="155"/>
    </row>
    <row r="135" spans="99:99" ht="14.25" customHeight="1" x14ac:dyDescent="0.2">
      <c r="CU135" s="155"/>
    </row>
    <row r="136" spans="99:99" ht="14.25" customHeight="1" x14ac:dyDescent="0.2">
      <c r="CU136" s="155"/>
    </row>
    <row r="137" spans="99:99" ht="14.25" customHeight="1" x14ac:dyDescent="0.2">
      <c r="CU137" s="155"/>
    </row>
    <row r="138" spans="99:99" ht="14.25" customHeight="1" x14ac:dyDescent="0.2">
      <c r="CU138" s="155"/>
    </row>
    <row r="139" spans="99:99" ht="14.25" customHeight="1" x14ac:dyDescent="0.2">
      <c r="CU139" s="155"/>
    </row>
    <row r="140" spans="99:99" ht="14.25" customHeight="1" x14ac:dyDescent="0.2">
      <c r="CU140" s="155"/>
    </row>
    <row r="141" spans="99:99" ht="14.25" customHeight="1" x14ac:dyDescent="0.2">
      <c r="CU141" s="155"/>
    </row>
    <row r="142" spans="99:99" ht="14.25" customHeight="1" x14ac:dyDescent="0.2">
      <c r="CU142" s="155"/>
    </row>
    <row r="143" spans="99:99" ht="14.25" customHeight="1" x14ac:dyDescent="0.2">
      <c r="CU143" s="155"/>
    </row>
    <row r="144" spans="99:99" ht="14.25" customHeight="1" x14ac:dyDescent="0.2">
      <c r="CU144" s="155"/>
    </row>
    <row r="145" spans="99:99" ht="14.25" customHeight="1" x14ac:dyDescent="0.2">
      <c r="CU145" s="155"/>
    </row>
    <row r="146" spans="99:99" ht="14.25" customHeight="1" x14ac:dyDescent="0.2">
      <c r="CU146" s="155"/>
    </row>
    <row r="147" spans="99:99" ht="14.25" customHeight="1" x14ac:dyDescent="0.2">
      <c r="CU147" s="155"/>
    </row>
    <row r="148" spans="99:99" ht="14.25" customHeight="1" x14ac:dyDescent="0.2">
      <c r="CU148" s="155"/>
    </row>
    <row r="149" spans="99:99" ht="14.25" customHeight="1" x14ac:dyDescent="0.2">
      <c r="CU149" s="155"/>
    </row>
    <row r="150" spans="99:99" ht="14.25" customHeight="1" x14ac:dyDescent="0.2">
      <c r="CU150" s="155"/>
    </row>
    <row r="151" spans="99:99" ht="14.25" customHeight="1" x14ac:dyDescent="0.2">
      <c r="CU151" s="155"/>
    </row>
    <row r="152" spans="99:99" ht="14.25" customHeight="1" x14ac:dyDescent="0.2">
      <c r="CU152" s="155"/>
    </row>
    <row r="153" spans="99:99" ht="14.25" customHeight="1" x14ac:dyDescent="0.2">
      <c r="CU153" s="155"/>
    </row>
    <row r="154" spans="99:99" ht="14.25" customHeight="1" x14ac:dyDescent="0.2">
      <c r="CU154" s="155"/>
    </row>
    <row r="155" spans="99:99" ht="14.25" customHeight="1" x14ac:dyDescent="0.2">
      <c r="CU155" s="155"/>
    </row>
    <row r="156" spans="99:99" ht="14.25" customHeight="1" x14ac:dyDescent="0.2">
      <c r="CU156" s="155"/>
    </row>
    <row r="157" spans="99:99" ht="14.25" customHeight="1" x14ac:dyDescent="0.2">
      <c r="CU157" s="155"/>
    </row>
    <row r="158" spans="99:99" ht="14.25" customHeight="1" x14ac:dyDescent="0.2">
      <c r="CU158" s="155"/>
    </row>
    <row r="159" spans="99:99" ht="14.25" customHeight="1" x14ac:dyDescent="0.2">
      <c r="CU159" s="155"/>
    </row>
    <row r="160" spans="99:99" ht="14.25" customHeight="1" x14ac:dyDescent="0.2">
      <c r="CU160" s="155"/>
    </row>
    <row r="161" spans="99:99" ht="14.25" customHeight="1" x14ac:dyDescent="0.2">
      <c r="CU161" s="155"/>
    </row>
    <row r="162" spans="99:99" ht="14.25" customHeight="1" x14ac:dyDescent="0.2">
      <c r="CU162" s="155"/>
    </row>
    <row r="163" spans="99:99" ht="14.25" customHeight="1" x14ac:dyDescent="0.2">
      <c r="CU163" s="155"/>
    </row>
    <row r="164" spans="99:99" ht="14.25" customHeight="1" x14ac:dyDescent="0.2">
      <c r="CU164" s="155"/>
    </row>
    <row r="165" spans="99:99" ht="14.25" customHeight="1" x14ac:dyDescent="0.2">
      <c r="CU165" s="155"/>
    </row>
    <row r="166" spans="99:99" ht="14.25" customHeight="1" x14ac:dyDescent="0.2">
      <c r="CU166" s="155"/>
    </row>
    <row r="167" spans="99:99" ht="14.25" customHeight="1" x14ac:dyDescent="0.2">
      <c r="CU167" s="155"/>
    </row>
    <row r="168" spans="99:99" ht="14.25" customHeight="1" x14ac:dyDescent="0.2">
      <c r="CU168" s="155"/>
    </row>
    <row r="169" spans="99:99" ht="14.25" customHeight="1" x14ac:dyDescent="0.2">
      <c r="CU169" s="155"/>
    </row>
    <row r="170" spans="99:99" ht="14.25" customHeight="1" x14ac:dyDescent="0.2">
      <c r="CU170" s="155"/>
    </row>
    <row r="171" spans="99:99" ht="14.25" customHeight="1" x14ac:dyDescent="0.2">
      <c r="CU171" s="155"/>
    </row>
    <row r="172" spans="99:99" ht="14.25" customHeight="1" x14ac:dyDescent="0.2">
      <c r="CU172" s="155"/>
    </row>
    <row r="173" spans="99:99" ht="14.25" customHeight="1" x14ac:dyDescent="0.2">
      <c r="CU173" s="155"/>
    </row>
    <row r="174" spans="99:99" ht="14.25" customHeight="1" x14ac:dyDescent="0.2">
      <c r="CU174" s="155"/>
    </row>
    <row r="175" spans="99:99" ht="14.25" customHeight="1" x14ac:dyDescent="0.2">
      <c r="CU175" s="155"/>
    </row>
    <row r="176" spans="99:99" ht="14.25" customHeight="1" x14ac:dyDescent="0.2">
      <c r="CU176" s="155"/>
    </row>
    <row r="177" spans="99:99" ht="14.25" customHeight="1" x14ac:dyDescent="0.2">
      <c r="CU177" s="155"/>
    </row>
    <row r="178" spans="99:99" ht="14.25" customHeight="1" x14ac:dyDescent="0.2">
      <c r="CU178" s="155"/>
    </row>
    <row r="179" spans="99:99" ht="14.25" customHeight="1" x14ac:dyDescent="0.2">
      <c r="CU179" s="155"/>
    </row>
    <row r="180" spans="99:99" ht="14.25" customHeight="1" x14ac:dyDescent="0.2">
      <c r="CU180" s="155"/>
    </row>
    <row r="181" spans="99:99" ht="14.25" customHeight="1" x14ac:dyDescent="0.2">
      <c r="CU181" s="155"/>
    </row>
    <row r="182" spans="99:99" ht="14.25" customHeight="1" x14ac:dyDescent="0.2">
      <c r="CU182" s="155"/>
    </row>
    <row r="183" spans="99:99" ht="14.25" customHeight="1" x14ac:dyDescent="0.2">
      <c r="CU183" s="155"/>
    </row>
    <row r="184" spans="99:99" ht="14.25" customHeight="1" x14ac:dyDescent="0.2">
      <c r="CU184" s="155"/>
    </row>
    <row r="185" spans="99:99" ht="14.25" customHeight="1" x14ac:dyDescent="0.2">
      <c r="CU185" s="155"/>
    </row>
    <row r="186" spans="99:99" ht="14.25" customHeight="1" x14ac:dyDescent="0.2">
      <c r="CU186" s="155"/>
    </row>
    <row r="187" spans="99:99" ht="14.25" customHeight="1" x14ac:dyDescent="0.2">
      <c r="CU187" s="155"/>
    </row>
    <row r="188" spans="99:99" ht="14.25" customHeight="1" x14ac:dyDescent="0.2">
      <c r="CU188" s="155"/>
    </row>
    <row r="189" spans="99:99" ht="14.25" customHeight="1" x14ac:dyDescent="0.2">
      <c r="CU189" s="155"/>
    </row>
    <row r="190" spans="99:99" ht="14.25" customHeight="1" x14ac:dyDescent="0.2">
      <c r="CU190" s="155"/>
    </row>
    <row r="191" spans="99:99" ht="14.25" customHeight="1" x14ac:dyDescent="0.2">
      <c r="CU191" s="155"/>
    </row>
    <row r="192" spans="99:99" ht="14.25" customHeight="1" x14ac:dyDescent="0.2">
      <c r="CU192" s="155"/>
    </row>
    <row r="193" spans="99:99" ht="14.25" customHeight="1" x14ac:dyDescent="0.2">
      <c r="CU193" s="155"/>
    </row>
    <row r="194" spans="99:99" ht="14.25" customHeight="1" x14ac:dyDescent="0.2">
      <c r="CU194" s="155"/>
    </row>
    <row r="195" spans="99:99" ht="14.25" customHeight="1" x14ac:dyDescent="0.2">
      <c r="CU195" s="155"/>
    </row>
    <row r="196" spans="99:99" ht="14.25" customHeight="1" x14ac:dyDescent="0.2">
      <c r="CU196" s="155"/>
    </row>
    <row r="197" spans="99:99" ht="14.25" customHeight="1" x14ac:dyDescent="0.2">
      <c r="CU197" s="155"/>
    </row>
    <row r="198" spans="99:99" ht="14.25" customHeight="1" x14ac:dyDescent="0.2">
      <c r="CU198" s="155"/>
    </row>
    <row r="199" spans="99:99" ht="14.25" customHeight="1" x14ac:dyDescent="0.2">
      <c r="CU199" s="155"/>
    </row>
    <row r="200" spans="99:99" ht="14.25" customHeight="1" x14ac:dyDescent="0.2">
      <c r="CU200" s="155"/>
    </row>
    <row r="201" spans="99:99" ht="14.25" customHeight="1" x14ac:dyDescent="0.2">
      <c r="CU201" s="155"/>
    </row>
    <row r="202" spans="99:99" ht="14.25" customHeight="1" x14ac:dyDescent="0.2">
      <c r="CU202" s="155"/>
    </row>
    <row r="203" spans="99:99" ht="14.25" customHeight="1" x14ac:dyDescent="0.2">
      <c r="CU203" s="155"/>
    </row>
    <row r="204" spans="99:99" ht="14.25" customHeight="1" x14ac:dyDescent="0.2">
      <c r="CU204" s="155"/>
    </row>
    <row r="205" spans="99:99" ht="14.25" customHeight="1" x14ac:dyDescent="0.2">
      <c r="CU205" s="155"/>
    </row>
    <row r="206" spans="99:99" ht="14.25" customHeight="1" x14ac:dyDescent="0.2">
      <c r="CU206" s="155"/>
    </row>
    <row r="207" spans="99:99" ht="14.25" customHeight="1" x14ac:dyDescent="0.2">
      <c r="CU207" s="155"/>
    </row>
    <row r="208" spans="99:99" ht="14.25" customHeight="1" x14ac:dyDescent="0.2">
      <c r="CU208" s="155"/>
    </row>
    <row r="209" spans="99:99" ht="14.25" customHeight="1" x14ac:dyDescent="0.2">
      <c r="CU209" s="155"/>
    </row>
    <row r="210" spans="99:99" ht="14.25" customHeight="1" x14ac:dyDescent="0.2">
      <c r="CU210" s="155"/>
    </row>
    <row r="211" spans="99:99" ht="14.25" customHeight="1" x14ac:dyDescent="0.2">
      <c r="CU211" s="155"/>
    </row>
    <row r="212" spans="99:99" ht="14.25" customHeight="1" x14ac:dyDescent="0.2">
      <c r="CU212" s="155"/>
    </row>
    <row r="213" spans="99:99" ht="14.25" customHeight="1" x14ac:dyDescent="0.2">
      <c r="CU213" s="155"/>
    </row>
    <row r="214" spans="99:99" ht="14.25" customHeight="1" x14ac:dyDescent="0.2">
      <c r="CU214" s="155"/>
    </row>
    <row r="215" spans="99:99" ht="14.25" customHeight="1" x14ac:dyDescent="0.2">
      <c r="CU215" s="155"/>
    </row>
    <row r="216" spans="99:99" ht="14.25" customHeight="1" x14ac:dyDescent="0.2">
      <c r="CU216" s="155"/>
    </row>
    <row r="217" spans="99:99" ht="14.25" customHeight="1" x14ac:dyDescent="0.2">
      <c r="CU217" s="155"/>
    </row>
    <row r="218" spans="99:99" ht="14.25" customHeight="1" x14ac:dyDescent="0.2">
      <c r="CU218" s="155"/>
    </row>
    <row r="219" spans="99:99" ht="14.25" customHeight="1" x14ac:dyDescent="0.2">
      <c r="CU219" s="155"/>
    </row>
    <row r="220" spans="99:99" ht="14.25" customHeight="1" x14ac:dyDescent="0.2">
      <c r="CU220" s="155"/>
    </row>
    <row r="221" spans="99:99" ht="14.25" customHeight="1" x14ac:dyDescent="0.2">
      <c r="CU221" s="155"/>
    </row>
    <row r="222" spans="99:99" ht="14.25" customHeight="1" x14ac:dyDescent="0.2">
      <c r="CU222" s="155"/>
    </row>
    <row r="223" spans="99:99" ht="14.25" customHeight="1" x14ac:dyDescent="0.2">
      <c r="CU223" s="155"/>
    </row>
    <row r="224" spans="99:99" ht="14.25" customHeight="1" x14ac:dyDescent="0.2">
      <c r="CU224" s="155"/>
    </row>
    <row r="225" spans="99:99" ht="14.25" customHeight="1" x14ac:dyDescent="0.2">
      <c r="CU225" s="155"/>
    </row>
    <row r="226" spans="99:99" ht="14.25" customHeight="1" x14ac:dyDescent="0.2">
      <c r="CU226" s="155"/>
    </row>
    <row r="227" spans="99:99" ht="14.25" customHeight="1" x14ac:dyDescent="0.2">
      <c r="CU227" s="155"/>
    </row>
    <row r="228" spans="99:99" ht="14.25" customHeight="1" x14ac:dyDescent="0.2">
      <c r="CU228" s="155"/>
    </row>
    <row r="229" spans="99:99" ht="14.25" customHeight="1" x14ac:dyDescent="0.2">
      <c r="CU229" s="155"/>
    </row>
    <row r="230" spans="99:99" ht="14.25" customHeight="1" x14ac:dyDescent="0.2">
      <c r="CU230" s="155"/>
    </row>
    <row r="231" spans="99:99" ht="14.25" customHeight="1" x14ac:dyDescent="0.2">
      <c r="CU231" s="155"/>
    </row>
    <row r="232" spans="99:99" ht="14.25" customHeight="1" x14ac:dyDescent="0.2">
      <c r="CU232" s="155"/>
    </row>
    <row r="233" spans="99:99" ht="14.25" customHeight="1" x14ac:dyDescent="0.2">
      <c r="CU233" s="155"/>
    </row>
    <row r="234" spans="99:99" ht="14.25" customHeight="1" x14ac:dyDescent="0.2">
      <c r="CU234" s="155"/>
    </row>
    <row r="235" spans="99:99" ht="14.25" customHeight="1" x14ac:dyDescent="0.2">
      <c r="CU235" s="155"/>
    </row>
    <row r="236" spans="99:99" ht="14.25" customHeight="1" x14ac:dyDescent="0.2">
      <c r="CU236" s="155"/>
    </row>
    <row r="237" spans="99:99" ht="14.25" customHeight="1" x14ac:dyDescent="0.2">
      <c r="CU237" s="155"/>
    </row>
    <row r="238" spans="99:99" ht="14.25" customHeight="1" x14ac:dyDescent="0.2">
      <c r="CU238" s="155"/>
    </row>
    <row r="239" spans="99:99" ht="14.25" customHeight="1" x14ac:dyDescent="0.2">
      <c r="CU239" s="155"/>
    </row>
    <row r="240" spans="99:99" ht="14.25" customHeight="1" x14ac:dyDescent="0.2">
      <c r="CU240" s="155"/>
    </row>
    <row r="241" spans="99:99" ht="14.25" customHeight="1" x14ac:dyDescent="0.2">
      <c r="CU241" s="155"/>
    </row>
    <row r="242" spans="99:99" ht="14.25" customHeight="1" x14ac:dyDescent="0.2">
      <c r="CU242" s="155"/>
    </row>
    <row r="243" spans="99:99" ht="14.25" customHeight="1" x14ac:dyDescent="0.2">
      <c r="CU243" s="155"/>
    </row>
    <row r="244" spans="99:99" ht="14.25" customHeight="1" x14ac:dyDescent="0.2">
      <c r="CU244" s="155"/>
    </row>
    <row r="245" spans="99:99" ht="14.25" customHeight="1" x14ac:dyDescent="0.2">
      <c r="CU245" s="155"/>
    </row>
    <row r="246" spans="99:99" ht="14.25" customHeight="1" x14ac:dyDescent="0.2">
      <c r="CU246" s="155"/>
    </row>
    <row r="247" spans="99:99" ht="14.25" customHeight="1" x14ac:dyDescent="0.2">
      <c r="CU247" s="155"/>
    </row>
    <row r="248" spans="99:99" ht="14.25" customHeight="1" x14ac:dyDescent="0.2">
      <c r="CU248" s="155"/>
    </row>
    <row r="249" spans="99:99" ht="14.25" customHeight="1" x14ac:dyDescent="0.2">
      <c r="CU249" s="155"/>
    </row>
    <row r="250" spans="99:99" ht="14.25" customHeight="1" x14ac:dyDescent="0.2">
      <c r="CU250" s="155"/>
    </row>
    <row r="251" spans="99:99" ht="14.25" customHeight="1" x14ac:dyDescent="0.2">
      <c r="CU251" s="155"/>
    </row>
    <row r="252" spans="99:99" ht="14.25" customHeight="1" x14ac:dyDescent="0.2">
      <c r="CU252" s="155"/>
    </row>
    <row r="253" spans="99:99" ht="14.25" customHeight="1" x14ac:dyDescent="0.2">
      <c r="CU253" s="155"/>
    </row>
    <row r="254" spans="99:99" ht="14.25" customHeight="1" x14ac:dyDescent="0.2">
      <c r="CU254" s="155"/>
    </row>
    <row r="255" spans="99:99" ht="14.25" customHeight="1" x14ac:dyDescent="0.2">
      <c r="CU255" s="155"/>
    </row>
    <row r="256" spans="99:99" ht="14.25" customHeight="1" x14ac:dyDescent="0.2">
      <c r="CU256" s="155"/>
    </row>
    <row r="257" spans="99:99" ht="14.25" customHeight="1" x14ac:dyDescent="0.2">
      <c r="CU257" s="155"/>
    </row>
    <row r="258" spans="99:99" ht="14.25" customHeight="1" x14ac:dyDescent="0.2">
      <c r="CU258" s="155"/>
    </row>
    <row r="259" spans="99:99" ht="14.25" customHeight="1" x14ac:dyDescent="0.2">
      <c r="CU259" s="155"/>
    </row>
    <row r="260" spans="99:99" ht="14.25" customHeight="1" x14ac:dyDescent="0.2">
      <c r="CU260" s="155"/>
    </row>
    <row r="261" spans="99:99" ht="14.25" customHeight="1" x14ac:dyDescent="0.2">
      <c r="CU261" s="155"/>
    </row>
    <row r="262" spans="99:99" ht="14.25" customHeight="1" x14ac:dyDescent="0.2">
      <c r="CU262" s="155"/>
    </row>
    <row r="263" spans="99:99" ht="14.25" customHeight="1" x14ac:dyDescent="0.2">
      <c r="CU263" s="155"/>
    </row>
    <row r="264" spans="99:99" ht="14.25" customHeight="1" x14ac:dyDescent="0.2">
      <c r="CU264" s="155"/>
    </row>
    <row r="265" spans="99:99" ht="14.25" customHeight="1" x14ac:dyDescent="0.2">
      <c r="CU265" s="155"/>
    </row>
    <row r="266" spans="99:99" ht="14.25" customHeight="1" x14ac:dyDescent="0.2">
      <c r="CU266" s="155"/>
    </row>
    <row r="267" spans="99:99" ht="14.25" customHeight="1" x14ac:dyDescent="0.2">
      <c r="CU267" s="155"/>
    </row>
    <row r="268" spans="99:99" ht="14.25" customHeight="1" x14ac:dyDescent="0.2">
      <c r="CU268" s="155"/>
    </row>
    <row r="269" spans="99:99" ht="14.25" customHeight="1" x14ac:dyDescent="0.2">
      <c r="CU269" s="155"/>
    </row>
    <row r="270" spans="99:99" ht="14.25" customHeight="1" x14ac:dyDescent="0.2">
      <c r="CU270" s="155"/>
    </row>
    <row r="271" spans="99:99" ht="14.25" customHeight="1" x14ac:dyDescent="0.2">
      <c r="CU271" s="155"/>
    </row>
    <row r="272" spans="99:99" ht="14.25" customHeight="1" x14ac:dyDescent="0.2">
      <c r="CU272" s="155"/>
    </row>
    <row r="273" spans="99:99" ht="14.25" customHeight="1" x14ac:dyDescent="0.2">
      <c r="CU273" s="155"/>
    </row>
    <row r="274" spans="99:99" ht="14.25" customHeight="1" x14ac:dyDescent="0.2">
      <c r="CU274" s="155"/>
    </row>
    <row r="275" spans="99:99" ht="14.25" customHeight="1" x14ac:dyDescent="0.2">
      <c r="CU275" s="155"/>
    </row>
    <row r="276" spans="99:99" ht="14.25" customHeight="1" x14ac:dyDescent="0.2">
      <c r="CU276" s="155"/>
    </row>
    <row r="277" spans="99:99" ht="14.25" customHeight="1" x14ac:dyDescent="0.2">
      <c r="CU277" s="155"/>
    </row>
    <row r="278" spans="99:99" ht="14.25" customHeight="1" x14ac:dyDescent="0.2">
      <c r="CU278" s="155"/>
    </row>
    <row r="279" spans="99:99" ht="14.25" customHeight="1" x14ac:dyDescent="0.2">
      <c r="CU279" s="155"/>
    </row>
    <row r="280" spans="99:99" ht="14.25" customHeight="1" x14ac:dyDescent="0.2">
      <c r="CU280" s="155"/>
    </row>
    <row r="281" spans="99:99" ht="14.25" customHeight="1" x14ac:dyDescent="0.2">
      <c r="CU281" s="155"/>
    </row>
    <row r="282" spans="99:99" ht="14.25" customHeight="1" x14ac:dyDescent="0.2">
      <c r="CU282" s="155"/>
    </row>
    <row r="283" spans="99:99" ht="14.25" customHeight="1" x14ac:dyDescent="0.2">
      <c r="CU283" s="155"/>
    </row>
    <row r="284" spans="99:99" ht="14.25" customHeight="1" x14ac:dyDescent="0.2">
      <c r="CU284" s="155"/>
    </row>
    <row r="285" spans="99:99" ht="14.25" customHeight="1" x14ac:dyDescent="0.2">
      <c r="CU285" s="155"/>
    </row>
    <row r="286" spans="99:99" ht="14.25" customHeight="1" x14ac:dyDescent="0.2">
      <c r="CU286" s="155"/>
    </row>
    <row r="287" spans="99:99" ht="14.25" customHeight="1" x14ac:dyDescent="0.2">
      <c r="CU287" s="155"/>
    </row>
    <row r="288" spans="99:99" ht="14.25" customHeight="1" x14ac:dyDescent="0.2">
      <c r="CU288" s="155"/>
    </row>
    <row r="289" spans="99:99" ht="14.25" customHeight="1" x14ac:dyDescent="0.2">
      <c r="CU289" s="155"/>
    </row>
    <row r="290" spans="99:99" ht="14.25" customHeight="1" x14ac:dyDescent="0.2">
      <c r="CU290" s="155"/>
    </row>
    <row r="291" spans="99:99" ht="14.25" customHeight="1" x14ac:dyDescent="0.2">
      <c r="CU291" s="155"/>
    </row>
    <row r="292" spans="99:99" ht="14.25" customHeight="1" x14ac:dyDescent="0.2">
      <c r="CU292" s="155"/>
    </row>
    <row r="293" spans="99:99" ht="14.25" customHeight="1" x14ac:dyDescent="0.2">
      <c r="CU293" s="155"/>
    </row>
    <row r="294" spans="99:99" ht="14.25" customHeight="1" x14ac:dyDescent="0.2">
      <c r="CU294" s="155"/>
    </row>
    <row r="295" spans="99:99" ht="14.25" customHeight="1" x14ac:dyDescent="0.2">
      <c r="CU295" s="155"/>
    </row>
    <row r="296" spans="99:99" ht="14.25" customHeight="1" x14ac:dyDescent="0.2">
      <c r="CU296" s="155"/>
    </row>
    <row r="297" spans="99:99" ht="14.25" customHeight="1" x14ac:dyDescent="0.2">
      <c r="CU297" s="155"/>
    </row>
    <row r="298" spans="99:99" ht="14.25" customHeight="1" x14ac:dyDescent="0.2">
      <c r="CU298" s="155"/>
    </row>
    <row r="299" spans="99:99" ht="14.25" customHeight="1" x14ac:dyDescent="0.2">
      <c r="CU299" s="155"/>
    </row>
    <row r="300" spans="99:99" ht="14.25" customHeight="1" x14ac:dyDescent="0.2">
      <c r="CU300" s="155"/>
    </row>
    <row r="301" spans="99:99" ht="14.25" customHeight="1" x14ac:dyDescent="0.2">
      <c r="CU301" s="155"/>
    </row>
    <row r="302" spans="99:99" ht="14.25" customHeight="1" x14ac:dyDescent="0.2">
      <c r="CU302" s="155"/>
    </row>
    <row r="303" spans="99:99" ht="14.25" customHeight="1" x14ac:dyDescent="0.2">
      <c r="CU303" s="155"/>
    </row>
    <row r="304" spans="99:99" ht="14.25" customHeight="1" x14ac:dyDescent="0.2">
      <c r="CU304" s="155"/>
    </row>
    <row r="305" spans="99:99" ht="14.25" customHeight="1" x14ac:dyDescent="0.2">
      <c r="CU305" s="155"/>
    </row>
    <row r="306" spans="99:99" ht="14.25" customHeight="1" x14ac:dyDescent="0.2">
      <c r="CU306" s="155"/>
    </row>
    <row r="307" spans="99:99" ht="14.25" customHeight="1" x14ac:dyDescent="0.2">
      <c r="CU307" s="155"/>
    </row>
    <row r="308" spans="99:99" ht="14.25" customHeight="1" x14ac:dyDescent="0.2">
      <c r="CU308" s="155"/>
    </row>
    <row r="309" spans="99:99" ht="14.25" customHeight="1" x14ac:dyDescent="0.2">
      <c r="CU309" s="155"/>
    </row>
    <row r="310" spans="99:99" ht="14.25" customHeight="1" x14ac:dyDescent="0.2">
      <c r="CU310" s="155"/>
    </row>
    <row r="311" spans="99:99" ht="14.25" customHeight="1" x14ac:dyDescent="0.2">
      <c r="CU311" s="155"/>
    </row>
    <row r="312" spans="99:99" ht="14.25" customHeight="1" x14ac:dyDescent="0.2">
      <c r="CU312" s="155"/>
    </row>
    <row r="313" spans="99:99" ht="14.25" customHeight="1" x14ac:dyDescent="0.2">
      <c r="CU313" s="155"/>
    </row>
    <row r="314" spans="99:99" ht="14.25" customHeight="1" x14ac:dyDescent="0.2">
      <c r="CU314" s="155"/>
    </row>
    <row r="315" spans="99:99" ht="14.25" customHeight="1" x14ac:dyDescent="0.2">
      <c r="CU315" s="155"/>
    </row>
    <row r="316" spans="99:99" ht="14.25" customHeight="1" x14ac:dyDescent="0.2">
      <c r="CU316" s="155"/>
    </row>
    <row r="317" spans="99:99" ht="14.25" customHeight="1" x14ac:dyDescent="0.2">
      <c r="CU317" s="155"/>
    </row>
    <row r="318" spans="99:99" ht="14.25" customHeight="1" x14ac:dyDescent="0.2">
      <c r="CU318" s="155"/>
    </row>
    <row r="319" spans="99:99" ht="14.25" customHeight="1" x14ac:dyDescent="0.2">
      <c r="CU319" s="155"/>
    </row>
    <row r="320" spans="99:99" ht="14.25" customHeight="1" x14ac:dyDescent="0.2">
      <c r="CU320" s="155"/>
    </row>
    <row r="321" spans="99:99" ht="14.25" customHeight="1" x14ac:dyDescent="0.2">
      <c r="CU321" s="155"/>
    </row>
    <row r="322" spans="99:99" ht="14.25" customHeight="1" x14ac:dyDescent="0.2">
      <c r="CU322" s="155"/>
    </row>
    <row r="323" spans="99:99" ht="14.25" customHeight="1" x14ac:dyDescent="0.2">
      <c r="CU323" s="155"/>
    </row>
    <row r="324" spans="99:99" ht="14.25" customHeight="1" x14ac:dyDescent="0.2">
      <c r="CU324" s="155"/>
    </row>
    <row r="325" spans="99:99" ht="14.25" customHeight="1" x14ac:dyDescent="0.2">
      <c r="CU325" s="155"/>
    </row>
    <row r="326" spans="99:99" ht="14.25" customHeight="1" x14ac:dyDescent="0.2">
      <c r="CU326" s="155"/>
    </row>
    <row r="327" spans="99:99" ht="14.25" customHeight="1" x14ac:dyDescent="0.2">
      <c r="CU327" s="155"/>
    </row>
    <row r="328" spans="99:99" ht="14.25" customHeight="1" x14ac:dyDescent="0.2">
      <c r="CU328" s="155"/>
    </row>
    <row r="329" spans="99:99" ht="14.25" customHeight="1" x14ac:dyDescent="0.2">
      <c r="CU329" s="155"/>
    </row>
    <row r="330" spans="99:99" ht="14.25" customHeight="1" x14ac:dyDescent="0.2">
      <c r="CU330" s="155"/>
    </row>
    <row r="331" spans="99:99" ht="14.25" customHeight="1" x14ac:dyDescent="0.2">
      <c r="CU331" s="155"/>
    </row>
    <row r="332" spans="99:99" ht="14.25" customHeight="1" x14ac:dyDescent="0.2">
      <c r="CU332" s="155"/>
    </row>
    <row r="333" spans="99:99" ht="14.25" customHeight="1" x14ac:dyDescent="0.2">
      <c r="CU333" s="155"/>
    </row>
    <row r="334" spans="99:99" ht="14.25" customHeight="1" x14ac:dyDescent="0.2">
      <c r="CU334" s="155"/>
    </row>
    <row r="335" spans="99:99" ht="14.25" customHeight="1" x14ac:dyDescent="0.2">
      <c r="CU335" s="155"/>
    </row>
    <row r="336" spans="99:99" ht="14.25" customHeight="1" x14ac:dyDescent="0.2">
      <c r="CU336" s="155"/>
    </row>
    <row r="337" spans="99:99" ht="14.25" customHeight="1" x14ac:dyDescent="0.2">
      <c r="CU337" s="155"/>
    </row>
    <row r="338" spans="99:99" ht="14.25" customHeight="1" x14ac:dyDescent="0.2">
      <c r="CU338" s="155"/>
    </row>
    <row r="339" spans="99:99" ht="14.25" customHeight="1" x14ac:dyDescent="0.2">
      <c r="CU339" s="155"/>
    </row>
    <row r="340" spans="99:99" ht="14.25" customHeight="1" x14ac:dyDescent="0.2">
      <c r="CU340" s="155"/>
    </row>
    <row r="341" spans="99:99" ht="14.25" customHeight="1" x14ac:dyDescent="0.2">
      <c r="CU341" s="155"/>
    </row>
    <row r="342" spans="99:99" ht="14.25" customHeight="1" x14ac:dyDescent="0.2">
      <c r="CU342" s="155"/>
    </row>
    <row r="343" spans="99:99" ht="14.25" customHeight="1" x14ac:dyDescent="0.2">
      <c r="CU343" s="155"/>
    </row>
    <row r="344" spans="99:99" ht="14.25" customHeight="1" x14ac:dyDescent="0.2">
      <c r="CU344" s="155"/>
    </row>
    <row r="345" spans="99:99" ht="14.25" customHeight="1" x14ac:dyDescent="0.2">
      <c r="CU345" s="155"/>
    </row>
    <row r="346" spans="99:99" ht="14.25" customHeight="1" x14ac:dyDescent="0.2">
      <c r="CU346" s="155"/>
    </row>
    <row r="347" spans="99:99" ht="14.25" customHeight="1" x14ac:dyDescent="0.2">
      <c r="CU347" s="155"/>
    </row>
    <row r="348" spans="99:99" ht="14.25" customHeight="1" x14ac:dyDescent="0.2">
      <c r="CU348" s="155"/>
    </row>
    <row r="349" spans="99:99" ht="14.25" customHeight="1" x14ac:dyDescent="0.2">
      <c r="CU349" s="155"/>
    </row>
    <row r="350" spans="99:99" ht="14.25" customHeight="1" x14ac:dyDescent="0.2">
      <c r="CU350" s="155"/>
    </row>
    <row r="351" spans="99:99" ht="14.25" customHeight="1" x14ac:dyDescent="0.2">
      <c r="CU351" s="155"/>
    </row>
    <row r="352" spans="99:99" ht="14.25" customHeight="1" x14ac:dyDescent="0.2">
      <c r="CU352" s="155"/>
    </row>
    <row r="353" spans="99:99" ht="14.25" customHeight="1" x14ac:dyDescent="0.2">
      <c r="CU353" s="155"/>
    </row>
    <row r="354" spans="99:99" ht="14.25" customHeight="1" x14ac:dyDescent="0.2">
      <c r="CU354" s="155"/>
    </row>
    <row r="355" spans="99:99" ht="14.25" customHeight="1" x14ac:dyDescent="0.2">
      <c r="CU355" s="155"/>
    </row>
    <row r="356" spans="99:99" ht="14.25" customHeight="1" x14ac:dyDescent="0.2">
      <c r="CU356" s="155"/>
    </row>
    <row r="357" spans="99:99" ht="14.25" customHeight="1" x14ac:dyDescent="0.2">
      <c r="CU357" s="155"/>
    </row>
    <row r="358" spans="99:99" ht="14.25" customHeight="1" x14ac:dyDescent="0.2">
      <c r="CU358" s="155"/>
    </row>
    <row r="359" spans="99:99" ht="14.25" customHeight="1" x14ac:dyDescent="0.2">
      <c r="CU359" s="155"/>
    </row>
    <row r="360" spans="99:99" ht="14.25" customHeight="1" x14ac:dyDescent="0.2">
      <c r="CU360" s="155"/>
    </row>
    <row r="361" spans="99:99" ht="14.25" customHeight="1" x14ac:dyDescent="0.2">
      <c r="CU361" s="155"/>
    </row>
    <row r="362" spans="99:99" ht="14.25" customHeight="1" x14ac:dyDescent="0.2">
      <c r="CU362" s="155"/>
    </row>
    <row r="363" spans="99:99" ht="14.25" customHeight="1" x14ac:dyDescent="0.2">
      <c r="CU363" s="155"/>
    </row>
    <row r="364" spans="99:99" ht="14.25" customHeight="1" x14ac:dyDescent="0.2">
      <c r="CU364" s="155"/>
    </row>
    <row r="365" spans="99:99" ht="14.25" customHeight="1" x14ac:dyDescent="0.2">
      <c r="CU365" s="155"/>
    </row>
    <row r="366" spans="99:99" ht="14.25" customHeight="1" x14ac:dyDescent="0.2">
      <c r="CU366" s="155"/>
    </row>
    <row r="367" spans="99:99" ht="14.25" customHeight="1" x14ac:dyDescent="0.2">
      <c r="CU367" s="155"/>
    </row>
    <row r="368" spans="99:99" ht="14.25" customHeight="1" x14ac:dyDescent="0.2">
      <c r="CU368" s="155"/>
    </row>
    <row r="369" spans="99:99" ht="14.25" customHeight="1" x14ac:dyDescent="0.2">
      <c r="CU369" s="155"/>
    </row>
    <row r="370" spans="99:99" ht="14.25" customHeight="1" x14ac:dyDescent="0.2">
      <c r="CU370" s="155"/>
    </row>
    <row r="371" spans="99:99" ht="14.25" customHeight="1" x14ac:dyDescent="0.2">
      <c r="CU371" s="155"/>
    </row>
    <row r="372" spans="99:99" ht="14.25" customHeight="1" x14ac:dyDescent="0.2">
      <c r="CU372" s="155"/>
    </row>
    <row r="373" spans="99:99" ht="14.25" customHeight="1" x14ac:dyDescent="0.2">
      <c r="CU373" s="155"/>
    </row>
    <row r="374" spans="99:99" ht="14.25" customHeight="1" x14ac:dyDescent="0.2">
      <c r="CU374" s="155"/>
    </row>
    <row r="375" spans="99:99" ht="14.25" customHeight="1" x14ac:dyDescent="0.2">
      <c r="CU375" s="155"/>
    </row>
    <row r="376" spans="99:99" ht="14.25" customHeight="1" x14ac:dyDescent="0.2">
      <c r="CU376" s="155"/>
    </row>
    <row r="377" spans="99:99" ht="14.25" customHeight="1" x14ac:dyDescent="0.2">
      <c r="CU377" s="155"/>
    </row>
    <row r="378" spans="99:99" ht="14.25" customHeight="1" x14ac:dyDescent="0.2">
      <c r="CU378" s="155"/>
    </row>
    <row r="379" spans="99:99" ht="14.25" customHeight="1" x14ac:dyDescent="0.2">
      <c r="CU379" s="155"/>
    </row>
    <row r="380" spans="99:99" ht="14.25" customHeight="1" x14ac:dyDescent="0.2">
      <c r="CU380" s="155"/>
    </row>
    <row r="381" spans="99:99" ht="14.25" customHeight="1" x14ac:dyDescent="0.2">
      <c r="CU381" s="155"/>
    </row>
    <row r="382" spans="99:99" ht="14.25" customHeight="1" x14ac:dyDescent="0.2">
      <c r="CU382" s="155"/>
    </row>
    <row r="383" spans="99:99" ht="14.25" customHeight="1" x14ac:dyDescent="0.2">
      <c r="CU383" s="155"/>
    </row>
    <row r="384" spans="99:99" ht="14.25" customHeight="1" x14ac:dyDescent="0.2">
      <c r="CU384" s="155"/>
    </row>
    <row r="385" spans="99:99" ht="14.25" customHeight="1" x14ac:dyDescent="0.2">
      <c r="CU385" s="155"/>
    </row>
    <row r="386" spans="99:99" ht="14.25" customHeight="1" x14ac:dyDescent="0.2">
      <c r="CU386" s="155"/>
    </row>
    <row r="387" spans="99:99" ht="14.25" customHeight="1" x14ac:dyDescent="0.2">
      <c r="CU387" s="155"/>
    </row>
    <row r="388" spans="99:99" ht="14.25" customHeight="1" x14ac:dyDescent="0.2">
      <c r="CU388" s="155"/>
    </row>
    <row r="389" spans="99:99" ht="14.25" customHeight="1" x14ac:dyDescent="0.2">
      <c r="CU389" s="155"/>
    </row>
    <row r="390" spans="99:99" ht="14.25" customHeight="1" x14ac:dyDescent="0.2">
      <c r="CU390" s="155"/>
    </row>
    <row r="391" spans="99:99" ht="14.25" customHeight="1" x14ac:dyDescent="0.2">
      <c r="CU391" s="155"/>
    </row>
    <row r="392" spans="99:99" ht="14.25" customHeight="1" x14ac:dyDescent="0.2">
      <c r="CU392" s="155"/>
    </row>
    <row r="393" spans="99:99" ht="14.25" customHeight="1" x14ac:dyDescent="0.2">
      <c r="CU393" s="155"/>
    </row>
    <row r="394" spans="99:99" ht="14.25" customHeight="1" x14ac:dyDescent="0.2">
      <c r="CU394" s="155"/>
    </row>
    <row r="395" spans="99:99" ht="14.25" customHeight="1" x14ac:dyDescent="0.2">
      <c r="CU395" s="155"/>
    </row>
    <row r="396" spans="99:99" ht="14.25" customHeight="1" x14ac:dyDescent="0.2">
      <c r="CU396" s="155"/>
    </row>
    <row r="397" spans="99:99" ht="14.25" customHeight="1" x14ac:dyDescent="0.2">
      <c r="CU397" s="155"/>
    </row>
    <row r="398" spans="99:99" ht="14.25" customHeight="1" x14ac:dyDescent="0.2">
      <c r="CU398" s="155"/>
    </row>
    <row r="399" spans="99:99" ht="14.25" customHeight="1" x14ac:dyDescent="0.2">
      <c r="CU399" s="155"/>
    </row>
    <row r="400" spans="99:99" ht="14.25" customHeight="1" x14ac:dyDescent="0.2">
      <c r="CU400" s="155"/>
    </row>
    <row r="401" spans="99:99" ht="14.25" customHeight="1" x14ac:dyDescent="0.2">
      <c r="CU401" s="155"/>
    </row>
    <row r="402" spans="99:99" ht="14.25" customHeight="1" x14ac:dyDescent="0.2">
      <c r="CU402" s="155"/>
    </row>
    <row r="403" spans="99:99" ht="14.25" customHeight="1" x14ac:dyDescent="0.2">
      <c r="CU403" s="155"/>
    </row>
    <row r="404" spans="99:99" ht="14.25" customHeight="1" x14ac:dyDescent="0.2">
      <c r="CU404" s="155"/>
    </row>
    <row r="405" spans="99:99" ht="14.25" customHeight="1" x14ac:dyDescent="0.2">
      <c r="CU405" s="155"/>
    </row>
    <row r="406" spans="99:99" ht="14.25" customHeight="1" x14ac:dyDescent="0.2">
      <c r="CU406" s="155"/>
    </row>
    <row r="407" spans="99:99" ht="14.25" customHeight="1" x14ac:dyDescent="0.2">
      <c r="CU407" s="155"/>
    </row>
    <row r="408" spans="99:99" ht="14.25" customHeight="1" x14ac:dyDescent="0.2">
      <c r="CU408" s="155"/>
    </row>
    <row r="409" spans="99:99" ht="14.25" customHeight="1" x14ac:dyDescent="0.2">
      <c r="CU409" s="155"/>
    </row>
    <row r="410" spans="99:99" ht="14.25" customHeight="1" x14ac:dyDescent="0.2">
      <c r="CU410" s="155"/>
    </row>
    <row r="411" spans="99:99" ht="14.25" customHeight="1" x14ac:dyDescent="0.2">
      <c r="CU411" s="155"/>
    </row>
    <row r="412" spans="99:99" ht="14.25" customHeight="1" x14ac:dyDescent="0.2">
      <c r="CU412" s="155"/>
    </row>
    <row r="413" spans="99:99" ht="14.25" customHeight="1" x14ac:dyDescent="0.2">
      <c r="CU413" s="155"/>
    </row>
    <row r="414" spans="99:99" ht="14.25" customHeight="1" x14ac:dyDescent="0.2">
      <c r="CU414" s="155"/>
    </row>
    <row r="415" spans="99:99" ht="14.25" customHeight="1" x14ac:dyDescent="0.2">
      <c r="CU415" s="155"/>
    </row>
    <row r="416" spans="99:99" ht="14.25" customHeight="1" x14ac:dyDescent="0.2">
      <c r="CU416" s="155"/>
    </row>
    <row r="417" spans="99:99" ht="14.25" customHeight="1" x14ac:dyDescent="0.2">
      <c r="CU417" s="155"/>
    </row>
    <row r="418" spans="99:99" ht="14.25" customHeight="1" x14ac:dyDescent="0.2">
      <c r="CU418" s="155"/>
    </row>
    <row r="419" spans="99:99" ht="14.25" customHeight="1" x14ac:dyDescent="0.2">
      <c r="CU419" s="155"/>
    </row>
    <row r="420" spans="99:99" ht="14.25" customHeight="1" x14ac:dyDescent="0.2">
      <c r="CU420" s="155"/>
    </row>
    <row r="421" spans="99:99" ht="14.25" customHeight="1" x14ac:dyDescent="0.2">
      <c r="CU421" s="155"/>
    </row>
    <row r="422" spans="99:99" ht="14.25" customHeight="1" x14ac:dyDescent="0.2">
      <c r="CU422" s="155"/>
    </row>
    <row r="423" spans="99:99" ht="14.25" customHeight="1" x14ac:dyDescent="0.2">
      <c r="CU423" s="155"/>
    </row>
    <row r="424" spans="99:99" ht="14.25" customHeight="1" x14ac:dyDescent="0.2">
      <c r="CU424" s="155"/>
    </row>
    <row r="425" spans="99:99" ht="14.25" customHeight="1" x14ac:dyDescent="0.2">
      <c r="CU425" s="155"/>
    </row>
    <row r="426" spans="99:99" ht="14.25" customHeight="1" x14ac:dyDescent="0.2">
      <c r="CU426" s="155"/>
    </row>
    <row r="427" spans="99:99" ht="14.25" customHeight="1" x14ac:dyDescent="0.2">
      <c r="CU427" s="155"/>
    </row>
    <row r="428" spans="99:99" ht="14.25" customHeight="1" x14ac:dyDescent="0.2">
      <c r="CU428" s="155"/>
    </row>
    <row r="429" spans="99:99" ht="14.25" customHeight="1" x14ac:dyDescent="0.2">
      <c r="CU429" s="155"/>
    </row>
    <row r="430" spans="99:99" ht="14.25" customHeight="1" x14ac:dyDescent="0.2">
      <c r="CU430" s="155"/>
    </row>
    <row r="431" spans="99:99" ht="14.25" customHeight="1" x14ac:dyDescent="0.2">
      <c r="CU431" s="155"/>
    </row>
    <row r="432" spans="99:99" ht="14.25" customHeight="1" x14ac:dyDescent="0.2">
      <c r="CU432" s="155"/>
    </row>
    <row r="433" spans="99:99" ht="14.25" customHeight="1" x14ac:dyDescent="0.2">
      <c r="CU433" s="155"/>
    </row>
    <row r="434" spans="99:99" ht="14.25" customHeight="1" x14ac:dyDescent="0.2">
      <c r="CU434" s="155"/>
    </row>
    <row r="435" spans="99:99" ht="14.25" customHeight="1" x14ac:dyDescent="0.2">
      <c r="CU435" s="155"/>
    </row>
    <row r="436" spans="99:99" ht="14.25" customHeight="1" x14ac:dyDescent="0.2">
      <c r="CU436" s="155"/>
    </row>
    <row r="437" spans="99:99" ht="14.25" customHeight="1" x14ac:dyDescent="0.2">
      <c r="CU437" s="155"/>
    </row>
    <row r="438" spans="99:99" ht="14.25" customHeight="1" x14ac:dyDescent="0.2">
      <c r="CU438" s="155"/>
    </row>
    <row r="439" spans="99:99" ht="14.25" customHeight="1" x14ac:dyDescent="0.2">
      <c r="CU439" s="155"/>
    </row>
    <row r="440" spans="99:99" ht="14.25" customHeight="1" x14ac:dyDescent="0.2">
      <c r="CU440" s="155"/>
    </row>
    <row r="441" spans="99:99" ht="14.25" customHeight="1" x14ac:dyDescent="0.2">
      <c r="CU441" s="155"/>
    </row>
    <row r="442" spans="99:99" ht="14.25" customHeight="1" x14ac:dyDescent="0.2">
      <c r="CU442" s="155"/>
    </row>
    <row r="443" spans="99:99" ht="14.25" customHeight="1" x14ac:dyDescent="0.2">
      <c r="CU443" s="155"/>
    </row>
    <row r="444" spans="99:99" ht="14.25" customHeight="1" x14ac:dyDescent="0.2">
      <c r="CU444" s="155"/>
    </row>
    <row r="445" spans="99:99" ht="14.25" customHeight="1" x14ac:dyDescent="0.2">
      <c r="CU445" s="155"/>
    </row>
    <row r="446" spans="99:99" ht="14.25" customHeight="1" x14ac:dyDescent="0.2">
      <c r="CU446" s="155"/>
    </row>
    <row r="447" spans="99:99" ht="14.25" customHeight="1" x14ac:dyDescent="0.2">
      <c r="CU447" s="155"/>
    </row>
    <row r="448" spans="99:99" ht="14.25" customHeight="1" x14ac:dyDescent="0.2">
      <c r="CU448" s="155"/>
    </row>
    <row r="449" spans="99:99" ht="14.25" customHeight="1" x14ac:dyDescent="0.2">
      <c r="CU449" s="155"/>
    </row>
    <row r="450" spans="99:99" ht="14.25" customHeight="1" x14ac:dyDescent="0.2">
      <c r="CU450" s="155"/>
    </row>
    <row r="451" spans="99:99" ht="14.25" customHeight="1" x14ac:dyDescent="0.2">
      <c r="CU451" s="155"/>
    </row>
    <row r="452" spans="99:99" ht="14.25" customHeight="1" x14ac:dyDescent="0.2">
      <c r="CU452" s="155"/>
    </row>
    <row r="453" spans="99:99" ht="14.25" customHeight="1" x14ac:dyDescent="0.2">
      <c r="CU453" s="155"/>
    </row>
    <row r="454" spans="99:99" ht="14.25" customHeight="1" x14ac:dyDescent="0.2">
      <c r="CU454" s="155"/>
    </row>
    <row r="455" spans="99:99" ht="14.25" customHeight="1" x14ac:dyDescent="0.2">
      <c r="CU455" s="155"/>
    </row>
    <row r="456" spans="99:99" ht="14.25" customHeight="1" x14ac:dyDescent="0.2">
      <c r="CU456" s="155"/>
    </row>
    <row r="457" spans="99:99" ht="14.25" customHeight="1" x14ac:dyDescent="0.2">
      <c r="CU457" s="155"/>
    </row>
    <row r="458" spans="99:99" ht="14.25" customHeight="1" x14ac:dyDescent="0.2">
      <c r="CU458" s="155"/>
    </row>
    <row r="459" spans="99:99" ht="14.25" customHeight="1" x14ac:dyDescent="0.2">
      <c r="CU459" s="155"/>
    </row>
    <row r="460" spans="99:99" ht="14.25" customHeight="1" x14ac:dyDescent="0.2">
      <c r="CU460" s="155"/>
    </row>
    <row r="461" spans="99:99" ht="14.25" customHeight="1" x14ac:dyDescent="0.2">
      <c r="CU461" s="155"/>
    </row>
    <row r="462" spans="99:99" ht="14.25" customHeight="1" x14ac:dyDescent="0.2">
      <c r="CU462" s="155"/>
    </row>
    <row r="463" spans="99:99" ht="14.25" customHeight="1" x14ac:dyDescent="0.2">
      <c r="CU463" s="155"/>
    </row>
    <row r="464" spans="99:99" ht="14.25" customHeight="1" x14ac:dyDescent="0.2">
      <c r="CU464" s="155"/>
    </row>
    <row r="465" spans="99:99" ht="14.25" customHeight="1" x14ac:dyDescent="0.2">
      <c r="CU465" s="155"/>
    </row>
    <row r="466" spans="99:99" ht="14.25" customHeight="1" x14ac:dyDescent="0.2">
      <c r="CU466" s="155"/>
    </row>
    <row r="467" spans="99:99" ht="14.25" customHeight="1" x14ac:dyDescent="0.2">
      <c r="CU467" s="155"/>
    </row>
    <row r="468" spans="99:99" ht="14.25" customHeight="1" x14ac:dyDescent="0.2">
      <c r="CU468" s="155"/>
    </row>
    <row r="469" spans="99:99" ht="14.25" customHeight="1" x14ac:dyDescent="0.2">
      <c r="CU469" s="155"/>
    </row>
    <row r="470" spans="99:99" ht="14.25" customHeight="1" x14ac:dyDescent="0.2">
      <c r="CU470" s="155"/>
    </row>
    <row r="471" spans="99:99" ht="14.25" customHeight="1" x14ac:dyDescent="0.2">
      <c r="CU471" s="155"/>
    </row>
    <row r="472" spans="99:99" ht="14.25" customHeight="1" x14ac:dyDescent="0.2">
      <c r="CU472" s="155"/>
    </row>
    <row r="473" spans="99:99" ht="14.25" customHeight="1" x14ac:dyDescent="0.2">
      <c r="CU473" s="155"/>
    </row>
    <row r="474" spans="99:99" ht="14.25" customHeight="1" x14ac:dyDescent="0.2">
      <c r="CU474" s="155"/>
    </row>
    <row r="475" spans="99:99" ht="14.25" customHeight="1" x14ac:dyDescent="0.2">
      <c r="CU475" s="155"/>
    </row>
    <row r="476" spans="99:99" ht="14.25" customHeight="1" x14ac:dyDescent="0.2">
      <c r="CU476" s="155"/>
    </row>
    <row r="477" spans="99:99" ht="14.25" customHeight="1" x14ac:dyDescent="0.2">
      <c r="CU477" s="155"/>
    </row>
    <row r="478" spans="99:99" ht="14.25" customHeight="1" x14ac:dyDescent="0.2">
      <c r="CU478" s="155"/>
    </row>
    <row r="479" spans="99:99" ht="14.25" customHeight="1" x14ac:dyDescent="0.2">
      <c r="CU479" s="155"/>
    </row>
    <row r="480" spans="99:99" ht="14.25" customHeight="1" x14ac:dyDescent="0.2">
      <c r="CU480" s="155"/>
    </row>
    <row r="481" spans="99:99" ht="14.25" customHeight="1" x14ac:dyDescent="0.2">
      <c r="CU481" s="155"/>
    </row>
    <row r="482" spans="99:99" ht="14.25" customHeight="1" x14ac:dyDescent="0.2">
      <c r="CU482" s="155"/>
    </row>
    <row r="483" spans="99:99" ht="14.25" customHeight="1" x14ac:dyDescent="0.2">
      <c r="CU483" s="155"/>
    </row>
    <row r="484" spans="99:99" ht="14.25" customHeight="1" x14ac:dyDescent="0.2">
      <c r="CU484" s="155"/>
    </row>
    <row r="485" spans="99:99" ht="14.25" customHeight="1" x14ac:dyDescent="0.2">
      <c r="CU485" s="155"/>
    </row>
    <row r="486" spans="99:99" ht="14.25" customHeight="1" x14ac:dyDescent="0.2">
      <c r="CU486" s="155"/>
    </row>
    <row r="487" spans="99:99" ht="14.25" customHeight="1" x14ac:dyDescent="0.2">
      <c r="CU487" s="155"/>
    </row>
    <row r="488" spans="99:99" ht="14.25" customHeight="1" x14ac:dyDescent="0.2">
      <c r="CU488" s="155"/>
    </row>
    <row r="489" spans="99:99" ht="14.25" customHeight="1" x14ac:dyDescent="0.2">
      <c r="CU489" s="155"/>
    </row>
    <row r="490" spans="99:99" ht="14.25" customHeight="1" x14ac:dyDescent="0.2">
      <c r="CU490" s="155"/>
    </row>
    <row r="491" spans="99:99" ht="14.25" customHeight="1" x14ac:dyDescent="0.2">
      <c r="CU491" s="155"/>
    </row>
    <row r="492" spans="99:99" ht="14.25" customHeight="1" x14ac:dyDescent="0.2">
      <c r="CU492" s="155"/>
    </row>
    <row r="493" spans="99:99" ht="14.25" customHeight="1" x14ac:dyDescent="0.2">
      <c r="CU493" s="155"/>
    </row>
    <row r="494" spans="99:99" ht="14.25" customHeight="1" x14ac:dyDescent="0.2">
      <c r="CU494" s="155"/>
    </row>
    <row r="495" spans="99:99" ht="14.25" customHeight="1" x14ac:dyDescent="0.2">
      <c r="CU495" s="155"/>
    </row>
    <row r="496" spans="99:99" ht="14.25" customHeight="1" x14ac:dyDescent="0.2">
      <c r="CU496" s="155"/>
    </row>
    <row r="497" spans="99:99" ht="14.25" customHeight="1" x14ac:dyDescent="0.2">
      <c r="CU497" s="155"/>
    </row>
    <row r="498" spans="99:99" ht="14.25" customHeight="1" x14ac:dyDescent="0.2">
      <c r="CU498" s="155"/>
    </row>
    <row r="499" spans="99:99" ht="14.25" customHeight="1" x14ac:dyDescent="0.2">
      <c r="CU499" s="155"/>
    </row>
    <row r="500" spans="99:99" ht="14.25" customHeight="1" x14ac:dyDescent="0.2">
      <c r="CU500" s="155"/>
    </row>
    <row r="501" spans="99:99" ht="14.25" customHeight="1" x14ac:dyDescent="0.2">
      <c r="CU501" s="155"/>
    </row>
    <row r="502" spans="99:99" ht="14.25" customHeight="1" x14ac:dyDescent="0.2">
      <c r="CU502" s="155"/>
    </row>
    <row r="503" spans="99:99" ht="14.25" customHeight="1" x14ac:dyDescent="0.2">
      <c r="CU503" s="155"/>
    </row>
    <row r="504" spans="99:99" ht="14.25" customHeight="1" x14ac:dyDescent="0.2">
      <c r="CU504" s="155"/>
    </row>
    <row r="505" spans="99:99" ht="14.25" customHeight="1" x14ac:dyDescent="0.2">
      <c r="CU505" s="155"/>
    </row>
    <row r="506" spans="99:99" ht="14.25" customHeight="1" x14ac:dyDescent="0.2">
      <c r="CU506" s="155"/>
    </row>
    <row r="507" spans="99:99" ht="14.25" customHeight="1" x14ac:dyDescent="0.2">
      <c r="CU507" s="155"/>
    </row>
    <row r="508" spans="99:99" ht="14.25" customHeight="1" x14ac:dyDescent="0.2">
      <c r="CU508" s="155"/>
    </row>
    <row r="509" spans="99:99" ht="14.25" customHeight="1" x14ac:dyDescent="0.2">
      <c r="CU509" s="155"/>
    </row>
    <row r="510" spans="99:99" ht="14.25" customHeight="1" x14ac:dyDescent="0.2">
      <c r="CU510" s="155"/>
    </row>
    <row r="511" spans="99:99" ht="14.25" customHeight="1" x14ac:dyDescent="0.2">
      <c r="CU511" s="155"/>
    </row>
    <row r="512" spans="99:99" ht="14.25" customHeight="1" x14ac:dyDescent="0.2">
      <c r="CU512" s="155"/>
    </row>
    <row r="513" spans="99:99" ht="14.25" customHeight="1" x14ac:dyDescent="0.2">
      <c r="CU513" s="155"/>
    </row>
    <row r="514" spans="99:99" ht="14.25" customHeight="1" x14ac:dyDescent="0.2">
      <c r="CU514" s="155"/>
    </row>
    <row r="515" spans="99:99" ht="14.25" customHeight="1" x14ac:dyDescent="0.2">
      <c r="CU515" s="155"/>
    </row>
    <row r="516" spans="99:99" ht="14.25" customHeight="1" x14ac:dyDescent="0.2">
      <c r="CU516" s="155"/>
    </row>
    <row r="517" spans="99:99" ht="14.25" customHeight="1" x14ac:dyDescent="0.2">
      <c r="CU517" s="155"/>
    </row>
    <row r="518" spans="99:99" ht="14.25" customHeight="1" x14ac:dyDescent="0.2">
      <c r="CU518" s="155"/>
    </row>
    <row r="519" spans="99:99" ht="14.25" customHeight="1" x14ac:dyDescent="0.2">
      <c r="CU519" s="155"/>
    </row>
    <row r="520" spans="99:99" ht="14.25" customHeight="1" x14ac:dyDescent="0.2">
      <c r="CU520" s="155"/>
    </row>
    <row r="521" spans="99:99" ht="14.25" customHeight="1" x14ac:dyDescent="0.2">
      <c r="CU521" s="155"/>
    </row>
    <row r="522" spans="99:99" ht="14.25" customHeight="1" x14ac:dyDescent="0.2">
      <c r="CU522" s="155"/>
    </row>
    <row r="523" spans="99:99" ht="14.25" customHeight="1" x14ac:dyDescent="0.2">
      <c r="CU523" s="155"/>
    </row>
    <row r="524" spans="99:99" ht="14.25" customHeight="1" x14ac:dyDescent="0.2">
      <c r="CU524" s="155"/>
    </row>
    <row r="525" spans="99:99" ht="14.25" customHeight="1" x14ac:dyDescent="0.2">
      <c r="CU525" s="155"/>
    </row>
    <row r="526" spans="99:99" ht="14.25" customHeight="1" x14ac:dyDescent="0.2">
      <c r="CU526" s="155"/>
    </row>
    <row r="527" spans="99:99" ht="14.25" customHeight="1" x14ac:dyDescent="0.2">
      <c r="CU527" s="155"/>
    </row>
    <row r="528" spans="99:99" ht="14.25" customHeight="1" x14ac:dyDescent="0.2">
      <c r="CU528" s="155"/>
    </row>
    <row r="529" spans="99:99" ht="14.25" customHeight="1" x14ac:dyDescent="0.2">
      <c r="CU529" s="155"/>
    </row>
    <row r="530" spans="99:99" ht="14.25" customHeight="1" x14ac:dyDescent="0.2">
      <c r="CU530" s="155"/>
    </row>
    <row r="531" spans="99:99" ht="14.25" customHeight="1" x14ac:dyDescent="0.2">
      <c r="CU531" s="155"/>
    </row>
    <row r="532" spans="99:99" ht="14.25" customHeight="1" x14ac:dyDescent="0.2">
      <c r="CU532" s="155"/>
    </row>
    <row r="533" spans="99:99" ht="14.25" customHeight="1" x14ac:dyDescent="0.2">
      <c r="CU533" s="155"/>
    </row>
    <row r="534" spans="99:99" ht="14.25" customHeight="1" x14ac:dyDescent="0.2">
      <c r="CU534" s="155"/>
    </row>
    <row r="535" spans="99:99" ht="14.25" customHeight="1" x14ac:dyDescent="0.2">
      <c r="CU535" s="155"/>
    </row>
    <row r="536" spans="99:99" ht="14.25" customHeight="1" x14ac:dyDescent="0.2">
      <c r="CU536" s="155"/>
    </row>
    <row r="537" spans="99:99" ht="14.25" customHeight="1" x14ac:dyDescent="0.2">
      <c r="CU537" s="155"/>
    </row>
    <row r="538" spans="99:99" ht="14.25" customHeight="1" x14ac:dyDescent="0.2">
      <c r="CU538" s="155"/>
    </row>
    <row r="539" spans="99:99" ht="14.25" customHeight="1" x14ac:dyDescent="0.2">
      <c r="CU539" s="155"/>
    </row>
    <row r="540" spans="99:99" ht="14.25" customHeight="1" x14ac:dyDescent="0.2">
      <c r="CU540" s="155"/>
    </row>
    <row r="541" spans="99:99" ht="14.25" customHeight="1" x14ac:dyDescent="0.2">
      <c r="CU541" s="155"/>
    </row>
    <row r="542" spans="99:99" ht="14.25" customHeight="1" x14ac:dyDescent="0.2">
      <c r="CU542" s="155"/>
    </row>
    <row r="543" spans="99:99" ht="14.25" customHeight="1" x14ac:dyDescent="0.2">
      <c r="CU543" s="155"/>
    </row>
    <row r="544" spans="99:99" ht="14.25" customHeight="1" x14ac:dyDescent="0.2">
      <c r="CU544" s="155"/>
    </row>
    <row r="545" spans="99:99" ht="14.25" customHeight="1" x14ac:dyDescent="0.2">
      <c r="CU545" s="155"/>
    </row>
    <row r="546" spans="99:99" ht="14.25" customHeight="1" x14ac:dyDescent="0.2">
      <c r="CU546" s="155"/>
    </row>
    <row r="547" spans="99:99" ht="14.25" customHeight="1" x14ac:dyDescent="0.2">
      <c r="CU547" s="155"/>
    </row>
    <row r="548" spans="99:99" ht="14.25" customHeight="1" x14ac:dyDescent="0.2">
      <c r="CU548" s="155"/>
    </row>
    <row r="549" spans="99:99" ht="14.25" customHeight="1" x14ac:dyDescent="0.2">
      <c r="CU549" s="155"/>
    </row>
    <row r="550" spans="99:99" ht="14.25" customHeight="1" x14ac:dyDescent="0.2">
      <c r="CU550" s="155"/>
    </row>
    <row r="551" spans="99:99" ht="14.25" customHeight="1" x14ac:dyDescent="0.2">
      <c r="CU551" s="155"/>
    </row>
    <row r="552" spans="99:99" ht="14.25" customHeight="1" x14ac:dyDescent="0.2">
      <c r="CU552" s="155"/>
    </row>
    <row r="553" spans="99:99" ht="14.25" customHeight="1" x14ac:dyDescent="0.2">
      <c r="CU553" s="155"/>
    </row>
    <row r="554" spans="99:99" ht="14.25" customHeight="1" x14ac:dyDescent="0.2">
      <c r="CU554" s="155"/>
    </row>
    <row r="555" spans="99:99" ht="14.25" customHeight="1" x14ac:dyDescent="0.2">
      <c r="CU555" s="155"/>
    </row>
    <row r="556" spans="99:99" ht="14.25" customHeight="1" x14ac:dyDescent="0.2">
      <c r="CU556" s="155"/>
    </row>
    <row r="557" spans="99:99" ht="14.25" customHeight="1" x14ac:dyDescent="0.2">
      <c r="CU557" s="155"/>
    </row>
    <row r="558" spans="99:99" ht="14.25" customHeight="1" x14ac:dyDescent="0.2">
      <c r="CU558" s="155"/>
    </row>
    <row r="559" spans="99:99" ht="14.25" customHeight="1" x14ac:dyDescent="0.2">
      <c r="CU559" s="155"/>
    </row>
    <row r="560" spans="99:99" ht="14.25" customHeight="1" x14ac:dyDescent="0.2">
      <c r="CU560" s="155"/>
    </row>
    <row r="561" spans="99:99" ht="14.25" customHeight="1" x14ac:dyDescent="0.2">
      <c r="CU561" s="155"/>
    </row>
    <row r="562" spans="99:99" ht="14.25" customHeight="1" x14ac:dyDescent="0.2">
      <c r="CU562" s="155"/>
    </row>
    <row r="563" spans="99:99" ht="14.25" customHeight="1" x14ac:dyDescent="0.2">
      <c r="CU563" s="155"/>
    </row>
    <row r="564" spans="99:99" ht="14.25" customHeight="1" x14ac:dyDescent="0.2">
      <c r="CU564" s="155"/>
    </row>
    <row r="565" spans="99:99" ht="14.25" customHeight="1" x14ac:dyDescent="0.2">
      <c r="CU565" s="155"/>
    </row>
    <row r="566" spans="99:99" ht="14.25" customHeight="1" x14ac:dyDescent="0.2">
      <c r="CU566" s="155"/>
    </row>
    <row r="567" spans="99:99" ht="14.25" customHeight="1" x14ac:dyDescent="0.2">
      <c r="CU567" s="155"/>
    </row>
    <row r="568" spans="99:99" ht="14.25" customHeight="1" x14ac:dyDescent="0.2">
      <c r="CU568" s="155"/>
    </row>
    <row r="569" spans="99:99" ht="14.25" customHeight="1" x14ac:dyDescent="0.2">
      <c r="CU569" s="155"/>
    </row>
    <row r="570" spans="99:99" ht="14.25" customHeight="1" x14ac:dyDescent="0.2">
      <c r="CU570" s="155"/>
    </row>
    <row r="571" spans="99:99" ht="14.25" customHeight="1" x14ac:dyDescent="0.2">
      <c r="CU571" s="155"/>
    </row>
    <row r="572" spans="99:99" ht="14.25" customHeight="1" x14ac:dyDescent="0.2">
      <c r="CU572" s="155"/>
    </row>
    <row r="573" spans="99:99" ht="14.25" customHeight="1" x14ac:dyDescent="0.2">
      <c r="CU573" s="155"/>
    </row>
    <row r="574" spans="99:99" ht="14.25" customHeight="1" x14ac:dyDescent="0.2">
      <c r="CU574" s="155"/>
    </row>
    <row r="575" spans="99:99" ht="14.25" customHeight="1" x14ac:dyDescent="0.2">
      <c r="CU575" s="155"/>
    </row>
    <row r="576" spans="99:99" ht="14.25" customHeight="1" x14ac:dyDescent="0.2">
      <c r="CU576" s="155"/>
    </row>
    <row r="577" spans="99:99" ht="14.25" customHeight="1" x14ac:dyDescent="0.2">
      <c r="CU577" s="155"/>
    </row>
    <row r="578" spans="99:99" ht="14.25" customHeight="1" x14ac:dyDescent="0.2">
      <c r="CU578" s="155"/>
    </row>
    <row r="579" spans="99:99" ht="14.25" customHeight="1" x14ac:dyDescent="0.2">
      <c r="CU579" s="155"/>
    </row>
    <row r="580" spans="99:99" ht="14.25" customHeight="1" x14ac:dyDescent="0.2">
      <c r="CU580" s="155"/>
    </row>
    <row r="581" spans="99:99" ht="14.25" customHeight="1" x14ac:dyDescent="0.2">
      <c r="CU581" s="155"/>
    </row>
    <row r="582" spans="99:99" ht="14.25" customHeight="1" x14ac:dyDescent="0.2">
      <c r="CU582" s="155"/>
    </row>
    <row r="583" spans="99:99" ht="14.25" customHeight="1" x14ac:dyDescent="0.2">
      <c r="CU583" s="155"/>
    </row>
    <row r="584" spans="99:99" ht="14.25" customHeight="1" x14ac:dyDescent="0.2">
      <c r="CU584" s="155"/>
    </row>
    <row r="585" spans="99:99" ht="14.25" customHeight="1" x14ac:dyDescent="0.2">
      <c r="CU585" s="155"/>
    </row>
    <row r="586" spans="99:99" ht="14.25" customHeight="1" x14ac:dyDescent="0.2">
      <c r="CU586" s="155"/>
    </row>
    <row r="587" spans="99:99" ht="14.25" customHeight="1" x14ac:dyDescent="0.2">
      <c r="CU587" s="155"/>
    </row>
    <row r="588" spans="99:99" ht="14.25" customHeight="1" x14ac:dyDescent="0.2">
      <c r="CU588" s="155"/>
    </row>
    <row r="589" spans="99:99" ht="14.25" customHeight="1" x14ac:dyDescent="0.2">
      <c r="CU589" s="155"/>
    </row>
    <row r="590" spans="99:99" ht="14.25" customHeight="1" x14ac:dyDescent="0.2">
      <c r="CU590" s="155"/>
    </row>
    <row r="591" spans="99:99" ht="14.25" customHeight="1" x14ac:dyDescent="0.2">
      <c r="CU591" s="155"/>
    </row>
    <row r="592" spans="99:99" ht="14.25" customHeight="1" x14ac:dyDescent="0.2">
      <c r="CU592" s="155"/>
    </row>
    <row r="593" spans="99:99" ht="14.25" customHeight="1" x14ac:dyDescent="0.2">
      <c r="CU593" s="155"/>
    </row>
    <row r="594" spans="99:99" ht="14.25" customHeight="1" x14ac:dyDescent="0.2">
      <c r="CU594" s="155"/>
    </row>
    <row r="595" spans="99:99" ht="14.25" customHeight="1" x14ac:dyDescent="0.2">
      <c r="CU595" s="155"/>
    </row>
    <row r="596" spans="99:99" ht="14.25" customHeight="1" x14ac:dyDescent="0.2">
      <c r="CU596" s="155"/>
    </row>
    <row r="597" spans="99:99" ht="14.25" customHeight="1" x14ac:dyDescent="0.2">
      <c r="CU597" s="155"/>
    </row>
    <row r="598" spans="99:99" ht="14.25" customHeight="1" x14ac:dyDescent="0.2">
      <c r="CU598" s="155"/>
    </row>
    <row r="599" spans="99:99" ht="14.25" customHeight="1" x14ac:dyDescent="0.2">
      <c r="CU599" s="155"/>
    </row>
    <row r="600" spans="99:99" ht="14.25" customHeight="1" x14ac:dyDescent="0.2">
      <c r="CU600" s="155"/>
    </row>
    <row r="601" spans="99:99" ht="14.25" customHeight="1" x14ac:dyDescent="0.2">
      <c r="CU601" s="155"/>
    </row>
    <row r="602" spans="99:99" ht="14.25" customHeight="1" x14ac:dyDescent="0.2">
      <c r="CU602" s="155"/>
    </row>
    <row r="603" spans="99:99" ht="14.25" customHeight="1" x14ac:dyDescent="0.2">
      <c r="CU603" s="155"/>
    </row>
    <row r="604" spans="99:99" ht="14.25" customHeight="1" x14ac:dyDescent="0.2">
      <c r="CU604" s="155"/>
    </row>
    <row r="605" spans="99:99" ht="14.25" customHeight="1" x14ac:dyDescent="0.2">
      <c r="CU605" s="155"/>
    </row>
    <row r="606" spans="99:99" ht="14.25" customHeight="1" x14ac:dyDescent="0.2">
      <c r="CU606" s="155"/>
    </row>
    <row r="607" spans="99:99" ht="14.25" customHeight="1" x14ac:dyDescent="0.2">
      <c r="CU607" s="155"/>
    </row>
    <row r="608" spans="99:99" ht="14.25" customHeight="1" x14ac:dyDescent="0.2">
      <c r="CU608" s="155"/>
    </row>
    <row r="609" spans="99:99" ht="14.25" customHeight="1" x14ac:dyDescent="0.2">
      <c r="CU609" s="155"/>
    </row>
    <row r="610" spans="99:99" ht="14.25" customHeight="1" x14ac:dyDescent="0.2">
      <c r="CU610" s="155"/>
    </row>
    <row r="611" spans="99:99" ht="14.25" customHeight="1" x14ac:dyDescent="0.2">
      <c r="CU611" s="155"/>
    </row>
    <row r="612" spans="99:99" ht="14.25" customHeight="1" x14ac:dyDescent="0.2">
      <c r="CU612" s="155"/>
    </row>
    <row r="613" spans="99:99" ht="14.25" customHeight="1" x14ac:dyDescent="0.2">
      <c r="CU613" s="155"/>
    </row>
    <row r="614" spans="99:99" ht="14.25" customHeight="1" x14ac:dyDescent="0.2">
      <c r="CU614" s="155"/>
    </row>
    <row r="615" spans="99:99" ht="14.25" customHeight="1" x14ac:dyDescent="0.2">
      <c r="CU615" s="155"/>
    </row>
    <row r="616" spans="99:99" ht="14.25" customHeight="1" x14ac:dyDescent="0.2">
      <c r="CU616" s="155"/>
    </row>
    <row r="617" spans="99:99" ht="14.25" customHeight="1" x14ac:dyDescent="0.2">
      <c r="CU617" s="155"/>
    </row>
    <row r="618" spans="99:99" ht="14.25" customHeight="1" x14ac:dyDescent="0.2">
      <c r="CU618" s="155"/>
    </row>
    <row r="619" spans="99:99" ht="14.25" customHeight="1" x14ac:dyDescent="0.2">
      <c r="CU619" s="155"/>
    </row>
    <row r="620" spans="99:99" ht="14.25" customHeight="1" x14ac:dyDescent="0.2">
      <c r="CU620" s="155"/>
    </row>
    <row r="621" spans="99:99" ht="14.25" customHeight="1" x14ac:dyDescent="0.2">
      <c r="CU621" s="155"/>
    </row>
    <row r="622" spans="99:99" ht="14.25" customHeight="1" x14ac:dyDescent="0.2">
      <c r="CU622" s="155"/>
    </row>
    <row r="623" spans="99:99" ht="14.25" customHeight="1" x14ac:dyDescent="0.2">
      <c r="CU623" s="155"/>
    </row>
    <row r="624" spans="99:99" ht="14.25" customHeight="1" x14ac:dyDescent="0.2">
      <c r="CU624" s="155"/>
    </row>
    <row r="625" spans="99:99" ht="14.25" customHeight="1" x14ac:dyDescent="0.2">
      <c r="CU625" s="155"/>
    </row>
    <row r="626" spans="99:99" ht="14.25" customHeight="1" x14ac:dyDescent="0.2">
      <c r="CU626" s="155"/>
    </row>
    <row r="627" spans="99:99" ht="14.25" customHeight="1" x14ac:dyDescent="0.2">
      <c r="CU627" s="155"/>
    </row>
    <row r="628" spans="99:99" ht="14.25" customHeight="1" x14ac:dyDescent="0.2">
      <c r="CU628" s="155"/>
    </row>
    <row r="629" spans="99:99" ht="14.25" customHeight="1" x14ac:dyDescent="0.2">
      <c r="CU629" s="155"/>
    </row>
    <row r="630" spans="99:99" ht="14.25" customHeight="1" x14ac:dyDescent="0.2">
      <c r="CU630" s="155"/>
    </row>
    <row r="631" spans="99:99" ht="14.25" customHeight="1" x14ac:dyDescent="0.2">
      <c r="CU631" s="155"/>
    </row>
    <row r="632" spans="99:99" ht="14.25" customHeight="1" x14ac:dyDescent="0.2">
      <c r="CU632" s="155"/>
    </row>
    <row r="633" spans="99:99" ht="14.25" customHeight="1" x14ac:dyDescent="0.2">
      <c r="CU633" s="155"/>
    </row>
    <row r="634" spans="99:99" ht="14.25" customHeight="1" x14ac:dyDescent="0.2">
      <c r="CU634" s="155"/>
    </row>
    <row r="635" spans="99:99" ht="14.25" customHeight="1" x14ac:dyDescent="0.2">
      <c r="CU635" s="155"/>
    </row>
    <row r="636" spans="99:99" ht="14.25" customHeight="1" x14ac:dyDescent="0.2">
      <c r="CU636" s="155"/>
    </row>
    <row r="637" spans="99:99" ht="14.25" customHeight="1" x14ac:dyDescent="0.2">
      <c r="CU637" s="155"/>
    </row>
    <row r="638" spans="99:99" ht="14.25" customHeight="1" x14ac:dyDescent="0.2">
      <c r="CU638" s="155"/>
    </row>
    <row r="639" spans="99:99" ht="14.25" customHeight="1" x14ac:dyDescent="0.2">
      <c r="CU639" s="155"/>
    </row>
    <row r="640" spans="99:99" ht="14.25" customHeight="1" x14ac:dyDescent="0.2">
      <c r="CU640" s="155"/>
    </row>
    <row r="641" spans="99:99" ht="14.25" customHeight="1" x14ac:dyDescent="0.2">
      <c r="CU641" s="155"/>
    </row>
    <row r="642" spans="99:99" ht="14.25" customHeight="1" x14ac:dyDescent="0.2">
      <c r="CU642" s="155"/>
    </row>
    <row r="643" spans="99:99" ht="14.25" customHeight="1" x14ac:dyDescent="0.2">
      <c r="CU643" s="155"/>
    </row>
    <row r="644" spans="99:99" ht="14.25" customHeight="1" x14ac:dyDescent="0.2">
      <c r="CU644" s="155"/>
    </row>
    <row r="645" spans="99:99" ht="14.25" customHeight="1" x14ac:dyDescent="0.2">
      <c r="CU645" s="155"/>
    </row>
    <row r="646" spans="99:99" ht="14.25" customHeight="1" x14ac:dyDescent="0.2">
      <c r="CU646" s="155"/>
    </row>
    <row r="647" spans="99:99" ht="14.25" customHeight="1" x14ac:dyDescent="0.2">
      <c r="CU647" s="155"/>
    </row>
    <row r="648" spans="99:99" ht="14.25" customHeight="1" x14ac:dyDescent="0.2">
      <c r="CU648" s="155"/>
    </row>
    <row r="649" spans="99:99" ht="14.25" customHeight="1" x14ac:dyDescent="0.2">
      <c r="CU649" s="155"/>
    </row>
    <row r="650" spans="99:99" ht="14.25" customHeight="1" x14ac:dyDescent="0.2">
      <c r="CU650" s="155"/>
    </row>
    <row r="651" spans="99:99" ht="14.25" customHeight="1" x14ac:dyDescent="0.2">
      <c r="CU651" s="155"/>
    </row>
    <row r="652" spans="99:99" ht="14.25" customHeight="1" x14ac:dyDescent="0.2">
      <c r="CU652" s="155"/>
    </row>
    <row r="653" spans="99:99" ht="14.25" customHeight="1" x14ac:dyDescent="0.2">
      <c r="CU653" s="155"/>
    </row>
    <row r="654" spans="99:99" ht="14.25" customHeight="1" x14ac:dyDescent="0.2">
      <c r="CU654" s="155"/>
    </row>
    <row r="655" spans="99:99" ht="14.25" customHeight="1" x14ac:dyDescent="0.2">
      <c r="CU655" s="155"/>
    </row>
    <row r="656" spans="99:99" ht="14.25" customHeight="1" x14ac:dyDescent="0.2">
      <c r="CU656" s="155"/>
    </row>
    <row r="657" spans="99:99" ht="14.25" customHeight="1" x14ac:dyDescent="0.2">
      <c r="CU657" s="155"/>
    </row>
    <row r="658" spans="99:99" ht="14.25" customHeight="1" x14ac:dyDescent="0.2">
      <c r="CU658" s="155"/>
    </row>
    <row r="659" spans="99:99" ht="14.25" customHeight="1" x14ac:dyDescent="0.2">
      <c r="CU659" s="155"/>
    </row>
    <row r="660" spans="99:99" ht="14.25" customHeight="1" x14ac:dyDescent="0.2">
      <c r="CU660" s="155"/>
    </row>
    <row r="661" spans="99:99" ht="14.25" customHeight="1" x14ac:dyDescent="0.2">
      <c r="CU661" s="155"/>
    </row>
    <row r="662" spans="99:99" ht="14.25" customHeight="1" x14ac:dyDescent="0.2">
      <c r="CU662" s="155"/>
    </row>
    <row r="663" spans="99:99" ht="14.25" customHeight="1" x14ac:dyDescent="0.2">
      <c r="CU663" s="155"/>
    </row>
    <row r="664" spans="99:99" ht="14.25" customHeight="1" x14ac:dyDescent="0.2">
      <c r="CU664" s="155"/>
    </row>
    <row r="665" spans="99:99" ht="14.25" customHeight="1" x14ac:dyDescent="0.2">
      <c r="CU665" s="155"/>
    </row>
    <row r="666" spans="99:99" ht="14.25" customHeight="1" x14ac:dyDescent="0.2">
      <c r="CU666" s="155"/>
    </row>
    <row r="667" spans="99:99" ht="14.25" customHeight="1" x14ac:dyDescent="0.2">
      <c r="CU667" s="155"/>
    </row>
    <row r="668" spans="99:99" ht="14.25" customHeight="1" x14ac:dyDescent="0.2">
      <c r="CU668" s="155"/>
    </row>
    <row r="669" spans="99:99" ht="14.25" customHeight="1" x14ac:dyDescent="0.2">
      <c r="CU669" s="155"/>
    </row>
    <row r="670" spans="99:99" ht="14.25" customHeight="1" x14ac:dyDescent="0.2">
      <c r="CU670" s="155"/>
    </row>
    <row r="671" spans="99:99" ht="14.25" customHeight="1" x14ac:dyDescent="0.2">
      <c r="CU671" s="155"/>
    </row>
    <row r="672" spans="99:99" ht="14.25" customHeight="1" x14ac:dyDescent="0.2">
      <c r="CU672" s="155"/>
    </row>
    <row r="673" spans="99:99" ht="14.25" customHeight="1" x14ac:dyDescent="0.2">
      <c r="CU673" s="155"/>
    </row>
    <row r="674" spans="99:99" ht="14.25" customHeight="1" x14ac:dyDescent="0.2">
      <c r="CU674" s="155"/>
    </row>
    <row r="675" spans="99:99" ht="14.25" customHeight="1" x14ac:dyDescent="0.2">
      <c r="CU675" s="155"/>
    </row>
    <row r="676" spans="99:99" ht="14.25" customHeight="1" x14ac:dyDescent="0.2">
      <c r="CU676" s="155"/>
    </row>
    <row r="677" spans="99:99" ht="14.25" customHeight="1" x14ac:dyDescent="0.2">
      <c r="CU677" s="155"/>
    </row>
    <row r="678" spans="99:99" ht="14.25" customHeight="1" x14ac:dyDescent="0.2">
      <c r="CU678" s="155"/>
    </row>
    <row r="679" spans="99:99" ht="14.25" customHeight="1" x14ac:dyDescent="0.2">
      <c r="CU679" s="155"/>
    </row>
    <row r="680" spans="99:99" ht="14.25" customHeight="1" x14ac:dyDescent="0.2">
      <c r="CU680" s="155"/>
    </row>
    <row r="681" spans="99:99" ht="14.25" customHeight="1" x14ac:dyDescent="0.2">
      <c r="CU681" s="155"/>
    </row>
    <row r="682" spans="99:99" ht="14.25" customHeight="1" x14ac:dyDescent="0.2">
      <c r="CU682" s="155"/>
    </row>
    <row r="683" spans="99:99" ht="14.25" customHeight="1" x14ac:dyDescent="0.2">
      <c r="CU683" s="155"/>
    </row>
    <row r="684" spans="99:99" ht="14.25" customHeight="1" x14ac:dyDescent="0.2">
      <c r="CU684" s="155"/>
    </row>
    <row r="685" spans="99:99" ht="14.25" customHeight="1" x14ac:dyDescent="0.2">
      <c r="CU685" s="155"/>
    </row>
    <row r="686" spans="99:99" ht="14.25" customHeight="1" x14ac:dyDescent="0.2">
      <c r="CU686" s="155"/>
    </row>
    <row r="687" spans="99:99" ht="14.25" customHeight="1" x14ac:dyDescent="0.2">
      <c r="CU687" s="155"/>
    </row>
    <row r="688" spans="99:99" ht="14.25" customHeight="1" x14ac:dyDescent="0.2">
      <c r="CU688" s="155"/>
    </row>
    <row r="689" spans="99:99" ht="14.25" customHeight="1" x14ac:dyDescent="0.2">
      <c r="CU689" s="155"/>
    </row>
    <row r="690" spans="99:99" ht="14.25" customHeight="1" x14ac:dyDescent="0.2">
      <c r="CU690" s="155"/>
    </row>
    <row r="691" spans="99:99" ht="14.25" customHeight="1" x14ac:dyDescent="0.2">
      <c r="CU691" s="155"/>
    </row>
    <row r="692" spans="99:99" ht="14.25" customHeight="1" x14ac:dyDescent="0.2">
      <c r="CU692" s="155"/>
    </row>
    <row r="693" spans="99:99" ht="14.25" customHeight="1" x14ac:dyDescent="0.2">
      <c r="CU693" s="155"/>
    </row>
    <row r="694" spans="99:99" ht="14.25" customHeight="1" x14ac:dyDescent="0.2">
      <c r="CU694" s="155"/>
    </row>
    <row r="695" spans="99:99" ht="14.25" customHeight="1" x14ac:dyDescent="0.2">
      <c r="CU695" s="155"/>
    </row>
    <row r="696" spans="99:99" ht="14.25" customHeight="1" x14ac:dyDescent="0.2">
      <c r="CU696" s="155"/>
    </row>
    <row r="697" spans="99:99" ht="14.25" customHeight="1" x14ac:dyDescent="0.2">
      <c r="CU697" s="155"/>
    </row>
    <row r="698" spans="99:99" ht="14.25" customHeight="1" x14ac:dyDescent="0.2">
      <c r="CU698" s="155"/>
    </row>
    <row r="699" spans="99:99" ht="14.25" customHeight="1" x14ac:dyDescent="0.2">
      <c r="CU699" s="155"/>
    </row>
    <row r="700" spans="99:99" ht="14.25" customHeight="1" x14ac:dyDescent="0.2">
      <c r="CU700" s="155"/>
    </row>
    <row r="701" spans="99:99" ht="14.25" customHeight="1" x14ac:dyDescent="0.2">
      <c r="CU701" s="155"/>
    </row>
    <row r="702" spans="99:99" ht="14.25" customHeight="1" x14ac:dyDescent="0.2">
      <c r="CU702" s="155"/>
    </row>
    <row r="703" spans="99:99" ht="14.25" customHeight="1" x14ac:dyDescent="0.2">
      <c r="CU703" s="155"/>
    </row>
    <row r="704" spans="99:99" ht="14.25" customHeight="1" x14ac:dyDescent="0.2">
      <c r="CU704" s="155"/>
    </row>
    <row r="705" spans="99:99" ht="14.25" customHeight="1" x14ac:dyDescent="0.2">
      <c r="CU705" s="155"/>
    </row>
    <row r="706" spans="99:99" ht="14.25" customHeight="1" x14ac:dyDescent="0.2">
      <c r="CU706" s="155"/>
    </row>
    <row r="707" spans="99:99" ht="14.25" customHeight="1" x14ac:dyDescent="0.2">
      <c r="CU707" s="155"/>
    </row>
    <row r="708" spans="99:99" ht="14.25" customHeight="1" x14ac:dyDescent="0.2">
      <c r="CU708" s="155"/>
    </row>
    <row r="709" spans="99:99" ht="14.25" customHeight="1" x14ac:dyDescent="0.2">
      <c r="CU709" s="155"/>
    </row>
    <row r="710" spans="99:99" ht="14.25" customHeight="1" x14ac:dyDescent="0.2">
      <c r="CU710" s="155"/>
    </row>
    <row r="711" spans="99:99" ht="14.25" customHeight="1" x14ac:dyDescent="0.2">
      <c r="CU711" s="155"/>
    </row>
    <row r="712" spans="99:99" ht="14.25" customHeight="1" x14ac:dyDescent="0.2">
      <c r="CU712" s="155"/>
    </row>
    <row r="713" spans="99:99" ht="14.25" customHeight="1" x14ac:dyDescent="0.2">
      <c r="CU713" s="155"/>
    </row>
    <row r="714" spans="99:99" ht="14.25" customHeight="1" x14ac:dyDescent="0.2">
      <c r="CU714" s="155"/>
    </row>
    <row r="715" spans="99:99" ht="14.25" customHeight="1" x14ac:dyDescent="0.2">
      <c r="CU715" s="155"/>
    </row>
    <row r="716" spans="99:99" ht="14.25" customHeight="1" x14ac:dyDescent="0.2">
      <c r="CU716" s="155"/>
    </row>
    <row r="717" spans="99:99" ht="14.25" customHeight="1" x14ac:dyDescent="0.2">
      <c r="CU717" s="155"/>
    </row>
    <row r="718" spans="99:99" ht="14.25" customHeight="1" x14ac:dyDescent="0.2">
      <c r="CU718" s="155"/>
    </row>
    <row r="719" spans="99:99" ht="14.25" customHeight="1" x14ac:dyDescent="0.2">
      <c r="CU719" s="155"/>
    </row>
    <row r="720" spans="99:99" ht="14.25" customHeight="1" x14ac:dyDescent="0.2">
      <c r="CU720" s="155"/>
    </row>
    <row r="721" spans="99:99" ht="14.25" customHeight="1" x14ac:dyDescent="0.2">
      <c r="CU721" s="155"/>
    </row>
    <row r="722" spans="99:99" ht="14.25" customHeight="1" x14ac:dyDescent="0.2">
      <c r="CU722" s="155"/>
    </row>
    <row r="723" spans="99:99" ht="14.25" customHeight="1" x14ac:dyDescent="0.2">
      <c r="CU723" s="155"/>
    </row>
    <row r="724" spans="99:99" ht="14.25" customHeight="1" x14ac:dyDescent="0.2">
      <c r="CU724" s="155"/>
    </row>
    <row r="725" spans="99:99" ht="14.25" customHeight="1" x14ac:dyDescent="0.2">
      <c r="CU725" s="155"/>
    </row>
    <row r="726" spans="99:99" ht="14.25" customHeight="1" x14ac:dyDescent="0.2">
      <c r="CU726" s="155"/>
    </row>
    <row r="727" spans="99:99" ht="14.25" customHeight="1" x14ac:dyDescent="0.2">
      <c r="CU727" s="155"/>
    </row>
    <row r="728" spans="99:99" ht="14.25" customHeight="1" x14ac:dyDescent="0.2">
      <c r="CU728" s="155"/>
    </row>
    <row r="729" spans="99:99" ht="14.25" customHeight="1" x14ac:dyDescent="0.2">
      <c r="CU729" s="155"/>
    </row>
    <row r="730" spans="99:99" ht="14.25" customHeight="1" x14ac:dyDescent="0.2">
      <c r="CU730" s="155"/>
    </row>
    <row r="731" spans="99:99" ht="14.25" customHeight="1" x14ac:dyDescent="0.2">
      <c r="CU731" s="155"/>
    </row>
    <row r="732" spans="99:99" ht="14.25" customHeight="1" x14ac:dyDescent="0.2">
      <c r="CU732" s="155"/>
    </row>
    <row r="733" spans="99:99" ht="14.25" customHeight="1" x14ac:dyDescent="0.2">
      <c r="CU733" s="155"/>
    </row>
    <row r="734" spans="99:99" ht="14.25" customHeight="1" x14ac:dyDescent="0.2">
      <c r="CU734" s="155"/>
    </row>
    <row r="735" spans="99:99" ht="14.25" customHeight="1" x14ac:dyDescent="0.2">
      <c r="CU735" s="155"/>
    </row>
    <row r="736" spans="99:99" ht="14.25" customHeight="1" x14ac:dyDescent="0.2">
      <c r="CU736" s="155"/>
    </row>
    <row r="737" spans="99:99" ht="14.25" customHeight="1" x14ac:dyDescent="0.2">
      <c r="CU737" s="155"/>
    </row>
    <row r="738" spans="99:99" ht="14.25" customHeight="1" x14ac:dyDescent="0.2">
      <c r="CU738" s="155"/>
    </row>
    <row r="739" spans="99:99" ht="14.25" customHeight="1" x14ac:dyDescent="0.2">
      <c r="CU739" s="155"/>
    </row>
    <row r="740" spans="99:99" ht="14.25" customHeight="1" x14ac:dyDescent="0.2">
      <c r="CU740" s="155"/>
    </row>
    <row r="741" spans="99:99" ht="14.25" customHeight="1" x14ac:dyDescent="0.2">
      <c r="CU741" s="155"/>
    </row>
    <row r="742" spans="99:99" ht="14.25" customHeight="1" x14ac:dyDescent="0.2">
      <c r="CU742" s="155"/>
    </row>
    <row r="743" spans="99:99" ht="14.25" customHeight="1" x14ac:dyDescent="0.2">
      <c r="CU743" s="155"/>
    </row>
    <row r="744" spans="99:99" ht="14.25" customHeight="1" x14ac:dyDescent="0.2">
      <c r="CU744" s="155"/>
    </row>
    <row r="745" spans="99:99" ht="14.25" customHeight="1" x14ac:dyDescent="0.2">
      <c r="CU745" s="155"/>
    </row>
    <row r="746" spans="99:99" ht="14.25" customHeight="1" x14ac:dyDescent="0.2">
      <c r="CU746" s="155"/>
    </row>
    <row r="747" spans="99:99" ht="14.25" customHeight="1" x14ac:dyDescent="0.2">
      <c r="CU747" s="155"/>
    </row>
    <row r="748" spans="99:99" ht="14.25" customHeight="1" x14ac:dyDescent="0.2">
      <c r="CU748" s="155"/>
    </row>
    <row r="749" spans="99:99" ht="14.25" customHeight="1" x14ac:dyDescent="0.2">
      <c r="CU749" s="155"/>
    </row>
    <row r="750" spans="99:99" ht="14.25" customHeight="1" x14ac:dyDescent="0.2">
      <c r="CU750" s="155"/>
    </row>
    <row r="751" spans="99:99" ht="14.25" customHeight="1" x14ac:dyDescent="0.2">
      <c r="CU751" s="155"/>
    </row>
    <row r="752" spans="99:99" ht="14.25" customHeight="1" x14ac:dyDescent="0.2">
      <c r="CU752" s="155"/>
    </row>
    <row r="753" spans="99:99" ht="14.25" customHeight="1" x14ac:dyDescent="0.2">
      <c r="CU753" s="155"/>
    </row>
    <row r="754" spans="99:99" ht="14.25" customHeight="1" x14ac:dyDescent="0.2">
      <c r="CU754" s="155"/>
    </row>
    <row r="755" spans="99:99" ht="14.25" customHeight="1" x14ac:dyDescent="0.2">
      <c r="CU755" s="155"/>
    </row>
    <row r="756" spans="99:99" ht="14.25" customHeight="1" x14ac:dyDescent="0.2">
      <c r="CU756" s="155"/>
    </row>
    <row r="757" spans="99:99" ht="14.25" customHeight="1" x14ac:dyDescent="0.2">
      <c r="CU757" s="155"/>
    </row>
    <row r="758" spans="99:99" ht="14.25" customHeight="1" x14ac:dyDescent="0.2">
      <c r="CU758" s="155"/>
    </row>
    <row r="759" spans="99:99" ht="14.25" customHeight="1" x14ac:dyDescent="0.2">
      <c r="CU759" s="155"/>
    </row>
    <row r="760" spans="99:99" ht="14.25" customHeight="1" x14ac:dyDescent="0.2">
      <c r="CU760" s="155"/>
    </row>
    <row r="761" spans="99:99" ht="14.25" customHeight="1" x14ac:dyDescent="0.2">
      <c r="CU761" s="155"/>
    </row>
    <row r="762" spans="99:99" ht="14.25" customHeight="1" x14ac:dyDescent="0.2">
      <c r="CU762" s="155"/>
    </row>
    <row r="763" spans="99:99" ht="14.25" customHeight="1" x14ac:dyDescent="0.2">
      <c r="CU763" s="155"/>
    </row>
    <row r="764" spans="99:99" ht="14.25" customHeight="1" x14ac:dyDescent="0.2">
      <c r="CU764" s="155"/>
    </row>
    <row r="765" spans="99:99" ht="14.25" customHeight="1" x14ac:dyDescent="0.2">
      <c r="CU765" s="155"/>
    </row>
    <row r="766" spans="99:99" ht="14.25" customHeight="1" x14ac:dyDescent="0.2">
      <c r="CU766" s="155"/>
    </row>
    <row r="767" spans="99:99" ht="14.25" customHeight="1" x14ac:dyDescent="0.2">
      <c r="CU767" s="155"/>
    </row>
    <row r="768" spans="99:99" ht="14.25" customHeight="1" x14ac:dyDescent="0.2">
      <c r="CU768" s="155"/>
    </row>
    <row r="769" spans="99:99" ht="14.25" customHeight="1" x14ac:dyDescent="0.2">
      <c r="CU769" s="155"/>
    </row>
    <row r="770" spans="99:99" ht="14.25" customHeight="1" x14ac:dyDescent="0.2">
      <c r="CU770" s="155"/>
    </row>
    <row r="771" spans="99:99" ht="14.25" customHeight="1" x14ac:dyDescent="0.2">
      <c r="CU771" s="155"/>
    </row>
    <row r="772" spans="99:99" ht="14.25" customHeight="1" x14ac:dyDescent="0.2">
      <c r="CU772" s="155"/>
    </row>
    <row r="773" spans="99:99" ht="14.25" customHeight="1" x14ac:dyDescent="0.2">
      <c r="CU773" s="155"/>
    </row>
    <row r="774" spans="99:99" ht="14.25" customHeight="1" x14ac:dyDescent="0.2">
      <c r="CU774" s="155"/>
    </row>
    <row r="775" spans="99:99" ht="14.25" customHeight="1" x14ac:dyDescent="0.2">
      <c r="CU775" s="155"/>
    </row>
    <row r="776" spans="99:99" ht="14.25" customHeight="1" x14ac:dyDescent="0.2">
      <c r="CU776" s="155"/>
    </row>
    <row r="777" spans="99:99" ht="14.25" customHeight="1" x14ac:dyDescent="0.2">
      <c r="CU777" s="155"/>
    </row>
    <row r="778" spans="99:99" ht="14.25" customHeight="1" x14ac:dyDescent="0.2">
      <c r="CU778" s="155"/>
    </row>
    <row r="779" spans="99:99" ht="14.25" customHeight="1" x14ac:dyDescent="0.2">
      <c r="CU779" s="155"/>
    </row>
    <row r="780" spans="99:99" ht="14.25" customHeight="1" x14ac:dyDescent="0.2">
      <c r="CU780" s="155"/>
    </row>
    <row r="781" spans="99:99" ht="14.25" customHeight="1" x14ac:dyDescent="0.2">
      <c r="CU781" s="155"/>
    </row>
    <row r="782" spans="99:99" ht="14.25" customHeight="1" x14ac:dyDescent="0.2">
      <c r="CU782" s="155"/>
    </row>
    <row r="783" spans="99:99" ht="14.25" customHeight="1" x14ac:dyDescent="0.2">
      <c r="CU783" s="155"/>
    </row>
    <row r="784" spans="99:99" ht="14.25" customHeight="1" x14ac:dyDescent="0.2">
      <c r="CU784" s="155"/>
    </row>
    <row r="785" spans="99:99" ht="14.25" customHeight="1" x14ac:dyDescent="0.2">
      <c r="CU785" s="155"/>
    </row>
    <row r="786" spans="99:99" ht="14.25" customHeight="1" x14ac:dyDescent="0.2">
      <c r="CU786" s="155"/>
    </row>
    <row r="787" spans="99:99" ht="14.25" customHeight="1" x14ac:dyDescent="0.2">
      <c r="CU787" s="155"/>
    </row>
    <row r="788" spans="99:99" ht="14.25" customHeight="1" x14ac:dyDescent="0.2">
      <c r="CU788" s="155"/>
    </row>
    <row r="789" spans="99:99" ht="14.25" customHeight="1" x14ac:dyDescent="0.2">
      <c r="CU789" s="155"/>
    </row>
    <row r="790" spans="99:99" ht="14.25" customHeight="1" x14ac:dyDescent="0.2">
      <c r="CU790" s="155"/>
    </row>
    <row r="791" spans="99:99" ht="14.25" customHeight="1" x14ac:dyDescent="0.2">
      <c r="CU791" s="155"/>
    </row>
    <row r="792" spans="99:99" ht="14.25" customHeight="1" x14ac:dyDescent="0.2">
      <c r="CU792" s="155"/>
    </row>
    <row r="793" spans="99:99" ht="14.25" customHeight="1" x14ac:dyDescent="0.2">
      <c r="CU793" s="155"/>
    </row>
    <row r="794" spans="99:99" ht="14.25" customHeight="1" x14ac:dyDescent="0.2">
      <c r="CU794" s="155"/>
    </row>
    <row r="795" spans="99:99" ht="14.25" customHeight="1" x14ac:dyDescent="0.2">
      <c r="CU795" s="155"/>
    </row>
    <row r="796" spans="99:99" ht="14.25" customHeight="1" x14ac:dyDescent="0.2">
      <c r="CU796" s="155"/>
    </row>
    <row r="797" spans="99:99" ht="14.25" customHeight="1" x14ac:dyDescent="0.2">
      <c r="CU797" s="155"/>
    </row>
    <row r="798" spans="99:99" ht="14.25" customHeight="1" x14ac:dyDescent="0.2">
      <c r="CU798" s="155"/>
    </row>
    <row r="799" spans="99:99" ht="14.25" customHeight="1" x14ac:dyDescent="0.2">
      <c r="CU799" s="155"/>
    </row>
    <row r="800" spans="99:99" ht="14.25" customHeight="1" x14ac:dyDescent="0.2">
      <c r="CU800" s="155"/>
    </row>
    <row r="801" spans="99:99" ht="14.25" customHeight="1" x14ac:dyDescent="0.2">
      <c r="CU801" s="155"/>
    </row>
    <row r="802" spans="99:99" ht="14.25" customHeight="1" x14ac:dyDescent="0.2">
      <c r="CU802" s="155"/>
    </row>
    <row r="803" spans="99:99" ht="14.25" customHeight="1" x14ac:dyDescent="0.2">
      <c r="CU803" s="155"/>
    </row>
    <row r="804" spans="99:99" ht="14.25" customHeight="1" x14ac:dyDescent="0.2">
      <c r="CU804" s="155"/>
    </row>
    <row r="805" spans="99:99" ht="14.25" customHeight="1" x14ac:dyDescent="0.2">
      <c r="CU805" s="155"/>
    </row>
    <row r="806" spans="99:99" ht="14.25" customHeight="1" x14ac:dyDescent="0.2">
      <c r="CU806" s="155"/>
    </row>
    <row r="807" spans="99:99" ht="14.25" customHeight="1" x14ac:dyDescent="0.2">
      <c r="CU807" s="155"/>
    </row>
    <row r="808" spans="99:99" ht="14.25" customHeight="1" x14ac:dyDescent="0.2">
      <c r="CU808" s="155"/>
    </row>
    <row r="809" spans="99:99" ht="14.25" customHeight="1" x14ac:dyDescent="0.2">
      <c r="CU809" s="155"/>
    </row>
    <row r="810" spans="99:99" ht="14.25" customHeight="1" x14ac:dyDescent="0.2">
      <c r="CU810" s="155"/>
    </row>
    <row r="811" spans="99:99" ht="14.25" customHeight="1" x14ac:dyDescent="0.2">
      <c r="CU811" s="155"/>
    </row>
    <row r="812" spans="99:99" ht="14.25" customHeight="1" x14ac:dyDescent="0.2">
      <c r="CU812" s="155"/>
    </row>
    <row r="813" spans="99:99" ht="14.25" customHeight="1" x14ac:dyDescent="0.2">
      <c r="CU813" s="155"/>
    </row>
    <row r="814" spans="99:99" ht="14.25" customHeight="1" x14ac:dyDescent="0.2">
      <c r="CU814" s="155"/>
    </row>
    <row r="815" spans="99:99" ht="14.25" customHeight="1" x14ac:dyDescent="0.2">
      <c r="CU815" s="155"/>
    </row>
    <row r="816" spans="99:99" ht="14.25" customHeight="1" x14ac:dyDescent="0.2">
      <c r="CU816" s="155"/>
    </row>
    <row r="817" spans="99:99" ht="14.25" customHeight="1" x14ac:dyDescent="0.2">
      <c r="CU817" s="155"/>
    </row>
    <row r="818" spans="99:99" ht="14.25" customHeight="1" x14ac:dyDescent="0.2">
      <c r="CU818" s="155"/>
    </row>
    <row r="819" spans="99:99" ht="14.25" customHeight="1" x14ac:dyDescent="0.2">
      <c r="CU819" s="155"/>
    </row>
    <row r="820" spans="99:99" ht="14.25" customHeight="1" x14ac:dyDescent="0.2">
      <c r="CU820" s="155"/>
    </row>
    <row r="821" spans="99:99" ht="14.25" customHeight="1" x14ac:dyDescent="0.2">
      <c r="CU821" s="155"/>
    </row>
    <row r="822" spans="99:99" ht="14.25" customHeight="1" x14ac:dyDescent="0.2">
      <c r="CU822" s="155"/>
    </row>
    <row r="823" spans="99:99" ht="14.25" customHeight="1" x14ac:dyDescent="0.2">
      <c r="CU823" s="155"/>
    </row>
    <row r="824" spans="99:99" ht="14.25" customHeight="1" x14ac:dyDescent="0.2">
      <c r="CU824" s="155"/>
    </row>
    <row r="825" spans="99:99" ht="14.25" customHeight="1" x14ac:dyDescent="0.2">
      <c r="CU825" s="155"/>
    </row>
    <row r="826" spans="99:99" ht="14.25" customHeight="1" x14ac:dyDescent="0.2">
      <c r="CU826" s="155"/>
    </row>
    <row r="827" spans="99:99" ht="14.25" customHeight="1" x14ac:dyDescent="0.2">
      <c r="CU827" s="155"/>
    </row>
    <row r="828" spans="99:99" ht="14.25" customHeight="1" x14ac:dyDescent="0.2">
      <c r="CU828" s="155"/>
    </row>
    <row r="829" spans="99:99" ht="14.25" customHeight="1" x14ac:dyDescent="0.2">
      <c r="CU829" s="155"/>
    </row>
    <row r="830" spans="99:99" ht="14.25" customHeight="1" x14ac:dyDescent="0.2">
      <c r="CU830" s="155"/>
    </row>
    <row r="831" spans="99:99" ht="14.25" customHeight="1" x14ac:dyDescent="0.2">
      <c r="CU831" s="155"/>
    </row>
    <row r="832" spans="99:99" ht="14.25" customHeight="1" x14ac:dyDescent="0.2">
      <c r="CU832" s="155"/>
    </row>
    <row r="833" spans="99:99" ht="14.25" customHeight="1" x14ac:dyDescent="0.2">
      <c r="CU833" s="155"/>
    </row>
    <row r="834" spans="99:99" ht="14.25" customHeight="1" x14ac:dyDescent="0.2">
      <c r="CU834" s="155"/>
    </row>
    <row r="835" spans="99:99" ht="14.25" customHeight="1" x14ac:dyDescent="0.2">
      <c r="CU835" s="155"/>
    </row>
    <row r="836" spans="99:99" ht="14.25" customHeight="1" x14ac:dyDescent="0.2">
      <c r="CU836" s="155"/>
    </row>
    <row r="837" spans="99:99" ht="14.25" customHeight="1" x14ac:dyDescent="0.2">
      <c r="CU837" s="155"/>
    </row>
    <row r="838" spans="99:99" ht="14.25" customHeight="1" x14ac:dyDescent="0.2">
      <c r="CU838" s="155"/>
    </row>
    <row r="839" spans="99:99" ht="14.25" customHeight="1" x14ac:dyDescent="0.2">
      <c r="CU839" s="155"/>
    </row>
    <row r="840" spans="99:99" ht="14.25" customHeight="1" x14ac:dyDescent="0.2">
      <c r="CU840" s="155"/>
    </row>
    <row r="841" spans="99:99" ht="14.25" customHeight="1" x14ac:dyDescent="0.2">
      <c r="CU841" s="155"/>
    </row>
    <row r="842" spans="99:99" ht="14.25" customHeight="1" x14ac:dyDescent="0.2">
      <c r="CU842" s="155"/>
    </row>
    <row r="843" spans="99:99" ht="14.25" customHeight="1" x14ac:dyDescent="0.2">
      <c r="CU843" s="155"/>
    </row>
    <row r="844" spans="99:99" ht="14.25" customHeight="1" x14ac:dyDescent="0.2">
      <c r="CU844" s="155"/>
    </row>
    <row r="845" spans="99:99" ht="14.25" customHeight="1" x14ac:dyDescent="0.2">
      <c r="CU845" s="155"/>
    </row>
    <row r="846" spans="99:99" ht="14.25" customHeight="1" x14ac:dyDescent="0.2">
      <c r="CU846" s="155"/>
    </row>
    <row r="847" spans="99:99" ht="14.25" customHeight="1" x14ac:dyDescent="0.2">
      <c r="CU847" s="155"/>
    </row>
    <row r="848" spans="99:99" ht="14.25" customHeight="1" x14ac:dyDescent="0.2">
      <c r="CU848" s="155"/>
    </row>
    <row r="849" spans="99:99" ht="14.25" customHeight="1" x14ac:dyDescent="0.2">
      <c r="CU849" s="155"/>
    </row>
    <row r="850" spans="99:99" ht="14.25" customHeight="1" x14ac:dyDescent="0.2">
      <c r="CU850" s="155"/>
    </row>
    <row r="851" spans="99:99" ht="14.25" customHeight="1" x14ac:dyDescent="0.2">
      <c r="CU851" s="155"/>
    </row>
    <row r="852" spans="99:99" ht="14.25" customHeight="1" x14ac:dyDescent="0.2">
      <c r="CU852" s="155"/>
    </row>
    <row r="853" spans="99:99" ht="14.25" customHeight="1" x14ac:dyDescent="0.2">
      <c r="CU853" s="155"/>
    </row>
    <row r="854" spans="99:99" ht="14.25" customHeight="1" x14ac:dyDescent="0.2">
      <c r="CU854" s="155"/>
    </row>
    <row r="855" spans="99:99" ht="14.25" customHeight="1" x14ac:dyDescent="0.2">
      <c r="CU855" s="155"/>
    </row>
    <row r="856" spans="99:99" ht="14.25" customHeight="1" x14ac:dyDescent="0.2">
      <c r="CU856" s="155"/>
    </row>
    <row r="857" spans="99:99" ht="14.25" customHeight="1" x14ac:dyDescent="0.2">
      <c r="CU857" s="155"/>
    </row>
    <row r="858" spans="99:99" ht="14.25" customHeight="1" x14ac:dyDescent="0.2">
      <c r="CU858" s="155"/>
    </row>
    <row r="859" spans="99:99" ht="14.25" customHeight="1" x14ac:dyDescent="0.2">
      <c r="CU859" s="155"/>
    </row>
    <row r="860" spans="99:99" ht="14.25" customHeight="1" x14ac:dyDescent="0.2">
      <c r="CU860" s="155"/>
    </row>
    <row r="861" spans="99:99" ht="14.25" customHeight="1" x14ac:dyDescent="0.2">
      <c r="CU861" s="155"/>
    </row>
    <row r="862" spans="99:99" ht="14.25" customHeight="1" x14ac:dyDescent="0.2">
      <c r="CU862" s="155"/>
    </row>
    <row r="863" spans="99:99" ht="14.25" customHeight="1" x14ac:dyDescent="0.2">
      <c r="CU863" s="155"/>
    </row>
    <row r="864" spans="99:99" ht="14.25" customHeight="1" x14ac:dyDescent="0.2">
      <c r="CU864" s="155"/>
    </row>
    <row r="865" spans="99:99" ht="14.25" customHeight="1" x14ac:dyDescent="0.2">
      <c r="CU865" s="155"/>
    </row>
    <row r="866" spans="99:99" ht="14.25" customHeight="1" x14ac:dyDescent="0.2">
      <c r="CU866" s="155"/>
    </row>
    <row r="867" spans="99:99" ht="14.25" customHeight="1" x14ac:dyDescent="0.2">
      <c r="CU867" s="155"/>
    </row>
    <row r="868" spans="99:99" ht="14.25" customHeight="1" x14ac:dyDescent="0.2">
      <c r="CU868" s="155"/>
    </row>
    <row r="869" spans="99:99" ht="14.25" customHeight="1" x14ac:dyDescent="0.2">
      <c r="CU869" s="155"/>
    </row>
    <row r="870" spans="99:99" ht="14.25" customHeight="1" x14ac:dyDescent="0.2">
      <c r="CU870" s="155"/>
    </row>
    <row r="871" spans="99:99" ht="14.25" customHeight="1" x14ac:dyDescent="0.2">
      <c r="CU871" s="155"/>
    </row>
    <row r="872" spans="99:99" ht="14.25" customHeight="1" x14ac:dyDescent="0.2">
      <c r="CU872" s="155"/>
    </row>
    <row r="873" spans="99:99" ht="14.25" customHeight="1" x14ac:dyDescent="0.2">
      <c r="CU873" s="155"/>
    </row>
    <row r="874" spans="99:99" ht="14.25" customHeight="1" x14ac:dyDescent="0.2">
      <c r="CU874" s="155"/>
    </row>
    <row r="875" spans="99:99" ht="14.25" customHeight="1" x14ac:dyDescent="0.2">
      <c r="CU875" s="155"/>
    </row>
    <row r="876" spans="99:99" ht="14.25" customHeight="1" x14ac:dyDescent="0.2">
      <c r="CU876" s="155"/>
    </row>
    <row r="877" spans="99:99" ht="14.25" customHeight="1" x14ac:dyDescent="0.2">
      <c r="CU877" s="155"/>
    </row>
    <row r="878" spans="99:99" ht="14.25" customHeight="1" x14ac:dyDescent="0.2">
      <c r="CU878" s="155"/>
    </row>
    <row r="879" spans="99:99" ht="14.25" customHeight="1" x14ac:dyDescent="0.2">
      <c r="CU879" s="155"/>
    </row>
    <row r="880" spans="99:99" ht="14.25" customHeight="1" x14ac:dyDescent="0.2">
      <c r="CU880" s="155"/>
    </row>
    <row r="881" spans="99:99" ht="14.25" customHeight="1" x14ac:dyDescent="0.2">
      <c r="CU881" s="155"/>
    </row>
    <row r="882" spans="99:99" ht="14.25" customHeight="1" x14ac:dyDescent="0.2">
      <c r="CU882" s="155"/>
    </row>
    <row r="883" spans="99:99" ht="14.25" customHeight="1" x14ac:dyDescent="0.2">
      <c r="CU883" s="155"/>
    </row>
    <row r="884" spans="99:99" ht="14.25" customHeight="1" x14ac:dyDescent="0.2">
      <c r="CU884" s="155"/>
    </row>
    <row r="885" spans="99:99" ht="14.25" customHeight="1" x14ac:dyDescent="0.2">
      <c r="CU885" s="155"/>
    </row>
    <row r="886" spans="99:99" ht="14.25" customHeight="1" x14ac:dyDescent="0.2">
      <c r="CU886" s="155"/>
    </row>
    <row r="887" spans="99:99" ht="14.25" customHeight="1" x14ac:dyDescent="0.2">
      <c r="CU887" s="155"/>
    </row>
    <row r="888" spans="99:99" ht="14.25" customHeight="1" x14ac:dyDescent="0.2">
      <c r="CU888" s="155"/>
    </row>
    <row r="889" spans="99:99" ht="14.25" customHeight="1" x14ac:dyDescent="0.2">
      <c r="CU889" s="155"/>
    </row>
    <row r="890" spans="99:99" ht="14.25" customHeight="1" x14ac:dyDescent="0.2">
      <c r="CU890" s="155"/>
    </row>
    <row r="891" spans="99:99" ht="14.25" customHeight="1" x14ac:dyDescent="0.2">
      <c r="CU891" s="155"/>
    </row>
    <row r="892" spans="99:99" ht="14.25" customHeight="1" x14ac:dyDescent="0.2">
      <c r="CU892" s="155"/>
    </row>
    <row r="893" spans="99:99" ht="14.25" customHeight="1" x14ac:dyDescent="0.2">
      <c r="CU893" s="155"/>
    </row>
    <row r="894" spans="99:99" ht="14.25" customHeight="1" x14ac:dyDescent="0.2">
      <c r="CU894" s="155"/>
    </row>
    <row r="895" spans="99:99" ht="14.25" customHeight="1" x14ac:dyDescent="0.2">
      <c r="CU895" s="155"/>
    </row>
    <row r="896" spans="99:99" ht="14.25" customHeight="1" x14ac:dyDescent="0.2">
      <c r="CU896" s="155"/>
    </row>
    <row r="897" spans="99:99" ht="14.25" customHeight="1" x14ac:dyDescent="0.2">
      <c r="CU897" s="155"/>
    </row>
    <row r="898" spans="99:99" ht="14.25" customHeight="1" x14ac:dyDescent="0.2">
      <c r="CU898" s="155"/>
    </row>
    <row r="899" spans="99:99" ht="14.25" customHeight="1" x14ac:dyDescent="0.2">
      <c r="CU899" s="155"/>
    </row>
    <row r="900" spans="99:99" ht="14.25" customHeight="1" x14ac:dyDescent="0.2">
      <c r="CU900" s="155"/>
    </row>
    <row r="901" spans="99:99" ht="14.25" customHeight="1" x14ac:dyDescent="0.2">
      <c r="CU901" s="155"/>
    </row>
    <row r="902" spans="99:99" ht="14.25" customHeight="1" x14ac:dyDescent="0.2">
      <c r="CU902" s="155"/>
    </row>
    <row r="903" spans="99:99" ht="14.25" customHeight="1" x14ac:dyDescent="0.2">
      <c r="CU903" s="155"/>
    </row>
    <row r="904" spans="99:99" ht="14.25" customHeight="1" x14ac:dyDescent="0.2">
      <c r="CU904" s="155"/>
    </row>
    <row r="905" spans="99:99" ht="14.25" customHeight="1" x14ac:dyDescent="0.2">
      <c r="CU905" s="155"/>
    </row>
    <row r="906" spans="99:99" ht="14.25" customHeight="1" x14ac:dyDescent="0.2">
      <c r="CU906" s="155"/>
    </row>
    <row r="907" spans="99:99" ht="14.25" customHeight="1" x14ac:dyDescent="0.2">
      <c r="CU907" s="155"/>
    </row>
    <row r="908" spans="99:99" ht="14.25" customHeight="1" x14ac:dyDescent="0.2">
      <c r="CU908" s="155"/>
    </row>
    <row r="909" spans="99:99" ht="14.25" customHeight="1" x14ac:dyDescent="0.2">
      <c r="CU909" s="155"/>
    </row>
    <row r="910" spans="99:99" ht="14.25" customHeight="1" x14ac:dyDescent="0.2">
      <c r="CU910" s="155"/>
    </row>
    <row r="911" spans="99:99" ht="14.25" customHeight="1" x14ac:dyDescent="0.2">
      <c r="CU911" s="155"/>
    </row>
    <row r="912" spans="99:99" ht="14.25" customHeight="1" x14ac:dyDescent="0.2">
      <c r="CU912" s="155"/>
    </row>
    <row r="913" spans="99:99" ht="14.25" customHeight="1" x14ac:dyDescent="0.2">
      <c r="CU913" s="155"/>
    </row>
    <row r="914" spans="99:99" ht="14.25" customHeight="1" x14ac:dyDescent="0.2">
      <c r="CU914" s="155"/>
    </row>
    <row r="915" spans="99:99" ht="14.25" customHeight="1" x14ac:dyDescent="0.2">
      <c r="CU915" s="155"/>
    </row>
    <row r="916" spans="99:99" ht="14.25" customHeight="1" x14ac:dyDescent="0.2">
      <c r="CU916" s="155"/>
    </row>
    <row r="917" spans="99:99" ht="14.25" customHeight="1" x14ac:dyDescent="0.2">
      <c r="CU917" s="155"/>
    </row>
    <row r="918" spans="99:99" ht="14.25" customHeight="1" x14ac:dyDescent="0.2">
      <c r="CU918" s="155"/>
    </row>
    <row r="919" spans="99:99" ht="14.25" customHeight="1" x14ac:dyDescent="0.2">
      <c r="CU919" s="155"/>
    </row>
    <row r="920" spans="99:99" ht="14.25" customHeight="1" x14ac:dyDescent="0.2">
      <c r="CU920" s="155"/>
    </row>
    <row r="921" spans="99:99" ht="14.25" customHeight="1" x14ac:dyDescent="0.2">
      <c r="CU921" s="155"/>
    </row>
    <row r="922" spans="99:99" ht="14.25" customHeight="1" x14ac:dyDescent="0.2">
      <c r="CU922" s="155"/>
    </row>
    <row r="923" spans="99:99" ht="14.25" customHeight="1" x14ac:dyDescent="0.2">
      <c r="CU923" s="155"/>
    </row>
    <row r="924" spans="99:99" ht="14.25" customHeight="1" x14ac:dyDescent="0.2">
      <c r="CU924" s="155"/>
    </row>
    <row r="925" spans="99:99" ht="14.25" customHeight="1" x14ac:dyDescent="0.2">
      <c r="CU925" s="155"/>
    </row>
    <row r="926" spans="99:99" ht="14.25" customHeight="1" x14ac:dyDescent="0.2">
      <c r="CU926" s="155"/>
    </row>
    <row r="927" spans="99:99" ht="14.25" customHeight="1" x14ac:dyDescent="0.2">
      <c r="CU927" s="155"/>
    </row>
    <row r="928" spans="99:99" ht="14.25" customHeight="1" x14ac:dyDescent="0.2">
      <c r="CU928" s="155"/>
    </row>
    <row r="929" spans="99:99" ht="14.25" customHeight="1" x14ac:dyDescent="0.2">
      <c r="CU929" s="155"/>
    </row>
    <row r="930" spans="99:99" ht="14.25" customHeight="1" x14ac:dyDescent="0.2">
      <c r="CU930" s="155"/>
    </row>
    <row r="931" spans="99:99" ht="14.25" customHeight="1" x14ac:dyDescent="0.2">
      <c r="CU931" s="155"/>
    </row>
    <row r="932" spans="99:99" ht="14.25" customHeight="1" x14ac:dyDescent="0.2">
      <c r="CU932" s="155"/>
    </row>
    <row r="933" spans="99:99" ht="14.25" customHeight="1" x14ac:dyDescent="0.2">
      <c r="CU933" s="155"/>
    </row>
    <row r="934" spans="99:99" ht="14.25" customHeight="1" x14ac:dyDescent="0.2">
      <c r="CU934" s="155"/>
    </row>
    <row r="935" spans="99:99" ht="14.25" customHeight="1" x14ac:dyDescent="0.2">
      <c r="CU935" s="155"/>
    </row>
    <row r="936" spans="99:99" ht="14.25" customHeight="1" x14ac:dyDescent="0.2">
      <c r="CU936" s="155"/>
    </row>
    <row r="937" spans="99:99" ht="14.25" customHeight="1" x14ac:dyDescent="0.2">
      <c r="CU937" s="155"/>
    </row>
    <row r="938" spans="99:99" ht="14.25" customHeight="1" x14ac:dyDescent="0.2">
      <c r="CU938" s="155"/>
    </row>
    <row r="939" spans="99:99" ht="14.25" customHeight="1" x14ac:dyDescent="0.2">
      <c r="CU939" s="155"/>
    </row>
    <row r="940" spans="99:99" ht="14.25" customHeight="1" x14ac:dyDescent="0.2">
      <c r="CU940" s="155"/>
    </row>
    <row r="941" spans="99:99" ht="14.25" customHeight="1" x14ac:dyDescent="0.2">
      <c r="CU941" s="155"/>
    </row>
    <row r="942" spans="99:99" ht="14.25" customHeight="1" x14ac:dyDescent="0.2">
      <c r="CU942" s="155"/>
    </row>
    <row r="943" spans="99:99" ht="14.25" customHeight="1" x14ac:dyDescent="0.2">
      <c r="CU943" s="155"/>
    </row>
    <row r="944" spans="99:99" ht="14.25" customHeight="1" x14ac:dyDescent="0.2">
      <c r="CU944" s="155"/>
    </row>
    <row r="945" spans="99:99" ht="14.25" customHeight="1" x14ac:dyDescent="0.2">
      <c r="CU945" s="155"/>
    </row>
    <row r="946" spans="99:99" ht="14.25" customHeight="1" x14ac:dyDescent="0.2">
      <c r="CU946" s="155"/>
    </row>
    <row r="947" spans="99:99" ht="14.25" customHeight="1" x14ac:dyDescent="0.2">
      <c r="CU947" s="155"/>
    </row>
    <row r="948" spans="99:99" ht="14.25" customHeight="1" x14ac:dyDescent="0.2">
      <c r="CU948" s="155"/>
    </row>
    <row r="949" spans="99:99" ht="14.25" customHeight="1" x14ac:dyDescent="0.2">
      <c r="CU949" s="155"/>
    </row>
    <row r="950" spans="99:99" ht="14.25" customHeight="1" x14ac:dyDescent="0.2">
      <c r="CU950" s="155"/>
    </row>
    <row r="951" spans="99:99" ht="14.25" customHeight="1" x14ac:dyDescent="0.2">
      <c r="CU951" s="155"/>
    </row>
    <row r="952" spans="99:99" ht="14.25" customHeight="1" x14ac:dyDescent="0.2">
      <c r="CU952" s="155"/>
    </row>
    <row r="953" spans="99:99" ht="14.25" customHeight="1" x14ac:dyDescent="0.2">
      <c r="CU953" s="155"/>
    </row>
    <row r="954" spans="99:99" ht="14.25" customHeight="1" x14ac:dyDescent="0.2">
      <c r="CU954" s="155"/>
    </row>
    <row r="955" spans="99:99" ht="14.25" customHeight="1" x14ac:dyDescent="0.2">
      <c r="CU955" s="155"/>
    </row>
    <row r="956" spans="99:99" ht="14.25" customHeight="1" x14ac:dyDescent="0.2">
      <c r="CU956" s="155"/>
    </row>
    <row r="957" spans="99:99" ht="14.25" customHeight="1" x14ac:dyDescent="0.2">
      <c r="CU957" s="155"/>
    </row>
    <row r="958" spans="99:99" ht="14.25" customHeight="1" x14ac:dyDescent="0.2">
      <c r="CU958" s="155"/>
    </row>
    <row r="959" spans="99:99" ht="14.25" customHeight="1" x14ac:dyDescent="0.2">
      <c r="CU959" s="155"/>
    </row>
    <row r="960" spans="99:99" ht="14.25" customHeight="1" x14ac:dyDescent="0.2">
      <c r="CU960" s="155"/>
    </row>
    <row r="961" spans="99:99" ht="14.25" customHeight="1" x14ac:dyDescent="0.2">
      <c r="CU961" s="155"/>
    </row>
    <row r="962" spans="99:99" ht="14.25" customHeight="1" x14ac:dyDescent="0.2">
      <c r="CU962" s="155"/>
    </row>
    <row r="963" spans="99:99" ht="14.25" customHeight="1" x14ac:dyDescent="0.2">
      <c r="CU963" s="155"/>
    </row>
    <row r="964" spans="99:99" ht="14.25" customHeight="1" x14ac:dyDescent="0.2">
      <c r="CU964" s="155"/>
    </row>
    <row r="965" spans="99:99" ht="14.25" customHeight="1" x14ac:dyDescent="0.2">
      <c r="CU965" s="155"/>
    </row>
    <row r="966" spans="99:99" ht="14.25" customHeight="1" x14ac:dyDescent="0.2">
      <c r="CU966" s="155"/>
    </row>
    <row r="967" spans="99:99" ht="14.25" customHeight="1" x14ac:dyDescent="0.2">
      <c r="CU967" s="155"/>
    </row>
    <row r="968" spans="99:99" ht="14.25" customHeight="1" x14ac:dyDescent="0.2">
      <c r="CU968" s="155"/>
    </row>
    <row r="969" spans="99:99" ht="14.25" customHeight="1" x14ac:dyDescent="0.2">
      <c r="CU969" s="155"/>
    </row>
    <row r="970" spans="99:99" ht="14.25" customHeight="1" x14ac:dyDescent="0.2">
      <c r="CU970" s="155"/>
    </row>
    <row r="971" spans="99:99" ht="14.25" customHeight="1" x14ac:dyDescent="0.2">
      <c r="CU971" s="155"/>
    </row>
    <row r="972" spans="99:99" ht="14.25" customHeight="1" x14ac:dyDescent="0.2">
      <c r="CU972" s="155"/>
    </row>
    <row r="973" spans="99:99" ht="14.25" customHeight="1" x14ac:dyDescent="0.2">
      <c r="CU973" s="155"/>
    </row>
    <row r="974" spans="99:99" ht="14.25" customHeight="1" x14ac:dyDescent="0.2">
      <c r="CU974" s="155"/>
    </row>
    <row r="975" spans="99:99" ht="14.25" customHeight="1" x14ac:dyDescent="0.2">
      <c r="CU975" s="155"/>
    </row>
    <row r="976" spans="99:99" ht="14.25" customHeight="1" x14ac:dyDescent="0.2">
      <c r="CU976" s="155"/>
    </row>
    <row r="977" spans="99:99" ht="14.25" customHeight="1" x14ac:dyDescent="0.2">
      <c r="CU977" s="155"/>
    </row>
    <row r="978" spans="99:99" ht="14.25" customHeight="1" x14ac:dyDescent="0.2">
      <c r="CU978" s="155"/>
    </row>
    <row r="979" spans="99:99" ht="14.25" customHeight="1" x14ac:dyDescent="0.2">
      <c r="CU979" s="155"/>
    </row>
    <row r="980" spans="99:99" ht="14.25" customHeight="1" x14ac:dyDescent="0.2">
      <c r="CU980" s="155"/>
    </row>
    <row r="981" spans="99:99" ht="14.25" customHeight="1" x14ac:dyDescent="0.2">
      <c r="CU981" s="155"/>
    </row>
    <row r="982" spans="99:99" ht="14.25" customHeight="1" x14ac:dyDescent="0.2">
      <c r="CU982" s="155"/>
    </row>
    <row r="983" spans="99:99" ht="14.25" customHeight="1" x14ac:dyDescent="0.2">
      <c r="CU983" s="155"/>
    </row>
    <row r="984" spans="99:99" ht="14.25" customHeight="1" x14ac:dyDescent="0.2">
      <c r="CU984" s="155"/>
    </row>
    <row r="985" spans="99:99" ht="14.25" customHeight="1" x14ac:dyDescent="0.2">
      <c r="CU985" s="155"/>
    </row>
    <row r="986" spans="99:99" ht="14.25" customHeight="1" x14ac:dyDescent="0.2">
      <c r="CU986" s="155"/>
    </row>
    <row r="987" spans="99:99" ht="14.25" customHeight="1" x14ac:dyDescent="0.2">
      <c r="CU987" s="155"/>
    </row>
    <row r="988" spans="99:99" ht="14.25" customHeight="1" x14ac:dyDescent="0.2">
      <c r="CU988" s="155"/>
    </row>
    <row r="989" spans="99:99" ht="14.25" customHeight="1" x14ac:dyDescent="0.2">
      <c r="CU989" s="155"/>
    </row>
    <row r="990" spans="99:99" ht="14.25" customHeight="1" x14ac:dyDescent="0.2">
      <c r="CU990" s="155"/>
    </row>
    <row r="991" spans="99:99" ht="14.25" customHeight="1" x14ac:dyDescent="0.2">
      <c r="CU991" s="155"/>
    </row>
    <row r="992" spans="99:99" ht="14.25" customHeight="1" x14ac:dyDescent="0.2">
      <c r="CU992" s="155"/>
    </row>
    <row r="993" spans="99:99" ht="14.25" customHeight="1" x14ac:dyDescent="0.2">
      <c r="CU993" s="155"/>
    </row>
    <row r="994" spans="99:99" ht="14.25" customHeight="1" x14ac:dyDescent="0.2">
      <c r="CU994" s="155"/>
    </row>
    <row r="995" spans="99:99" ht="14.25" customHeight="1" x14ac:dyDescent="0.2">
      <c r="CU995" s="155"/>
    </row>
    <row r="996" spans="99:99" ht="14.25" customHeight="1" x14ac:dyDescent="0.2">
      <c r="CU996" s="155"/>
    </row>
    <row r="997" spans="99:99" ht="14.25" customHeight="1" x14ac:dyDescent="0.2">
      <c r="CU997" s="155"/>
    </row>
    <row r="998" spans="99:99" ht="14.25" customHeight="1" x14ac:dyDescent="0.2">
      <c r="CU998" s="155"/>
    </row>
    <row r="999" spans="99:99" ht="14.25" customHeight="1" x14ac:dyDescent="0.2">
      <c r="CU999" s="155"/>
    </row>
    <row r="1000" spans="99:99" ht="14.25" customHeight="1" x14ac:dyDescent="0.2">
      <c r="CU1000" s="155"/>
    </row>
  </sheetData>
  <mergeCells count="25">
    <mergeCell ref="BW60:CC60"/>
    <mergeCell ref="CD60:CJ60"/>
    <mergeCell ref="CK60:CQ60"/>
    <mergeCell ref="CK2:CQ2"/>
    <mergeCell ref="L60:R60"/>
    <mergeCell ref="S60:Y60"/>
    <mergeCell ref="Z60:AF60"/>
    <mergeCell ref="AG60:AM60"/>
    <mergeCell ref="AN60:AT60"/>
    <mergeCell ref="AU60:BA60"/>
    <mergeCell ref="BB60:BH60"/>
    <mergeCell ref="BI60:BO60"/>
    <mergeCell ref="BP60:BV60"/>
    <mergeCell ref="AU2:BA2"/>
    <mergeCell ref="BB2:BH2"/>
    <mergeCell ref="BI2:BO2"/>
    <mergeCell ref="BP2:BV2"/>
    <mergeCell ref="BW2:CC2"/>
    <mergeCell ref="CD2:CJ2"/>
    <mergeCell ref="B2:K2"/>
    <mergeCell ref="L2:R2"/>
    <mergeCell ref="S2:Y2"/>
    <mergeCell ref="Z2:AF2"/>
    <mergeCell ref="AG2:AM2"/>
    <mergeCell ref="AN2:AT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35B7F-DE22-D54F-8FA8-BA58BBEEFE51}">
  <sheetPr>
    <pageSetUpPr fitToPage="1"/>
  </sheetPr>
  <dimension ref="A1:CW1000"/>
  <sheetViews>
    <sheetView tabSelected="1" zoomScale="85" zoomScaleNormal="85" workbookViewId="0">
      <pane xSplit="11" ySplit="3" topLeftCell="BX36" activePane="bottomRight" state="frozen"/>
      <selection activeCell="J2" sqref="J2:P58"/>
      <selection pane="topRight" activeCell="J2" sqref="J2:P58"/>
      <selection pane="bottomLeft" activeCell="J2" sqref="J2:P58"/>
      <selection pane="bottomRight" activeCell="B3" sqref="B3:J58"/>
    </sheetView>
  </sheetViews>
  <sheetFormatPr baseColWidth="10" defaultColWidth="14.5" defaultRowHeight="15" customHeight="1" x14ac:dyDescent="0.2"/>
  <cols>
    <col min="1" max="1" width="32.33203125" customWidth="1"/>
    <col min="2" max="30" width="11.5" customWidth="1"/>
    <col min="31" max="31" width="11.83203125" bestFit="1" customWidth="1"/>
    <col min="32" max="96" width="11.5" customWidth="1"/>
    <col min="97" max="97" width="9.6640625" customWidth="1"/>
    <col min="98" max="98" width="8.6640625" customWidth="1"/>
    <col min="99" max="99" width="7.33203125" customWidth="1"/>
    <col min="100" max="100" width="7.6640625" customWidth="1"/>
    <col min="101" max="101" width="31.5" customWidth="1"/>
  </cols>
  <sheetData>
    <row r="1" spans="1:101" ht="20" customHeight="1" thickBot="1" x14ac:dyDescent="0.25">
      <c r="A1" s="1" t="s">
        <v>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276">
        <f ca="1">TODAY()</f>
        <v>45590</v>
      </c>
      <c r="CE1" s="276"/>
      <c r="CF1" s="276"/>
      <c r="CG1" s="276"/>
      <c r="CH1" s="276"/>
      <c r="CI1" s="275"/>
      <c r="CJ1" s="275"/>
      <c r="CK1" s="275"/>
      <c r="CL1" s="199"/>
      <c r="CM1" s="199"/>
      <c r="CN1" s="199"/>
      <c r="CO1" s="199"/>
      <c r="CP1" s="211"/>
      <c r="CQ1" s="211"/>
      <c r="CR1" s="146"/>
      <c r="CS1" s="4"/>
      <c r="CT1" s="4"/>
      <c r="CU1" s="4"/>
      <c r="CV1" s="4"/>
      <c r="CW1" s="4"/>
    </row>
    <row r="2" spans="1:101" ht="14.25" customHeight="1" thickBot="1" x14ac:dyDescent="0.25">
      <c r="A2" s="5"/>
      <c r="B2" s="262"/>
      <c r="C2" s="263"/>
      <c r="D2" s="263"/>
      <c r="E2" s="264"/>
      <c r="F2" s="264"/>
      <c r="G2" s="264"/>
      <c r="H2" s="264"/>
      <c r="I2" s="264"/>
      <c r="J2" s="264"/>
      <c r="K2" s="265"/>
      <c r="L2" s="262" t="s">
        <v>2</v>
      </c>
      <c r="M2" s="263"/>
      <c r="N2" s="263"/>
      <c r="O2" s="263"/>
      <c r="P2" s="263"/>
      <c r="Q2" s="264"/>
      <c r="R2" s="265"/>
      <c r="S2" s="262" t="s">
        <v>3</v>
      </c>
      <c r="T2" s="263"/>
      <c r="U2" s="263"/>
      <c r="V2" s="263"/>
      <c r="W2" s="263"/>
      <c r="X2" s="264"/>
      <c r="Y2" s="265"/>
      <c r="Z2" s="262" t="s">
        <v>4</v>
      </c>
      <c r="AA2" s="263"/>
      <c r="AB2" s="263"/>
      <c r="AC2" s="263"/>
      <c r="AD2" s="263"/>
      <c r="AE2" s="264"/>
      <c r="AF2" s="265"/>
      <c r="AG2" s="262" t="s">
        <v>5</v>
      </c>
      <c r="AH2" s="263"/>
      <c r="AI2" s="263"/>
      <c r="AJ2" s="263"/>
      <c r="AK2" s="263"/>
      <c r="AL2" s="264"/>
      <c r="AM2" s="265"/>
      <c r="AN2" s="262" t="s">
        <v>6</v>
      </c>
      <c r="AO2" s="263"/>
      <c r="AP2" s="263"/>
      <c r="AQ2" s="263"/>
      <c r="AR2" s="263"/>
      <c r="AS2" s="264"/>
      <c r="AT2" s="265"/>
      <c r="AU2" s="262" t="s">
        <v>7</v>
      </c>
      <c r="AV2" s="263"/>
      <c r="AW2" s="263"/>
      <c r="AX2" s="263"/>
      <c r="AY2" s="263"/>
      <c r="AZ2" s="264"/>
      <c r="BA2" s="265"/>
      <c r="BB2" s="262" t="s">
        <v>8</v>
      </c>
      <c r="BC2" s="263"/>
      <c r="BD2" s="263"/>
      <c r="BE2" s="263"/>
      <c r="BF2" s="263"/>
      <c r="BG2" s="264"/>
      <c r="BH2" s="265"/>
      <c r="BI2" s="262" t="s">
        <v>9</v>
      </c>
      <c r="BJ2" s="263"/>
      <c r="BK2" s="263"/>
      <c r="BL2" s="263"/>
      <c r="BM2" s="263"/>
      <c r="BN2" s="264"/>
      <c r="BO2" s="265"/>
      <c r="BP2" s="262" t="s">
        <v>10</v>
      </c>
      <c r="BQ2" s="263"/>
      <c r="BR2" s="263"/>
      <c r="BS2" s="263"/>
      <c r="BT2" s="263"/>
      <c r="BU2" s="264"/>
      <c r="BV2" s="265"/>
      <c r="BW2" s="262" t="s">
        <v>11</v>
      </c>
      <c r="BX2" s="263"/>
      <c r="BY2" s="263"/>
      <c r="BZ2" s="263"/>
      <c r="CA2" s="263"/>
      <c r="CB2" s="264"/>
      <c r="CC2" s="265"/>
      <c r="CD2" s="262" t="s">
        <v>12</v>
      </c>
      <c r="CE2" s="263"/>
      <c r="CF2" s="263"/>
      <c r="CG2" s="263"/>
      <c r="CH2" s="263"/>
      <c r="CI2" s="264"/>
      <c r="CJ2" s="265"/>
      <c r="CK2" s="262" t="s">
        <v>13</v>
      </c>
      <c r="CL2" s="263"/>
      <c r="CM2" s="263"/>
      <c r="CN2" s="263"/>
      <c r="CO2" s="263"/>
      <c r="CP2" s="264"/>
      <c r="CQ2" s="265"/>
      <c r="CR2" s="155"/>
      <c r="CS2" s="212" t="s">
        <v>204</v>
      </c>
      <c r="CT2" s="213" t="e">
        <f>+'[4]SLP+ROSA+FUNIL'!S2+'[4]STA ANA'!CT2+[4]BOA!CT2+'[4]STA MARIA'!CT2+'[4]CB I'!CY3+'[4]CB II'!CS3+[4]IG!CS3+[4]PN!CT2+[4]MJ!CS3+'[4]RB I'!CY3</f>
        <v>#VALUE!</v>
      </c>
      <c r="CU2" s="214" t="s">
        <v>205</v>
      </c>
      <c r="CV2" s="215">
        <f>+'[4]STA ANA'!CV2+[4]BOA!CV2+[4]PN!CV2+'[4]SLP+ROSA+FUNIL'!U2</f>
        <v>32751</v>
      </c>
    </row>
    <row r="3" spans="1:101" ht="45" customHeight="1" thickBot="1" x14ac:dyDescent="0.25">
      <c r="A3" s="5"/>
      <c r="B3" s="8" t="s">
        <v>14</v>
      </c>
      <c r="C3" s="9" t="s">
        <v>15</v>
      </c>
      <c r="D3" s="10" t="s">
        <v>16</v>
      </c>
      <c r="E3" s="8" t="s">
        <v>17</v>
      </c>
      <c r="F3" s="11" t="s">
        <v>18</v>
      </c>
      <c r="G3" s="12" t="s">
        <v>19</v>
      </c>
      <c r="H3" s="13" t="s">
        <v>20</v>
      </c>
      <c r="I3" s="14" t="s">
        <v>21</v>
      </c>
      <c r="J3" s="14" t="s">
        <v>22</v>
      </c>
      <c r="K3" s="15" t="s">
        <v>23</v>
      </c>
      <c r="L3" s="6" t="s">
        <v>24</v>
      </c>
      <c r="M3" s="14" t="s">
        <v>25</v>
      </c>
      <c r="N3" s="14" t="s">
        <v>26</v>
      </c>
      <c r="O3" s="14" t="s">
        <v>20</v>
      </c>
      <c r="P3" s="14" t="s">
        <v>21</v>
      </c>
      <c r="Q3" s="14" t="s">
        <v>22</v>
      </c>
      <c r="R3" s="15" t="s">
        <v>23</v>
      </c>
      <c r="S3" s="6" t="s">
        <v>24</v>
      </c>
      <c r="T3" s="14" t="s">
        <v>25</v>
      </c>
      <c r="U3" s="14" t="s">
        <v>26</v>
      </c>
      <c r="V3" s="14" t="s">
        <v>20</v>
      </c>
      <c r="W3" s="14" t="s">
        <v>21</v>
      </c>
      <c r="X3" s="14" t="s">
        <v>22</v>
      </c>
      <c r="Y3" s="15" t="s">
        <v>23</v>
      </c>
      <c r="Z3" s="6" t="s">
        <v>24</v>
      </c>
      <c r="AA3" s="14" t="s">
        <v>25</v>
      </c>
      <c r="AB3" s="14" t="s">
        <v>26</v>
      </c>
      <c r="AC3" s="14" t="s">
        <v>20</v>
      </c>
      <c r="AD3" s="14" t="s">
        <v>21</v>
      </c>
      <c r="AE3" s="14" t="s">
        <v>22</v>
      </c>
      <c r="AF3" s="15" t="s">
        <v>23</v>
      </c>
      <c r="AG3" s="6" t="s">
        <v>24</v>
      </c>
      <c r="AH3" s="14" t="s">
        <v>25</v>
      </c>
      <c r="AI3" s="14" t="s">
        <v>26</v>
      </c>
      <c r="AJ3" s="14" t="s">
        <v>20</v>
      </c>
      <c r="AK3" s="14" t="s">
        <v>21</v>
      </c>
      <c r="AL3" s="14" t="s">
        <v>22</v>
      </c>
      <c r="AM3" s="15" t="s">
        <v>23</v>
      </c>
      <c r="AN3" s="6" t="s">
        <v>24</v>
      </c>
      <c r="AO3" s="14" t="s">
        <v>25</v>
      </c>
      <c r="AP3" s="14" t="s">
        <v>26</v>
      </c>
      <c r="AQ3" s="14" t="s">
        <v>20</v>
      </c>
      <c r="AR3" s="14" t="s">
        <v>21</v>
      </c>
      <c r="AS3" s="14" t="s">
        <v>22</v>
      </c>
      <c r="AT3" s="15" t="s">
        <v>23</v>
      </c>
      <c r="AU3" s="6" t="s">
        <v>24</v>
      </c>
      <c r="AV3" s="14" t="s">
        <v>25</v>
      </c>
      <c r="AW3" s="14" t="s">
        <v>26</v>
      </c>
      <c r="AX3" s="14" t="s">
        <v>20</v>
      </c>
      <c r="AY3" s="14" t="s">
        <v>21</v>
      </c>
      <c r="AZ3" s="14" t="s">
        <v>22</v>
      </c>
      <c r="BA3" s="15" t="s">
        <v>23</v>
      </c>
      <c r="BB3" s="6" t="s">
        <v>24</v>
      </c>
      <c r="BC3" s="14" t="s">
        <v>25</v>
      </c>
      <c r="BD3" s="14" t="s">
        <v>26</v>
      </c>
      <c r="BE3" s="14" t="s">
        <v>20</v>
      </c>
      <c r="BF3" s="14" t="s">
        <v>21</v>
      </c>
      <c r="BG3" s="14" t="s">
        <v>22</v>
      </c>
      <c r="BH3" s="15" t="s">
        <v>23</v>
      </c>
      <c r="BI3" s="6" t="s">
        <v>24</v>
      </c>
      <c r="BJ3" s="14" t="s">
        <v>25</v>
      </c>
      <c r="BK3" s="14" t="s">
        <v>26</v>
      </c>
      <c r="BL3" s="14" t="s">
        <v>20</v>
      </c>
      <c r="BM3" s="14" t="s">
        <v>21</v>
      </c>
      <c r="BN3" s="14" t="s">
        <v>22</v>
      </c>
      <c r="BO3" s="15" t="s">
        <v>23</v>
      </c>
      <c r="BP3" s="6" t="s">
        <v>24</v>
      </c>
      <c r="BQ3" s="14" t="s">
        <v>25</v>
      </c>
      <c r="BR3" s="14" t="s">
        <v>26</v>
      </c>
      <c r="BS3" s="14" t="s">
        <v>20</v>
      </c>
      <c r="BT3" s="14" t="s">
        <v>21</v>
      </c>
      <c r="BU3" s="14" t="s">
        <v>22</v>
      </c>
      <c r="BV3" s="15" t="s">
        <v>23</v>
      </c>
      <c r="BW3" s="6" t="s">
        <v>24</v>
      </c>
      <c r="BX3" s="14" t="s">
        <v>25</v>
      </c>
      <c r="BY3" s="14" t="s">
        <v>26</v>
      </c>
      <c r="BZ3" s="14" t="s">
        <v>20</v>
      </c>
      <c r="CA3" s="14" t="s">
        <v>21</v>
      </c>
      <c r="CB3" s="14" t="s">
        <v>22</v>
      </c>
      <c r="CC3" s="15" t="s">
        <v>23</v>
      </c>
      <c r="CD3" s="6" t="s">
        <v>24</v>
      </c>
      <c r="CE3" s="14" t="s">
        <v>25</v>
      </c>
      <c r="CF3" s="14" t="s">
        <v>26</v>
      </c>
      <c r="CG3" s="14" t="s">
        <v>20</v>
      </c>
      <c r="CH3" s="14" t="s">
        <v>21</v>
      </c>
      <c r="CI3" s="14" t="s">
        <v>22</v>
      </c>
      <c r="CJ3" s="15" t="s">
        <v>23</v>
      </c>
      <c r="CK3" s="6" t="s">
        <v>24</v>
      </c>
      <c r="CL3" s="14" t="s">
        <v>25</v>
      </c>
      <c r="CM3" s="14" t="s">
        <v>26</v>
      </c>
      <c r="CN3" s="14" t="s">
        <v>20</v>
      </c>
      <c r="CO3" s="14" t="s">
        <v>21</v>
      </c>
      <c r="CP3" s="14" t="s">
        <v>22</v>
      </c>
      <c r="CQ3" s="15" t="s">
        <v>23</v>
      </c>
      <c r="CR3" s="155"/>
      <c r="CS3" s="216" t="e">
        <f>+CT2+CV2</f>
        <v>#VALUE!</v>
      </c>
    </row>
    <row r="4" spans="1:101" ht="14.25" customHeight="1" x14ac:dyDescent="0.2">
      <c r="A4" s="217" t="s">
        <v>206</v>
      </c>
      <c r="B4" s="17">
        <f t="shared" ref="B4:D35" si="0">+L4+S4+Z4+AG4+AN4+AU4+BB4+BI4+BP4+BW4+CD4+CK4</f>
        <v>10591631.347348064</v>
      </c>
      <c r="C4" s="18">
        <f t="shared" si="0"/>
        <v>9289919.8547589891</v>
      </c>
      <c r="D4" s="19">
        <f t="shared" si="0"/>
        <v>1301711.4925890772</v>
      </c>
      <c r="E4" s="17">
        <f>+L4+S4+Z4+AG4</f>
        <v>3710155.9159371825</v>
      </c>
      <c r="F4" s="20">
        <f>+M4+T4+AA4+AH4</f>
        <v>3254177.753868503</v>
      </c>
      <c r="G4" s="21">
        <f>+N4+U4+AB4+AI4</f>
        <v>455978.16206867975</v>
      </c>
      <c r="H4" s="18">
        <f t="shared" ref="H4:J35" si="1">+O4+V4+AC4+AJ4+AQ4+AX4+BE4+BL4+BS4+BZ4+CG4+CN4</f>
        <v>3193840.0376302293</v>
      </c>
      <c r="I4" s="20">
        <f t="shared" si="1"/>
        <v>335743.10576129355</v>
      </c>
      <c r="J4" s="20">
        <f t="shared" si="1"/>
        <v>3529583.143391523</v>
      </c>
      <c r="K4" s="218">
        <f t="shared" ref="K4:K54" si="2">IF(E4=0,"",(+J4/E4-1))</f>
        <v>-4.8669860953821087E-2</v>
      </c>
      <c r="L4" s="219">
        <f>+[4]SLP!L4+[4]ROSA!L4+'[4]STA ANA'!L4+[4]BOA!L4+'[4]STA MARIA'!L4+'[4]CB I'!L4+'[4]CB II'!L4+'[4]CB III'!L4+[4]IG!L4+[4]PN!L4+[4]MJ!L4+'[4]RB I'!L4+'[4]SF I'!L4</f>
        <v>819223.26564415277</v>
      </c>
      <c r="M4" s="220">
        <f>+[4]SLP!M4+[4]ROSA!M4+'[4]STA ANA'!M4+[4]BOA!M4+'[4]STA MARIA'!M4+'[4]CB I'!M4+'[4]CB II'!M4+'[4]CB III'!M4+[4]IG!M4+[4]PN!M4+[4]MJ!M4+'[4]RB I'!M4+'[4]SF I'!M4</f>
        <v>718540.72629648633</v>
      </c>
      <c r="N4" s="220">
        <f>+[4]SLP!N4+[4]ROSA!N4+'[4]STA ANA'!N4+[4]BOA!N4+'[4]STA MARIA'!N4+'[4]CB I'!N4+'[4]CB II'!N4+'[4]CB III'!N4+[4]IG!N4+[4]PN!N4+[4]MJ!N4+'[4]RB I'!N4+'[4]SF I'!N4</f>
        <v>100682.53934766636</v>
      </c>
      <c r="O4" s="220">
        <f>+[4]SLP!O4+[4]ROSA!O4+'[4]STA ANA'!O4+[4]BOA!O4+'[4]STA MARIA'!O4+'[4]CB I'!O4+'[4]CB II'!O4+'[4]CB III'!O4+[4]IG!O4+[4]PN!O4+[4]MJ!O4+'[4]RB I'!O4+'[4]SF I'!O4</f>
        <v>695350.39277018595</v>
      </c>
      <c r="P4" s="220">
        <f>+[4]SLP!P4+[4]ROSA!P4+'[4]STA ANA'!P4+[4]BOA!P4+'[4]STA MARIA'!P4+'[4]CB I'!P4+'[4]CB II'!P4+'[4]CB III'!P4+[4]IG!P4+[4]PN!P4+[4]MJ!P4+'[4]RB I'!P4+'[4]SF I'!P4</f>
        <v>76622.822113641669</v>
      </c>
      <c r="Q4" s="221">
        <f>+[4]SLP!Q4+[4]ROSA!Q4+'[4]STA ANA'!Q4+[4]BOA!Q4+'[4]STA MARIA'!Q4+'[4]CB I'!Q4+'[4]CB II'!Q4+'[4]CB III'!Q4+[4]IG!Q4+[4]PN!Q4+[4]MJ!Q4+'[4]RB I'!Q4+'[4]SF I'!Q4</f>
        <v>771973.21488382772</v>
      </c>
      <c r="R4" s="218">
        <f t="shared" ref="R4:R54" si="3">IF(L4=0,"",(+Q4/L4-1))</f>
        <v>-5.7676646577136004E-2</v>
      </c>
      <c r="S4" s="219">
        <f>+[4]SLP!S4+[4]ROSA!S4+'[4]STA ANA'!S4+[4]BOA!S4+'[4]STA MARIA'!S4+'[4]CB I'!S4+'[4]CB II'!S4+'[4]CB III'!S4+[4]IG!S4+[4]PN!S4+[4]MJ!S4+'[4]RB I'!S4+'[4]SF I'!S4</f>
        <v>1252486.1190047245</v>
      </c>
      <c r="T4" s="220">
        <f>+[4]SLP!T4+[4]ROSA!T4+'[4]STA ANA'!T4+[4]BOA!T4+'[4]STA MARIA'!T4+'[4]CB I'!T4+'[4]CB II'!T4+'[4]CB III'!T4+[4]IG!T4+[4]PN!T4+[4]MJ!T4+'[4]RB I'!T4+'[4]SF I'!T4</f>
        <v>1098555.574979044</v>
      </c>
      <c r="U4" s="220">
        <f>+[4]SLP!U4+[4]ROSA!U4+'[4]STA ANA'!U4+[4]BOA!U4+'[4]STA MARIA'!U4+'[4]CB I'!U4+'[4]CB II'!U4+'[4]CB III'!U4+[4]IG!U4+[4]PN!U4+[4]MJ!U4+'[4]RB I'!U4+'[4]SF I'!U4</f>
        <v>153930.54402568063</v>
      </c>
      <c r="V4" s="220">
        <f>+[4]SLP!V4+[4]ROSA!V4+'[4]STA ANA'!V4+[4]BOA!V4+'[4]STA MARIA'!V4+'[4]CB I'!V4+'[4]CB II'!V4+'[4]CB III'!V4+[4]IG!V4+[4]PN!V4+[4]MJ!V4+'[4]RB I'!V4+'[4]SF I'!V4</f>
        <v>714725.80710589432</v>
      </c>
      <c r="W4" s="220">
        <f>+[4]SLP!W4+[4]ROSA!W4+'[4]STA ANA'!W4+[4]BOA!W4+'[4]STA MARIA'!W4+'[4]CB I'!W4+'[4]CB II'!W4+'[4]CB III'!W4+[4]IG!W4+[4]PN!W4+[4]MJ!W4+'[4]RB I'!W4+'[4]SF I'!W4</f>
        <v>80123.806511801289</v>
      </c>
      <c r="X4" s="221">
        <f>[4]SLP!X4+[4]ROSA!X4+'[4]STA ANA'!X4+[4]BOA!X4+'[4]STA MARIA'!X4+'[4]CB I'!X4+'[4]CB II'!X4+'[4]CB III'!X4+[4]IG!X4+[4]PN!X4+[4]MJ!X4+'[4]RB I'!X4+'[4]SF I'!X4</f>
        <v>794849.61361769564</v>
      </c>
      <c r="Y4" s="218">
        <f t="shared" ref="Y4:Y54" si="4">IF(S4=0,"",(+X4/S4-1))</f>
        <v>-0.36538249681416446</v>
      </c>
      <c r="Z4" s="219">
        <f>+[4]SLP!Z4+[4]ROSA!Z4+'[4]STA ANA'!Z4+[4]BOA!Z4+'[4]STA MARIA'!Z4+'[4]CB I'!Z4+'[4]CB II'!Z4+'[4]CB III'!Z4+[4]IG!Z4+[4]PN!Z4+[4]MJ!Z4+'[4]RB I'!Z4+'[4]SF I'!Z4</f>
        <v>819223.26564415277</v>
      </c>
      <c r="AA4" s="220">
        <f>+[4]SLP!AA4+[4]ROSA!AA4+'[4]STA ANA'!AA4+[4]BOA!AA4+'[4]STA MARIA'!AA4+'[4]CB I'!AA4+'[4]CB II'!AA4+'[4]CB III'!AA4+[4]IG!AA4+[4]PN!AA4+[4]MJ!AA4+'[4]RB I'!AA4+'[4]SF I'!AA4</f>
        <v>718540.72629648633</v>
      </c>
      <c r="AB4" s="220">
        <f>+[4]SLP!AB4+[4]ROSA!AB4+'[4]STA ANA'!AB4+[4]BOA!AB4+'[4]STA MARIA'!AB4+'[4]CB I'!AB4+'[4]CB II'!AB4+'[4]CB III'!AB4+[4]IG!AB4+[4]PN!AB4+[4]MJ!AB4+'[4]RB I'!AB4+'[4]SF I'!AB4</f>
        <v>100682.53934766636</v>
      </c>
      <c r="AC4" s="220">
        <f>+[4]SLP!AC4+[4]ROSA!AC4+'[4]STA ANA'!AC4+[4]BOA!AC4+'[4]STA MARIA'!AC4+'[4]CB I'!AC4+'[4]CB II'!AC4+'[4]CB III'!AC4+[4]IG!AC4+[4]PN!AC4+[4]MJ!AC4+'[4]RB I'!AC4+'[4]SF I'!AC4</f>
        <v>698028.65807935561</v>
      </c>
      <c r="AD4" s="220">
        <f>+[4]SLP!AD4+[4]ROSA!AD4+'[4]STA ANA'!AD4+[4]BOA!AD4+'[4]STA MARIA'!AD4+'[4]CB I'!AD4+'[4]CB II'!AD4+'[4]CB III'!AD4+[4]IG!AD4+[4]PN!AD4+[4]MJ!AD4+'[4]RB I'!AD4+'[4]SF I'!AD4</f>
        <v>65288.424737709567</v>
      </c>
      <c r="AE4" s="221">
        <f>+[4]SLP!AE4+[4]ROSA!AE4+'[4]STA ANA'!AE4+[4]BOA!AE4+'[4]STA MARIA'!AE4+'[4]CB I'!AE4+'[4]CB II'!AE4+'[4]CB III'!AE4+[4]IG!AE4+[4]PN!AE4+[4]MJ!AE4+'[4]RB I'!AE4+'[4]SF I'!AE4</f>
        <v>763317.08281706518</v>
      </c>
      <c r="AF4" s="218">
        <f t="shared" ref="AF4:AF54" si="5">IF(Z4=0,"",(+AE4/Z4-1))</f>
        <v>-6.8242913954755346E-2</v>
      </c>
      <c r="AG4" s="219">
        <f>+[4]SLP!AG4+[4]ROSA!AG4+'[4]STA ANA'!AG4+[4]BOA!AG4+'[4]STA MARIA'!AG4+'[4]CB I'!AG4+'[4]CB II'!AG4+'[4]CB III'!AG4+[4]IG!AG4+[4]PN!AG4+[4]MJ!AG4+'[4]RB I'!AG4+'[4]SF I'!AG4</f>
        <v>819223.26564415277</v>
      </c>
      <c r="AH4" s="220">
        <f>+[4]SLP!AH4+[4]ROSA!AH4+'[4]STA ANA'!AH4+[4]BOA!AH4+'[4]STA MARIA'!AH4+'[4]CB I'!AH4+'[4]CB II'!AH4+'[4]CB III'!AH4+[4]IG!AH4+[4]PN!AH4+[4]MJ!AH4+'[4]RB I'!AH4+'[4]SF I'!AH4</f>
        <v>718540.72629648633</v>
      </c>
      <c r="AI4" s="220">
        <f>+[4]SLP!AI4+[4]ROSA!AI4+'[4]STA ANA'!AI4+[4]BOA!AI4+'[4]STA MARIA'!AI4+'[4]CB I'!AI4+'[4]CB II'!AI4+'[4]CB III'!AI4+[4]IG!AI4+[4]PN!AI4+[4]MJ!AI4+'[4]RB I'!AI4+'[4]SF I'!AI4</f>
        <v>100682.53934766636</v>
      </c>
      <c r="AJ4" s="220">
        <f>+[4]SLP!AJ4+[4]ROSA!AJ4+'[4]STA ANA'!AJ4+[4]BOA!AJ4+'[4]STA MARIA'!AJ4+'[4]CB I'!AJ4+'[4]CB II'!AJ4+'[4]CB III'!AJ4+[4]IG!AJ4+[4]PN!AJ4+[4]MJ!AJ4+'[4]RB I'!AJ4+'[4]SF I'!AJ4</f>
        <v>1085735.1796747937</v>
      </c>
      <c r="AK4" s="220">
        <f>+[4]SLP!AK4+[4]ROSA!AK4+'[4]STA ANA'!AK4+[4]BOA!AK4+'[4]STA MARIA'!AK4+'[4]CB I'!AK4+'[4]CB II'!AK4+'[4]CB III'!AK4+[4]IG!AK4+[4]PN!AK4+[4]MJ!AK4+'[4]RB I'!AK4+'[4]SF I'!AK4</f>
        <v>113708.05239814101</v>
      </c>
      <c r="AL4" s="221">
        <f>+[4]SLP!AL4+[4]ROSA!AL4+'[4]STA ANA'!AL4+[4]BOA!AL4+'[4]STA MARIA'!AL4+'[4]CB I'!AL4+'[4]CB II'!AL4+'[4]CB III'!AL4+[4]IG!AL4+[4]PN!AL4+[4]MJ!AL4+'[4]RB I'!AL4+'[4]SF I'!AL4</f>
        <v>1199443.2320729345</v>
      </c>
      <c r="AM4" s="218">
        <f t="shared" ref="AM4:AM54" si="6">IF(AG4=0,"",(+AL4/AG4-1))</f>
        <v>0.46412251992113029</v>
      </c>
      <c r="AN4" s="219">
        <f>+[4]SLP!AN4+[4]ROSA!AN4+'[4]STA ANA'!AN4+[4]BOA!AN4+'[4]STA MARIA'!AN4+'[4]CB I'!AN4+'[4]CB II'!AN4+'[4]CB III'!AN4+[4]IG!AN4+[4]PN!AN4+[4]MJ!AN4+'[4]RB I'!AN4+'[4]SF I'!AN4</f>
        <v>819223.26564415277</v>
      </c>
      <c r="AO4" s="220">
        <f>+[4]SLP!AO4+[4]ROSA!AO4+'[4]STA ANA'!AO4+[4]BOA!AO4+'[4]STA MARIA'!AO4+'[4]CB I'!AO4+'[4]CB II'!AO4+'[4]CB III'!AO4+[4]IG!AO4+[4]PN!AO4+[4]MJ!AO4+'[4]RB I'!AO4+'[4]SF I'!AO4</f>
        <v>718540.72629648633</v>
      </c>
      <c r="AP4" s="220">
        <f>+[4]SLP!AP4+[4]ROSA!AP4+'[4]STA ANA'!AP4+[4]BOA!AP4+'[4]STA MARIA'!AP4+'[4]CB I'!AP4+'[4]CB II'!AP4+'[4]CB III'!AP4+[4]IG!AP4+[4]PN!AP4+[4]MJ!AP4+'[4]RB I'!AP4+'[4]SF I'!AP4</f>
        <v>100682.53934766636</v>
      </c>
      <c r="AQ4" s="220">
        <f>+[4]SLP!AQ4+[4]ROSA!AQ4+'[4]STA ANA'!AQ4+[4]BOA!AQ4+'[4]STA MARIA'!AQ4+'[4]CB I'!AQ4+'[4]CB II'!AQ4+'[4]CB III'!AQ4+[4]IG!AQ4+[4]PN!AQ4+[4]MJ!AQ4+'[4]RB I'!AQ4+'[4]SF I'!AQ4</f>
        <v>0</v>
      </c>
      <c r="AR4" s="220">
        <f>+[4]SLP!AR4+[4]ROSA!AR4+'[4]STA ANA'!AR4+[4]BOA!AR4+'[4]STA MARIA'!AR4+'[4]CB I'!AR4+'[4]CB II'!AR4+'[4]CB III'!AR4+[4]IG!AR4+[4]PN!AR4+[4]MJ!AR4+'[4]RB I'!AR4+'[4]SF I'!AR4</f>
        <v>0</v>
      </c>
      <c r="AS4" s="221">
        <f>+[4]SLP!AS4+[4]ROSA!AS4+'[4]STA ANA'!AS4+[4]BOA!AS4+'[4]STA MARIA'!AS4+'[4]CB I'!AS4+'[4]CB II'!AS4+'[4]CB III'!AS4+[4]IG!AS4+[4]PN!AS4+[4]MJ!AS4+'[4]RB I'!AS4+'[4]SÃO FRANCISCO'!AS4</f>
        <v>0</v>
      </c>
      <c r="AT4" s="218">
        <f t="shared" ref="AT4:AT54" si="7">IF(AN4=0,"",(+AS4/AN4-1))</f>
        <v>-1</v>
      </c>
      <c r="AU4" s="219">
        <f>+[4]SLP!AU4+[4]ROSA!AU4+'[4]STA ANA'!AU4+[4]BOA!AU4+'[4]STA MARIA'!AU4+'[4]CB I'!AU4+'[4]CB II'!AU4+'[4]CB III'!AU4+[4]IG!AU4+[4]PN!AU4+[4]MJ!AU4+'[4]RB I'!AU4+'[4]SF I'!AU4</f>
        <v>819223.26564415277</v>
      </c>
      <c r="AV4" s="220">
        <f>+[4]SLP!AV4+[4]ROSA!AV4+'[4]STA ANA'!AV4+[4]BOA!AV4+'[4]STA MARIA'!AV4+'[4]CB I'!AV4+'[4]CB II'!AV4+'[4]CB III'!AV4+[4]IG!AV4+[4]PN!AV4+[4]MJ!AV4+'[4]RB I'!AV4+'[4]SF I'!AV4</f>
        <v>718540.72629648633</v>
      </c>
      <c r="AW4" s="220">
        <f>+[4]SLP!AW4+[4]ROSA!AW4+'[4]STA ANA'!AW4+[4]BOA!AW4+'[4]STA MARIA'!AW4+'[4]CB I'!AW4+'[4]CB II'!AW4+'[4]CB III'!AW4+[4]IG!AW4+[4]PN!AW4+[4]MJ!AW4+'[4]RB I'!AW4+'[4]SF I'!AW4</f>
        <v>100682.53934766636</v>
      </c>
      <c r="AX4" s="220">
        <f>+[4]SLP!AX4+[4]ROSA!AX4+'[4]STA ANA'!AX4+[4]BOA!AX4+'[4]STA MARIA'!AX4+'[4]CB I'!AX4+'[4]CB II'!AX4+'[4]CB III'!AX4+[4]IG!AX4+[4]PN!AX4+[4]MJ!AX4+'[4]RB I'!AX4+'[4]SF I'!AX4</f>
        <v>0</v>
      </c>
      <c r="AY4" s="220">
        <f>+[4]SLP!AY4+[4]ROSA!AY4+'[4]STA ANA'!AY4+[4]BOA!AY4+'[4]STA MARIA'!AY4+'[4]CB I'!AY4+'[4]CB II'!AY4+'[4]CB III'!AY4+[4]IG!AY4+[4]PN!AY4+[4]MJ!AY4+'[4]RB I'!AY4+'[4]SF I'!AY4</f>
        <v>0</v>
      </c>
      <c r="AZ4" s="221">
        <f>+[4]SLP!AZ4+[4]ROSA!AZ4+'[4]STA ANA'!AZ4+[4]BOA!AZ4+'[4]STA MARIA'!AZ4+'[4]CB I'!AZ4+'[4]CB II'!AZ4+[4]IG!AZ4+[4]PN!AZ4+[4]MJ!AZ4+'[4]RB I'!AZ4+'[4]SÃO FRANCISCO'!AZ4</f>
        <v>0</v>
      </c>
      <c r="BA4" s="218">
        <f t="shared" ref="BA4:BA54" si="8">IF(AU4=0,"",(+AZ4/AU4-1))</f>
        <v>-1</v>
      </c>
      <c r="BB4" s="219">
        <f>+[4]SLP!BB4+[4]ROSA!BB4+'[4]STA ANA'!BB4+[4]BOA!BB4+'[4]STA MARIA'!BB4+'[4]CB I'!BB4+'[4]CB II'!BB4+'[4]CB III'!BB4+[4]IG!BB4+[4]PN!BB4+[4]MJ!BB4+'[4]RB I'!BB4+'[4]SF I'!BB4</f>
        <v>819223.26564415277</v>
      </c>
      <c r="BC4" s="220">
        <f>+[4]SLP!BC4+[4]ROSA!BC4+'[4]STA ANA'!BC4+[4]BOA!BC4+'[4]STA MARIA'!BC4+'[4]CB I'!BC4+'[4]CB II'!BC4+'[4]CB III'!BC4+[4]IG!BC4+[4]PN!BC4+[4]MJ!BC4+'[4]RB I'!BC4+'[4]SF I'!BC4</f>
        <v>718540.72629648633</v>
      </c>
      <c r="BD4" s="220">
        <f>+[4]SLP!BD4+[4]ROSA!BD4+'[4]STA ANA'!BD4+[4]BOA!BD4+'[4]STA MARIA'!BD4+'[4]CB I'!BD4+'[4]CB II'!BD4+'[4]CB III'!BD4+[4]IG!BD4+[4]PN!BD4+[4]MJ!BD4+'[4]RB I'!BD4+'[4]SF I'!BD4</f>
        <v>100682.53934766636</v>
      </c>
      <c r="BE4" s="220">
        <f>+[4]SLP!BE4+[4]ROSA!BE4+'[4]STA ANA'!BE4+[4]BOA!BE4+'[4]STA MARIA'!BE4+'[4]CB I'!BE4+'[4]CB II'!BE4+'[4]CB III'!BE4+[4]IG!BE4+[4]PN!BE4+[4]MJ!BE4+'[4]RB I'!BE4+'[4]SF I'!BE4</f>
        <v>0</v>
      </c>
      <c r="BF4" s="220">
        <f>+[4]SLP!BF4+[4]ROSA!BF4+'[4]STA ANA'!BF4+[4]BOA!BF4+'[4]STA MARIA'!BF4+'[4]CB I'!BF4+'[4]CB II'!BF4+'[4]CB III'!BF4+[4]IG!BF4+[4]PN!BF4+[4]MJ!BF4+'[4]RB I'!BF4+'[4]SF I'!BF4</f>
        <v>0</v>
      </c>
      <c r="BG4" s="221">
        <f>+[4]SLP!BG4+[4]ROSA!BG4+'[4]STA ANA'!BG4+[4]BOA!BG4+'[4]STA MARIA'!BG4+'[4]CB I'!BG4+'[4]CB II'!BG4+'[4]CB III'!BG4+[4]IG!BG4+[4]PN!BG4+[4]MJ!BG4+'[4]RB I'!BG4+'[4]SÃO FRANCISCO'!BG4</f>
        <v>0</v>
      </c>
      <c r="BH4" s="218">
        <f t="shared" ref="BH4:BH54" si="9">IF(BB4=0,"",(+BG4/BB4-1))</f>
        <v>-1</v>
      </c>
      <c r="BI4" s="219">
        <f>+[4]SLP!BI4+[4]ROSA!BI4+'[4]STA ANA'!BI4+[4]BOA!BI4+'[4]STA MARIA'!BI4+'[4]CB I'!BI4+'[4]CB II'!BI4+'[4]CB III'!BI4+[4]IG!BI4+[4]PN!BI4+[4]MJ!BI4+'[4]RB I'!BI4+'[4]SF I'!BI4</f>
        <v>884761.12689568498</v>
      </c>
      <c r="BJ4" s="220">
        <f>+[4]SLP!BJ4+[4]ROSA!BJ4+'[4]STA ANA'!BJ4+[4]BOA!BJ4+'[4]STA MARIA'!BJ4+'[4]CB I'!BJ4+'[4]CB II'!BJ4+'[4]CB III'!BJ4+[4]IG!BJ4+[4]PN!BJ4+[4]MJ!BJ4+'[4]RB I'!BJ4+'[4]SF I'!BJ4</f>
        <v>776023.98440020543</v>
      </c>
      <c r="BK4" s="220">
        <f>+[4]SLP!BK4+[4]ROSA!BK4+'[4]STA ANA'!BK4+[4]BOA!BK4+'[4]STA MARIA'!BK4+'[4]CB I'!BK4+'[4]CB II'!BK4+'[4]CB III'!BK4+[4]IG!BK4+[4]PN!BK4+[4]MJ!BK4+'[4]RB I'!BK4+'[4]SF I'!BK4</f>
        <v>108737.14249547968</v>
      </c>
      <c r="BL4" s="220">
        <f>+[4]SLP!BL4+[4]ROSA!BL4+'[4]STA ANA'!BL4+[4]BOA!BL4+'[4]STA MARIA'!BL4+'[4]CB I'!BL4+'[4]CB II'!BL4+'[4]CB III'!BL4+[4]IG!BL4+[4]PN!BL4+[4]MJ!BL4+'[4]RB I'!BL4+'[4]SF I'!BL4</f>
        <v>0</v>
      </c>
      <c r="BM4" s="220">
        <f>+[4]SLP!BM4+[4]ROSA!BM4+'[4]STA ANA'!BM4+[4]BOA!BM4+'[4]STA MARIA'!BM4+'[4]CB I'!BM4+'[4]CB II'!BM4+'[4]CB III'!BM4+[4]IG!BM4+[4]PN!BM4+[4]MJ!BM4+'[4]RB I'!BM4+'[4]SF I'!BM4</f>
        <v>0</v>
      </c>
      <c r="BN4" s="221">
        <f>+[4]SLP!BN4+[4]ROSA!BN4+'[4]STA ANA'!BN4+[4]BOA!BN4+'[4]STA MARIA'!BN4+'[4]CB I'!BN4+'[4]CB II'!BN4+'[4]CB III'!BN4+[4]IG!BN4+[4]PN!BN4+[4]MJ!BN4+'[4]RB I'!BN4+'[4]SÃO FRANCISCO'!BN4</f>
        <v>0</v>
      </c>
      <c r="BO4" s="218">
        <f t="shared" ref="BO4:BO54" si="10">IF(BI4=0,"",(+BN4/BI4-1))</f>
        <v>-1</v>
      </c>
      <c r="BP4" s="219">
        <f>+[4]SLP!BP4+[4]ROSA!BP4+'[4]STA ANA'!BP4+[4]BOA!BP4+'[4]STA MARIA'!BP4+'[4]CB I'!BP4+'[4]CB II'!BP4+'[4]CB III'!BP4+[4]IG!BP4+[4]PN!BP4+[4]MJ!BP4+'[4]RB I'!BP4+'[4]SF I'!BP4</f>
        <v>884761.12689568498</v>
      </c>
      <c r="BQ4" s="220">
        <f>+[4]SLP!BQ4+[4]ROSA!BQ4+'[4]STA ANA'!BQ4+[4]BOA!BQ4+'[4]STA MARIA'!BQ4+'[4]CB I'!BQ4+'[4]CB II'!BQ4+'[4]CB III'!BQ4+[4]IG!BQ4+[4]PN!BQ4+[4]MJ!BQ4+'[4]RB I'!BQ4+'[4]SF I'!BQ4</f>
        <v>776023.98440020543</v>
      </c>
      <c r="BR4" s="220">
        <f>+[4]SLP!BR4+[4]ROSA!BR4+'[4]STA ANA'!BR4+[4]BOA!BR4+'[4]STA MARIA'!BR4+'[4]CB I'!BR4+'[4]CB II'!BR4+'[4]CB III'!BR4+[4]IG!BR4+[4]PN!BR4+[4]MJ!BR4+'[4]RB I'!BR4+'[4]SF I'!BR4</f>
        <v>108737.14249547968</v>
      </c>
      <c r="BS4" s="220">
        <f>+[4]SLP!BS4+[4]ROSA!BS4+'[4]STA ANA'!BS4+[4]BOA!BS4+'[4]STA MARIA'!BS4+'[4]CB I'!BS4+'[4]CB II'!BS4+'[4]CB III'!BS4+[4]IG!BS4+[4]PN!BS4+[4]MJ!BS4+'[4]RB I'!BS4+'[4]SF I'!BS4</f>
        <v>0</v>
      </c>
      <c r="BT4" s="220">
        <f>+[4]SLP!BT4+[4]ROSA!BT4+'[4]STA ANA'!BT4+[4]BOA!BT4+'[4]STA MARIA'!BT4+'[4]CB I'!BT4+'[4]CB II'!BT4+'[4]CB III'!BT4+[4]IG!BT4+[4]PN!BT4+[4]MJ!BT4+'[4]RB I'!BT4+'[4]SF I'!BT4</f>
        <v>0</v>
      </c>
      <c r="BU4" s="221">
        <f>+[4]SLP!BU4+[4]ROSA!BU4+'[4]STA ANA'!BU4+[4]BOA!BU4+'[4]STA MARIA'!BU4+'[4]CB I'!BU4+'[4]CB II'!BU4+'[4]CB III'!BU4+[4]IG!BU4+[4]PN!BU4+[4]MJ!BU4+'[4]RB I'!BU4+'[4]SÃO FRANCISCO'!BU4</f>
        <v>0</v>
      </c>
      <c r="BV4" s="218">
        <f t="shared" ref="BV4:BV54" si="11">IF(BP4=0,"",(+BU4/BP4-1))</f>
        <v>-1</v>
      </c>
      <c r="BW4" s="219">
        <f>+[4]SLP!BW4+[4]ROSA!BW4+'[4]STA ANA'!BW4+[4]BOA!BW4+'[4]STA MARIA'!BW4+'[4]CB I'!BW4+'[4]CB II'!BW4+'[4]CB III'!BW4+[4]IG!BW4+[4]PN!BW4+[4]MJ!BW4+'[4]RB I'!BW4+'[4]SF I'!BW4</f>
        <v>884761.12689568498</v>
      </c>
      <c r="BX4" s="220">
        <f>+[4]SLP!BX4+[4]ROSA!BX4+'[4]STA ANA'!BX4+[4]BOA!BX4+'[4]STA MARIA'!BX4+'[4]CB I'!BX4+'[4]CB II'!BX4+'[4]CB III'!BX4+[4]IG!BX4+[4]PN!BX4+[4]MJ!BX4+'[4]RB I'!BX4+'[4]SF I'!BX4</f>
        <v>776023.98440020543</v>
      </c>
      <c r="BY4" s="220">
        <f>+[4]SLP!BY4+[4]ROSA!BY4+'[4]STA ANA'!BY4+[4]BOA!BY4+'[4]STA MARIA'!BY4+'[4]CB I'!BY4+'[4]CB II'!BY4+'[4]CB III'!BY4+[4]IG!BY4+[4]PN!BY4+[4]MJ!BY4+'[4]RB I'!BY4+'[4]SF I'!BY4</f>
        <v>108737.14249547968</v>
      </c>
      <c r="BZ4" s="220">
        <f>+[4]SLP!BZ4+[4]ROSA!BZ4+'[4]STA ANA'!BZ4+[4]BOA!BZ4+'[4]STA MARIA'!BZ4+'[4]CB I'!BZ4+'[4]CB II'!BZ4+'[4]CB III'!BZ4+[4]IG!BZ4+[4]PN!BZ4+[4]MJ!BZ4+'[4]RB I'!BZ4+'[4]SF I'!BZ4</f>
        <v>0</v>
      </c>
      <c r="CA4" s="220">
        <f>+[4]SLP!CA4+[4]ROSA!CA4+'[4]STA ANA'!CA4+[4]BOA!CA4+'[4]STA MARIA'!CA4+'[4]CB I'!CA4+'[4]CB II'!CA4+'[4]CB III'!CA4+[4]IG!CA4+[4]PN!CA4+[4]MJ!CA4+'[4]RB I'!CA4+'[4]SF I'!CA4</f>
        <v>0</v>
      </c>
      <c r="CB4" s="221">
        <f>+[4]SLP!CB4+[4]ROSA!CB4+'[4]STA ANA'!CB4+[4]BOA!CB4+'[4]STA MARIA'!CB4+'[4]CB I'!CB4+'[4]CB II'!CB4+'[4]CB III'!CB4+[4]IG!CB4+[4]PN!CB4+[4]MJ!CB4+'[4]RB I'!CB4+'[4]SÃO FRANCISCO'!CB4</f>
        <v>0</v>
      </c>
      <c r="CC4" s="218">
        <f t="shared" ref="CC4:CC54" si="12">IF(BW4=0,"",(+CB4/BW4-1))</f>
        <v>-1</v>
      </c>
      <c r="CD4" s="219">
        <f>+[4]SLP!CD4+[4]ROSA!CD4+'[4]STA ANA'!CD4+[4]BOA!CD4+'[4]STA MARIA'!CD4+'[4]CB I'!CD4+'[4]CB II'!CD4+'[4]CB III'!CD4+[4]IG!CD4+[4]PN!CD4+[4]MJ!CD4+'[4]RB I'!CD4+'[4]SF I'!CD4</f>
        <v>884761.12689568498</v>
      </c>
      <c r="CE4" s="220">
        <f>+[4]SLP!CE4+[4]ROSA!CE4+'[4]STA ANA'!CE4+[4]BOA!CE4+'[4]STA MARIA'!CE4+'[4]CB I'!CE4+'[4]CB II'!CE4+'[4]CB III'!CE4+[4]IG!CE4+[4]PN!CE4+[4]MJ!CE4+'[4]RB I'!CE4+'[4]SF I'!CE4</f>
        <v>776023.98440020543</v>
      </c>
      <c r="CF4" s="220">
        <f>+[4]SLP!CF4+[4]ROSA!CF4+'[4]STA ANA'!CF4+[4]BOA!CF4+'[4]STA MARIA'!CF4+'[4]CB I'!CF4+'[4]CB II'!CF4+'[4]CB III'!CF4+[4]IG!CF4+[4]PN!CF4+[4]MJ!CF4+'[4]RB I'!CF4+'[4]SF I'!CF4</f>
        <v>108737.14249547968</v>
      </c>
      <c r="CG4" s="220">
        <f>+[4]SLP!CG4+[4]ROSA!CG4+'[4]STA ANA'!CG4+[4]BOA!CG4+'[4]STA MARIA'!CG4+'[4]CB I'!CG4+'[4]CB II'!CG4+'[4]CB III'!CG4+[4]IG!CG4+[4]PN!CG4+[4]MJ!CG4+'[4]RB I'!CG4+'[4]SF I'!CG4</f>
        <v>0</v>
      </c>
      <c r="CH4" s="220">
        <f>+[4]SLP!CH4+[4]ROSA!CH4+'[4]STA ANA'!CH4+[4]BOA!CH4+'[4]STA MARIA'!CH4+'[4]CB I'!CH4+'[4]CB II'!CH4+'[4]CB III'!CH4+[4]IG!CH4+[4]PN!CH4+[4]MJ!CH4+'[4]RB I'!CH4+'[4]SF I'!CH4</f>
        <v>0</v>
      </c>
      <c r="CI4" s="221">
        <f>+[4]SLP!CI4+[4]ROSA!CI4+'[4]STA ANA'!CI4+[4]BOA!CI4+'[4]STA MARIA'!CI4+'[4]CB I'!CI4+'[4]CB II'!CI4+'[4]CB III'!CI4+[4]IG!CI4+[4]PN!CI4+[4]MJ!CI4+'[4]RB I'!CI4+'[4]SÃO FRANCISCO'!CI4</f>
        <v>0</v>
      </c>
      <c r="CJ4" s="218">
        <f t="shared" ref="CJ4:CJ54" si="13">IF(CD4=0,"",(+CI4/CD4-1))</f>
        <v>-1</v>
      </c>
      <c r="CK4" s="219">
        <f>+[4]SLP!CK4+[4]ROSA!CK4+'[4]STA ANA'!CK4+[4]BOA!CK4+'[4]STA MARIA'!CK4+'[4]CB I'!CK4+'[4]CB II'!CK4+'[4]CB III'!CK4+[4]IG!CK4+[4]PN!CK4+[4]MJ!CK4+'[4]RB I'!CK4+'[4]SF I'!CK4</f>
        <v>884761.12689568498</v>
      </c>
      <c r="CL4" s="220">
        <f>+[4]SLP!CL4+[4]ROSA!CL4+'[4]STA ANA'!CL4+[4]BOA!CL4+'[4]STA MARIA'!CL4+'[4]CB I'!CL4+'[4]CB II'!CL4+'[4]CB III'!CL4+[4]IG!CL4+[4]PN!CL4+[4]MJ!CL4+'[4]RB I'!CL4+'[4]SF I'!CL4</f>
        <v>776023.98440020543</v>
      </c>
      <c r="CM4" s="220">
        <f>+[4]SLP!CM4+[4]ROSA!CM4+'[4]STA ANA'!CM4+[4]BOA!CM4+'[4]STA MARIA'!CM4+'[4]CB I'!CM4+'[4]CB II'!CM4+'[4]CB III'!CM4+[4]IG!CM4+[4]PN!CM4+[4]MJ!CM4+'[4]RB I'!CM4+'[4]SF I'!CM4</f>
        <v>108737.14249547968</v>
      </c>
      <c r="CN4" s="220">
        <f>+[4]SLP!CN4+[4]ROSA!CN4+'[4]STA ANA'!CN4+[4]BOA!CN4+'[4]STA MARIA'!CN4+'[4]CB I'!CN4+'[4]CB II'!CN4+'[4]CB III'!CN4+[4]IG!CN4+[4]PN!CN4+[4]MJ!CN4+'[4]RB I'!CN4+'[4]SF I'!CN4</f>
        <v>0</v>
      </c>
      <c r="CO4" s="220">
        <f>+[4]SLP!CO4+[4]ROSA!CO4+'[4]STA ANA'!CO4+[4]BOA!CO4+'[4]STA MARIA'!CO4+'[4]CB I'!CO4+'[4]CB II'!CO4+'[4]CB III'!CO4+[4]IG!CO4+[4]PN!CO4+[4]MJ!CO4+'[4]RB I'!CO4+'[4]SF I'!CO4</f>
        <v>0</v>
      </c>
      <c r="CP4" s="221">
        <f>+[4]SLP!CP4+[4]ROSA!CP4+'[4]STA ANA'!CP4+[4]BOA!CP4+'[4]STA MARIA'!CP4+'[4]CB I'!CP4+'[4]CB II'!CP4+'[4]CB III'!CP4+[4]IG!CP4+[4]PN!CP4+[4]MJ!CP4+'[4]RB I'!CP4+'[4]SÃO FRANCISCO'!CP4</f>
        <v>0</v>
      </c>
      <c r="CQ4" s="218">
        <f t="shared" ref="CQ4:CQ54" si="14">IF(CK4=0,"",(+CP4/CK4-1))</f>
        <v>-1</v>
      </c>
      <c r="CR4" s="155"/>
      <c r="CS4" s="222" t="e">
        <f t="shared" ref="CS4:CS58" si="15">+B4/$CS$3</f>
        <v>#VALUE!</v>
      </c>
      <c r="CW4" s="196">
        <v>180</v>
      </c>
    </row>
    <row r="5" spans="1:101" ht="14.25" customHeight="1" x14ac:dyDescent="0.2">
      <c r="A5" s="223" t="s">
        <v>29</v>
      </c>
      <c r="B5" s="30">
        <f t="shared" si="0"/>
        <v>588260.22473767155</v>
      </c>
      <c r="C5" s="31">
        <f t="shared" si="0"/>
        <v>515963.04311741184</v>
      </c>
      <c r="D5" s="32">
        <f t="shared" si="0"/>
        <v>72297.181620259827</v>
      </c>
      <c r="E5" s="30">
        <f t="shared" ref="E5:G36" si="16">+L5+S5+Z5+AG5</f>
        <v>196086.74157922383</v>
      </c>
      <c r="F5" s="33">
        <f t="shared" si="16"/>
        <v>171987.68103913727</v>
      </c>
      <c r="G5" s="34">
        <f t="shared" si="16"/>
        <v>24099.060540086608</v>
      </c>
      <c r="H5" s="31">
        <f t="shared" si="1"/>
        <v>209705.97895475905</v>
      </c>
      <c r="I5" s="33">
        <f t="shared" si="1"/>
        <v>26823.766405942308</v>
      </c>
      <c r="J5" s="33">
        <f t="shared" si="1"/>
        <v>236529.74536070134</v>
      </c>
      <c r="K5" s="224">
        <f t="shared" si="2"/>
        <v>0.20625057796239399</v>
      </c>
      <c r="L5" s="225">
        <f>+[4]SLP!L5+[4]ROSA!L5+'[4]STA ANA'!L5+[4]BOA!L5+'[4]STA MARIA'!L5+'[4]CB I'!L5+'[4]CB II'!L5+'[4]CB III'!L5+[4]IG!L5+[4]PN!L5+[4]MJ!L5+'[4]RB I'!L5+'[4]SF I'!L5</f>
        <v>49021.685394805958</v>
      </c>
      <c r="M5" s="226">
        <f>+[4]SLP!M5+[4]ROSA!M5+'[4]STA ANA'!M5+[4]BOA!M5+'[4]STA MARIA'!M5+'[4]CB I'!M5+'[4]CB II'!M5+'[4]CB III'!M5+[4]IG!M5+[4]PN!M5+[4]MJ!M5+'[4]RB I'!M5+'[4]SF I'!M5</f>
        <v>42996.920259784318</v>
      </c>
      <c r="N5" s="226">
        <f>+[4]SLP!N5+[4]ROSA!N5+'[4]STA ANA'!N5+[4]BOA!N5+'[4]STA MARIA'!N5+'[4]CB I'!N5+'[4]CB II'!N5+'[4]CB III'!N5+[4]IG!N5+[4]PN!N5+[4]MJ!N5+'[4]RB I'!N5+'[4]SF I'!N5</f>
        <v>6024.765135021652</v>
      </c>
      <c r="O5" s="226">
        <f>+[4]SLP!O5+[4]ROSA!O5+'[4]STA ANA'!O5+[4]BOA!O5+'[4]STA MARIA'!O5+'[4]CB I'!O5+'[4]CB II'!O5+'[4]CB III'!O5+[4]IG!O5+[4]PN!O5+[4]MJ!O5+'[4]RB I'!O5+'[4]SF I'!O5</f>
        <v>53562.77807161594</v>
      </c>
      <c r="P5" s="226">
        <f>+[4]SLP!P5+[4]ROSA!P5+'[4]STA ANA'!P5+[4]BOA!P5+'[4]STA MARIA'!P5+'[4]CB I'!P5+'[4]CB II'!P5+'[4]CB III'!P5+[4]IG!P5+[4]PN!P5+[4]MJ!P5+'[4]RB I'!P5+'[4]SF I'!P5</f>
        <v>7256.1742243500912</v>
      </c>
      <c r="Q5" s="166">
        <f>+[4]SLP!Q5+[4]ROSA!Q5+'[4]STA ANA'!Q5+[4]BOA!Q5+'[4]STA MARIA'!Q5+'[4]CB I'!Q5+'[4]CB II'!Q5+'[4]CB III'!Q5+[4]IG!Q5+[4]PN!Q5+[4]MJ!Q5+'[4]RB I'!Q5+'[4]SF I'!Q5</f>
        <v>60818.952295966017</v>
      </c>
      <c r="R5" s="224">
        <f t="shared" si="3"/>
        <v>0.24065404537090895</v>
      </c>
      <c r="S5" s="225">
        <f>+[4]SLP!S5+[4]ROSA!S5+'[4]STA ANA'!S5+[4]BOA!S5+'[4]STA MARIA'!S5+'[4]CB I'!S5+'[4]CB II'!S5+'[4]CB III'!S5+[4]IG!S5+[4]PN!S5+[4]MJ!S5+'[4]RB I'!S5+'[4]SF I'!S5</f>
        <v>49021.685394805958</v>
      </c>
      <c r="T5" s="226">
        <f>+[4]SLP!T5+[4]ROSA!T5+'[4]STA ANA'!T5+[4]BOA!T5+'[4]STA MARIA'!T5+'[4]CB I'!T5+'[4]CB II'!T5+'[4]CB III'!T5+[4]IG!T5+[4]PN!T5+[4]MJ!T5+'[4]RB I'!T5+'[4]SF I'!T5</f>
        <v>42996.920259784318</v>
      </c>
      <c r="U5" s="226">
        <f>+[4]SLP!U5+[4]ROSA!U5+'[4]STA ANA'!U5+[4]BOA!U5+'[4]STA MARIA'!U5+'[4]CB I'!U5+'[4]CB II'!U5+'[4]CB III'!U5+[4]IG!U5+[4]PN!U5+[4]MJ!U5+'[4]RB I'!U5+'[4]SF I'!U5</f>
        <v>6024.765135021652</v>
      </c>
      <c r="V5" s="226">
        <f>+[4]SLP!V5+[4]ROSA!V5+'[4]STA ANA'!V5+[4]BOA!V5+'[4]STA MARIA'!V5+'[4]CB I'!V5+'[4]CB II'!V5+'[4]CB III'!V5+[4]IG!V5+[4]PN!V5+[4]MJ!V5+'[4]RB I'!V5+'[4]SF I'!V5</f>
        <v>48618.316842935594</v>
      </c>
      <c r="W5" s="226">
        <f>+[4]SLP!W5+[4]ROSA!W5+'[4]STA ANA'!W5+[4]BOA!W5+'[4]STA MARIA'!W5+'[4]CB I'!W5+'[4]CB II'!W5+'[4]CB III'!W5+[4]IG!W5+[4]PN!W5+[4]MJ!W5+'[4]RB I'!W5+'[4]SF I'!W5</f>
        <v>7269.0403956947057</v>
      </c>
      <c r="X5" s="166">
        <f>[4]SLP!X5+[4]ROSA!X5+'[4]STA ANA'!X5+[4]BOA!X5+'[4]STA MARIA'!X5+'[4]CB I'!X5+'[4]CB II'!X5+'[4]CB III'!X5+[4]IG!X5+[4]PN!X5+[4]MJ!X5+'[4]RB I'!X5+'[4]SF I'!X5</f>
        <v>55887.357238630306</v>
      </c>
      <c r="Y5" s="224">
        <f t="shared" si="4"/>
        <v>0.14005376984757434</v>
      </c>
      <c r="Z5" s="225">
        <f>+[4]SLP!Z5+[4]ROSA!Z5+'[4]STA ANA'!Z5+[4]BOA!Z5+'[4]STA MARIA'!Z5+'[4]CB I'!Z5+'[4]CB II'!Z5+'[4]CB III'!Z5+[4]IG!Z5+[4]PN!Z5+[4]MJ!Z5+'[4]RB I'!Z5+'[4]SF I'!Z5</f>
        <v>49021.685394805958</v>
      </c>
      <c r="AA5" s="226">
        <f>+[4]SLP!AA5+[4]ROSA!AA5+'[4]STA ANA'!AA5+[4]BOA!AA5+'[4]STA MARIA'!AA5+'[4]CB I'!AA5+'[4]CB II'!AA5+'[4]CB III'!AA5+[4]IG!AA5+[4]PN!AA5+[4]MJ!AA5+'[4]RB I'!AA5+'[4]SF I'!AA5</f>
        <v>42996.920259784318</v>
      </c>
      <c r="AB5" s="226">
        <f>+[4]SLP!AB5+[4]ROSA!AB5+'[4]STA ANA'!AB5+[4]BOA!AB5+'[4]STA MARIA'!AB5+'[4]CB I'!AB5+'[4]CB II'!AB5+'[4]CB III'!AB5+[4]IG!AB5+[4]PN!AB5+[4]MJ!AB5+'[4]RB I'!AB5+'[4]SF I'!AB5</f>
        <v>6024.765135021652</v>
      </c>
      <c r="AC5" s="226">
        <f>+[4]SLP!AC5+[4]ROSA!AC5+'[4]STA ANA'!AC5+[4]BOA!AC5+'[4]STA MARIA'!AC5+'[4]CB I'!AC5+'[4]CB II'!AC5+'[4]CB III'!AC5+[4]IG!AC5+[4]PN!AC5+[4]MJ!AC5+'[4]RB I'!AC5+'[4]SF I'!AC5</f>
        <v>45642.965618383867</v>
      </c>
      <c r="AD5" s="226">
        <f>+[4]SLP!AD5+[4]ROSA!AD5+'[4]STA ANA'!AD5+[4]BOA!AD5+'[4]STA MARIA'!AD5+'[4]CB I'!AD5+'[4]CB II'!AD5+'[4]CB III'!AD5+[4]IG!AD5+[4]PN!AD5+[4]MJ!AD5+'[4]RB I'!AD5+'[4]SF I'!AD5</f>
        <v>5654.0251077943431</v>
      </c>
      <c r="AE5" s="166">
        <f>+[4]SLP!AE5+[4]ROSA!AE5+'[4]STA ANA'!AE5+[4]BOA!AE5+'[4]STA MARIA'!AE5+'[4]CB I'!AE5+'[4]CB II'!AE5+'[4]CB III'!AE5+[4]IG!AE5+[4]PN!AE5+[4]MJ!AE5+'[4]RB I'!AE5+'[4]SF I'!AE5</f>
        <v>51296.990726178206</v>
      </c>
      <c r="AF5" s="224">
        <f t="shared" si="5"/>
        <v>4.6414261628249243E-2</v>
      </c>
      <c r="AG5" s="225">
        <f>+[4]SLP!AG5+[4]ROSA!AG5+'[4]STA ANA'!AG5+[4]BOA!AG5+'[4]STA MARIA'!AG5+'[4]CB I'!AG5+'[4]CB II'!AG5+'[4]CB III'!AG5+[4]IG!AG5+[4]PN!AG5+[4]MJ!AG5+'[4]RB I'!AG5+'[4]SF I'!AG5</f>
        <v>49021.685394805958</v>
      </c>
      <c r="AH5" s="226">
        <f>+[4]SLP!AH5+[4]ROSA!AH5+'[4]STA ANA'!AH5+[4]BOA!AH5+'[4]STA MARIA'!AH5+'[4]CB I'!AH5+'[4]CB II'!AH5+'[4]CB III'!AH5+[4]IG!AH5+[4]PN!AH5+[4]MJ!AH5+'[4]RB I'!AH5+'[4]SF I'!AH5</f>
        <v>42996.920259784318</v>
      </c>
      <c r="AI5" s="226">
        <f>+[4]SLP!AI5+[4]ROSA!AI5+'[4]STA ANA'!AI5+[4]BOA!AI5+'[4]STA MARIA'!AI5+'[4]CB I'!AI5+'[4]CB II'!AI5+'[4]CB III'!AI5+[4]IG!AI5+[4]PN!AI5+[4]MJ!AI5+'[4]RB I'!AI5+'[4]SF I'!AI5</f>
        <v>6024.765135021652</v>
      </c>
      <c r="AJ5" s="226">
        <f>+[4]SLP!AJ5+[4]ROSA!AJ5+'[4]STA ANA'!AJ5+[4]BOA!AJ5+'[4]STA MARIA'!AJ5+'[4]CB I'!AJ5+'[4]CB II'!AJ5+'[4]CB III'!AJ5+[4]IG!AJ5+[4]PN!AJ5+[4]MJ!AJ5+'[4]RB I'!AJ5+'[4]SF I'!AJ5</f>
        <v>61881.918421823641</v>
      </c>
      <c r="AK5" s="226">
        <f>+[4]SLP!AK5+[4]ROSA!AK5+'[4]STA ANA'!AK5+[4]BOA!AK5+'[4]STA MARIA'!AK5+'[4]CB I'!AK5+'[4]CB II'!AK5+'[4]CB III'!AK5+[4]IG!AK5+[4]PN!AK5+[4]MJ!AK5+'[4]RB I'!AK5+'[4]SF I'!AK5</f>
        <v>6644.5266781031678</v>
      </c>
      <c r="AL5" s="166">
        <f>+[4]SLP!AL5+[4]ROSA!AL5+'[4]STA ANA'!AL5+[4]BOA!AL5+'[4]STA MARIA'!AL5+'[4]CB I'!AL5+'[4]CB II'!AL5+'[4]CB III'!AL5+[4]IG!AL5+[4]PN!AL5+[4]MJ!AL5+'[4]RB I'!AL5+'[4]SF I'!AL5</f>
        <v>68526.445099926816</v>
      </c>
      <c r="AM5" s="224">
        <f t="shared" si="6"/>
        <v>0.39788023500284364</v>
      </c>
      <c r="AN5" s="225">
        <f>+[4]SLP!AN5+[4]ROSA!AN5+'[4]STA ANA'!AN5+[4]BOA!AN5+'[4]STA MARIA'!AN5+'[4]CB I'!AN5+'[4]CB II'!AN5+'[4]CB III'!AN5+[4]IG!AN5+[4]PN!AN5+[4]MJ!AN5+'[4]RB I'!AN5+'[4]SF I'!AN5</f>
        <v>49021.685394805958</v>
      </c>
      <c r="AO5" s="226">
        <f>+[4]SLP!AO5+[4]ROSA!AO5+'[4]STA ANA'!AO5+[4]BOA!AO5+'[4]STA MARIA'!AO5+'[4]CB I'!AO5+'[4]CB II'!AO5+'[4]CB III'!AO5+[4]IG!AO5+[4]PN!AO5+[4]MJ!AO5+'[4]RB I'!AO5+'[4]SF I'!AO5</f>
        <v>42996.920259784318</v>
      </c>
      <c r="AP5" s="226">
        <f>+[4]SLP!AP5+[4]ROSA!AP5+'[4]STA ANA'!AP5+[4]BOA!AP5+'[4]STA MARIA'!AP5+'[4]CB I'!AP5+'[4]CB II'!AP5+'[4]CB III'!AP5+[4]IG!AP5+[4]PN!AP5+[4]MJ!AP5+'[4]RB I'!AP5+'[4]SF I'!AP5</f>
        <v>6024.765135021652</v>
      </c>
      <c r="AQ5" s="226">
        <f>+[4]SLP!AQ5+[4]ROSA!AQ5+'[4]STA ANA'!AQ5+[4]BOA!AQ5+'[4]STA MARIA'!AQ5+'[4]CB I'!AQ5+'[4]CB II'!AQ5+'[4]CB III'!AQ5+[4]IG!AQ5+[4]PN!AQ5+[4]MJ!AQ5+'[4]RB I'!AQ5+'[4]SF I'!AQ5</f>
        <v>0</v>
      </c>
      <c r="AR5" s="226">
        <f>+[4]SLP!AR5+[4]ROSA!AR5+'[4]STA ANA'!AR5+[4]BOA!AR5+'[4]STA MARIA'!AR5+'[4]CB I'!AR5+'[4]CB II'!AR5+'[4]CB III'!AR5+[4]IG!AR5+[4]PN!AR5+[4]MJ!AR5+'[4]RB I'!AR5+'[4]SF I'!AR5</f>
        <v>0</v>
      </c>
      <c r="AS5" s="166">
        <f>+[4]SLP!AS5+[4]ROSA!AS5+'[4]STA ANA'!AS5+[4]BOA!AS5+'[4]STA MARIA'!AS5+'[4]CB I'!AS5+'[4]CB II'!AS5+'[4]CB III'!AS5+[4]IG!AS5+[4]PN!AS5+[4]MJ!AS5+'[4]RB I'!AS5+'[4]SÃO FRANCISCO'!AS5</f>
        <v>0</v>
      </c>
      <c r="AT5" s="224">
        <f t="shared" si="7"/>
        <v>-1</v>
      </c>
      <c r="AU5" s="225">
        <f>+[4]SLP!AU5+[4]ROSA!AU5+'[4]STA ANA'!AU5+[4]BOA!AU5+'[4]STA MARIA'!AU5+'[4]CB I'!AU5+'[4]CB II'!AU5+'[4]CB III'!AU5+[4]IG!AU5+[4]PN!AU5+[4]MJ!AU5+'[4]RB I'!AU5+'[4]SF I'!AU5</f>
        <v>49021.685394805958</v>
      </c>
      <c r="AV5" s="226">
        <f>+[4]SLP!AV5+[4]ROSA!AV5+'[4]STA ANA'!AV5+[4]BOA!AV5+'[4]STA MARIA'!AV5+'[4]CB I'!AV5+'[4]CB II'!AV5+'[4]CB III'!AV5+[4]IG!AV5+[4]PN!AV5+[4]MJ!AV5+'[4]RB I'!AV5+'[4]SF I'!AV5</f>
        <v>42996.920259784318</v>
      </c>
      <c r="AW5" s="226">
        <f>+[4]SLP!AW5+[4]ROSA!AW5+'[4]STA ANA'!AW5+[4]BOA!AW5+'[4]STA MARIA'!AW5+'[4]CB I'!AW5+'[4]CB II'!AW5+'[4]CB III'!AW5+[4]IG!AW5+[4]PN!AW5+[4]MJ!AW5+'[4]RB I'!AW5+'[4]SF I'!AW5</f>
        <v>6024.765135021652</v>
      </c>
      <c r="AX5" s="226">
        <f>+[4]SLP!AX5+[4]ROSA!AX5+'[4]STA ANA'!AX5+[4]BOA!AX5+'[4]STA MARIA'!AX5+'[4]CB I'!AX5+'[4]CB II'!AX5+'[4]CB III'!AX5+[4]IG!AX5+[4]PN!AX5+[4]MJ!AX5+'[4]RB I'!AX5+'[4]SF I'!AX5</f>
        <v>0</v>
      </c>
      <c r="AY5" s="226">
        <f>+[4]SLP!AY5+[4]ROSA!AY5+'[4]STA ANA'!AY5+[4]BOA!AY5+'[4]STA MARIA'!AY5+'[4]CB I'!AY5+'[4]CB II'!AY5+'[4]CB III'!AY5+[4]IG!AY5+[4]PN!AY5+[4]MJ!AY5+'[4]RB I'!AY5+'[4]SF I'!AY5</f>
        <v>0</v>
      </c>
      <c r="AZ5" s="166">
        <f>+[4]SLP!AZ5+[4]ROSA!AZ5+'[4]STA ANA'!AZ5+[4]BOA!AZ5+'[4]STA MARIA'!AZ5+'[4]CB I'!AZ5+'[4]CB II'!AZ5+[4]IG!AZ5+[4]PN!AZ5+[4]MJ!AZ5+'[4]RB I'!AZ5+'[4]SÃO FRANCISCO'!AZ5</f>
        <v>0</v>
      </c>
      <c r="BA5" s="224">
        <f t="shared" si="8"/>
        <v>-1</v>
      </c>
      <c r="BB5" s="225">
        <f>+[4]SLP!BB5+[4]ROSA!BB5+'[4]STA ANA'!BB5+[4]BOA!BB5+'[4]STA MARIA'!BB5+'[4]CB I'!BB5+'[4]CB II'!BB5+'[4]CB III'!BB5+[4]IG!BB5+[4]PN!BB5+[4]MJ!BB5+'[4]RB I'!BB5+'[4]SF I'!BB5</f>
        <v>49021.685394805958</v>
      </c>
      <c r="BC5" s="226">
        <f>+[4]SLP!BC5+[4]ROSA!BC5+'[4]STA ANA'!BC5+[4]BOA!BC5+'[4]STA MARIA'!BC5+'[4]CB I'!BC5+'[4]CB II'!BC5+'[4]CB III'!BC5+[4]IG!BC5+[4]PN!BC5+[4]MJ!BC5+'[4]RB I'!BC5+'[4]SF I'!BC5</f>
        <v>42996.920259784318</v>
      </c>
      <c r="BD5" s="226">
        <f>+[4]SLP!BD5+[4]ROSA!BD5+'[4]STA ANA'!BD5+[4]BOA!BD5+'[4]STA MARIA'!BD5+'[4]CB I'!BD5+'[4]CB II'!BD5+'[4]CB III'!BD5+[4]IG!BD5+[4]PN!BD5+[4]MJ!BD5+'[4]RB I'!BD5+'[4]SF I'!BD5</f>
        <v>6024.765135021652</v>
      </c>
      <c r="BE5" s="226">
        <f>+[4]SLP!BE5+[4]ROSA!BE5+'[4]STA ANA'!BE5+[4]BOA!BE5+'[4]STA MARIA'!BE5+'[4]CB I'!BE5+'[4]CB II'!BE5+'[4]CB III'!BE5+[4]IG!BE5+[4]PN!BE5+[4]MJ!BE5+'[4]RB I'!BE5+'[4]SF I'!BE5</f>
        <v>0</v>
      </c>
      <c r="BF5" s="226">
        <f>+[4]SLP!BF5+[4]ROSA!BF5+'[4]STA ANA'!BF5+[4]BOA!BF5+'[4]STA MARIA'!BF5+'[4]CB I'!BF5+'[4]CB II'!BF5+'[4]CB III'!BF5+[4]IG!BF5+[4]PN!BF5+[4]MJ!BF5+'[4]RB I'!BF5+'[4]SF I'!BF5</f>
        <v>0</v>
      </c>
      <c r="BG5" s="166">
        <f>+[4]SLP!BG5+[4]ROSA!BG5+'[4]STA ANA'!BG5+[4]BOA!BG5+'[4]STA MARIA'!BG5+'[4]CB I'!BG5+'[4]CB II'!BG5+'[4]CB III'!BG5+[4]IG!BG5+[4]PN!BG5+[4]MJ!BG5+'[4]RB I'!BG5+'[4]SÃO FRANCISCO'!BG5</f>
        <v>0</v>
      </c>
      <c r="BH5" s="224">
        <f t="shared" si="9"/>
        <v>-1</v>
      </c>
      <c r="BI5" s="225">
        <f>+[4]SLP!BI5+[4]ROSA!BI5+'[4]STA ANA'!BI5+[4]BOA!BI5+'[4]STA MARIA'!BI5+'[4]CB I'!BI5+'[4]CB II'!BI5+'[4]CB III'!BI5+[4]IG!BI5+[4]PN!BI5+[4]MJ!BI5+'[4]RB I'!BI5+'[4]SF I'!BI5</f>
        <v>49021.685394805958</v>
      </c>
      <c r="BJ5" s="226">
        <f>+[4]SLP!BJ5+[4]ROSA!BJ5+'[4]STA ANA'!BJ5+[4]BOA!BJ5+'[4]STA MARIA'!BJ5+'[4]CB I'!BJ5+'[4]CB II'!BJ5+'[4]CB III'!BJ5+[4]IG!BJ5+[4]PN!BJ5+[4]MJ!BJ5+'[4]RB I'!BJ5+'[4]SF I'!BJ5</f>
        <v>42996.920259784318</v>
      </c>
      <c r="BK5" s="226">
        <f>+[4]SLP!BK5+[4]ROSA!BK5+'[4]STA ANA'!BK5+[4]BOA!BK5+'[4]STA MARIA'!BK5+'[4]CB I'!BK5+'[4]CB II'!BK5+'[4]CB III'!BK5+[4]IG!BK5+[4]PN!BK5+[4]MJ!BK5+'[4]RB I'!BK5+'[4]SF I'!BK5</f>
        <v>6024.765135021652</v>
      </c>
      <c r="BL5" s="226">
        <f>+[4]SLP!BL5+[4]ROSA!BL5+'[4]STA ANA'!BL5+[4]BOA!BL5+'[4]STA MARIA'!BL5+'[4]CB I'!BL5+'[4]CB II'!BL5+'[4]CB III'!BL5+[4]IG!BL5+[4]PN!BL5+[4]MJ!BL5+'[4]RB I'!BL5+'[4]SF I'!BL5</f>
        <v>0</v>
      </c>
      <c r="BM5" s="226">
        <f>+[4]SLP!BM5+[4]ROSA!BM5+'[4]STA ANA'!BM5+[4]BOA!BM5+'[4]STA MARIA'!BM5+'[4]CB I'!BM5+'[4]CB II'!BM5+'[4]CB III'!BM5+[4]IG!BM5+[4]PN!BM5+[4]MJ!BM5+'[4]RB I'!BM5+'[4]SF I'!BM5</f>
        <v>0</v>
      </c>
      <c r="BN5" s="166">
        <f>+[4]SLP!BN5+[4]ROSA!BN5+'[4]STA ANA'!BN5+[4]BOA!BN5+'[4]STA MARIA'!BN5+'[4]CB I'!BN5+'[4]CB II'!BN5+'[4]CB III'!BN5+[4]IG!BN5+[4]PN!BN5+[4]MJ!BN5+'[4]RB I'!BN5+'[4]SÃO FRANCISCO'!BN5</f>
        <v>0</v>
      </c>
      <c r="BO5" s="224">
        <f t="shared" si="10"/>
        <v>-1</v>
      </c>
      <c r="BP5" s="225">
        <f>+[4]SLP!BP5+[4]ROSA!BP5+'[4]STA ANA'!BP5+[4]BOA!BP5+'[4]STA MARIA'!BP5+'[4]CB I'!BP5+'[4]CB II'!BP5+'[4]CB III'!BP5+[4]IG!BP5+[4]PN!BP5+[4]MJ!BP5+'[4]RB I'!BP5+'[4]SF I'!BP5</f>
        <v>49021.685394805958</v>
      </c>
      <c r="BQ5" s="226">
        <f>+[4]SLP!BQ5+[4]ROSA!BQ5+'[4]STA ANA'!BQ5+[4]BOA!BQ5+'[4]STA MARIA'!BQ5+'[4]CB I'!BQ5+'[4]CB II'!BQ5+'[4]CB III'!BQ5+[4]IG!BQ5+[4]PN!BQ5+[4]MJ!BQ5+'[4]RB I'!BQ5+'[4]SF I'!BQ5</f>
        <v>42996.920259784318</v>
      </c>
      <c r="BR5" s="226">
        <f>+[4]SLP!BR5+[4]ROSA!BR5+'[4]STA ANA'!BR5+[4]BOA!BR5+'[4]STA MARIA'!BR5+'[4]CB I'!BR5+'[4]CB II'!BR5+'[4]CB III'!BR5+[4]IG!BR5+[4]PN!BR5+[4]MJ!BR5+'[4]RB I'!BR5+'[4]SF I'!BR5</f>
        <v>6024.765135021652</v>
      </c>
      <c r="BS5" s="226">
        <f>+[4]SLP!BS5+[4]ROSA!BS5+'[4]STA ANA'!BS5+[4]BOA!BS5+'[4]STA MARIA'!BS5+'[4]CB I'!BS5+'[4]CB II'!BS5+'[4]CB III'!BS5+[4]IG!BS5+[4]PN!BS5+[4]MJ!BS5+'[4]RB I'!BS5+'[4]SF I'!BS5</f>
        <v>0</v>
      </c>
      <c r="BT5" s="226">
        <f>+[4]SLP!BT5+[4]ROSA!BT5+'[4]STA ANA'!BT5+[4]BOA!BT5+'[4]STA MARIA'!BT5+'[4]CB I'!BT5+'[4]CB II'!BT5+'[4]CB III'!BT5+[4]IG!BT5+[4]PN!BT5+[4]MJ!BT5+'[4]RB I'!BT5+'[4]SF I'!BT5</f>
        <v>0</v>
      </c>
      <c r="BU5" s="166">
        <f>+[4]SLP!BU5+[4]ROSA!BU5+'[4]STA ANA'!BU5+[4]BOA!BU5+'[4]STA MARIA'!BU5+'[4]CB I'!BU5+'[4]CB II'!BU5+'[4]CB III'!BU5+[4]IG!BU5+[4]PN!BU5+[4]MJ!BU5+'[4]RB I'!BU5+'[4]SÃO FRANCISCO'!BU5</f>
        <v>0</v>
      </c>
      <c r="BV5" s="224">
        <f t="shared" si="11"/>
        <v>-1</v>
      </c>
      <c r="BW5" s="225">
        <f>+[4]SLP!BW5+[4]ROSA!BW5+'[4]STA ANA'!BW5+[4]BOA!BW5+'[4]STA MARIA'!BW5+'[4]CB I'!BW5+'[4]CB II'!BW5+'[4]CB III'!BW5+[4]IG!BW5+[4]PN!BW5+[4]MJ!BW5+'[4]RB I'!BW5+'[4]SF I'!BW5</f>
        <v>49021.685394805958</v>
      </c>
      <c r="BX5" s="226">
        <f>+[4]SLP!BX5+[4]ROSA!BX5+'[4]STA ANA'!BX5+[4]BOA!BX5+'[4]STA MARIA'!BX5+'[4]CB I'!BX5+'[4]CB II'!BX5+'[4]CB III'!BX5+[4]IG!BX5+[4]PN!BX5+[4]MJ!BX5+'[4]RB I'!BX5+'[4]SF I'!BX5</f>
        <v>42996.920259784318</v>
      </c>
      <c r="BY5" s="226">
        <f>+[4]SLP!BY5+[4]ROSA!BY5+'[4]STA ANA'!BY5+[4]BOA!BY5+'[4]STA MARIA'!BY5+'[4]CB I'!BY5+'[4]CB II'!BY5+'[4]CB III'!BY5+[4]IG!BY5+[4]PN!BY5+[4]MJ!BY5+'[4]RB I'!BY5+'[4]SF I'!BY5</f>
        <v>6024.765135021652</v>
      </c>
      <c r="BZ5" s="226">
        <f>+[4]SLP!BZ5+[4]ROSA!BZ5+'[4]STA ANA'!BZ5+[4]BOA!BZ5+'[4]STA MARIA'!BZ5+'[4]CB I'!BZ5+'[4]CB II'!BZ5+'[4]CB III'!BZ5+[4]IG!BZ5+[4]PN!BZ5+[4]MJ!BZ5+'[4]RB I'!BZ5+'[4]SF I'!BZ5</f>
        <v>0</v>
      </c>
      <c r="CA5" s="226">
        <f>+[4]SLP!CA5+[4]ROSA!CA5+'[4]STA ANA'!CA5+[4]BOA!CA5+'[4]STA MARIA'!CA5+'[4]CB I'!CA5+'[4]CB II'!CA5+'[4]CB III'!CA5+[4]IG!CA5+[4]PN!CA5+[4]MJ!CA5+'[4]RB I'!CA5+'[4]SF I'!CA5</f>
        <v>0</v>
      </c>
      <c r="CB5" s="166">
        <f>+[4]SLP!CB5+[4]ROSA!CB5+'[4]STA ANA'!CB5+[4]BOA!CB5+'[4]STA MARIA'!CB5+'[4]CB I'!CB5+'[4]CB II'!CB5+'[4]CB III'!CB5+[4]IG!CB5+[4]PN!CB5+[4]MJ!CB5+'[4]RB I'!CB5+'[4]SÃO FRANCISCO'!CB5</f>
        <v>0</v>
      </c>
      <c r="CC5" s="224">
        <f t="shared" si="12"/>
        <v>-1</v>
      </c>
      <c r="CD5" s="225">
        <f>+[4]SLP!CD5+[4]ROSA!CD5+'[4]STA ANA'!CD5+[4]BOA!CD5+'[4]STA MARIA'!CD5+'[4]CB I'!CD5+'[4]CB II'!CD5+'[4]CB III'!CD5+[4]IG!CD5+[4]PN!CD5+[4]MJ!CD5+'[4]RB I'!CD5+'[4]SF I'!CD5</f>
        <v>49021.685394805958</v>
      </c>
      <c r="CE5" s="226">
        <f>+[4]SLP!CE5+[4]ROSA!CE5+'[4]STA ANA'!CE5+[4]BOA!CE5+'[4]STA MARIA'!CE5+'[4]CB I'!CE5+'[4]CB II'!CE5+'[4]CB III'!CE5+[4]IG!CE5+[4]PN!CE5+[4]MJ!CE5+'[4]RB I'!CE5+'[4]SF I'!CE5</f>
        <v>42996.920259784318</v>
      </c>
      <c r="CF5" s="226">
        <f>+[4]SLP!CF5+[4]ROSA!CF5+'[4]STA ANA'!CF5+[4]BOA!CF5+'[4]STA MARIA'!CF5+'[4]CB I'!CF5+'[4]CB II'!CF5+'[4]CB III'!CF5+[4]IG!CF5+[4]PN!CF5+[4]MJ!CF5+'[4]RB I'!CF5+'[4]SF I'!CF5</f>
        <v>6024.765135021652</v>
      </c>
      <c r="CG5" s="226">
        <f>+[4]SLP!CG5+[4]ROSA!CG5+'[4]STA ANA'!CG5+[4]BOA!CG5+'[4]STA MARIA'!CG5+'[4]CB I'!CG5+'[4]CB II'!CG5+'[4]CB III'!CG5+[4]IG!CG5+[4]PN!CG5+[4]MJ!CG5+'[4]RB I'!CG5+'[4]SF I'!CG5</f>
        <v>0</v>
      </c>
      <c r="CH5" s="226">
        <f>+[4]SLP!CH5+[4]ROSA!CH5+'[4]STA ANA'!CH5+[4]BOA!CH5+'[4]STA MARIA'!CH5+'[4]CB I'!CH5+'[4]CB II'!CH5+'[4]CB III'!CH5+[4]IG!CH5+[4]PN!CH5+[4]MJ!CH5+'[4]RB I'!CH5+'[4]SF I'!CH5</f>
        <v>0</v>
      </c>
      <c r="CI5" s="166">
        <f>+[4]SLP!CI5+[4]ROSA!CI5+'[4]STA ANA'!CI5+[4]BOA!CI5+'[4]STA MARIA'!CI5+'[4]CB I'!CI5+'[4]CB II'!CI5+'[4]CB III'!CI5+[4]IG!CI5+[4]PN!CI5+[4]MJ!CI5+'[4]RB I'!CI5+'[4]SÃO FRANCISCO'!CI5</f>
        <v>0</v>
      </c>
      <c r="CJ5" s="224">
        <f t="shared" si="13"/>
        <v>-1</v>
      </c>
      <c r="CK5" s="225">
        <f>+[4]SLP!CK5+[4]ROSA!CK5+'[4]STA ANA'!CK5+[4]BOA!CK5+'[4]STA MARIA'!CK5+'[4]CB I'!CK5+'[4]CB II'!CK5+'[4]CB III'!CK5+[4]IG!CK5+[4]PN!CK5+[4]MJ!CK5+'[4]RB I'!CK5+'[4]SF I'!CK5</f>
        <v>49021.685394805958</v>
      </c>
      <c r="CL5" s="226">
        <f>+[4]SLP!CL5+[4]ROSA!CL5+'[4]STA ANA'!CL5+[4]BOA!CL5+'[4]STA MARIA'!CL5+'[4]CB I'!CL5+'[4]CB II'!CL5+'[4]CB III'!CL5+[4]IG!CL5+[4]PN!CL5+[4]MJ!CL5+'[4]RB I'!CL5+'[4]SF I'!CL5</f>
        <v>42996.920259784318</v>
      </c>
      <c r="CM5" s="226">
        <f>+[4]SLP!CM5+[4]ROSA!CM5+'[4]STA ANA'!CM5+[4]BOA!CM5+'[4]STA MARIA'!CM5+'[4]CB I'!CM5+'[4]CB II'!CM5+'[4]CB III'!CM5+[4]IG!CM5+[4]PN!CM5+[4]MJ!CM5+'[4]RB I'!CM5+'[4]SF I'!CM5</f>
        <v>6024.765135021652</v>
      </c>
      <c r="CN5" s="226">
        <f>+[4]SLP!CN5+[4]ROSA!CN5+'[4]STA ANA'!CN5+[4]BOA!CN5+'[4]STA MARIA'!CN5+'[4]CB I'!CN5+'[4]CB II'!CN5+'[4]CB III'!CN5+[4]IG!CN5+[4]PN!CN5+[4]MJ!CN5+'[4]RB I'!CN5+'[4]SF I'!CN5</f>
        <v>0</v>
      </c>
      <c r="CO5" s="226">
        <f>+[4]SLP!CO5+[4]ROSA!CO5+'[4]STA ANA'!CO5+[4]BOA!CO5+'[4]STA MARIA'!CO5+'[4]CB I'!CO5+'[4]CB II'!CO5+'[4]CB III'!CO5+[4]IG!CO5+[4]PN!CO5+[4]MJ!CO5+'[4]RB I'!CO5+'[4]SF I'!CO5</f>
        <v>0</v>
      </c>
      <c r="CP5" s="166">
        <f>+[4]SLP!CP5+[4]ROSA!CP5+'[4]STA ANA'!CP5+[4]BOA!CP5+'[4]STA MARIA'!CP5+'[4]CB I'!CP5+'[4]CB II'!CP5+'[4]CB III'!CP5+[4]IG!CP5+[4]PN!CP5+[4]MJ!CP5+'[4]RB I'!CP5+'[4]SÃO FRANCISCO'!CP5</f>
        <v>0</v>
      </c>
      <c r="CQ5" s="224">
        <f t="shared" si="14"/>
        <v>-1</v>
      </c>
      <c r="CR5" s="155"/>
      <c r="CS5" s="227" t="e">
        <f t="shared" si="15"/>
        <v>#VALUE!</v>
      </c>
    </row>
    <row r="6" spans="1:101" ht="14.25" customHeight="1" x14ac:dyDescent="0.2">
      <c r="A6" s="223" t="s">
        <v>30</v>
      </c>
      <c r="B6" s="30">
        <f t="shared" si="0"/>
        <v>1299489.0424958933</v>
      </c>
      <c r="C6" s="31">
        <f t="shared" si="0"/>
        <v>1139781.8391731479</v>
      </c>
      <c r="D6" s="32">
        <f t="shared" si="0"/>
        <v>159707.20332274525</v>
      </c>
      <c r="E6" s="30">
        <f t="shared" si="16"/>
        <v>419895.5527435093</v>
      </c>
      <c r="F6" s="33">
        <f t="shared" si="16"/>
        <v>368290.38931133196</v>
      </c>
      <c r="G6" s="34">
        <f t="shared" si="16"/>
        <v>51605.163432177287</v>
      </c>
      <c r="H6" s="31">
        <f t="shared" si="1"/>
        <v>367766.37082782562</v>
      </c>
      <c r="I6" s="33">
        <f t="shared" si="1"/>
        <v>39746.361161064742</v>
      </c>
      <c r="J6" s="33">
        <f t="shared" si="1"/>
        <v>407512.73198889033</v>
      </c>
      <c r="K6" s="224">
        <f t="shared" si="2"/>
        <v>-2.9490240307886606E-2</v>
      </c>
      <c r="L6" s="225">
        <f>+[4]SLP!L6+[4]ROSA!L6+'[4]STA ANA'!L6+[4]BOA!L6+'[4]STA MARIA'!L6+'[4]CB I'!L6+'[4]CB II'!L6+'[4]CB III'!L6+[4]IG!L6+[4]PN!L6+[4]MJ!L6+'[4]RB I'!L6+'[4]SF I'!L6</f>
        <v>104973.88818587732</v>
      </c>
      <c r="M6" s="226">
        <f>+[4]SLP!M6+[4]ROSA!M6+'[4]STA ANA'!M6+[4]BOA!M6+'[4]STA MARIA'!M6+'[4]CB I'!M6+'[4]CB II'!M6+'[4]CB III'!M6+[4]IG!M6+[4]PN!M6+[4]MJ!M6+'[4]RB I'!M6+'[4]SF I'!M6</f>
        <v>92072.597327832991</v>
      </c>
      <c r="N6" s="226">
        <f>+[4]SLP!N6+[4]ROSA!N6+'[4]STA ANA'!N6+[4]BOA!N6+'[4]STA MARIA'!N6+'[4]CB I'!N6+'[4]CB II'!N6+'[4]CB III'!N6+[4]IG!N6+[4]PN!N6+[4]MJ!N6+'[4]RB I'!N6+'[4]SF I'!N6</f>
        <v>12901.290858044322</v>
      </c>
      <c r="O6" s="226">
        <f>+[4]SLP!O6+[4]ROSA!O6+'[4]STA ANA'!O6+[4]BOA!O6+'[4]STA MARIA'!O6+'[4]CB I'!O6+'[4]CB II'!O6+'[4]CB III'!O6+[4]IG!O6+[4]PN!O6+[4]MJ!O6+'[4]RB I'!O6+'[4]SF I'!O6</f>
        <v>90615.125250336831</v>
      </c>
      <c r="P6" s="226">
        <f>+[4]SLP!P6+[4]ROSA!P6+'[4]STA ANA'!P6+[4]BOA!P6+'[4]STA MARIA'!P6+'[4]CB I'!P6+'[4]CB II'!P6+'[4]CB III'!P6+[4]IG!P6+[4]PN!P6+[4]MJ!P6+'[4]RB I'!P6+'[4]SF I'!P6</f>
        <v>9927.0886233248766</v>
      </c>
      <c r="Q6" s="166">
        <f>+[4]SLP!Q6+[4]ROSA!Q6+'[4]STA ANA'!Q6+[4]BOA!Q6+'[4]STA MARIA'!Q6+'[4]CB I'!Q6+'[4]CB II'!Q6+'[4]CB III'!Q6+[4]IG!Q6+[4]PN!Q6+[4]MJ!Q6+'[4]RB I'!Q6+'[4]SF I'!Q6</f>
        <v>100542.21387366171</v>
      </c>
      <c r="R6" s="224">
        <f t="shared" si="3"/>
        <v>-4.2216920691443338E-2</v>
      </c>
      <c r="S6" s="225">
        <f>+[4]SLP!S6+[4]ROSA!S6+'[4]STA ANA'!S6+[4]BOA!S6+'[4]STA MARIA'!S6+'[4]CB I'!S6+'[4]CB II'!S6+'[4]CB III'!S6+[4]IG!S6+[4]PN!S6+[4]MJ!S6+'[4]RB I'!S6+'[4]SF I'!S6</f>
        <v>104973.88818587732</v>
      </c>
      <c r="T6" s="226">
        <f>+[4]SLP!T6+[4]ROSA!T6+'[4]STA ANA'!T6+[4]BOA!T6+'[4]STA MARIA'!T6+'[4]CB I'!T6+'[4]CB II'!T6+'[4]CB III'!T6+[4]IG!T6+[4]PN!T6+[4]MJ!T6+'[4]RB I'!T6+'[4]SF I'!T6</f>
        <v>92072.597327832991</v>
      </c>
      <c r="U6" s="226">
        <f>+[4]SLP!U6+[4]ROSA!U6+'[4]STA ANA'!U6+[4]BOA!U6+'[4]STA MARIA'!U6+'[4]CB I'!U6+'[4]CB II'!U6+'[4]CB III'!U6+[4]IG!U6+[4]PN!U6+[4]MJ!U6+'[4]RB I'!U6+'[4]SF I'!U6</f>
        <v>12901.290858044322</v>
      </c>
      <c r="V6" s="226">
        <f>+[4]SLP!V6+[4]ROSA!V6+'[4]STA ANA'!V6+[4]BOA!V6+'[4]STA MARIA'!V6+'[4]CB I'!V6+'[4]CB II'!V6+'[4]CB III'!V6+[4]IG!V6+[4]PN!V6+[4]MJ!V6+'[4]RB I'!V6+'[4]SF I'!V6</f>
        <v>87890.343449047607</v>
      </c>
      <c r="W6" s="226">
        <f>+[4]SLP!W6+[4]ROSA!W6+'[4]STA ANA'!W6+[4]BOA!W6+'[4]STA MARIA'!W6+'[4]CB I'!W6+'[4]CB II'!W6+'[4]CB III'!W6+[4]IG!W6+[4]PN!W6+[4]MJ!W6+'[4]RB I'!W6+'[4]SF I'!W6</f>
        <v>9655.3633777074101</v>
      </c>
      <c r="X6" s="166">
        <f>[4]SLP!X6+[4]ROSA!X6+'[4]STA ANA'!X6+[4]BOA!X6+'[4]STA MARIA'!X6+'[4]CB I'!X6+'[4]CB II'!X6+'[4]CB III'!X6+[4]IG!X6+[4]PN!X6+[4]MJ!X6+'[4]RB I'!X6+'[4]SF I'!X6</f>
        <v>97545.706826755006</v>
      </c>
      <c r="Y6" s="224">
        <f t="shared" si="4"/>
        <v>-7.0762181791049206E-2</v>
      </c>
      <c r="Z6" s="225">
        <f>+[4]SLP!Z6+[4]ROSA!Z6+'[4]STA ANA'!Z6+[4]BOA!Z6+'[4]STA MARIA'!Z6+'[4]CB I'!Z6+'[4]CB II'!Z6+'[4]CB III'!Z6+[4]IG!Z6+[4]PN!Z6+[4]MJ!Z6+'[4]RB I'!Z6+'[4]SF I'!Z6</f>
        <v>104973.88818587732</v>
      </c>
      <c r="AA6" s="226">
        <f>+[4]SLP!AA6+[4]ROSA!AA6+'[4]STA ANA'!AA6+[4]BOA!AA6+'[4]STA MARIA'!AA6+'[4]CB I'!AA6+'[4]CB II'!AA6+'[4]CB III'!AA6+[4]IG!AA6+[4]PN!AA6+[4]MJ!AA6+'[4]RB I'!AA6+'[4]SF I'!AA6</f>
        <v>92072.597327832991</v>
      </c>
      <c r="AB6" s="226">
        <f>+[4]SLP!AB6+[4]ROSA!AB6+'[4]STA ANA'!AB6+[4]BOA!AB6+'[4]STA MARIA'!AB6+'[4]CB I'!AB6+'[4]CB II'!AB6+'[4]CB III'!AB6+[4]IG!AB6+[4]PN!AB6+[4]MJ!AB6+'[4]RB I'!AB6+'[4]SF I'!AB6</f>
        <v>12901.290858044322</v>
      </c>
      <c r="AC6" s="226">
        <f>+[4]SLP!AC6+[4]ROSA!AC6+'[4]STA ANA'!AC6+[4]BOA!AC6+'[4]STA MARIA'!AC6+'[4]CB I'!AC6+'[4]CB II'!AC6+'[4]CB III'!AC6+[4]IG!AC6+[4]PN!AC6+[4]MJ!AC6+'[4]RB I'!AC6+'[4]SF I'!AC6</f>
        <v>96084.725715011882</v>
      </c>
      <c r="AD6" s="226">
        <f>+[4]SLP!AD6+[4]ROSA!AD6+'[4]STA ANA'!AD6+[4]BOA!AD6+'[4]STA MARIA'!AD6+'[4]CB I'!AD6+'[4]CB II'!AD6+'[4]CB III'!AD6+[4]IG!AD6+[4]PN!AD6+[4]MJ!AD6+'[4]RB I'!AD6+'[4]SF I'!AD6</f>
        <v>10314.04894392045</v>
      </c>
      <c r="AE6" s="166">
        <f>+[4]SLP!AE6+[4]ROSA!AE6+'[4]STA ANA'!AE6+[4]BOA!AE6+'[4]STA MARIA'!AE6+'[4]CB I'!AE6+'[4]CB II'!AE6+'[4]CB III'!AE6+[4]IG!AE6+[4]PN!AE6+[4]MJ!AE6+'[4]RB I'!AE6+'[4]SF I'!AE6</f>
        <v>106398.77465893232</v>
      </c>
      <c r="AF6" s="224">
        <f t="shared" si="5"/>
        <v>1.3573722929381749E-2</v>
      </c>
      <c r="AG6" s="225">
        <f>+[4]SLP!AG6+[4]ROSA!AG6+'[4]STA ANA'!AG6+[4]BOA!AG6+'[4]STA MARIA'!AG6+'[4]CB I'!AG6+'[4]CB II'!AG6+'[4]CB III'!AG6+[4]IG!AG6+[4]PN!AG6+[4]MJ!AG6+'[4]RB I'!AG6+'[4]SF I'!AG6</f>
        <v>104973.88818587732</v>
      </c>
      <c r="AH6" s="226">
        <f>+[4]SLP!AH6+[4]ROSA!AH6+'[4]STA ANA'!AH6+[4]BOA!AH6+'[4]STA MARIA'!AH6+'[4]CB I'!AH6+'[4]CB II'!AH6+'[4]CB III'!AH6+[4]IG!AH6+[4]PN!AH6+[4]MJ!AH6+'[4]RB I'!AH6+'[4]SF I'!AH6</f>
        <v>92072.597327832991</v>
      </c>
      <c r="AI6" s="226">
        <f>+[4]SLP!AI6+[4]ROSA!AI6+'[4]STA ANA'!AI6+[4]BOA!AI6+'[4]STA MARIA'!AI6+'[4]CB I'!AI6+'[4]CB II'!AI6+'[4]CB III'!AI6+[4]IG!AI6+[4]PN!AI6+[4]MJ!AI6+'[4]RB I'!AI6+'[4]SF I'!AI6</f>
        <v>12901.290858044322</v>
      </c>
      <c r="AJ6" s="226">
        <f>+[4]SLP!AJ6+[4]ROSA!AJ6+'[4]STA ANA'!AJ6+[4]BOA!AJ6+'[4]STA MARIA'!AJ6+'[4]CB I'!AJ6+'[4]CB II'!AJ6+'[4]CB III'!AJ6+[4]IG!AJ6+[4]PN!AJ6+[4]MJ!AJ6+'[4]RB I'!AJ6+'[4]SF I'!AJ6</f>
        <v>93176.17641342929</v>
      </c>
      <c r="AK6" s="226">
        <f>+[4]SLP!AK6+[4]ROSA!AK6+'[4]STA ANA'!AK6+[4]BOA!AK6+'[4]STA MARIA'!AK6+'[4]CB I'!AK6+'[4]CB II'!AK6+'[4]CB III'!AK6+[4]IG!AK6+[4]PN!AK6+[4]MJ!AK6+'[4]RB I'!AK6+'[4]SF I'!AK6</f>
        <v>9849.8602161120016</v>
      </c>
      <c r="AL6" s="166">
        <f>+[4]SLP!AL6+[4]ROSA!AL6+'[4]STA ANA'!AL6+[4]BOA!AL6+'[4]STA MARIA'!AL6+'[4]CB I'!AL6+'[4]CB II'!AL6+'[4]CB III'!AL6+[4]IG!AL6+[4]PN!AL6+[4]MJ!AL6+'[4]RB I'!AL6+'[4]SF I'!AL6</f>
        <v>103026.03662954128</v>
      </c>
      <c r="AM6" s="224">
        <f t="shared" si="6"/>
        <v>-1.8555581678435851E-2</v>
      </c>
      <c r="AN6" s="225">
        <f>+[4]SLP!AN6+[4]ROSA!AN6+'[4]STA ANA'!AN6+[4]BOA!AN6+'[4]STA MARIA'!AN6+'[4]CB I'!AN6+'[4]CB II'!AN6+'[4]CB III'!AN6+[4]IG!AN6+[4]PN!AN6+[4]MJ!AN6+'[4]RB I'!AN6+'[4]SF I'!AN6</f>
        <v>104973.88818587732</v>
      </c>
      <c r="AO6" s="226">
        <f>+[4]SLP!AO6+[4]ROSA!AO6+'[4]STA ANA'!AO6+[4]BOA!AO6+'[4]STA MARIA'!AO6+'[4]CB I'!AO6+'[4]CB II'!AO6+'[4]CB III'!AO6+[4]IG!AO6+[4]PN!AO6+[4]MJ!AO6+'[4]RB I'!AO6+'[4]SF I'!AO6</f>
        <v>92072.597327832991</v>
      </c>
      <c r="AP6" s="226">
        <f>+[4]SLP!AP6+[4]ROSA!AP6+'[4]STA ANA'!AP6+[4]BOA!AP6+'[4]STA MARIA'!AP6+'[4]CB I'!AP6+'[4]CB II'!AP6+'[4]CB III'!AP6+[4]IG!AP6+[4]PN!AP6+[4]MJ!AP6+'[4]RB I'!AP6+'[4]SF I'!AP6</f>
        <v>12901.290858044322</v>
      </c>
      <c r="AQ6" s="226">
        <f>+[4]SLP!AQ6+[4]ROSA!AQ6+'[4]STA ANA'!AQ6+[4]BOA!AQ6+'[4]STA MARIA'!AQ6+'[4]CB I'!AQ6+'[4]CB II'!AQ6+'[4]CB III'!AQ6+[4]IG!AQ6+[4]PN!AQ6+[4]MJ!AQ6+'[4]RB I'!AQ6+'[4]SF I'!AQ6</f>
        <v>0</v>
      </c>
      <c r="AR6" s="226">
        <f>+[4]SLP!AR6+[4]ROSA!AR6+'[4]STA ANA'!AR6+[4]BOA!AR6+'[4]STA MARIA'!AR6+'[4]CB I'!AR6+'[4]CB II'!AR6+'[4]CB III'!AR6+[4]IG!AR6+[4]PN!AR6+[4]MJ!AR6+'[4]RB I'!AR6+'[4]SF I'!AR6</f>
        <v>0</v>
      </c>
      <c r="AS6" s="166">
        <f>+[4]SLP!AS6+[4]ROSA!AS6+'[4]STA ANA'!AS6+[4]BOA!AS6+'[4]STA MARIA'!AS6+'[4]CB I'!AS6+'[4]CB II'!AS6+'[4]CB III'!AS6+[4]IG!AS6+[4]PN!AS6+[4]MJ!AS6+'[4]RB I'!AS6+'[4]SÃO FRANCISCO'!AS6</f>
        <v>0</v>
      </c>
      <c r="AT6" s="224">
        <f t="shared" si="7"/>
        <v>-1</v>
      </c>
      <c r="AU6" s="225">
        <f>+[4]SLP!AU6+[4]ROSA!AU6+'[4]STA ANA'!AU6+[4]BOA!AU6+'[4]STA MARIA'!AU6+'[4]CB I'!AU6+'[4]CB II'!AU6+'[4]CB III'!AU6+[4]IG!AU6+[4]PN!AU6+[4]MJ!AU6+'[4]RB I'!AU6+'[4]SF I'!AU6</f>
        <v>104973.88818587732</v>
      </c>
      <c r="AV6" s="226">
        <f>+[4]SLP!AV6+[4]ROSA!AV6+'[4]STA ANA'!AV6+[4]BOA!AV6+'[4]STA MARIA'!AV6+'[4]CB I'!AV6+'[4]CB II'!AV6+'[4]CB III'!AV6+[4]IG!AV6+[4]PN!AV6+[4]MJ!AV6+'[4]RB I'!AV6+'[4]SF I'!AV6</f>
        <v>92072.597327832991</v>
      </c>
      <c r="AW6" s="226">
        <f>+[4]SLP!AW6+[4]ROSA!AW6+'[4]STA ANA'!AW6+[4]BOA!AW6+'[4]STA MARIA'!AW6+'[4]CB I'!AW6+'[4]CB II'!AW6+'[4]CB III'!AW6+[4]IG!AW6+[4]PN!AW6+[4]MJ!AW6+'[4]RB I'!AW6+'[4]SF I'!AW6</f>
        <v>12901.290858044322</v>
      </c>
      <c r="AX6" s="226">
        <f>+[4]SLP!AX6+[4]ROSA!AX6+'[4]STA ANA'!AX6+[4]BOA!AX6+'[4]STA MARIA'!AX6+'[4]CB I'!AX6+'[4]CB II'!AX6+'[4]CB III'!AX6+[4]IG!AX6+[4]PN!AX6+[4]MJ!AX6+'[4]RB I'!AX6+'[4]SF I'!AX6</f>
        <v>0</v>
      </c>
      <c r="AY6" s="226">
        <f>+[4]SLP!AY6+[4]ROSA!AY6+'[4]STA ANA'!AY6+[4]BOA!AY6+'[4]STA MARIA'!AY6+'[4]CB I'!AY6+'[4]CB II'!AY6+'[4]CB III'!AY6+[4]IG!AY6+[4]PN!AY6+[4]MJ!AY6+'[4]RB I'!AY6+'[4]SF I'!AY6</f>
        <v>0</v>
      </c>
      <c r="AZ6" s="166">
        <f>+[4]SLP!AZ6+[4]ROSA!AZ6+'[4]STA ANA'!AZ6+[4]BOA!AZ6+'[4]STA MARIA'!AZ6+'[4]CB I'!AZ6+'[4]CB II'!AZ6+[4]IG!AZ6+[4]PN!AZ6+[4]MJ!AZ6+'[4]RB I'!AZ6+'[4]SÃO FRANCISCO'!AZ6</f>
        <v>0</v>
      </c>
      <c r="BA6" s="224">
        <f t="shared" si="8"/>
        <v>-1</v>
      </c>
      <c r="BB6" s="225">
        <f>+[4]SLP!BB6+[4]ROSA!BB6+'[4]STA ANA'!BB6+[4]BOA!BB6+'[4]STA MARIA'!BB6+'[4]CB I'!BB6+'[4]CB II'!BB6+'[4]CB III'!BB6+[4]IG!BB6+[4]PN!BB6+[4]MJ!BB6+'[4]RB I'!BB6+'[4]SF I'!BB6</f>
        <v>104973.88818587732</v>
      </c>
      <c r="BC6" s="226">
        <f>+[4]SLP!BC6+[4]ROSA!BC6+'[4]STA ANA'!BC6+[4]BOA!BC6+'[4]STA MARIA'!BC6+'[4]CB I'!BC6+'[4]CB II'!BC6+'[4]CB III'!BC6+[4]IG!BC6+[4]PN!BC6+[4]MJ!BC6+'[4]RB I'!BC6+'[4]SF I'!BC6</f>
        <v>92072.597327832991</v>
      </c>
      <c r="BD6" s="226">
        <f>+[4]SLP!BD6+[4]ROSA!BD6+'[4]STA ANA'!BD6+[4]BOA!BD6+'[4]STA MARIA'!BD6+'[4]CB I'!BD6+'[4]CB II'!BD6+'[4]CB III'!BD6+[4]IG!BD6+[4]PN!BD6+[4]MJ!BD6+'[4]RB I'!BD6+'[4]SF I'!BD6</f>
        <v>12901.290858044322</v>
      </c>
      <c r="BE6" s="226">
        <f>+[4]SLP!BE6+[4]ROSA!BE6+'[4]STA ANA'!BE6+[4]BOA!BE6+'[4]STA MARIA'!BE6+'[4]CB I'!BE6+'[4]CB II'!BE6+'[4]CB III'!BE6+[4]IG!BE6+[4]PN!BE6+[4]MJ!BE6+'[4]RB I'!BE6+'[4]SF I'!BE6</f>
        <v>0</v>
      </c>
      <c r="BF6" s="226">
        <f>+[4]SLP!BF6+[4]ROSA!BF6+'[4]STA ANA'!BF6+[4]BOA!BF6+'[4]STA MARIA'!BF6+'[4]CB I'!BF6+'[4]CB II'!BF6+'[4]CB III'!BF6+[4]IG!BF6+[4]PN!BF6+[4]MJ!BF6+'[4]RB I'!BF6+'[4]SF I'!BF6</f>
        <v>0</v>
      </c>
      <c r="BG6" s="166">
        <f>+[4]SLP!BG6+[4]ROSA!BG6+'[4]STA ANA'!BG6+[4]BOA!BG6+'[4]STA MARIA'!BG6+'[4]CB I'!BG6+'[4]CB II'!BG6+'[4]CB III'!BG6+[4]IG!BG6+[4]PN!BG6+[4]MJ!BG6+'[4]RB I'!BG6+'[4]SÃO FRANCISCO'!BG6</f>
        <v>0</v>
      </c>
      <c r="BH6" s="224">
        <f t="shared" si="9"/>
        <v>-1</v>
      </c>
      <c r="BI6" s="225">
        <f>+[4]SLP!BI6+[4]ROSA!BI6+'[4]STA ANA'!BI6+[4]BOA!BI6+'[4]STA MARIA'!BI6+'[4]CB I'!BI6+'[4]CB II'!BI6+'[4]CB III'!BI6+[4]IG!BI6+[4]PN!BI6+[4]MJ!BI6+'[4]RB I'!BI6+'[4]SF I'!BI6</f>
        <v>112934.36503895036</v>
      </c>
      <c r="BJ6" s="226">
        <f>+[4]SLP!BJ6+[4]ROSA!BJ6+'[4]STA ANA'!BJ6+[4]BOA!BJ6+'[4]STA MARIA'!BJ6+'[4]CB I'!BJ6+'[4]CB II'!BJ6+'[4]CB III'!BJ6+[4]IG!BJ6+[4]PN!BJ6+[4]MJ!BJ6+'[4]RB I'!BJ6+'[4]SF I'!BJ6</f>
        <v>99054.731575663391</v>
      </c>
      <c r="BK6" s="226">
        <f>+[4]SLP!BK6+[4]ROSA!BK6+'[4]STA ANA'!BK6+[4]BOA!BK6+'[4]STA MARIA'!BK6+'[4]CB I'!BK6+'[4]CB II'!BK6+'[4]CB III'!BK6+[4]IG!BK6+[4]PN!BK6+[4]MJ!BK6+'[4]RB I'!BK6+'[4]SF I'!BK6</f>
        <v>13879.633463287</v>
      </c>
      <c r="BL6" s="226">
        <f>+[4]SLP!BL6+[4]ROSA!BL6+'[4]STA ANA'!BL6+[4]BOA!BL6+'[4]STA MARIA'!BL6+'[4]CB I'!BL6+'[4]CB II'!BL6+'[4]CB III'!BL6+[4]IG!BL6+[4]PN!BL6+[4]MJ!BL6+'[4]RB I'!BL6+'[4]SF I'!BL6</f>
        <v>0</v>
      </c>
      <c r="BM6" s="226">
        <f>+[4]SLP!BM6+[4]ROSA!BM6+'[4]STA ANA'!BM6+[4]BOA!BM6+'[4]STA MARIA'!BM6+'[4]CB I'!BM6+'[4]CB II'!BM6+'[4]CB III'!BM6+[4]IG!BM6+[4]PN!BM6+[4]MJ!BM6+'[4]RB I'!BM6+'[4]SF I'!BM6</f>
        <v>0</v>
      </c>
      <c r="BN6" s="166">
        <f>+[4]SLP!BN6+[4]ROSA!BN6+'[4]STA ANA'!BN6+[4]BOA!BN6+'[4]STA MARIA'!BN6+'[4]CB I'!BN6+'[4]CB II'!BN6+'[4]CB III'!BN6+[4]IG!BN6+[4]PN!BN6+[4]MJ!BN6+'[4]RB I'!BN6+'[4]SÃO FRANCISCO'!BN6</f>
        <v>0</v>
      </c>
      <c r="BO6" s="224">
        <f t="shared" si="10"/>
        <v>-1</v>
      </c>
      <c r="BP6" s="225">
        <f>+[4]SLP!BP6+[4]ROSA!BP6+'[4]STA ANA'!BP6+[4]BOA!BP6+'[4]STA MARIA'!BP6+'[4]CB I'!BP6+'[4]CB II'!BP6+'[4]CB III'!BP6+[4]IG!BP6+[4]PN!BP6+[4]MJ!BP6+'[4]RB I'!BP6+'[4]SF I'!BP6</f>
        <v>112934.36503895036</v>
      </c>
      <c r="BQ6" s="226">
        <f>+[4]SLP!BQ6+[4]ROSA!BQ6+'[4]STA ANA'!BQ6+[4]BOA!BQ6+'[4]STA MARIA'!BQ6+'[4]CB I'!BQ6+'[4]CB II'!BQ6+'[4]CB III'!BQ6+[4]IG!BQ6+[4]PN!BQ6+[4]MJ!BQ6+'[4]RB I'!BQ6+'[4]SF I'!BQ6</f>
        <v>99054.731575663391</v>
      </c>
      <c r="BR6" s="226">
        <f>+[4]SLP!BR6+[4]ROSA!BR6+'[4]STA ANA'!BR6+[4]BOA!BR6+'[4]STA MARIA'!BR6+'[4]CB I'!BR6+'[4]CB II'!BR6+'[4]CB III'!BR6+[4]IG!BR6+[4]PN!BR6+[4]MJ!BR6+'[4]RB I'!BR6+'[4]SF I'!BR6</f>
        <v>13879.633463287</v>
      </c>
      <c r="BS6" s="226">
        <f>+[4]SLP!BS6+[4]ROSA!BS6+'[4]STA ANA'!BS6+[4]BOA!BS6+'[4]STA MARIA'!BS6+'[4]CB I'!BS6+'[4]CB II'!BS6+'[4]CB III'!BS6+[4]IG!BS6+[4]PN!BS6+[4]MJ!BS6+'[4]RB I'!BS6+'[4]SF I'!BS6</f>
        <v>0</v>
      </c>
      <c r="BT6" s="226">
        <f>+[4]SLP!BT6+[4]ROSA!BT6+'[4]STA ANA'!BT6+[4]BOA!BT6+'[4]STA MARIA'!BT6+'[4]CB I'!BT6+'[4]CB II'!BT6+'[4]CB III'!BT6+[4]IG!BT6+[4]PN!BT6+[4]MJ!BT6+'[4]RB I'!BT6+'[4]SF I'!BT6</f>
        <v>0</v>
      </c>
      <c r="BU6" s="166">
        <f>+[4]SLP!BU6+[4]ROSA!BU6+'[4]STA ANA'!BU6+[4]BOA!BU6+'[4]STA MARIA'!BU6+'[4]CB I'!BU6+'[4]CB II'!BU6+'[4]CB III'!BU6+[4]IG!BU6+[4]PN!BU6+[4]MJ!BU6+'[4]RB I'!BU6+'[4]SÃO FRANCISCO'!BU6</f>
        <v>0</v>
      </c>
      <c r="BV6" s="224">
        <f t="shared" si="11"/>
        <v>-1</v>
      </c>
      <c r="BW6" s="225">
        <f>+[4]SLP!BW6+[4]ROSA!BW6+'[4]STA ANA'!BW6+[4]BOA!BW6+'[4]STA MARIA'!BW6+'[4]CB I'!BW6+'[4]CB II'!BW6+'[4]CB III'!BW6+[4]IG!BW6+[4]PN!BW6+[4]MJ!BW6+'[4]RB I'!BW6+'[4]SF I'!BW6</f>
        <v>112934.36503895036</v>
      </c>
      <c r="BX6" s="226">
        <f>+[4]SLP!BX6+[4]ROSA!BX6+'[4]STA ANA'!BX6+[4]BOA!BX6+'[4]STA MARIA'!BX6+'[4]CB I'!BX6+'[4]CB II'!BX6+'[4]CB III'!BX6+[4]IG!BX6+[4]PN!BX6+[4]MJ!BX6+'[4]RB I'!BX6+'[4]SF I'!BX6</f>
        <v>99054.731575663391</v>
      </c>
      <c r="BY6" s="226">
        <f>+[4]SLP!BY6+[4]ROSA!BY6+'[4]STA ANA'!BY6+[4]BOA!BY6+'[4]STA MARIA'!BY6+'[4]CB I'!BY6+'[4]CB II'!BY6+'[4]CB III'!BY6+[4]IG!BY6+[4]PN!BY6+[4]MJ!BY6+'[4]RB I'!BY6+'[4]SF I'!BY6</f>
        <v>13879.633463287</v>
      </c>
      <c r="BZ6" s="226">
        <f>+[4]SLP!BZ6+[4]ROSA!BZ6+'[4]STA ANA'!BZ6+[4]BOA!BZ6+'[4]STA MARIA'!BZ6+'[4]CB I'!BZ6+'[4]CB II'!BZ6+'[4]CB III'!BZ6+[4]IG!BZ6+[4]PN!BZ6+[4]MJ!BZ6+'[4]RB I'!BZ6+'[4]SF I'!BZ6</f>
        <v>0</v>
      </c>
      <c r="CA6" s="226">
        <f>+[4]SLP!CA6+[4]ROSA!CA6+'[4]STA ANA'!CA6+[4]BOA!CA6+'[4]STA MARIA'!CA6+'[4]CB I'!CA6+'[4]CB II'!CA6+'[4]CB III'!CA6+[4]IG!CA6+[4]PN!CA6+[4]MJ!CA6+'[4]RB I'!CA6+'[4]SF I'!CA6</f>
        <v>0</v>
      </c>
      <c r="CB6" s="166">
        <f>+[4]SLP!CB6+[4]ROSA!CB6+'[4]STA ANA'!CB6+[4]BOA!CB6+'[4]STA MARIA'!CB6+'[4]CB I'!CB6+'[4]CB II'!CB6+'[4]CB III'!CB6+[4]IG!CB6+[4]PN!CB6+[4]MJ!CB6+'[4]RB I'!CB6+'[4]SÃO FRANCISCO'!CB6</f>
        <v>0</v>
      </c>
      <c r="CC6" s="224">
        <f t="shared" si="12"/>
        <v>-1</v>
      </c>
      <c r="CD6" s="225">
        <f>+[4]SLP!CD6+[4]ROSA!CD6+'[4]STA ANA'!CD6+[4]BOA!CD6+'[4]STA MARIA'!CD6+'[4]CB I'!CD6+'[4]CB II'!CD6+'[4]CB III'!CD6+[4]IG!CD6+[4]PN!CD6+[4]MJ!CD6+'[4]RB I'!CD6+'[4]SF I'!CD6</f>
        <v>112934.36503895036</v>
      </c>
      <c r="CE6" s="226">
        <f>+[4]SLP!CE6+[4]ROSA!CE6+'[4]STA ANA'!CE6+[4]BOA!CE6+'[4]STA MARIA'!CE6+'[4]CB I'!CE6+'[4]CB II'!CE6+'[4]CB III'!CE6+[4]IG!CE6+[4]PN!CE6+[4]MJ!CE6+'[4]RB I'!CE6+'[4]SF I'!CE6</f>
        <v>99054.731575663391</v>
      </c>
      <c r="CF6" s="226">
        <f>+[4]SLP!CF6+[4]ROSA!CF6+'[4]STA ANA'!CF6+[4]BOA!CF6+'[4]STA MARIA'!CF6+'[4]CB I'!CF6+'[4]CB II'!CF6+'[4]CB III'!CF6+[4]IG!CF6+[4]PN!CF6+[4]MJ!CF6+'[4]RB I'!CF6+'[4]SF I'!CF6</f>
        <v>13879.633463287</v>
      </c>
      <c r="CG6" s="226">
        <f>+[4]SLP!CG6+[4]ROSA!CG6+'[4]STA ANA'!CG6+[4]BOA!CG6+'[4]STA MARIA'!CG6+'[4]CB I'!CG6+'[4]CB II'!CG6+'[4]CB III'!CG6+[4]IG!CG6+[4]PN!CG6+[4]MJ!CG6+'[4]RB I'!CG6+'[4]SF I'!CG6</f>
        <v>0</v>
      </c>
      <c r="CH6" s="226">
        <f>+[4]SLP!CH6+[4]ROSA!CH6+'[4]STA ANA'!CH6+[4]BOA!CH6+'[4]STA MARIA'!CH6+'[4]CB I'!CH6+'[4]CB II'!CH6+'[4]CB III'!CH6+[4]IG!CH6+[4]PN!CH6+[4]MJ!CH6+'[4]RB I'!CH6+'[4]SF I'!CH6</f>
        <v>0</v>
      </c>
      <c r="CI6" s="166">
        <f>+[4]SLP!CI6+[4]ROSA!CI6+'[4]STA ANA'!CI6+[4]BOA!CI6+'[4]STA MARIA'!CI6+'[4]CB I'!CI6+'[4]CB II'!CI6+'[4]CB III'!CI6+[4]IG!CI6+[4]PN!CI6+[4]MJ!CI6+'[4]RB I'!CI6+'[4]SÃO FRANCISCO'!CI6</f>
        <v>0</v>
      </c>
      <c r="CJ6" s="224">
        <f t="shared" si="13"/>
        <v>-1</v>
      </c>
      <c r="CK6" s="225">
        <f>+[4]SLP!CK6+[4]ROSA!CK6+'[4]STA ANA'!CK6+[4]BOA!CK6+'[4]STA MARIA'!CK6+'[4]CB I'!CK6+'[4]CB II'!CK6+'[4]CB III'!CK6+[4]IG!CK6+[4]PN!CK6+[4]MJ!CK6+'[4]RB I'!CK6+'[4]SF I'!CK6</f>
        <v>112934.36503895036</v>
      </c>
      <c r="CL6" s="226">
        <f>+[4]SLP!CL6+[4]ROSA!CL6+'[4]STA ANA'!CL6+[4]BOA!CL6+'[4]STA MARIA'!CL6+'[4]CB I'!CL6+'[4]CB II'!CL6+'[4]CB III'!CL6+[4]IG!CL6+[4]PN!CL6+[4]MJ!CL6+'[4]RB I'!CL6+'[4]SF I'!CL6</f>
        <v>99054.731575663391</v>
      </c>
      <c r="CM6" s="226">
        <f>+[4]SLP!CM6+[4]ROSA!CM6+'[4]STA ANA'!CM6+[4]BOA!CM6+'[4]STA MARIA'!CM6+'[4]CB I'!CM6+'[4]CB II'!CM6+'[4]CB III'!CM6+[4]IG!CM6+[4]PN!CM6+[4]MJ!CM6+'[4]RB I'!CM6+'[4]SF I'!CM6</f>
        <v>13879.633463287</v>
      </c>
      <c r="CN6" s="226">
        <f>+[4]SLP!CN6+[4]ROSA!CN6+'[4]STA ANA'!CN6+[4]BOA!CN6+'[4]STA MARIA'!CN6+'[4]CB I'!CN6+'[4]CB II'!CN6+'[4]CB III'!CN6+[4]IG!CN6+[4]PN!CN6+[4]MJ!CN6+'[4]RB I'!CN6+'[4]SF I'!CN6</f>
        <v>0</v>
      </c>
      <c r="CO6" s="226">
        <f>+[4]SLP!CO6+[4]ROSA!CO6+'[4]STA ANA'!CO6+[4]BOA!CO6+'[4]STA MARIA'!CO6+'[4]CB I'!CO6+'[4]CB II'!CO6+'[4]CB III'!CO6+[4]IG!CO6+[4]PN!CO6+[4]MJ!CO6+'[4]RB I'!CO6+'[4]SF I'!CO6</f>
        <v>0</v>
      </c>
      <c r="CP6" s="166">
        <f>+[4]SLP!CP6+[4]ROSA!CP6+'[4]STA ANA'!CP6+[4]BOA!CP6+'[4]STA MARIA'!CP6+'[4]CB I'!CP6+'[4]CB II'!CP6+'[4]CB III'!CP6+[4]IG!CP6+[4]PN!CP6+[4]MJ!CP6+'[4]RB I'!CP6+'[4]SÃO FRANCISCO'!CP6</f>
        <v>0</v>
      </c>
      <c r="CQ6" s="224">
        <f t="shared" si="14"/>
        <v>-1</v>
      </c>
      <c r="CR6" s="155"/>
      <c r="CS6" s="227" t="e">
        <f t="shared" si="15"/>
        <v>#VALUE!</v>
      </c>
    </row>
    <row r="7" spans="1:101" ht="14.25" customHeight="1" x14ac:dyDescent="0.2">
      <c r="A7" s="223" t="s">
        <v>31</v>
      </c>
      <c r="B7" s="30">
        <f t="shared" si="0"/>
        <v>1002851.8650459028</v>
      </c>
      <c r="C7" s="31">
        <f t="shared" si="0"/>
        <v>879601.37083176128</v>
      </c>
      <c r="D7" s="32">
        <f t="shared" si="0"/>
        <v>123250.49421414149</v>
      </c>
      <c r="E7" s="30">
        <f t="shared" si="16"/>
        <v>324045.85107372154</v>
      </c>
      <c r="F7" s="33">
        <f t="shared" si="16"/>
        <v>284220.61597676115</v>
      </c>
      <c r="G7" s="34">
        <f t="shared" si="16"/>
        <v>39825.235096960372</v>
      </c>
      <c r="H7" s="31">
        <f t="shared" si="1"/>
        <v>250390.00703813069</v>
      </c>
      <c r="I7" s="33">
        <f t="shared" si="1"/>
        <v>27895.554419246633</v>
      </c>
      <c r="J7" s="33">
        <f t="shared" si="1"/>
        <v>278285.56145737739</v>
      </c>
      <c r="K7" s="224">
        <f t="shared" si="2"/>
        <v>-0.14121547757738007</v>
      </c>
      <c r="L7" s="225">
        <f>+[4]SLP!L7+[4]ROSA!L7+'[4]STA ANA'!L7+[4]BOA!L7+'[4]STA MARIA'!L7+'[4]CB I'!L7+'[4]CB II'!L7+'[4]CB III'!L7+[4]IG!L7+[4]PN!L7+[4]MJ!L7+'[4]RB I'!L7+'[4]SF I'!L7</f>
        <v>81011.462768430385</v>
      </c>
      <c r="M7" s="226">
        <f>+[4]SLP!M7+[4]ROSA!M7+'[4]STA ANA'!M7+[4]BOA!M7+'[4]STA MARIA'!M7+'[4]CB I'!M7+'[4]CB II'!M7+'[4]CB III'!M7+[4]IG!M7+[4]PN!M7+[4]MJ!M7+'[4]RB I'!M7+'[4]SF I'!M7</f>
        <v>71055.153994190288</v>
      </c>
      <c r="N7" s="226">
        <f>+[4]SLP!N7+[4]ROSA!N7+'[4]STA ANA'!N7+[4]BOA!N7+'[4]STA MARIA'!N7+'[4]CB I'!N7+'[4]CB II'!N7+'[4]CB III'!N7+[4]IG!N7+[4]PN!N7+[4]MJ!N7+'[4]RB I'!N7+'[4]SF I'!N7</f>
        <v>9956.308774240093</v>
      </c>
      <c r="O7" s="226">
        <f>+[4]SLP!O7+[4]ROSA!O7+'[4]STA ANA'!O7+[4]BOA!O7+'[4]STA MARIA'!O7+'[4]CB I'!O7+'[4]CB II'!O7+'[4]CB III'!O7+[4]IG!O7+[4]PN!O7+[4]MJ!O7+'[4]RB I'!O7+'[4]SF I'!O7</f>
        <v>62647.952667565951</v>
      </c>
      <c r="P7" s="226">
        <f>+[4]SLP!P7+[4]ROSA!P7+'[4]STA ANA'!P7+[4]BOA!P7+'[4]STA MARIA'!P7+'[4]CB I'!P7+'[4]CB II'!P7+'[4]CB III'!P7+[4]IG!P7+[4]PN!P7+[4]MJ!P7+'[4]RB I'!P7+'[4]SF I'!P7</f>
        <v>7093.0306344041965</v>
      </c>
      <c r="Q7" s="166">
        <f>+[4]SLP!Q7+[4]ROSA!Q7+'[4]STA ANA'!Q7+[4]BOA!Q7+'[4]STA MARIA'!Q7+'[4]CB I'!Q7+'[4]CB II'!Q7+'[4]CB III'!Q7+[4]IG!Q7+[4]PN!Q7+[4]MJ!Q7+'[4]RB I'!Q7+'[4]SF I'!Q7</f>
        <v>69740.983301970147</v>
      </c>
      <c r="R7" s="224">
        <f t="shared" si="3"/>
        <v>-0.13912203386175948</v>
      </c>
      <c r="S7" s="225">
        <f>+[4]SLP!S7+[4]ROSA!S7+'[4]STA ANA'!S7+[4]BOA!S7+'[4]STA MARIA'!S7+'[4]CB I'!S7+'[4]CB II'!S7+'[4]CB III'!S7+[4]IG!S7+[4]PN!S7+[4]MJ!S7+'[4]RB I'!S7+'[4]SF I'!S7</f>
        <v>81011.462768430385</v>
      </c>
      <c r="T7" s="226">
        <f>+[4]SLP!T7+[4]ROSA!T7+'[4]STA ANA'!T7+[4]BOA!T7+'[4]STA MARIA'!T7+'[4]CB I'!T7+'[4]CB II'!T7+'[4]CB III'!T7+[4]IG!T7+[4]PN!T7+[4]MJ!T7+'[4]RB I'!T7+'[4]SF I'!T7</f>
        <v>71055.153994190288</v>
      </c>
      <c r="U7" s="226">
        <f>+[4]SLP!U7+[4]ROSA!U7+'[4]STA ANA'!U7+[4]BOA!U7+'[4]STA MARIA'!U7+'[4]CB I'!U7+'[4]CB II'!U7+'[4]CB III'!U7+[4]IG!U7+[4]PN!U7+[4]MJ!U7+'[4]RB I'!U7+'[4]SF I'!U7</f>
        <v>9956.308774240093</v>
      </c>
      <c r="V7" s="226">
        <f>+[4]SLP!V7+[4]ROSA!V7+'[4]STA ANA'!V7+[4]BOA!V7+'[4]STA MARIA'!V7+'[4]CB I'!V7+'[4]CB II'!V7+'[4]CB III'!V7+[4]IG!V7+[4]PN!V7+[4]MJ!V7+'[4]RB I'!V7+'[4]SF I'!V7</f>
        <v>60299.575446956747</v>
      </c>
      <c r="W7" s="226">
        <f>+[4]SLP!W7+[4]ROSA!W7+'[4]STA ANA'!W7+[4]BOA!W7+'[4]STA MARIA'!W7+'[4]CB I'!W7+'[4]CB II'!W7+'[4]CB III'!W7+[4]IG!W7+[4]PN!W7+[4]MJ!W7+'[4]RB I'!W7+'[4]SF I'!W7</f>
        <v>6767.4755734329101</v>
      </c>
      <c r="X7" s="166">
        <f>[4]SLP!X7+[4]ROSA!X7+'[4]STA ANA'!X7+[4]BOA!X7+'[4]STA MARIA'!X7+'[4]CB I'!X7+'[4]CB II'!X7+'[4]CB III'!X7+[4]IG!X7+[4]PN!X7+[4]MJ!X7+'[4]RB I'!X7+'[4]SF I'!X7</f>
        <v>67067.05102038967</v>
      </c>
      <c r="Y7" s="224">
        <f t="shared" si="4"/>
        <v>-0.17212887252635511</v>
      </c>
      <c r="Z7" s="225">
        <f>+[4]SLP!Z7+[4]ROSA!Z7+'[4]STA ANA'!Z7+[4]BOA!Z7+'[4]STA MARIA'!Z7+'[4]CB I'!Z7+'[4]CB II'!Z7+'[4]CB III'!Z7+[4]IG!Z7+[4]PN!Z7+[4]MJ!Z7+'[4]RB I'!Z7+'[4]SF I'!Z7</f>
        <v>81011.462768430385</v>
      </c>
      <c r="AA7" s="226">
        <f>+[4]SLP!AA7+[4]ROSA!AA7+'[4]STA ANA'!AA7+[4]BOA!AA7+'[4]STA MARIA'!AA7+'[4]CB I'!AA7+'[4]CB II'!AA7+'[4]CB III'!AA7+[4]IG!AA7+[4]PN!AA7+[4]MJ!AA7+'[4]RB I'!AA7+'[4]SF I'!AA7</f>
        <v>71055.153994190288</v>
      </c>
      <c r="AB7" s="226">
        <f>+[4]SLP!AB7+[4]ROSA!AB7+'[4]STA ANA'!AB7+[4]BOA!AB7+'[4]STA MARIA'!AB7+'[4]CB I'!AB7+'[4]CB II'!AB7+'[4]CB III'!AB7+[4]IG!AB7+[4]PN!AB7+[4]MJ!AB7+'[4]RB I'!AB7+'[4]SF I'!AB7</f>
        <v>9956.308774240093</v>
      </c>
      <c r="AC7" s="226">
        <f>+[4]SLP!AC7+[4]ROSA!AC7+'[4]STA ANA'!AC7+[4]BOA!AC7+'[4]STA MARIA'!AC7+'[4]CB I'!AC7+'[4]CB II'!AC7+'[4]CB III'!AC7+[4]IG!AC7+[4]PN!AC7+[4]MJ!AC7+'[4]RB I'!AC7+'[4]SF I'!AC7</f>
        <v>63866.829475091494</v>
      </c>
      <c r="AD7" s="226">
        <f>+[4]SLP!AD7+[4]ROSA!AD7+'[4]STA ANA'!AD7+[4]BOA!AD7+'[4]STA MARIA'!AD7+'[4]CB I'!AD7+'[4]CB II'!AD7+'[4]CB III'!AD7+[4]IG!AD7+[4]PN!AD7+[4]MJ!AD7+'[4]RB I'!AD7+'[4]SF I'!AD7</f>
        <v>7103.2698880938633</v>
      </c>
      <c r="AE7" s="166">
        <f>+[4]SLP!AE7+[4]ROSA!AE7+'[4]STA ANA'!AE7+[4]BOA!AE7+'[4]STA MARIA'!AE7+'[4]CB I'!AE7+'[4]CB II'!AE7+'[4]CB III'!AE7+[4]IG!AE7+[4]PN!AE7+[4]MJ!AE7+'[4]RB I'!AE7+'[4]SF I'!AE7</f>
        <v>70970.099363185363</v>
      </c>
      <c r="AF7" s="224">
        <f t="shared" si="5"/>
        <v>-0.12394990859439303</v>
      </c>
      <c r="AG7" s="225">
        <f>+[4]SLP!AG7+[4]ROSA!AG7+'[4]STA ANA'!AG7+[4]BOA!AG7+'[4]STA MARIA'!AG7+'[4]CB I'!AG7+'[4]CB II'!AG7+'[4]CB III'!AG7+[4]IG!AG7+[4]PN!AG7+[4]MJ!AG7+'[4]RB I'!AG7+'[4]SF I'!AG7</f>
        <v>81011.462768430385</v>
      </c>
      <c r="AH7" s="226">
        <f>+[4]SLP!AH7+[4]ROSA!AH7+'[4]STA ANA'!AH7+[4]BOA!AH7+'[4]STA MARIA'!AH7+'[4]CB I'!AH7+'[4]CB II'!AH7+'[4]CB III'!AH7+[4]IG!AH7+[4]PN!AH7+[4]MJ!AH7+'[4]RB I'!AH7+'[4]SF I'!AH7</f>
        <v>71055.153994190288</v>
      </c>
      <c r="AI7" s="226">
        <f>+[4]SLP!AI7+[4]ROSA!AI7+'[4]STA ANA'!AI7+[4]BOA!AI7+'[4]STA MARIA'!AI7+'[4]CB I'!AI7+'[4]CB II'!AI7+'[4]CB III'!AI7+[4]IG!AI7+[4]PN!AI7+[4]MJ!AI7+'[4]RB I'!AI7+'[4]SF I'!AI7</f>
        <v>9956.308774240093</v>
      </c>
      <c r="AJ7" s="226">
        <f>+[4]SLP!AJ7+[4]ROSA!AJ7+'[4]STA ANA'!AJ7+[4]BOA!AJ7+'[4]STA MARIA'!AJ7+'[4]CB I'!AJ7+'[4]CB II'!AJ7+'[4]CB III'!AJ7+[4]IG!AJ7+[4]PN!AJ7+[4]MJ!AJ7+'[4]RB I'!AJ7+'[4]SF I'!AJ7</f>
        <v>63575.649448516524</v>
      </c>
      <c r="AK7" s="226">
        <f>+[4]SLP!AK7+[4]ROSA!AK7+'[4]STA ANA'!AK7+[4]BOA!AK7+'[4]STA MARIA'!AK7+'[4]CB I'!AK7+'[4]CB II'!AK7+'[4]CB III'!AK7+[4]IG!AK7+[4]PN!AK7+[4]MJ!AK7+'[4]RB I'!AK7+'[4]SF I'!AK7</f>
        <v>6931.7783233156633</v>
      </c>
      <c r="AL7" s="166">
        <f>+[4]SLP!AL7+[4]ROSA!AL7+'[4]STA ANA'!AL7+[4]BOA!AL7+'[4]STA MARIA'!AL7+'[4]CB I'!AL7+'[4]CB II'!AL7+'[4]CB III'!AL7+[4]IG!AL7+[4]PN!AL7+[4]MJ!AL7+'[4]RB I'!AL7+'[4]SF I'!AL7</f>
        <v>70507.427771832183</v>
      </c>
      <c r="AM7" s="224">
        <f t="shared" si="6"/>
        <v>-0.12966109532701287</v>
      </c>
      <c r="AN7" s="225">
        <f>+[4]SLP!AN7+[4]ROSA!AN7+'[4]STA ANA'!AN7+[4]BOA!AN7+'[4]STA MARIA'!AN7+'[4]CB I'!AN7+'[4]CB II'!AN7+'[4]CB III'!AN7+[4]IG!AN7+[4]PN!AN7+[4]MJ!AN7+'[4]RB I'!AN7+'[4]SF I'!AN7</f>
        <v>81011.462768430385</v>
      </c>
      <c r="AO7" s="226">
        <f>+[4]SLP!AO7+[4]ROSA!AO7+'[4]STA ANA'!AO7+[4]BOA!AO7+'[4]STA MARIA'!AO7+'[4]CB I'!AO7+'[4]CB II'!AO7+'[4]CB III'!AO7+[4]IG!AO7+[4]PN!AO7+[4]MJ!AO7+'[4]RB I'!AO7+'[4]SF I'!AO7</f>
        <v>71055.153994190288</v>
      </c>
      <c r="AP7" s="226">
        <f>+[4]SLP!AP7+[4]ROSA!AP7+'[4]STA ANA'!AP7+[4]BOA!AP7+'[4]STA MARIA'!AP7+'[4]CB I'!AP7+'[4]CB II'!AP7+'[4]CB III'!AP7+[4]IG!AP7+[4]PN!AP7+[4]MJ!AP7+'[4]RB I'!AP7+'[4]SF I'!AP7</f>
        <v>9956.308774240093</v>
      </c>
      <c r="AQ7" s="226">
        <f>+[4]SLP!AQ7+[4]ROSA!AQ7+'[4]STA ANA'!AQ7+[4]BOA!AQ7+'[4]STA MARIA'!AQ7+'[4]CB I'!AQ7+'[4]CB II'!AQ7+'[4]CB III'!AQ7+[4]IG!AQ7+[4]PN!AQ7+[4]MJ!AQ7+'[4]RB I'!AQ7+'[4]SF I'!AQ7</f>
        <v>0</v>
      </c>
      <c r="AR7" s="226">
        <f>+[4]SLP!AR7+[4]ROSA!AR7+'[4]STA ANA'!AR7+[4]BOA!AR7+'[4]STA MARIA'!AR7+'[4]CB I'!AR7+'[4]CB II'!AR7+'[4]CB III'!AR7+[4]IG!AR7+[4]PN!AR7+[4]MJ!AR7+'[4]RB I'!AR7+'[4]SF I'!AR7</f>
        <v>0</v>
      </c>
      <c r="AS7" s="166">
        <f>+[4]SLP!AS7+[4]ROSA!AS7+'[4]STA ANA'!AS7+[4]BOA!AS7+'[4]STA MARIA'!AS7+'[4]CB I'!AS7+'[4]CB II'!AS7+'[4]CB III'!AS7+[4]IG!AS7+[4]PN!AS7+[4]MJ!AS7+'[4]RB I'!AS7+'[4]SÃO FRANCISCO'!AS7</f>
        <v>0</v>
      </c>
      <c r="AT7" s="224">
        <f t="shared" si="7"/>
        <v>-1</v>
      </c>
      <c r="AU7" s="225">
        <f>+[4]SLP!AU7+[4]ROSA!AU7+'[4]STA ANA'!AU7+[4]BOA!AU7+'[4]STA MARIA'!AU7+'[4]CB I'!AU7+'[4]CB II'!AU7+'[4]CB III'!AU7+[4]IG!AU7+[4]PN!AU7+[4]MJ!AU7+'[4]RB I'!AU7+'[4]SF I'!AU7</f>
        <v>81011.462768430385</v>
      </c>
      <c r="AV7" s="226">
        <f>+[4]SLP!AV7+[4]ROSA!AV7+'[4]STA ANA'!AV7+[4]BOA!AV7+'[4]STA MARIA'!AV7+'[4]CB I'!AV7+'[4]CB II'!AV7+'[4]CB III'!AV7+[4]IG!AV7+[4]PN!AV7+[4]MJ!AV7+'[4]RB I'!AV7+'[4]SF I'!AV7</f>
        <v>71055.153994190288</v>
      </c>
      <c r="AW7" s="226">
        <f>+[4]SLP!AW7+[4]ROSA!AW7+'[4]STA ANA'!AW7+[4]BOA!AW7+'[4]STA MARIA'!AW7+'[4]CB I'!AW7+'[4]CB II'!AW7+'[4]CB III'!AW7+[4]IG!AW7+[4]PN!AW7+[4]MJ!AW7+'[4]RB I'!AW7+'[4]SF I'!AW7</f>
        <v>9956.308774240093</v>
      </c>
      <c r="AX7" s="226">
        <f>+[4]SLP!AX7+[4]ROSA!AX7+'[4]STA ANA'!AX7+[4]BOA!AX7+'[4]STA MARIA'!AX7+'[4]CB I'!AX7+'[4]CB II'!AX7+'[4]CB III'!AX7+[4]IG!AX7+[4]PN!AX7+[4]MJ!AX7+'[4]RB I'!AX7+'[4]SF I'!AX7</f>
        <v>0</v>
      </c>
      <c r="AY7" s="226">
        <f>+[4]SLP!AY7+[4]ROSA!AY7+'[4]STA ANA'!AY7+[4]BOA!AY7+'[4]STA MARIA'!AY7+'[4]CB I'!AY7+'[4]CB II'!AY7+'[4]CB III'!AY7+[4]IG!AY7+[4]PN!AY7+[4]MJ!AY7+'[4]RB I'!AY7+'[4]SF I'!AY7</f>
        <v>0</v>
      </c>
      <c r="AZ7" s="166">
        <f>+[4]SLP!AZ7+[4]ROSA!AZ7+'[4]STA ANA'!AZ7+[4]BOA!AZ7+'[4]STA MARIA'!AZ7+'[4]CB I'!AZ7+'[4]CB II'!AZ7+[4]IG!AZ7+[4]PN!AZ7+[4]MJ!AZ7+'[4]RB I'!AZ7+'[4]SÃO FRANCISCO'!AZ7</f>
        <v>0</v>
      </c>
      <c r="BA7" s="224">
        <f t="shared" si="8"/>
        <v>-1</v>
      </c>
      <c r="BB7" s="225">
        <f>+[4]SLP!BB7+[4]ROSA!BB7+'[4]STA ANA'!BB7+[4]BOA!BB7+'[4]STA MARIA'!BB7+'[4]CB I'!BB7+'[4]CB II'!BB7+'[4]CB III'!BB7+[4]IG!BB7+[4]PN!BB7+[4]MJ!BB7+'[4]RB I'!BB7+'[4]SF I'!BB7</f>
        <v>81011.462768430385</v>
      </c>
      <c r="BC7" s="226">
        <f>+[4]SLP!BC7+[4]ROSA!BC7+'[4]STA ANA'!BC7+[4]BOA!BC7+'[4]STA MARIA'!BC7+'[4]CB I'!BC7+'[4]CB II'!BC7+'[4]CB III'!BC7+[4]IG!BC7+[4]PN!BC7+[4]MJ!BC7+'[4]RB I'!BC7+'[4]SF I'!BC7</f>
        <v>71055.153994190288</v>
      </c>
      <c r="BD7" s="226">
        <f>+[4]SLP!BD7+[4]ROSA!BD7+'[4]STA ANA'!BD7+[4]BOA!BD7+'[4]STA MARIA'!BD7+'[4]CB I'!BD7+'[4]CB II'!BD7+'[4]CB III'!BD7+[4]IG!BD7+[4]PN!BD7+[4]MJ!BD7+'[4]RB I'!BD7+'[4]SF I'!BD7</f>
        <v>9956.308774240093</v>
      </c>
      <c r="BE7" s="226">
        <f>+[4]SLP!BE7+[4]ROSA!BE7+'[4]STA ANA'!BE7+[4]BOA!BE7+'[4]STA MARIA'!BE7+'[4]CB I'!BE7+'[4]CB II'!BE7+'[4]CB III'!BE7+[4]IG!BE7+[4]PN!BE7+[4]MJ!BE7+'[4]RB I'!BE7+'[4]SF I'!BE7</f>
        <v>0</v>
      </c>
      <c r="BF7" s="226">
        <f>+[4]SLP!BF7+[4]ROSA!BF7+'[4]STA ANA'!BF7+[4]BOA!BF7+'[4]STA MARIA'!BF7+'[4]CB I'!BF7+'[4]CB II'!BF7+'[4]CB III'!BF7+[4]IG!BF7+[4]PN!BF7+[4]MJ!BF7+'[4]RB I'!BF7+'[4]SF I'!BF7</f>
        <v>0</v>
      </c>
      <c r="BG7" s="166">
        <f>+[4]SLP!BG7+[4]ROSA!BG7+'[4]STA ANA'!BG7+[4]BOA!BG7+'[4]STA MARIA'!BG7+'[4]CB I'!BG7+'[4]CB II'!BG7+'[4]CB III'!BG7+[4]IG!BG7+[4]PN!BG7+[4]MJ!BG7+'[4]RB I'!BG7+'[4]SÃO FRANCISCO'!BG7</f>
        <v>0</v>
      </c>
      <c r="BH7" s="224">
        <f t="shared" si="9"/>
        <v>-1</v>
      </c>
      <c r="BI7" s="225">
        <f>+[4]SLP!BI7+[4]ROSA!BI7+'[4]STA ANA'!BI7+[4]BOA!BI7+'[4]STA MARIA'!BI7+'[4]CB I'!BI7+'[4]CB II'!BI7+'[4]CB III'!BI7+[4]IG!BI7+[4]PN!BI7+[4]MJ!BI7+'[4]RB I'!BI7+'[4]SF I'!BI7</f>
        <v>87154.325133378035</v>
      </c>
      <c r="BJ7" s="226">
        <f>+[4]SLP!BJ7+[4]ROSA!BJ7+'[4]STA ANA'!BJ7+[4]BOA!BJ7+'[4]STA MARIA'!BJ7+'[4]CB I'!BJ7+'[4]CB II'!BJ7+'[4]CB III'!BJ7+[4]IG!BJ7+[4]PN!BJ7+[4]MJ!BJ7+'[4]RB I'!BJ7+'[4]SF I'!BJ7</f>
        <v>76443.058574485884</v>
      </c>
      <c r="BK7" s="226">
        <f>+[4]SLP!BK7+[4]ROSA!BK7+'[4]STA ANA'!BK7+[4]BOA!BK7+'[4]STA MARIA'!BK7+'[4]CB I'!BK7+'[4]CB II'!BK7+'[4]CB III'!BK7+[4]IG!BK7+[4]PN!BK7+[4]MJ!BK7+'[4]RB I'!BK7+'[4]SF I'!BK7</f>
        <v>10711.266558892163</v>
      </c>
      <c r="BL7" s="226">
        <f>+[4]SLP!BL7+[4]ROSA!BL7+'[4]STA ANA'!BL7+[4]BOA!BL7+'[4]STA MARIA'!BL7+'[4]CB I'!BL7+'[4]CB II'!BL7+'[4]CB III'!BL7+[4]IG!BL7+[4]PN!BL7+[4]MJ!BL7+'[4]RB I'!BL7+'[4]SF I'!BL7</f>
        <v>0</v>
      </c>
      <c r="BM7" s="226">
        <f>+[4]SLP!BM7+[4]ROSA!BM7+'[4]STA ANA'!BM7+[4]BOA!BM7+'[4]STA MARIA'!BM7+'[4]CB I'!BM7+'[4]CB II'!BM7+'[4]CB III'!BM7+[4]IG!BM7+[4]PN!BM7+[4]MJ!BM7+'[4]RB I'!BM7+'[4]SF I'!BM7</f>
        <v>0</v>
      </c>
      <c r="BN7" s="166">
        <f>+[4]SLP!BN7+[4]ROSA!BN7+'[4]STA ANA'!BN7+[4]BOA!BN7+'[4]STA MARIA'!BN7+'[4]CB I'!BN7+'[4]CB II'!BN7+'[4]CB III'!BN7+[4]IG!BN7+[4]PN!BN7+[4]MJ!BN7+'[4]RB I'!BN7+'[4]SÃO FRANCISCO'!BN7</f>
        <v>0</v>
      </c>
      <c r="BO7" s="224">
        <f t="shared" si="10"/>
        <v>-1</v>
      </c>
      <c r="BP7" s="225">
        <f>+[4]SLP!BP7+[4]ROSA!BP7+'[4]STA ANA'!BP7+[4]BOA!BP7+'[4]STA MARIA'!BP7+'[4]CB I'!BP7+'[4]CB II'!BP7+'[4]CB III'!BP7+[4]IG!BP7+[4]PN!BP7+[4]MJ!BP7+'[4]RB I'!BP7+'[4]SF I'!BP7</f>
        <v>87154.325133378035</v>
      </c>
      <c r="BQ7" s="226">
        <f>+[4]SLP!BQ7+[4]ROSA!BQ7+'[4]STA ANA'!BQ7+[4]BOA!BQ7+'[4]STA MARIA'!BQ7+'[4]CB I'!BQ7+'[4]CB II'!BQ7+'[4]CB III'!BQ7+[4]IG!BQ7+[4]PN!BQ7+[4]MJ!BQ7+'[4]RB I'!BQ7+'[4]SF I'!BQ7</f>
        <v>76443.058574485884</v>
      </c>
      <c r="BR7" s="226">
        <f>+[4]SLP!BR7+[4]ROSA!BR7+'[4]STA ANA'!BR7+[4]BOA!BR7+'[4]STA MARIA'!BR7+'[4]CB I'!BR7+'[4]CB II'!BR7+'[4]CB III'!BR7+[4]IG!BR7+[4]PN!BR7+[4]MJ!BR7+'[4]RB I'!BR7+'[4]SF I'!BR7</f>
        <v>10711.266558892163</v>
      </c>
      <c r="BS7" s="226">
        <f>+[4]SLP!BS7+[4]ROSA!BS7+'[4]STA ANA'!BS7+[4]BOA!BS7+'[4]STA MARIA'!BS7+'[4]CB I'!BS7+'[4]CB II'!BS7+'[4]CB III'!BS7+[4]IG!BS7+[4]PN!BS7+[4]MJ!BS7+'[4]RB I'!BS7+'[4]SF I'!BS7</f>
        <v>0</v>
      </c>
      <c r="BT7" s="226">
        <f>+[4]SLP!BT7+[4]ROSA!BT7+'[4]STA ANA'!BT7+[4]BOA!BT7+'[4]STA MARIA'!BT7+'[4]CB I'!BT7+'[4]CB II'!BT7+'[4]CB III'!BT7+[4]IG!BT7+[4]PN!BT7+[4]MJ!BT7+'[4]RB I'!BT7+'[4]SF I'!BT7</f>
        <v>0</v>
      </c>
      <c r="BU7" s="166">
        <f>+[4]SLP!BU7+[4]ROSA!BU7+'[4]STA ANA'!BU7+[4]BOA!BU7+'[4]STA MARIA'!BU7+'[4]CB I'!BU7+'[4]CB II'!BU7+'[4]CB III'!BU7+[4]IG!BU7+[4]PN!BU7+[4]MJ!BU7+'[4]RB I'!BU7+'[4]SÃO FRANCISCO'!BU7</f>
        <v>0</v>
      </c>
      <c r="BV7" s="224">
        <f t="shared" si="11"/>
        <v>-1</v>
      </c>
      <c r="BW7" s="225">
        <f>+[4]SLP!BW7+[4]ROSA!BW7+'[4]STA ANA'!BW7+[4]BOA!BW7+'[4]STA MARIA'!BW7+'[4]CB I'!BW7+'[4]CB II'!BW7+'[4]CB III'!BW7+[4]IG!BW7+[4]PN!BW7+[4]MJ!BW7+'[4]RB I'!BW7+'[4]SF I'!BW7</f>
        <v>87154.325133378035</v>
      </c>
      <c r="BX7" s="226">
        <f>+[4]SLP!BX7+[4]ROSA!BX7+'[4]STA ANA'!BX7+[4]BOA!BX7+'[4]STA MARIA'!BX7+'[4]CB I'!BX7+'[4]CB II'!BX7+'[4]CB III'!BX7+[4]IG!BX7+[4]PN!BX7+[4]MJ!BX7+'[4]RB I'!BX7+'[4]SF I'!BX7</f>
        <v>76443.058574485884</v>
      </c>
      <c r="BY7" s="226">
        <f>+[4]SLP!BY7+[4]ROSA!BY7+'[4]STA ANA'!BY7+[4]BOA!BY7+'[4]STA MARIA'!BY7+'[4]CB I'!BY7+'[4]CB II'!BY7+'[4]CB III'!BY7+[4]IG!BY7+[4]PN!BY7+[4]MJ!BY7+'[4]RB I'!BY7+'[4]SF I'!BY7</f>
        <v>10711.266558892163</v>
      </c>
      <c r="BZ7" s="226">
        <f>+[4]SLP!BZ7+[4]ROSA!BZ7+'[4]STA ANA'!BZ7+[4]BOA!BZ7+'[4]STA MARIA'!BZ7+'[4]CB I'!BZ7+'[4]CB II'!BZ7+'[4]CB III'!BZ7+[4]IG!BZ7+[4]PN!BZ7+[4]MJ!BZ7+'[4]RB I'!BZ7+'[4]SF I'!BZ7</f>
        <v>0</v>
      </c>
      <c r="CA7" s="226">
        <f>+[4]SLP!CA7+[4]ROSA!CA7+'[4]STA ANA'!CA7+[4]BOA!CA7+'[4]STA MARIA'!CA7+'[4]CB I'!CA7+'[4]CB II'!CA7+'[4]CB III'!CA7+[4]IG!CA7+[4]PN!CA7+[4]MJ!CA7+'[4]RB I'!CA7+'[4]SF I'!CA7</f>
        <v>0</v>
      </c>
      <c r="CB7" s="166">
        <f>+[4]SLP!CB7+[4]ROSA!CB7+'[4]STA ANA'!CB7+[4]BOA!CB7+'[4]STA MARIA'!CB7+'[4]CB I'!CB7+'[4]CB II'!CB7+'[4]CB III'!CB7+[4]IG!CB7+[4]PN!CB7+[4]MJ!CB7+'[4]RB I'!CB7+'[4]SÃO FRANCISCO'!CB7</f>
        <v>0</v>
      </c>
      <c r="CC7" s="224">
        <f t="shared" si="12"/>
        <v>-1</v>
      </c>
      <c r="CD7" s="225">
        <f>+[4]SLP!CD7+[4]ROSA!CD7+'[4]STA ANA'!CD7+[4]BOA!CD7+'[4]STA MARIA'!CD7+'[4]CB I'!CD7+'[4]CB II'!CD7+'[4]CB III'!CD7+[4]IG!CD7+[4]PN!CD7+[4]MJ!CD7+'[4]RB I'!CD7+'[4]SF I'!CD7</f>
        <v>87154.325133378035</v>
      </c>
      <c r="CE7" s="226">
        <f>+[4]SLP!CE7+[4]ROSA!CE7+'[4]STA ANA'!CE7+[4]BOA!CE7+'[4]STA MARIA'!CE7+'[4]CB I'!CE7+'[4]CB II'!CE7+'[4]CB III'!CE7+[4]IG!CE7+[4]PN!CE7+[4]MJ!CE7+'[4]RB I'!CE7+'[4]SF I'!CE7</f>
        <v>76443.058574485884</v>
      </c>
      <c r="CF7" s="226">
        <f>+[4]SLP!CF7+[4]ROSA!CF7+'[4]STA ANA'!CF7+[4]BOA!CF7+'[4]STA MARIA'!CF7+'[4]CB I'!CF7+'[4]CB II'!CF7+'[4]CB III'!CF7+[4]IG!CF7+[4]PN!CF7+[4]MJ!CF7+'[4]RB I'!CF7+'[4]SF I'!CF7</f>
        <v>10711.266558892163</v>
      </c>
      <c r="CG7" s="226">
        <f>+[4]SLP!CG7+[4]ROSA!CG7+'[4]STA ANA'!CG7+[4]BOA!CG7+'[4]STA MARIA'!CG7+'[4]CB I'!CG7+'[4]CB II'!CG7+'[4]CB III'!CG7+[4]IG!CG7+[4]PN!CG7+[4]MJ!CG7+'[4]RB I'!CG7+'[4]SF I'!CG7</f>
        <v>0</v>
      </c>
      <c r="CH7" s="226">
        <f>+[4]SLP!CH7+[4]ROSA!CH7+'[4]STA ANA'!CH7+[4]BOA!CH7+'[4]STA MARIA'!CH7+'[4]CB I'!CH7+'[4]CB II'!CH7+'[4]CB III'!CH7+[4]IG!CH7+[4]PN!CH7+[4]MJ!CH7+'[4]RB I'!CH7+'[4]SF I'!CH7</f>
        <v>0</v>
      </c>
      <c r="CI7" s="166">
        <f>+[4]SLP!CI7+[4]ROSA!CI7+'[4]STA ANA'!CI7+[4]BOA!CI7+'[4]STA MARIA'!CI7+'[4]CB I'!CI7+'[4]CB II'!CI7+'[4]CB III'!CI7+[4]IG!CI7+[4]PN!CI7+[4]MJ!CI7+'[4]RB I'!CI7+'[4]SÃO FRANCISCO'!CI7</f>
        <v>0</v>
      </c>
      <c r="CJ7" s="224">
        <f t="shared" si="13"/>
        <v>-1</v>
      </c>
      <c r="CK7" s="225">
        <f>+[4]SLP!CK7+[4]ROSA!CK7+'[4]STA ANA'!CK7+[4]BOA!CK7+'[4]STA MARIA'!CK7+'[4]CB I'!CK7+'[4]CB II'!CK7+'[4]CB III'!CK7+[4]IG!CK7+[4]PN!CK7+[4]MJ!CK7+'[4]RB I'!CK7+'[4]SF I'!CK7</f>
        <v>87154.325133378035</v>
      </c>
      <c r="CL7" s="226">
        <f>+[4]SLP!CL7+[4]ROSA!CL7+'[4]STA ANA'!CL7+[4]BOA!CL7+'[4]STA MARIA'!CL7+'[4]CB I'!CL7+'[4]CB II'!CL7+'[4]CB III'!CL7+[4]IG!CL7+[4]PN!CL7+[4]MJ!CL7+'[4]RB I'!CL7+'[4]SF I'!CL7</f>
        <v>76443.058574485884</v>
      </c>
      <c r="CM7" s="226">
        <f>+[4]SLP!CM7+[4]ROSA!CM7+'[4]STA ANA'!CM7+[4]BOA!CM7+'[4]STA MARIA'!CM7+'[4]CB I'!CM7+'[4]CB II'!CM7+'[4]CB III'!CM7+[4]IG!CM7+[4]PN!CM7+[4]MJ!CM7+'[4]RB I'!CM7+'[4]SF I'!CM7</f>
        <v>10711.266558892163</v>
      </c>
      <c r="CN7" s="226">
        <f>+[4]SLP!CN7+[4]ROSA!CN7+'[4]STA ANA'!CN7+[4]BOA!CN7+'[4]STA MARIA'!CN7+'[4]CB I'!CN7+'[4]CB II'!CN7+'[4]CB III'!CN7+[4]IG!CN7+[4]PN!CN7+[4]MJ!CN7+'[4]RB I'!CN7+'[4]SF I'!CN7</f>
        <v>0</v>
      </c>
      <c r="CO7" s="226">
        <f>+[4]SLP!CO7+[4]ROSA!CO7+'[4]STA ANA'!CO7+[4]BOA!CO7+'[4]STA MARIA'!CO7+'[4]CB I'!CO7+'[4]CB II'!CO7+'[4]CB III'!CO7+[4]IG!CO7+[4]PN!CO7+[4]MJ!CO7+'[4]RB I'!CO7+'[4]SF I'!CO7</f>
        <v>0</v>
      </c>
      <c r="CP7" s="166">
        <f>+[4]SLP!CP7+[4]ROSA!CP7+'[4]STA ANA'!CP7+[4]BOA!CP7+'[4]STA MARIA'!CP7+'[4]CB I'!CP7+'[4]CB II'!CP7+'[4]CB III'!CP7+[4]IG!CP7+[4]PN!CP7+[4]MJ!CP7+'[4]RB I'!CP7+'[4]SÃO FRANCISCO'!CP7</f>
        <v>0</v>
      </c>
      <c r="CQ7" s="224">
        <f t="shared" si="14"/>
        <v>-1</v>
      </c>
      <c r="CR7" s="155"/>
      <c r="CS7" s="227" t="e">
        <f t="shared" si="15"/>
        <v>#VALUE!</v>
      </c>
    </row>
    <row r="8" spans="1:101" ht="14.25" customHeight="1" x14ac:dyDescent="0.2">
      <c r="A8" s="228" t="s">
        <v>32</v>
      </c>
      <c r="B8" s="30">
        <f t="shared" si="0"/>
        <v>938473.01587109815</v>
      </c>
      <c r="C8" s="31">
        <f t="shared" si="0"/>
        <v>823134.68222054013</v>
      </c>
      <c r="D8" s="32">
        <f t="shared" si="0"/>
        <v>115338.33365055795</v>
      </c>
      <c r="E8" s="30">
        <f t="shared" si="16"/>
        <v>0</v>
      </c>
      <c r="F8" s="33">
        <f t="shared" si="16"/>
        <v>0</v>
      </c>
      <c r="G8" s="34">
        <f t="shared" si="16"/>
        <v>0</v>
      </c>
      <c r="H8" s="31">
        <f t="shared" si="1"/>
        <v>935.2</v>
      </c>
      <c r="I8" s="33">
        <f t="shared" si="1"/>
        <v>64.800000000000011</v>
      </c>
      <c r="J8" s="33">
        <f t="shared" si="1"/>
        <v>1000</v>
      </c>
      <c r="K8" s="224" t="str">
        <f t="shared" si="2"/>
        <v/>
      </c>
      <c r="L8" s="225">
        <f>+[4]SLP!L8+[4]ROSA!L8+'[4]STA ANA'!L8+[4]BOA!L8+'[4]STA MARIA'!L8+'[4]CB I'!L8+'[4]CB II'!L8+'[4]CB III'!L8+[4]IG!L8+[4]PN!L8+[4]MJ!L8+'[4]RB I'!L8+'[4]SF I'!L8</f>
        <v>0</v>
      </c>
      <c r="M8" s="226">
        <f>+[4]SLP!M8+[4]ROSA!M8+'[4]STA ANA'!M8+[4]BOA!M8+'[4]STA MARIA'!M8+'[4]CB I'!M8+'[4]CB II'!M8+'[4]CB III'!M8+[4]IG!M8+[4]PN!M8+[4]MJ!M8+'[4]RB I'!M8+'[4]SF I'!M8</f>
        <v>0</v>
      </c>
      <c r="N8" s="226">
        <f>+[4]SLP!N8+[4]ROSA!N8+'[4]STA ANA'!N8+[4]BOA!N8+'[4]STA MARIA'!N8+'[4]CB I'!N8+'[4]CB II'!N8+'[4]CB III'!N8+[4]IG!N8+[4]PN!N8+[4]MJ!N8+'[4]RB I'!N8+'[4]SF I'!N8</f>
        <v>0</v>
      </c>
      <c r="O8" s="226">
        <f>+[4]SLP!O8+[4]ROSA!O8+'[4]STA ANA'!O8+[4]BOA!O8+'[4]STA MARIA'!O8+'[4]CB I'!O8+'[4]CB II'!O8+'[4]CB III'!O8+[4]IG!O8+[4]PN!O8+[4]MJ!O8+'[4]RB I'!O8+'[4]SF I'!O8</f>
        <v>0</v>
      </c>
      <c r="P8" s="226">
        <f>+[4]SLP!P8+[4]ROSA!P8+'[4]STA ANA'!P8+[4]BOA!P8+'[4]STA MARIA'!P8+'[4]CB I'!P8+'[4]CB II'!P8+'[4]CB III'!P8+[4]IG!P8+[4]PN!P8+[4]MJ!P8+'[4]RB I'!P8+'[4]SF I'!P8</f>
        <v>0</v>
      </c>
      <c r="Q8" s="166">
        <f>+[4]SLP!Q8+[4]ROSA!Q8+'[4]STA ANA'!Q8+[4]BOA!Q8+'[4]STA MARIA'!Q8+'[4]CB I'!Q8+'[4]CB II'!Q8+'[4]CB III'!Q8+[4]IG!Q8+[4]PN!Q8+[4]MJ!Q8+'[4]RB I'!Q8+'[4]SF I'!Q8</f>
        <v>0</v>
      </c>
      <c r="R8" s="224" t="str">
        <f t="shared" si="3"/>
        <v/>
      </c>
      <c r="S8" s="225">
        <f>+[4]SLP!S8+[4]ROSA!S8+'[4]STA ANA'!S8+[4]BOA!S8+'[4]STA MARIA'!S8+'[4]CB I'!S8+'[4]CB II'!S8+'[4]CB III'!S8+[4]IG!S8+[4]PN!S8+[4]MJ!S8+'[4]RB I'!S8+'[4]SF I'!S8</f>
        <v>0</v>
      </c>
      <c r="T8" s="226">
        <f>+[4]SLP!T8+[4]ROSA!T8+'[4]STA ANA'!T8+[4]BOA!T8+'[4]STA MARIA'!T8+'[4]CB I'!T8+'[4]CB II'!T8+'[4]CB III'!T8+[4]IG!T8+[4]PN!T8+[4]MJ!T8+'[4]RB I'!T8+'[4]SF I'!T8</f>
        <v>0</v>
      </c>
      <c r="U8" s="226">
        <f>+[4]SLP!U8+[4]ROSA!U8+'[4]STA ANA'!U8+[4]BOA!U8+'[4]STA MARIA'!U8+'[4]CB I'!U8+'[4]CB II'!U8+'[4]CB III'!U8+[4]IG!U8+[4]PN!U8+[4]MJ!U8+'[4]RB I'!U8+'[4]SF I'!U8</f>
        <v>0</v>
      </c>
      <c r="V8" s="226">
        <f>+[4]SLP!V8+[4]ROSA!V8+'[4]STA ANA'!V8+[4]BOA!V8+'[4]STA MARIA'!V8+'[4]CB I'!V8+'[4]CB II'!V8+'[4]CB III'!V8+[4]IG!V8+[4]PN!V8+[4]MJ!V8+'[4]RB I'!V8+'[4]SF I'!V8</f>
        <v>0</v>
      </c>
      <c r="W8" s="226">
        <f>+[4]SLP!W8+[4]ROSA!W8+'[4]STA ANA'!W8+[4]BOA!W8+'[4]STA MARIA'!W8+'[4]CB I'!W8+'[4]CB II'!W8+'[4]CB III'!W8+[4]IG!W8+[4]PN!W8+[4]MJ!W8+'[4]RB I'!W8+'[4]SF I'!W8</f>
        <v>0</v>
      </c>
      <c r="X8" s="166">
        <f>[4]SLP!X8+[4]ROSA!X8+'[4]STA ANA'!X8+[4]BOA!X8+'[4]STA MARIA'!X8+'[4]CB I'!X8+'[4]CB II'!X8+'[4]CB III'!X8+[4]IG!X8+[4]PN!X8+[4]MJ!X8+'[4]RB I'!X8+'[4]SF I'!X8</f>
        <v>0</v>
      </c>
      <c r="Y8" s="224" t="str">
        <f t="shared" si="4"/>
        <v/>
      </c>
      <c r="Z8" s="225">
        <f>+[4]SLP!Z8+[4]ROSA!Z8+'[4]STA ANA'!Z8+[4]BOA!Z8+'[4]STA MARIA'!Z8+'[4]CB I'!Z8+'[4]CB II'!Z8+'[4]CB III'!Z8+[4]IG!Z8+[4]PN!Z8+[4]MJ!Z8+'[4]RB I'!Z8+'[4]SF I'!Z8</f>
        <v>0</v>
      </c>
      <c r="AA8" s="226">
        <f>+[4]SLP!AA8+[4]ROSA!AA8+'[4]STA ANA'!AA8+[4]BOA!AA8+'[4]STA MARIA'!AA8+'[4]CB I'!AA8+'[4]CB II'!AA8+'[4]CB III'!AA8+[4]IG!AA8+[4]PN!AA8+[4]MJ!AA8+'[4]RB I'!AA8+'[4]SF I'!AA8</f>
        <v>0</v>
      </c>
      <c r="AB8" s="226">
        <f>+[4]SLP!AB8+[4]ROSA!AB8+'[4]STA ANA'!AB8+[4]BOA!AB8+'[4]STA MARIA'!AB8+'[4]CB I'!AB8+'[4]CB II'!AB8+'[4]CB III'!AB8+[4]IG!AB8+[4]PN!AB8+[4]MJ!AB8+'[4]RB I'!AB8+'[4]SF I'!AB8</f>
        <v>0</v>
      </c>
      <c r="AC8" s="226">
        <f>+[4]SLP!AC8+[4]ROSA!AC8+'[4]STA ANA'!AC8+[4]BOA!AC8+'[4]STA MARIA'!AC8+'[4]CB I'!AC8+'[4]CB II'!AC8+'[4]CB III'!AC8+[4]IG!AC8+[4]PN!AC8+[4]MJ!AC8+'[4]RB I'!AC8+'[4]SF I'!AC8</f>
        <v>0</v>
      </c>
      <c r="AD8" s="226">
        <f>+[4]SLP!AD8+[4]ROSA!AD8+'[4]STA ANA'!AD8+[4]BOA!AD8+'[4]STA MARIA'!AD8+'[4]CB I'!AD8+'[4]CB II'!AD8+'[4]CB III'!AD8+[4]IG!AD8+[4]PN!AD8+[4]MJ!AD8+'[4]RB I'!AD8+'[4]SF I'!AD8</f>
        <v>0</v>
      </c>
      <c r="AE8" s="166">
        <f>+[4]SLP!AE8+[4]ROSA!AE8+'[4]STA ANA'!AE8+[4]BOA!AE8+'[4]STA MARIA'!AE8+'[4]CB I'!AE8+'[4]CB II'!AE8+'[4]CB III'!AE8+[4]IG!AE8+[4]PN!AE8+[4]MJ!AE8+'[4]RB I'!AE8+'[4]SF I'!AE8</f>
        <v>0</v>
      </c>
      <c r="AF8" s="224" t="str">
        <f t="shared" si="5"/>
        <v/>
      </c>
      <c r="AG8" s="225">
        <f>+[4]SLP!AG8+[4]ROSA!AG8+'[4]STA ANA'!AG8+[4]BOA!AG8+'[4]STA MARIA'!AG8+'[4]CB I'!AG8+'[4]CB II'!AG8+'[4]CB III'!AG8+[4]IG!AG8+[4]PN!AG8+[4]MJ!AG8+'[4]RB I'!AG8+'[4]SF I'!AG8</f>
        <v>0</v>
      </c>
      <c r="AH8" s="226">
        <f>+[4]SLP!AH8+[4]ROSA!AH8+'[4]STA ANA'!AH8+[4]BOA!AH8+'[4]STA MARIA'!AH8+'[4]CB I'!AH8+'[4]CB II'!AH8+'[4]CB III'!AH8+[4]IG!AH8+[4]PN!AH8+[4]MJ!AH8+'[4]RB I'!AH8+'[4]SF I'!AH8</f>
        <v>0</v>
      </c>
      <c r="AI8" s="226">
        <f>+[4]SLP!AI8+[4]ROSA!AI8+'[4]STA ANA'!AI8+[4]BOA!AI8+'[4]STA MARIA'!AI8+'[4]CB I'!AI8+'[4]CB II'!AI8+'[4]CB III'!AI8+[4]IG!AI8+[4]PN!AI8+[4]MJ!AI8+'[4]RB I'!AI8+'[4]SF I'!AI8</f>
        <v>0</v>
      </c>
      <c r="AJ8" s="226">
        <f>+[4]SLP!AJ8+[4]ROSA!AJ8+'[4]STA ANA'!AJ8+[4]BOA!AJ8+'[4]STA MARIA'!AJ8+'[4]CB I'!AJ8+'[4]CB II'!AJ8+'[4]CB III'!AJ8+[4]IG!AJ8+[4]PN!AJ8+[4]MJ!AJ8+'[4]RB I'!AJ8+'[4]SF I'!AJ8</f>
        <v>935.2</v>
      </c>
      <c r="AK8" s="226">
        <f>+[4]SLP!AK8+[4]ROSA!AK8+'[4]STA ANA'!AK8+[4]BOA!AK8+'[4]STA MARIA'!AK8+'[4]CB I'!AK8+'[4]CB II'!AK8+'[4]CB III'!AK8+[4]IG!AK8+[4]PN!AK8+[4]MJ!AK8+'[4]RB I'!AK8+'[4]SF I'!AK8</f>
        <v>64.800000000000011</v>
      </c>
      <c r="AL8" s="166">
        <f>+[4]SLP!AL8+[4]ROSA!AL8+'[4]STA ANA'!AL8+[4]BOA!AL8+'[4]STA MARIA'!AL8+'[4]CB I'!AL8+'[4]CB II'!AL8+'[4]CB III'!AL8+[4]IG!AL8+[4]PN!AL8+[4]MJ!AL8+'[4]RB I'!AL8+'[4]SF I'!AL8</f>
        <v>1000</v>
      </c>
      <c r="AM8" s="224" t="str">
        <f t="shared" si="6"/>
        <v/>
      </c>
      <c r="AN8" s="225">
        <f>+[4]SLP!AN8+[4]ROSA!AN8+'[4]STA ANA'!AN8+[4]BOA!AN8+'[4]STA MARIA'!AN8+'[4]CB I'!AN8+'[4]CB II'!AN8+'[4]CB III'!AN8+[4]IG!AN8+[4]PN!AN8+[4]MJ!AN8+'[4]RB I'!AN8+'[4]SF I'!AN8</f>
        <v>0</v>
      </c>
      <c r="AO8" s="226">
        <f>+[4]SLP!AO8+[4]ROSA!AO8+'[4]STA ANA'!AO8+[4]BOA!AO8+'[4]STA MARIA'!AO8+'[4]CB I'!AO8+'[4]CB II'!AO8+'[4]CB III'!AO8+[4]IG!AO8+[4]PN!AO8+[4]MJ!AO8+'[4]RB I'!AO8+'[4]SF I'!AO8</f>
        <v>0</v>
      </c>
      <c r="AP8" s="226">
        <f>+[4]SLP!AP8+[4]ROSA!AP8+'[4]STA ANA'!AP8+[4]BOA!AP8+'[4]STA MARIA'!AP8+'[4]CB I'!AP8+'[4]CB II'!AP8+'[4]CB III'!AP8+[4]IG!AP8+[4]PN!AP8+[4]MJ!AP8+'[4]RB I'!AP8+'[4]SF I'!AP8</f>
        <v>0</v>
      </c>
      <c r="AQ8" s="226">
        <f>+[4]SLP!AQ8+[4]ROSA!AQ8+'[4]STA ANA'!AQ8+[4]BOA!AQ8+'[4]STA MARIA'!AQ8+'[4]CB I'!AQ8+'[4]CB II'!AQ8+'[4]CB III'!AQ8+[4]IG!AQ8+[4]PN!AQ8+[4]MJ!AQ8+'[4]RB I'!AQ8+'[4]SF I'!AQ8</f>
        <v>0</v>
      </c>
      <c r="AR8" s="226">
        <f>+[4]SLP!AR8+[4]ROSA!AR8+'[4]STA ANA'!AR8+[4]BOA!AR8+'[4]STA MARIA'!AR8+'[4]CB I'!AR8+'[4]CB II'!AR8+'[4]CB III'!AR8+[4]IG!AR8+[4]PN!AR8+[4]MJ!AR8+'[4]RB I'!AR8+'[4]SF I'!AR8</f>
        <v>0</v>
      </c>
      <c r="AS8" s="166">
        <f>+[4]SLP!AS8+[4]ROSA!AS8+'[4]STA ANA'!AS8+[4]BOA!AS8+'[4]STA MARIA'!AS8+'[4]CB I'!AS8+'[4]CB II'!AS8+'[4]CB III'!AS8+[4]IG!AS8+[4]PN!AS8+[4]MJ!AS8+'[4]RB I'!AS8+'[4]SÃO FRANCISCO'!AS8</f>
        <v>0</v>
      </c>
      <c r="AT8" s="224" t="str">
        <f t="shared" si="7"/>
        <v/>
      </c>
      <c r="AU8" s="225">
        <f>+[4]SLP!AU8+[4]ROSA!AU8+'[4]STA ANA'!AU8+[4]BOA!AU8+'[4]STA MARIA'!AU8+'[4]CB I'!AU8+'[4]CB II'!AU8+'[4]CB III'!AU8+[4]IG!AU8+[4]PN!AU8+[4]MJ!AU8+'[4]RB I'!AU8+'[4]SF I'!AU8</f>
        <v>0</v>
      </c>
      <c r="AV8" s="226">
        <f>+[4]SLP!AV8+[4]ROSA!AV8+'[4]STA ANA'!AV8+[4]BOA!AV8+'[4]STA MARIA'!AV8+'[4]CB I'!AV8+'[4]CB II'!AV8+'[4]CB III'!AV8+[4]IG!AV8+[4]PN!AV8+[4]MJ!AV8+'[4]RB I'!AV8+'[4]SF I'!AV8</f>
        <v>0</v>
      </c>
      <c r="AW8" s="226">
        <f>+[4]SLP!AW8+[4]ROSA!AW8+'[4]STA ANA'!AW8+[4]BOA!AW8+'[4]STA MARIA'!AW8+'[4]CB I'!AW8+'[4]CB II'!AW8+'[4]CB III'!AW8+[4]IG!AW8+[4]PN!AW8+[4]MJ!AW8+'[4]RB I'!AW8+'[4]SF I'!AW8</f>
        <v>0</v>
      </c>
      <c r="AX8" s="226">
        <f>+[4]SLP!AX8+[4]ROSA!AX8+'[4]STA ANA'!AX8+[4]BOA!AX8+'[4]STA MARIA'!AX8+'[4]CB I'!AX8+'[4]CB II'!AX8+'[4]CB III'!AX8+[4]IG!AX8+[4]PN!AX8+[4]MJ!AX8+'[4]RB I'!AX8+'[4]SF I'!AX8</f>
        <v>0</v>
      </c>
      <c r="AY8" s="226">
        <f>+[4]SLP!AY8+[4]ROSA!AY8+'[4]STA ANA'!AY8+[4]BOA!AY8+'[4]STA MARIA'!AY8+'[4]CB I'!AY8+'[4]CB II'!AY8+'[4]CB III'!AY8+[4]IG!AY8+[4]PN!AY8+[4]MJ!AY8+'[4]RB I'!AY8+'[4]SF I'!AY8</f>
        <v>0</v>
      </c>
      <c r="AZ8" s="166">
        <f>+[4]SLP!AZ8+[4]ROSA!AZ8+'[4]STA ANA'!AZ8+[4]BOA!AZ8+'[4]STA MARIA'!AZ8+'[4]CB I'!AZ8+'[4]CB II'!AZ8+[4]IG!AZ8+[4]PN!AZ8+[4]MJ!AZ8+'[4]RB I'!AZ8+'[4]SÃO FRANCISCO'!AZ8</f>
        <v>0</v>
      </c>
      <c r="BA8" s="224" t="str">
        <f t="shared" si="8"/>
        <v/>
      </c>
      <c r="BB8" s="225">
        <f>+[4]SLP!BB8+[4]ROSA!BB8+'[4]STA ANA'!BB8+[4]BOA!BB8+'[4]STA MARIA'!BB8+'[4]CB I'!BB8+'[4]CB II'!BB8+'[4]CB III'!BB8+[4]IG!BB8+[4]PN!BB8+[4]MJ!BB8+'[4]RB I'!BB8+'[4]SF I'!BB8</f>
        <v>938473.01587109815</v>
      </c>
      <c r="BC8" s="226">
        <f>+[4]SLP!BC8+[4]ROSA!BC8+'[4]STA ANA'!BC8+[4]BOA!BC8+'[4]STA MARIA'!BC8+'[4]CB I'!BC8+'[4]CB II'!BC8+'[4]CB III'!BC8+[4]IG!BC8+[4]PN!BC8+[4]MJ!BC8+'[4]RB I'!BC8+'[4]SF I'!BC8</f>
        <v>823134.68222054013</v>
      </c>
      <c r="BD8" s="226">
        <f>+[4]SLP!BD8+[4]ROSA!BD8+'[4]STA ANA'!BD8+[4]BOA!BD8+'[4]STA MARIA'!BD8+'[4]CB I'!BD8+'[4]CB II'!BD8+'[4]CB III'!BD8+[4]IG!BD8+[4]PN!BD8+[4]MJ!BD8+'[4]RB I'!BD8+'[4]SF I'!BD8</f>
        <v>115338.33365055795</v>
      </c>
      <c r="BE8" s="226">
        <f>+[4]SLP!BE8+[4]ROSA!BE8+'[4]STA ANA'!BE8+[4]BOA!BE8+'[4]STA MARIA'!BE8+'[4]CB I'!BE8+'[4]CB II'!BE8+'[4]CB III'!BE8+[4]IG!BE8+[4]PN!BE8+[4]MJ!BE8+'[4]RB I'!BE8+'[4]SF I'!BE8</f>
        <v>0</v>
      </c>
      <c r="BF8" s="226">
        <f>+[4]SLP!BF8+[4]ROSA!BF8+'[4]STA ANA'!BF8+[4]BOA!BF8+'[4]STA MARIA'!BF8+'[4]CB I'!BF8+'[4]CB II'!BF8+'[4]CB III'!BF8+[4]IG!BF8+[4]PN!BF8+[4]MJ!BF8+'[4]RB I'!BF8+'[4]SF I'!BF8</f>
        <v>0</v>
      </c>
      <c r="BG8" s="166">
        <f>+[4]SLP!BG8+[4]ROSA!BG8+'[4]STA ANA'!BG8+[4]BOA!BG8+'[4]STA MARIA'!BG8+'[4]CB I'!BG8+'[4]CB II'!BG8+'[4]CB III'!BG8+[4]IG!BG8+[4]PN!BG8+[4]MJ!BG8+'[4]RB I'!BG8+'[4]SÃO FRANCISCO'!BG8</f>
        <v>0</v>
      </c>
      <c r="BH8" s="224">
        <f t="shared" si="9"/>
        <v>-1</v>
      </c>
      <c r="BI8" s="225">
        <f>+[4]SLP!BI8+[4]ROSA!BI8+'[4]STA ANA'!BI8+[4]BOA!BI8+'[4]STA MARIA'!BI8+'[4]CB I'!BI8+'[4]CB II'!BI8+'[4]CB III'!BI8+[4]IG!BI8+[4]PN!BI8+[4]MJ!BI8+'[4]RB I'!BI8+'[4]SF I'!BI8</f>
        <v>0</v>
      </c>
      <c r="BJ8" s="226">
        <f>+[4]SLP!BJ8+[4]ROSA!BJ8+'[4]STA ANA'!BJ8+[4]BOA!BJ8+'[4]STA MARIA'!BJ8+'[4]CB I'!BJ8+'[4]CB II'!BJ8+'[4]CB III'!BJ8+[4]IG!BJ8+[4]PN!BJ8+[4]MJ!BJ8+'[4]RB I'!BJ8+'[4]SF I'!BJ8</f>
        <v>0</v>
      </c>
      <c r="BK8" s="226">
        <f>+[4]SLP!BK8+[4]ROSA!BK8+'[4]STA ANA'!BK8+[4]BOA!BK8+'[4]STA MARIA'!BK8+'[4]CB I'!BK8+'[4]CB II'!BK8+'[4]CB III'!BK8+[4]IG!BK8+[4]PN!BK8+[4]MJ!BK8+'[4]RB I'!BK8+'[4]SF I'!BK8</f>
        <v>0</v>
      </c>
      <c r="BL8" s="226">
        <f>+[4]SLP!BL8+[4]ROSA!BL8+'[4]STA ANA'!BL8+[4]BOA!BL8+'[4]STA MARIA'!BL8+'[4]CB I'!BL8+'[4]CB II'!BL8+'[4]CB III'!BL8+[4]IG!BL8+[4]PN!BL8+[4]MJ!BL8+'[4]RB I'!BL8+'[4]SF I'!BL8</f>
        <v>0</v>
      </c>
      <c r="BM8" s="226">
        <f>+[4]SLP!BM8+[4]ROSA!BM8+'[4]STA ANA'!BM8+[4]BOA!BM8+'[4]STA MARIA'!BM8+'[4]CB I'!BM8+'[4]CB II'!BM8+'[4]CB III'!BM8+[4]IG!BM8+[4]PN!BM8+[4]MJ!BM8+'[4]RB I'!BM8+'[4]SF I'!BM8</f>
        <v>0</v>
      </c>
      <c r="BN8" s="166">
        <f>+[4]SLP!BN8+[4]ROSA!BN8+'[4]STA ANA'!BN8+[4]BOA!BN8+'[4]STA MARIA'!BN8+'[4]CB I'!BN8+'[4]CB II'!BN8+'[4]CB III'!BN8+[4]IG!BN8+[4]PN!BN8+[4]MJ!BN8+'[4]RB I'!BN8+'[4]SÃO FRANCISCO'!BN8</f>
        <v>0</v>
      </c>
      <c r="BO8" s="224" t="str">
        <f t="shared" si="10"/>
        <v/>
      </c>
      <c r="BP8" s="225">
        <f>+[4]SLP!BP8+[4]ROSA!BP8+'[4]STA ANA'!BP8+[4]BOA!BP8+'[4]STA MARIA'!BP8+'[4]CB I'!BP8+'[4]CB II'!BP8+'[4]CB III'!BP8+[4]IG!BP8+[4]PN!BP8+[4]MJ!BP8+'[4]RB I'!BP8+'[4]SF I'!BP8</f>
        <v>0</v>
      </c>
      <c r="BQ8" s="226">
        <f>+[4]SLP!BQ8+[4]ROSA!BQ8+'[4]STA ANA'!BQ8+[4]BOA!BQ8+'[4]STA MARIA'!BQ8+'[4]CB I'!BQ8+'[4]CB II'!BQ8+'[4]CB III'!BQ8+[4]IG!BQ8+[4]PN!BQ8+[4]MJ!BQ8+'[4]RB I'!BQ8+'[4]SF I'!BQ8</f>
        <v>0</v>
      </c>
      <c r="BR8" s="226">
        <f>+[4]SLP!BR8+[4]ROSA!BR8+'[4]STA ANA'!BR8+[4]BOA!BR8+'[4]STA MARIA'!BR8+'[4]CB I'!BR8+'[4]CB II'!BR8+'[4]CB III'!BR8+[4]IG!BR8+[4]PN!BR8+[4]MJ!BR8+'[4]RB I'!BR8+'[4]SF I'!BR8</f>
        <v>0</v>
      </c>
      <c r="BS8" s="226">
        <f>+[4]SLP!BS8+[4]ROSA!BS8+'[4]STA ANA'!BS8+[4]BOA!BS8+'[4]STA MARIA'!BS8+'[4]CB I'!BS8+'[4]CB II'!BS8+'[4]CB III'!BS8+[4]IG!BS8+[4]PN!BS8+[4]MJ!BS8+'[4]RB I'!BS8+'[4]SF I'!BS8</f>
        <v>0</v>
      </c>
      <c r="BT8" s="226">
        <f>+[4]SLP!BT8+[4]ROSA!BT8+'[4]STA ANA'!BT8+[4]BOA!BT8+'[4]STA MARIA'!BT8+'[4]CB I'!BT8+'[4]CB II'!BT8+'[4]CB III'!BT8+[4]IG!BT8+[4]PN!BT8+[4]MJ!BT8+'[4]RB I'!BT8+'[4]SF I'!BT8</f>
        <v>0</v>
      </c>
      <c r="BU8" s="166">
        <f>+[4]SLP!BU8+[4]ROSA!BU8+'[4]STA ANA'!BU8+[4]BOA!BU8+'[4]STA MARIA'!BU8+'[4]CB I'!BU8+'[4]CB II'!BU8+'[4]CB III'!BU8+[4]IG!BU8+[4]PN!BU8+[4]MJ!BU8+'[4]RB I'!BU8+'[4]SÃO FRANCISCO'!BU8</f>
        <v>0</v>
      </c>
      <c r="BV8" s="224" t="str">
        <f t="shared" si="11"/>
        <v/>
      </c>
      <c r="BW8" s="225">
        <f>+[4]SLP!BW8+[4]ROSA!BW8+'[4]STA ANA'!BW8+[4]BOA!BW8+'[4]STA MARIA'!BW8+'[4]CB I'!BW8+'[4]CB II'!BW8+'[4]CB III'!BW8+[4]IG!BW8+[4]PN!BW8+[4]MJ!BW8+'[4]RB I'!BW8+'[4]SF I'!BW8</f>
        <v>0</v>
      </c>
      <c r="BX8" s="226">
        <f>+[4]SLP!BX8+[4]ROSA!BX8+'[4]STA ANA'!BX8+[4]BOA!BX8+'[4]STA MARIA'!BX8+'[4]CB I'!BX8+'[4]CB II'!BX8+'[4]CB III'!BX8+[4]IG!BX8+[4]PN!BX8+[4]MJ!BX8+'[4]RB I'!BX8+'[4]SF I'!BX8</f>
        <v>0</v>
      </c>
      <c r="BY8" s="226">
        <f>+[4]SLP!BY8+[4]ROSA!BY8+'[4]STA ANA'!BY8+[4]BOA!BY8+'[4]STA MARIA'!BY8+'[4]CB I'!BY8+'[4]CB II'!BY8+'[4]CB III'!BY8+[4]IG!BY8+[4]PN!BY8+[4]MJ!BY8+'[4]RB I'!BY8+'[4]SF I'!BY8</f>
        <v>0</v>
      </c>
      <c r="BZ8" s="226">
        <f>+[4]SLP!BZ8+[4]ROSA!BZ8+'[4]STA ANA'!BZ8+[4]BOA!BZ8+'[4]STA MARIA'!BZ8+'[4]CB I'!BZ8+'[4]CB II'!BZ8+'[4]CB III'!BZ8+[4]IG!BZ8+[4]PN!BZ8+[4]MJ!BZ8+'[4]RB I'!BZ8+'[4]SF I'!BZ8</f>
        <v>0</v>
      </c>
      <c r="CA8" s="226">
        <f>+[4]SLP!CA8+[4]ROSA!CA8+'[4]STA ANA'!CA8+[4]BOA!CA8+'[4]STA MARIA'!CA8+'[4]CB I'!CA8+'[4]CB II'!CA8+'[4]CB III'!CA8+[4]IG!CA8+[4]PN!CA8+[4]MJ!CA8+'[4]RB I'!CA8+'[4]SF I'!CA8</f>
        <v>0</v>
      </c>
      <c r="CB8" s="166">
        <f>+[4]SLP!CB8+[4]ROSA!CB8+'[4]STA ANA'!CB8+[4]BOA!CB8+'[4]STA MARIA'!CB8+'[4]CB I'!CB8+'[4]CB II'!CB8+'[4]CB III'!CB8+[4]IG!CB8+[4]PN!CB8+[4]MJ!CB8+'[4]RB I'!CB8+'[4]SÃO FRANCISCO'!CB8</f>
        <v>0</v>
      </c>
      <c r="CC8" s="224" t="str">
        <f t="shared" si="12"/>
        <v/>
      </c>
      <c r="CD8" s="225">
        <f>+[4]SLP!CD8+[4]ROSA!CD8+'[4]STA ANA'!CD8+[4]BOA!CD8+'[4]STA MARIA'!CD8+'[4]CB I'!CD8+'[4]CB II'!CD8+'[4]CB III'!CD8+[4]IG!CD8+[4]PN!CD8+[4]MJ!CD8+'[4]RB I'!CD8+'[4]SF I'!CD8</f>
        <v>0</v>
      </c>
      <c r="CE8" s="226">
        <f>+[4]SLP!CE8+[4]ROSA!CE8+'[4]STA ANA'!CE8+[4]BOA!CE8+'[4]STA MARIA'!CE8+'[4]CB I'!CE8+'[4]CB II'!CE8+'[4]CB III'!CE8+[4]IG!CE8+[4]PN!CE8+[4]MJ!CE8+'[4]RB I'!CE8+'[4]SF I'!CE8</f>
        <v>0</v>
      </c>
      <c r="CF8" s="226">
        <f>+[4]SLP!CF8+[4]ROSA!CF8+'[4]STA ANA'!CF8+[4]BOA!CF8+'[4]STA MARIA'!CF8+'[4]CB I'!CF8+'[4]CB II'!CF8+'[4]CB III'!CF8+[4]IG!CF8+[4]PN!CF8+[4]MJ!CF8+'[4]RB I'!CF8+'[4]SF I'!CF8</f>
        <v>0</v>
      </c>
      <c r="CG8" s="226">
        <f>+[4]SLP!CG8+[4]ROSA!CG8+'[4]STA ANA'!CG8+[4]BOA!CG8+'[4]STA MARIA'!CG8+'[4]CB I'!CG8+'[4]CB II'!CG8+'[4]CB III'!CG8+[4]IG!CG8+[4]PN!CG8+[4]MJ!CG8+'[4]RB I'!CG8+'[4]SF I'!CG8</f>
        <v>0</v>
      </c>
      <c r="CH8" s="226">
        <f>+[4]SLP!CH8+[4]ROSA!CH8+'[4]STA ANA'!CH8+[4]BOA!CH8+'[4]STA MARIA'!CH8+'[4]CB I'!CH8+'[4]CB II'!CH8+'[4]CB III'!CH8+[4]IG!CH8+[4]PN!CH8+[4]MJ!CH8+'[4]RB I'!CH8+'[4]SF I'!CH8</f>
        <v>0</v>
      </c>
      <c r="CI8" s="166">
        <f>+[4]SLP!CI8+[4]ROSA!CI8+'[4]STA ANA'!CI8+[4]BOA!CI8+'[4]STA MARIA'!CI8+'[4]CB I'!CI8+'[4]CB II'!CI8+'[4]CB III'!CI8+[4]IG!CI8+[4]PN!CI8+[4]MJ!CI8+'[4]RB I'!CI8+'[4]SÃO FRANCISCO'!CI8</f>
        <v>0</v>
      </c>
      <c r="CJ8" s="224" t="str">
        <f t="shared" si="13"/>
        <v/>
      </c>
      <c r="CK8" s="225">
        <f>+[4]SLP!CK8+[4]ROSA!CK8+'[4]STA ANA'!CK8+[4]BOA!CK8+'[4]STA MARIA'!CK8+'[4]CB I'!CK8+'[4]CB II'!CK8+'[4]CB III'!CK8+[4]IG!CK8+[4]PN!CK8+[4]MJ!CK8+'[4]RB I'!CK8+'[4]SF I'!CK8</f>
        <v>0</v>
      </c>
      <c r="CL8" s="226">
        <f>+[4]SLP!CL8+[4]ROSA!CL8+'[4]STA ANA'!CL8+[4]BOA!CL8+'[4]STA MARIA'!CL8+'[4]CB I'!CL8+'[4]CB II'!CL8+'[4]CB III'!CL8+[4]IG!CL8+[4]PN!CL8+[4]MJ!CL8+'[4]RB I'!CL8+'[4]SF I'!CL8</f>
        <v>0</v>
      </c>
      <c r="CM8" s="226">
        <f>+[4]SLP!CM8+[4]ROSA!CM8+'[4]STA ANA'!CM8+[4]BOA!CM8+'[4]STA MARIA'!CM8+'[4]CB I'!CM8+'[4]CB II'!CM8+'[4]CB III'!CM8+[4]IG!CM8+[4]PN!CM8+[4]MJ!CM8+'[4]RB I'!CM8+'[4]SF I'!CM8</f>
        <v>0</v>
      </c>
      <c r="CN8" s="226">
        <f>+[4]SLP!CN8+[4]ROSA!CN8+'[4]STA ANA'!CN8+[4]BOA!CN8+'[4]STA MARIA'!CN8+'[4]CB I'!CN8+'[4]CB II'!CN8+'[4]CB III'!CN8+[4]IG!CN8+[4]PN!CN8+[4]MJ!CN8+'[4]RB I'!CN8+'[4]SF I'!CN8</f>
        <v>0</v>
      </c>
      <c r="CO8" s="226">
        <f>+[4]SLP!CO8+[4]ROSA!CO8+'[4]STA ANA'!CO8+[4]BOA!CO8+'[4]STA MARIA'!CO8+'[4]CB I'!CO8+'[4]CB II'!CO8+'[4]CB III'!CO8+[4]IG!CO8+[4]PN!CO8+[4]MJ!CO8+'[4]RB I'!CO8+'[4]SF I'!CO8</f>
        <v>0</v>
      </c>
      <c r="CP8" s="166">
        <f>+[4]SLP!CP8+[4]ROSA!CP8+'[4]STA ANA'!CP8+[4]BOA!CP8+'[4]STA MARIA'!CP8+'[4]CB I'!CP8+'[4]CB II'!CP8+'[4]CB III'!CP8+[4]IG!CP8+[4]PN!CP8+[4]MJ!CP8+'[4]RB I'!CP8+'[4]SÃO FRANCISCO'!CP8</f>
        <v>0</v>
      </c>
      <c r="CQ8" s="224" t="str">
        <f t="shared" si="14"/>
        <v/>
      </c>
      <c r="CR8" s="155"/>
      <c r="CS8" s="227" t="e">
        <f t="shared" si="15"/>
        <v>#VALUE!</v>
      </c>
    </row>
    <row r="9" spans="1:101" ht="14.25" customHeight="1" x14ac:dyDescent="0.2">
      <c r="A9" s="228" t="s">
        <v>33</v>
      </c>
      <c r="B9" s="30">
        <f t="shared" si="0"/>
        <v>816697.93287303112</v>
      </c>
      <c r="C9" s="31">
        <f t="shared" si="0"/>
        <v>716325.75692293572</v>
      </c>
      <c r="D9" s="32">
        <f t="shared" si="0"/>
        <v>100372.17595009552</v>
      </c>
      <c r="E9" s="30">
        <f t="shared" si="16"/>
        <v>263892.90794952464</v>
      </c>
      <c r="F9" s="33">
        <f t="shared" si="16"/>
        <v>231460.46956252801</v>
      </c>
      <c r="G9" s="34">
        <f t="shared" si="16"/>
        <v>32432.438386996575</v>
      </c>
      <c r="H9" s="31">
        <f t="shared" si="1"/>
        <v>236768.27973548148</v>
      </c>
      <c r="I9" s="33">
        <f t="shared" si="1"/>
        <v>25277.24199537381</v>
      </c>
      <c r="J9" s="33">
        <f t="shared" si="1"/>
        <v>262045.52173085531</v>
      </c>
      <c r="K9" s="224">
        <f t="shared" si="2"/>
        <v>-7.0005148415078766E-3</v>
      </c>
      <c r="L9" s="225">
        <f>+[4]SLP!L9+[4]ROSA!L9+'[4]STA ANA'!L9+[4]BOA!L9+'[4]STA MARIA'!L9+'[4]CB I'!L9+'[4]CB II'!L9+'[4]CB III'!L9+[4]IG!L9+[4]PN!L9+[4]MJ!L9+'[4]RB I'!L9+'[4]SF I'!L9</f>
        <v>65973.22698738116</v>
      </c>
      <c r="M9" s="226">
        <f>+[4]SLP!M9+[4]ROSA!M9+'[4]STA ANA'!M9+[4]BOA!M9+'[4]STA MARIA'!M9+'[4]CB I'!M9+'[4]CB II'!M9+'[4]CB III'!M9+[4]IG!M9+[4]PN!M9+[4]MJ!M9+'[4]RB I'!M9+'[4]SF I'!M9</f>
        <v>57865.117390632004</v>
      </c>
      <c r="N9" s="226">
        <f>+[4]SLP!N9+[4]ROSA!N9+'[4]STA ANA'!N9+[4]BOA!N9+'[4]STA MARIA'!N9+'[4]CB I'!N9+'[4]CB II'!N9+'[4]CB III'!N9+[4]IG!N9+[4]PN!N9+[4]MJ!N9+'[4]RB I'!N9+'[4]SF I'!N9</f>
        <v>8108.1095967491437</v>
      </c>
      <c r="O9" s="226">
        <f>+[4]SLP!O9+[4]ROSA!O9+'[4]STA ANA'!O9+[4]BOA!O9+'[4]STA MARIA'!O9+'[4]CB I'!O9+'[4]CB II'!O9+'[4]CB III'!O9+[4]IG!O9+[4]PN!O9+[4]MJ!O9+'[4]RB I'!O9+'[4]SF I'!O9</f>
        <v>88725.637193910879</v>
      </c>
      <c r="P9" s="226">
        <f>+[4]SLP!P9+[4]ROSA!P9+'[4]STA ANA'!P9+[4]BOA!P9+'[4]STA MARIA'!P9+'[4]CB I'!P9+'[4]CB II'!P9+'[4]CB III'!P9+[4]IG!P9+[4]PN!P9+[4]MJ!P9+'[4]RB I'!P9+'[4]SF I'!P9</f>
        <v>9110.7153830184543</v>
      </c>
      <c r="Q9" s="166">
        <f>+[4]SLP!Q9+[4]ROSA!Q9+'[4]STA ANA'!Q9+[4]BOA!Q9+'[4]STA MARIA'!Q9+'[4]CB I'!Q9+'[4]CB II'!Q9+'[4]CB III'!Q9+[4]IG!Q9+[4]PN!Q9+[4]MJ!Q9+'[4]RB I'!Q9+'[4]SF I'!Q9</f>
        <v>97836.352576929348</v>
      </c>
      <c r="R9" s="224">
        <f t="shared" si="3"/>
        <v>0.48297054797156913</v>
      </c>
      <c r="S9" s="225">
        <f>+[4]SLP!S9+[4]ROSA!S9+'[4]STA ANA'!S9+[4]BOA!S9+'[4]STA MARIA'!S9+'[4]CB I'!S9+'[4]CB II'!S9+'[4]CB III'!S9+[4]IG!S9+[4]PN!S9+[4]MJ!S9+'[4]RB I'!S9+'[4]SF I'!S9</f>
        <v>65973.22698738116</v>
      </c>
      <c r="T9" s="226">
        <f>+[4]SLP!T9+[4]ROSA!T9+'[4]STA ANA'!T9+[4]BOA!T9+'[4]STA MARIA'!T9+'[4]CB I'!T9+'[4]CB II'!T9+'[4]CB III'!T9+[4]IG!T9+[4]PN!T9+[4]MJ!T9+'[4]RB I'!T9+'[4]SF I'!T9</f>
        <v>57865.117390632004</v>
      </c>
      <c r="U9" s="226">
        <f>+[4]SLP!U9+[4]ROSA!U9+'[4]STA ANA'!U9+[4]BOA!U9+'[4]STA MARIA'!U9+'[4]CB I'!U9+'[4]CB II'!U9+'[4]CB III'!U9+[4]IG!U9+[4]PN!U9+[4]MJ!U9+'[4]RB I'!U9+'[4]SF I'!U9</f>
        <v>8108.1095967491437</v>
      </c>
      <c r="V9" s="226">
        <f>+[4]SLP!V9+[4]ROSA!V9+'[4]STA ANA'!V9+[4]BOA!V9+'[4]STA MARIA'!V9+'[4]CB I'!V9+'[4]CB II'!V9+'[4]CB III'!V9+[4]IG!V9+[4]PN!V9+[4]MJ!V9+'[4]RB I'!V9+'[4]SF I'!V9</f>
        <v>73588.03612275557</v>
      </c>
      <c r="W9" s="226">
        <f>+[4]SLP!W9+[4]ROSA!W9+'[4]STA ANA'!W9+[4]BOA!W9+'[4]STA MARIA'!W9+'[4]CB I'!W9+'[4]CB II'!W9+'[4]CB III'!W9+[4]IG!W9+[4]PN!W9+[4]MJ!W9+'[4]RB I'!W9+'[4]SF I'!W9</f>
        <v>7068.7249568154239</v>
      </c>
      <c r="X9" s="166">
        <f>[4]SLP!X9+[4]ROSA!X9+'[4]STA ANA'!X9+[4]BOA!X9+'[4]STA MARIA'!X9+'[4]CB I'!X9+'[4]CB II'!X9+'[4]CB III'!X9+[4]IG!X9+[4]PN!X9+[4]MJ!X9+'[4]RB I'!X9+'[4]SF I'!X9</f>
        <v>80656.761079570977</v>
      </c>
      <c r="Y9" s="224">
        <f t="shared" si="4"/>
        <v>0.22256807439475979</v>
      </c>
      <c r="Z9" s="225">
        <f>+[4]SLP!Z9+[4]ROSA!Z9+'[4]STA ANA'!Z9+[4]BOA!Z9+'[4]STA MARIA'!Z9+'[4]CB I'!Z9+'[4]CB II'!Z9+'[4]CB III'!Z9+[4]IG!Z9+[4]PN!Z9+[4]MJ!Z9+'[4]RB I'!Z9+'[4]SF I'!Z9</f>
        <v>65973.22698738116</v>
      </c>
      <c r="AA9" s="226">
        <f>+[4]SLP!AA9+[4]ROSA!AA9+'[4]STA ANA'!AA9+[4]BOA!AA9+'[4]STA MARIA'!AA9+'[4]CB I'!AA9+'[4]CB II'!AA9+'[4]CB III'!AA9+[4]IG!AA9+[4]PN!AA9+[4]MJ!AA9+'[4]RB I'!AA9+'[4]SF I'!AA9</f>
        <v>57865.117390632004</v>
      </c>
      <c r="AB9" s="226">
        <f>+[4]SLP!AB9+[4]ROSA!AB9+'[4]STA ANA'!AB9+[4]BOA!AB9+'[4]STA MARIA'!AB9+'[4]CB I'!AB9+'[4]CB II'!AB9+'[4]CB III'!AB9+[4]IG!AB9+[4]PN!AB9+[4]MJ!AB9+'[4]RB I'!AB9+'[4]SF I'!AB9</f>
        <v>8108.1095967491437</v>
      </c>
      <c r="AC9" s="226">
        <f>+[4]SLP!AC9+[4]ROSA!AC9+'[4]STA ANA'!AC9+[4]BOA!AC9+'[4]STA MARIA'!AC9+'[4]CB I'!AC9+'[4]CB II'!AC9+'[4]CB III'!AC9+[4]IG!AC9+[4]PN!AC9+[4]MJ!AC9+'[4]RB I'!AC9+'[4]SF I'!AC9</f>
        <v>47396.819938130859</v>
      </c>
      <c r="AD9" s="226">
        <f>+[4]SLP!AD9+[4]ROSA!AD9+'[4]STA ANA'!AD9+[4]BOA!AD9+'[4]STA MARIA'!AD9+'[4]CB I'!AD9+'[4]CB II'!AD9+'[4]CB III'!AD9+[4]IG!AD9+[4]PN!AD9+[4]MJ!AD9+'[4]RB I'!AD9+'[4]SF I'!AD9</f>
        <v>6269.5074380734586</v>
      </c>
      <c r="AE9" s="166">
        <f>+[4]SLP!AE9+[4]ROSA!AE9+'[4]STA ANA'!AE9+[4]BOA!AE9+'[4]STA MARIA'!AE9+'[4]CB I'!AE9+'[4]CB II'!AE9+'[4]CB III'!AE9+[4]IG!AE9+[4]PN!AE9+[4]MJ!AE9+'[4]RB I'!AE9+'[4]SF I'!AE9</f>
        <v>53666.327376204317</v>
      </c>
      <c r="AF9" s="224">
        <f t="shared" si="5"/>
        <v>-0.18654384775707289</v>
      </c>
      <c r="AG9" s="225">
        <f>+[4]SLP!AG9+[4]ROSA!AG9+'[4]STA ANA'!AG9+[4]BOA!AG9+'[4]STA MARIA'!AG9+'[4]CB I'!AG9+'[4]CB II'!AG9+'[4]CB III'!AG9+[4]IG!AG9+[4]PN!AG9+[4]MJ!AG9+'[4]RB I'!AG9+'[4]SF I'!AG9</f>
        <v>65973.22698738116</v>
      </c>
      <c r="AH9" s="226">
        <f>+[4]SLP!AH9+[4]ROSA!AH9+'[4]STA ANA'!AH9+[4]BOA!AH9+'[4]STA MARIA'!AH9+'[4]CB I'!AH9+'[4]CB II'!AH9+'[4]CB III'!AH9+[4]IG!AH9+[4]PN!AH9+[4]MJ!AH9+'[4]RB I'!AH9+'[4]SF I'!AH9</f>
        <v>57865.117390632004</v>
      </c>
      <c r="AI9" s="226">
        <f>+[4]SLP!AI9+[4]ROSA!AI9+'[4]STA ANA'!AI9+[4]BOA!AI9+'[4]STA MARIA'!AI9+'[4]CB I'!AI9+'[4]CB II'!AI9+'[4]CB III'!AI9+[4]IG!AI9+[4]PN!AI9+[4]MJ!AI9+'[4]RB I'!AI9+'[4]SF I'!AI9</f>
        <v>8108.1095967491437</v>
      </c>
      <c r="AJ9" s="226">
        <f>+[4]SLP!AJ9+[4]ROSA!AJ9+'[4]STA ANA'!AJ9+[4]BOA!AJ9+'[4]STA MARIA'!AJ9+'[4]CB I'!AJ9+'[4]CB II'!AJ9+'[4]CB III'!AJ9+[4]IG!AJ9+[4]PN!AJ9+[4]MJ!AJ9+'[4]RB I'!AJ9+'[4]SF I'!AJ9</f>
        <v>27057.786480684194</v>
      </c>
      <c r="AK9" s="226">
        <f>+[4]SLP!AK9+[4]ROSA!AK9+'[4]STA ANA'!AK9+[4]BOA!AK9+'[4]STA MARIA'!AK9+'[4]CB I'!AK9+'[4]CB II'!AK9+'[4]CB III'!AK9+[4]IG!AK9+[4]PN!AK9+[4]MJ!AK9+'[4]RB I'!AK9+'[4]SF I'!AK9</f>
        <v>2828.2942174664745</v>
      </c>
      <c r="AL9" s="166">
        <f>+[4]SLP!AL9+[4]ROSA!AL9+'[4]STA ANA'!AL9+[4]BOA!AL9+'[4]STA MARIA'!AL9+'[4]CB I'!AL9+'[4]CB II'!AL9+'[4]CB III'!AL9+[4]IG!AL9+[4]PN!AL9+[4]MJ!AL9+'[4]RB I'!AL9+'[4]SF I'!AL9</f>
        <v>29886.080698150668</v>
      </c>
      <c r="AM9" s="224">
        <f t="shared" si="6"/>
        <v>-0.54699683397528753</v>
      </c>
      <c r="AN9" s="225">
        <f>+[4]SLP!AN9+[4]ROSA!AN9+'[4]STA ANA'!AN9+[4]BOA!AN9+'[4]STA MARIA'!AN9+'[4]CB I'!AN9+'[4]CB II'!AN9+'[4]CB III'!AN9+[4]IG!AN9+[4]PN!AN9+[4]MJ!AN9+'[4]RB I'!AN9+'[4]SF I'!AN9</f>
        <v>65973.22698738116</v>
      </c>
      <c r="AO9" s="226">
        <f>+[4]SLP!AO9+[4]ROSA!AO9+'[4]STA ANA'!AO9+[4]BOA!AO9+'[4]STA MARIA'!AO9+'[4]CB I'!AO9+'[4]CB II'!AO9+'[4]CB III'!AO9+[4]IG!AO9+[4]PN!AO9+[4]MJ!AO9+'[4]RB I'!AO9+'[4]SF I'!AO9</f>
        <v>57865.117390632004</v>
      </c>
      <c r="AP9" s="226">
        <f>+[4]SLP!AP9+[4]ROSA!AP9+'[4]STA ANA'!AP9+[4]BOA!AP9+'[4]STA MARIA'!AP9+'[4]CB I'!AP9+'[4]CB II'!AP9+'[4]CB III'!AP9+[4]IG!AP9+[4]PN!AP9+[4]MJ!AP9+'[4]RB I'!AP9+'[4]SF I'!AP9</f>
        <v>8108.1095967491437</v>
      </c>
      <c r="AQ9" s="226">
        <f>+[4]SLP!AQ9+[4]ROSA!AQ9+'[4]STA ANA'!AQ9+[4]BOA!AQ9+'[4]STA MARIA'!AQ9+'[4]CB I'!AQ9+'[4]CB II'!AQ9+'[4]CB III'!AQ9+[4]IG!AQ9+[4]PN!AQ9+[4]MJ!AQ9+'[4]RB I'!AQ9+'[4]SF I'!AQ9</f>
        <v>0</v>
      </c>
      <c r="AR9" s="226">
        <f>+[4]SLP!AR9+[4]ROSA!AR9+'[4]STA ANA'!AR9+[4]BOA!AR9+'[4]STA MARIA'!AR9+'[4]CB I'!AR9+'[4]CB II'!AR9+'[4]CB III'!AR9+[4]IG!AR9+[4]PN!AR9+[4]MJ!AR9+'[4]RB I'!AR9+'[4]SF I'!AR9</f>
        <v>0</v>
      </c>
      <c r="AS9" s="166">
        <f>+[4]SLP!AS9+[4]ROSA!AS9+'[4]STA ANA'!AS9+[4]BOA!AS9+'[4]STA MARIA'!AS9+'[4]CB I'!AS9+'[4]CB II'!AS9+'[4]CB III'!AS9+[4]IG!AS9+[4]PN!AS9+[4]MJ!AS9+'[4]RB I'!AS9+'[4]SÃO FRANCISCO'!AS9</f>
        <v>0</v>
      </c>
      <c r="AT9" s="224">
        <f t="shared" si="7"/>
        <v>-1</v>
      </c>
      <c r="AU9" s="225">
        <f>+[4]SLP!AU9+[4]ROSA!AU9+'[4]STA ANA'!AU9+[4]BOA!AU9+'[4]STA MARIA'!AU9+'[4]CB I'!AU9+'[4]CB II'!AU9+'[4]CB III'!AU9+[4]IG!AU9+[4]PN!AU9+[4]MJ!AU9+'[4]RB I'!AU9+'[4]SF I'!AU9</f>
        <v>65973.22698738116</v>
      </c>
      <c r="AV9" s="226">
        <f>+[4]SLP!AV9+[4]ROSA!AV9+'[4]STA ANA'!AV9+[4]BOA!AV9+'[4]STA MARIA'!AV9+'[4]CB I'!AV9+'[4]CB II'!AV9+'[4]CB III'!AV9+[4]IG!AV9+[4]PN!AV9+[4]MJ!AV9+'[4]RB I'!AV9+'[4]SF I'!AV9</f>
        <v>57865.117390632004</v>
      </c>
      <c r="AW9" s="226">
        <f>+[4]SLP!AW9+[4]ROSA!AW9+'[4]STA ANA'!AW9+[4]BOA!AW9+'[4]STA MARIA'!AW9+'[4]CB I'!AW9+'[4]CB II'!AW9+'[4]CB III'!AW9+[4]IG!AW9+[4]PN!AW9+[4]MJ!AW9+'[4]RB I'!AW9+'[4]SF I'!AW9</f>
        <v>8108.1095967491437</v>
      </c>
      <c r="AX9" s="226">
        <f>+[4]SLP!AX9+[4]ROSA!AX9+'[4]STA ANA'!AX9+[4]BOA!AX9+'[4]STA MARIA'!AX9+'[4]CB I'!AX9+'[4]CB II'!AX9+'[4]CB III'!AX9+[4]IG!AX9+[4]PN!AX9+[4]MJ!AX9+'[4]RB I'!AX9+'[4]SF I'!AX9</f>
        <v>0</v>
      </c>
      <c r="AY9" s="226">
        <f>+[4]SLP!AY9+[4]ROSA!AY9+'[4]STA ANA'!AY9+[4]BOA!AY9+'[4]STA MARIA'!AY9+'[4]CB I'!AY9+'[4]CB II'!AY9+'[4]CB III'!AY9+[4]IG!AY9+[4]PN!AY9+[4]MJ!AY9+'[4]RB I'!AY9+'[4]SF I'!AY9</f>
        <v>0</v>
      </c>
      <c r="AZ9" s="166">
        <f>+[4]SLP!AZ9+[4]ROSA!AZ9+'[4]STA ANA'!AZ9+[4]BOA!AZ9+'[4]STA MARIA'!AZ9+'[4]CB I'!AZ9+'[4]CB II'!AZ9+[4]IG!AZ9+[4]PN!AZ9+[4]MJ!AZ9+'[4]RB I'!AZ9+'[4]SÃO FRANCISCO'!AZ9</f>
        <v>0</v>
      </c>
      <c r="BA9" s="224">
        <f t="shared" si="8"/>
        <v>-1</v>
      </c>
      <c r="BB9" s="225">
        <f>+[4]SLP!BB9+[4]ROSA!BB9+'[4]STA ANA'!BB9+[4]BOA!BB9+'[4]STA MARIA'!BB9+'[4]CB I'!BB9+'[4]CB II'!BB9+'[4]CB III'!BB9+[4]IG!BB9+[4]PN!BB9+[4]MJ!BB9+'[4]RB I'!BB9+'[4]SF I'!BB9</f>
        <v>65973.22698738116</v>
      </c>
      <c r="BC9" s="226">
        <f>+[4]SLP!BC9+[4]ROSA!BC9+'[4]STA ANA'!BC9+[4]BOA!BC9+'[4]STA MARIA'!BC9+'[4]CB I'!BC9+'[4]CB II'!BC9+'[4]CB III'!BC9+[4]IG!BC9+[4]PN!BC9+[4]MJ!BC9+'[4]RB I'!BC9+'[4]SF I'!BC9</f>
        <v>57865.117390632004</v>
      </c>
      <c r="BD9" s="226">
        <f>+[4]SLP!BD9+[4]ROSA!BD9+'[4]STA ANA'!BD9+[4]BOA!BD9+'[4]STA MARIA'!BD9+'[4]CB I'!BD9+'[4]CB II'!BD9+'[4]CB III'!BD9+[4]IG!BD9+[4]PN!BD9+[4]MJ!BD9+'[4]RB I'!BD9+'[4]SF I'!BD9</f>
        <v>8108.1095967491437</v>
      </c>
      <c r="BE9" s="226">
        <f>+[4]SLP!BE9+[4]ROSA!BE9+'[4]STA ANA'!BE9+[4]BOA!BE9+'[4]STA MARIA'!BE9+'[4]CB I'!BE9+'[4]CB II'!BE9+'[4]CB III'!BE9+[4]IG!BE9+[4]PN!BE9+[4]MJ!BE9+'[4]RB I'!BE9+'[4]SF I'!BE9</f>
        <v>0</v>
      </c>
      <c r="BF9" s="226">
        <f>+[4]SLP!BF9+[4]ROSA!BF9+'[4]STA ANA'!BF9+[4]BOA!BF9+'[4]STA MARIA'!BF9+'[4]CB I'!BF9+'[4]CB II'!BF9+'[4]CB III'!BF9+[4]IG!BF9+[4]PN!BF9+[4]MJ!BF9+'[4]RB I'!BF9+'[4]SF I'!BF9</f>
        <v>0</v>
      </c>
      <c r="BG9" s="166">
        <f>+[4]SLP!BG9+[4]ROSA!BG9+'[4]STA ANA'!BG9+[4]BOA!BG9+'[4]STA MARIA'!BG9+'[4]CB I'!BG9+'[4]CB II'!BG9+'[4]CB III'!BG9+[4]IG!BG9+[4]PN!BG9+[4]MJ!BG9+'[4]RB I'!BG9+'[4]SÃO FRANCISCO'!BG9</f>
        <v>0</v>
      </c>
      <c r="BH9" s="224">
        <f t="shared" si="9"/>
        <v>-1</v>
      </c>
      <c r="BI9" s="225">
        <f>+[4]SLP!BI9+[4]ROSA!BI9+'[4]STA ANA'!BI9+[4]BOA!BI9+'[4]STA MARIA'!BI9+'[4]CB I'!BI9+'[4]CB II'!BI9+'[4]CB III'!BI9+[4]IG!BI9+[4]PN!BI9+[4]MJ!BI9+'[4]RB I'!BI9+'[4]SF I'!BI9</f>
        <v>70977.06879227265</v>
      </c>
      <c r="BJ9" s="226">
        <f>+[4]SLP!BJ9+[4]ROSA!BJ9+'[4]STA ANA'!BJ9+[4]BOA!BJ9+'[4]STA MARIA'!BJ9+'[4]CB I'!BJ9+'[4]CB II'!BJ9+'[4]CB III'!BJ9+[4]IG!BJ9+[4]PN!BJ9+[4]MJ!BJ9+'[4]RB I'!BJ9+'[4]SF I'!BJ9</f>
        <v>62253.987037702354</v>
      </c>
      <c r="BK9" s="226">
        <f>+[4]SLP!BK9+[4]ROSA!BK9+'[4]STA ANA'!BK9+[4]BOA!BK9+'[4]STA MARIA'!BK9+'[4]CB I'!BK9+'[4]CB II'!BK9+'[4]CB III'!BK9+[4]IG!BK9+[4]PN!BK9+[4]MJ!BK9+'[4]RB I'!BK9+'[4]SF I'!BK9</f>
        <v>8723.0817545703085</v>
      </c>
      <c r="BL9" s="226">
        <f>+[4]SLP!BL9+[4]ROSA!BL9+'[4]STA ANA'!BL9+[4]BOA!BL9+'[4]STA MARIA'!BL9+'[4]CB I'!BL9+'[4]CB II'!BL9+'[4]CB III'!BL9+[4]IG!BL9+[4]PN!BL9+[4]MJ!BL9+'[4]RB I'!BL9+'[4]SF I'!BL9</f>
        <v>0</v>
      </c>
      <c r="BM9" s="226">
        <f>+[4]SLP!BM9+[4]ROSA!BM9+'[4]STA ANA'!BM9+[4]BOA!BM9+'[4]STA MARIA'!BM9+'[4]CB I'!BM9+'[4]CB II'!BM9+'[4]CB III'!BM9+[4]IG!BM9+[4]PN!BM9+[4]MJ!BM9+'[4]RB I'!BM9+'[4]SF I'!BM9</f>
        <v>0</v>
      </c>
      <c r="BN9" s="166">
        <f>+[4]SLP!BN9+[4]ROSA!BN9+'[4]STA ANA'!BN9+[4]BOA!BN9+'[4]STA MARIA'!BN9+'[4]CB I'!BN9+'[4]CB II'!BN9+'[4]CB III'!BN9+[4]IG!BN9+[4]PN!BN9+[4]MJ!BN9+'[4]RB I'!BN9+'[4]SÃO FRANCISCO'!BN9</f>
        <v>0</v>
      </c>
      <c r="BO9" s="224">
        <f t="shared" si="10"/>
        <v>-1</v>
      </c>
      <c r="BP9" s="225">
        <f>+[4]SLP!BP9+[4]ROSA!BP9+'[4]STA ANA'!BP9+[4]BOA!BP9+'[4]STA MARIA'!BP9+'[4]CB I'!BP9+'[4]CB II'!BP9+'[4]CB III'!BP9+[4]IG!BP9+[4]PN!BP9+[4]MJ!BP9+'[4]RB I'!BP9+'[4]SF I'!BP9</f>
        <v>70977.06879227265</v>
      </c>
      <c r="BQ9" s="226">
        <f>+[4]SLP!BQ9+[4]ROSA!BQ9+'[4]STA ANA'!BQ9+[4]BOA!BQ9+'[4]STA MARIA'!BQ9+'[4]CB I'!BQ9+'[4]CB II'!BQ9+'[4]CB III'!BQ9+[4]IG!BQ9+[4]PN!BQ9+[4]MJ!BQ9+'[4]RB I'!BQ9+'[4]SF I'!BQ9</f>
        <v>62253.987037702354</v>
      </c>
      <c r="BR9" s="226">
        <f>+[4]SLP!BR9+[4]ROSA!BR9+'[4]STA ANA'!BR9+[4]BOA!BR9+'[4]STA MARIA'!BR9+'[4]CB I'!BR9+'[4]CB II'!BR9+'[4]CB III'!BR9+[4]IG!BR9+[4]PN!BR9+[4]MJ!BR9+'[4]RB I'!BR9+'[4]SF I'!BR9</f>
        <v>8723.0817545703085</v>
      </c>
      <c r="BS9" s="226">
        <f>+[4]SLP!BS9+[4]ROSA!BS9+'[4]STA ANA'!BS9+[4]BOA!BS9+'[4]STA MARIA'!BS9+'[4]CB I'!BS9+'[4]CB II'!BS9+'[4]CB III'!BS9+[4]IG!BS9+[4]PN!BS9+[4]MJ!BS9+'[4]RB I'!BS9+'[4]SF I'!BS9</f>
        <v>0</v>
      </c>
      <c r="BT9" s="226">
        <f>+[4]SLP!BT9+[4]ROSA!BT9+'[4]STA ANA'!BT9+[4]BOA!BT9+'[4]STA MARIA'!BT9+'[4]CB I'!BT9+'[4]CB II'!BT9+'[4]CB III'!BT9+[4]IG!BT9+[4]PN!BT9+[4]MJ!BT9+'[4]RB I'!BT9+'[4]SF I'!BT9</f>
        <v>0</v>
      </c>
      <c r="BU9" s="166">
        <f>+[4]SLP!BU9+[4]ROSA!BU9+'[4]STA ANA'!BU9+[4]BOA!BU9+'[4]STA MARIA'!BU9+'[4]CB I'!BU9+'[4]CB II'!BU9+'[4]CB III'!BU9+[4]IG!BU9+[4]PN!BU9+[4]MJ!BU9+'[4]RB I'!BU9+'[4]SÃO FRANCISCO'!BU9</f>
        <v>0</v>
      </c>
      <c r="BV9" s="224">
        <f t="shared" si="11"/>
        <v>-1</v>
      </c>
      <c r="BW9" s="225">
        <f>+[4]SLP!BW9+[4]ROSA!BW9+'[4]STA ANA'!BW9+[4]BOA!BW9+'[4]STA MARIA'!BW9+'[4]CB I'!BW9+'[4]CB II'!BW9+'[4]CB III'!BW9+[4]IG!BW9+[4]PN!BW9+[4]MJ!BW9+'[4]RB I'!BW9+'[4]SF I'!BW9</f>
        <v>70977.06879227265</v>
      </c>
      <c r="BX9" s="226">
        <f>+[4]SLP!BX9+[4]ROSA!BX9+'[4]STA ANA'!BX9+[4]BOA!BX9+'[4]STA MARIA'!BX9+'[4]CB I'!BX9+'[4]CB II'!BX9+'[4]CB III'!BX9+[4]IG!BX9+[4]PN!BX9+[4]MJ!BX9+'[4]RB I'!BX9+'[4]SF I'!BX9</f>
        <v>62253.987037702354</v>
      </c>
      <c r="BY9" s="226">
        <f>+[4]SLP!BY9+[4]ROSA!BY9+'[4]STA ANA'!BY9+[4]BOA!BY9+'[4]STA MARIA'!BY9+'[4]CB I'!BY9+'[4]CB II'!BY9+'[4]CB III'!BY9+[4]IG!BY9+[4]PN!BY9+[4]MJ!BY9+'[4]RB I'!BY9+'[4]SF I'!BY9</f>
        <v>8723.0817545703085</v>
      </c>
      <c r="BZ9" s="226">
        <f>+[4]SLP!BZ9+[4]ROSA!BZ9+'[4]STA ANA'!BZ9+[4]BOA!BZ9+'[4]STA MARIA'!BZ9+'[4]CB I'!BZ9+'[4]CB II'!BZ9+'[4]CB III'!BZ9+[4]IG!BZ9+[4]PN!BZ9+[4]MJ!BZ9+'[4]RB I'!BZ9+'[4]SF I'!BZ9</f>
        <v>0</v>
      </c>
      <c r="CA9" s="226">
        <f>+[4]SLP!CA9+[4]ROSA!CA9+'[4]STA ANA'!CA9+[4]BOA!CA9+'[4]STA MARIA'!CA9+'[4]CB I'!CA9+'[4]CB II'!CA9+'[4]CB III'!CA9+[4]IG!CA9+[4]PN!CA9+[4]MJ!CA9+'[4]RB I'!CA9+'[4]SF I'!CA9</f>
        <v>0</v>
      </c>
      <c r="CB9" s="166">
        <f>+[4]SLP!CB9+[4]ROSA!CB9+'[4]STA ANA'!CB9+[4]BOA!CB9+'[4]STA MARIA'!CB9+'[4]CB I'!CB9+'[4]CB II'!CB9+'[4]CB III'!CB9+[4]IG!CB9+[4]PN!CB9+[4]MJ!CB9+'[4]RB I'!CB9+'[4]SÃO FRANCISCO'!CB9</f>
        <v>0</v>
      </c>
      <c r="CC9" s="224">
        <f t="shared" si="12"/>
        <v>-1</v>
      </c>
      <c r="CD9" s="225">
        <f>+[4]SLP!CD9+[4]ROSA!CD9+'[4]STA ANA'!CD9+[4]BOA!CD9+'[4]STA MARIA'!CD9+'[4]CB I'!CD9+'[4]CB II'!CD9+'[4]CB III'!CD9+[4]IG!CD9+[4]PN!CD9+[4]MJ!CD9+'[4]RB I'!CD9+'[4]SF I'!CD9</f>
        <v>70977.06879227265</v>
      </c>
      <c r="CE9" s="226">
        <f>+[4]SLP!CE9+[4]ROSA!CE9+'[4]STA ANA'!CE9+[4]BOA!CE9+'[4]STA MARIA'!CE9+'[4]CB I'!CE9+'[4]CB II'!CE9+'[4]CB III'!CE9+[4]IG!CE9+[4]PN!CE9+[4]MJ!CE9+'[4]RB I'!CE9+'[4]SF I'!CE9</f>
        <v>62253.987037702354</v>
      </c>
      <c r="CF9" s="226">
        <f>+[4]SLP!CF9+[4]ROSA!CF9+'[4]STA ANA'!CF9+[4]BOA!CF9+'[4]STA MARIA'!CF9+'[4]CB I'!CF9+'[4]CB II'!CF9+'[4]CB III'!CF9+[4]IG!CF9+[4]PN!CF9+[4]MJ!CF9+'[4]RB I'!CF9+'[4]SF I'!CF9</f>
        <v>8723.0817545703085</v>
      </c>
      <c r="CG9" s="226">
        <f>+[4]SLP!CG9+[4]ROSA!CG9+'[4]STA ANA'!CG9+[4]BOA!CG9+'[4]STA MARIA'!CG9+'[4]CB I'!CG9+'[4]CB II'!CG9+'[4]CB III'!CG9+[4]IG!CG9+[4]PN!CG9+[4]MJ!CG9+'[4]RB I'!CG9+'[4]SF I'!CG9</f>
        <v>0</v>
      </c>
      <c r="CH9" s="226">
        <f>+[4]SLP!CH9+[4]ROSA!CH9+'[4]STA ANA'!CH9+[4]BOA!CH9+'[4]STA MARIA'!CH9+'[4]CB I'!CH9+'[4]CB II'!CH9+'[4]CB III'!CH9+[4]IG!CH9+[4]PN!CH9+[4]MJ!CH9+'[4]RB I'!CH9+'[4]SF I'!CH9</f>
        <v>0</v>
      </c>
      <c r="CI9" s="166">
        <f>+[4]SLP!CI9+[4]ROSA!CI9+'[4]STA ANA'!CI9+[4]BOA!CI9+'[4]STA MARIA'!CI9+'[4]CB I'!CI9+'[4]CB II'!CI9+'[4]CB III'!CI9+[4]IG!CI9+[4]PN!CI9+[4]MJ!CI9+'[4]RB I'!CI9+'[4]SÃO FRANCISCO'!CI9</f>
        <v>0</v>
      </c>
      <c r="CJ9" s="224">
        <f t="shared" si="13"/>
        <v>-1</v>
      </c>
      <c r="CK9" s="225">
        <f>+[4]SLP!CK9+[4]ROSA!CK9+'[4]STA ANA'!CK9+[4]BOA!CK9+'[4]STA MARIA'!CK9+'[4]CB I'!CK9+'[4]CB II'!CK9+'[4]CB III'!CK9+[4]IG!CK9+[4]PN!CK9+[4]MJ!CK9+'[4]RB I'!CK9+'[4]SF I'!CK9</f>
        <v>70977.06879227265</v>
      </c>
      <c r="CL9" s="226">
        <f>+[4]SLP!CL9+[4]ROSA!CL9+'[4]STA ANA'!CL9+[4]BOA!CL9+'[4]STA MARIA'!CL9+'[4]CB I'!CL9+'[4]CB II'!CL9+'[4]CB III'!CL9+[4]IG!CL9+[4]PN!CL9+[4]MJ!CL9+'[4]RB I'!CL9+'[4]SF I'!CL9</f>
        <v>62253.987037702354</v>
      </c>
      <c r="CM9" s="226">
        <f>+[4]SLP!CM9+[4]ROSA!CM9+'[4]STA ANA'!CM9+[4]BOA!CM9+'[4]STA MARIA'!CM9+'[4]CB I'!CM9+'[4]CB II'!CM9+'[4]CB III'!CM9+[4]IG!CM9+[4]PN!CM9+[4]MJ!CM9+'[4]RB I'!CM9+'[4]SF I'!CM9</f>
        <v>8723.0817545703085</v>
      </c>
      <c r="CN9" s="226">
        <f>+[4]SLP!CN9+[4]ROSA!CN9+'[4]STA ANA'!CN9+[4]BOA!CN9+'[4]STA MARIA'!CN9+'[4]CB I'!CN9+'[4]CB II'!CN9+'[4]CB III'!CN9+[4]IG!CN9+[4]PN!CN9+[4]MJ!CN9+'[4]RB I'!CN9+'[4]SF I'!CN9</f>
        <v>0</v>
      </c>
      <c r="CO9" s="226">
        <f>+[4]SLP!CO9+[4]ROSA!CO9+'[4]STA ANA'!CO9+[4]BOA!CO9+'[4]STA MARIA'!CO9+'[4]CB I'!CO9+'[4]CB II'!CO9+'[4]CB III'!CO9+[4]IG!CO9+[4]PN!CO9+[4]MJ!CO9+'[4]RB I'!CO9+'[4]SF I'!CO9</f>
        <v>0</v>
      </c>
      <c r="CP9" s="166">
        <f>+[4]SLP!CP9+[4]ROSA!CP9+'[4]STA ANA'!CP9+[4]BOA!CP9+'[4]STA MARIA'!CP9+'[4]CB I'!CP9+'[4]CB II'!CP9+'[4]CB III'!CP9+[4]IG!CP9+[4]PN!CP9+[4]MJ!CP9+'[4]RB I'!CP9+'[4]SÃO FRANCISCO'!CP9</f>
        <v>0</v>
      </c>
      <c r="CQ9" s="224">
        <f t="shared" si="14"/>
        <v>-1</v>
      </c>
      <c r="CR9" s="155"/>
      <c r="CS9" s="227" t="e">
        <f t="shared" si="15"/>
        <v>#VALUE!</v>
      </c>
    </row>
    <row r="10" spans="1:101" ht="14.25" customHeight="1" x14ac:dyDescent="0.2">
      <c r="A10" s="228" t="s">
        <v>34</v>
      </c>
      <c r="B10" s="30">
        <f t="shared" si="0"/>
        <v>705753.68597455497</v>
      </c>
      <c r="C10" s="31">
        <f t="shared" si="0"/>
        <v>619016.55796828226</v>
      </c>
      <c r="D10" s="32">
        <f t="shared" si="0"/>
        <v>86737.128006272833</v>
      </c>
      <c r="E10" s="30">
        <f t="shared" si="16"/>
        <v>235251.22865818502</v>
      </c>
      <c r="F10" s="33">
        <f t="shared" si="16"/>
        <v>206338.85265609407</v>
      </c>
      <c r="G10" s="34">
        <f t="shared" si="16"/>
        <v>28912.376002090943</v>
      </c>
      <c r="H10" s="31">
        <f t="shared" si="1"/>
        <v>237536.7875617778</v>
      </c>
      <c r="I10" s="33">
        <f t="shared" si="1"/>
        <v>31287.989052847421</v>
      </c>
      <c r="J10" s="33">
        <f t="shared" si="1"/>
        <v>268824.77661462524</v>
      </c>
      <c r="K10" s="224">
        <f t="shared" si="2"/>
        <v>0.14271359239199488</v>
      </c>
      <c r="L10" s="225">
        <f>+[4]SLP!L10+[4]ROSA!L10+'[4]STA ANA'!L10+[4]BOA!L10+'[4]STA MARIA'!L10+'[4]CB I'!L10+'[4]CB II'!L10+'[4]CB III'!L10+[4]IG!L10+[4]PN!L10+[4]MJ!L10+'[4]RB I'!L10+'[4]SF I'!L10</f>
        <v>58812.807164546255</v>
      </c>
      <c r="M10" s="226">
        <f>+[4]SLP!M10+[4]ROSA!M10+'[4]STA ANA'!M10+[4]BOA!M10+'[4]STA MARIA'!M10+'[4]CB I'!M10+'[4]CB II'!M10+'[4]CB III'!M10+[4]IG!M10+[4]PN!M10+[4]MJ!M10+'[4]RB I'!M10+'[4]SF I'!M10</f>
        <v>51584.713164023517</v>
      </c>
      <c r="N10" s="226">
        <f>+[4]SLP!N10+[4]ROSA!N10+'[4]STA ANA'!N10+[4]BOA!N10+'[4]STA MARIA'!N10+'[4]CB I'!N10+'[4]CB II'!N10+'[4]CB III'!N10+[4]IG!N10+[4]PN!N10+[4]MJ!N10+'[4]RB I'!N10+'[4]SF I'!N10</f>
        <v>7228.0940005227358</v>
      </c>
      <c r="O10" s="226">
        <f>+[4]SLP!O10+[4]ROSA!O10+'[4]STA ANA'!O10+[4]BOA!O10+'[4]STA MARIA'!O10+'[4]CB I'!O10+'[4]CB II'!O10+'[4]CB III'!O10+[4]IG!O10+[4]PN!O10+[4]MJ!O10+'[4]RB I'!O10+'[4]SF I'!O10</f>
        <v>74878.985175286347</v>
      </c>
      <c r="P10" s="226">
        <f>+[4]SLP!P10+[4]ROSA!P10+'[4]STA ANA'!P10+[4]BOA!P10+'[4]STA MARIA'!P10+'[4]CB I'!P10+'[4]CB II'!P10+'[4]CB III'!P10+[4]IG!P10+[4]PN!P10+[4]MJ!P10+'[4]RB I'!P10+'[4]SF I'!P10</f>
        <v>12027.204441767044</v>
      </c>
      <c r="Q10" s="166">
        <f>+[4]SLP!Q10+[4]ROSA!Q10+'[4]STA ANA'!Q10+[4]BOA!Q10+'[4]STA MARIA'!Q10+'[4]CB I'!Q10+'[4]CB II'!Q10+'[4]CB III'!Q10+[4]IG!Q10+[4]PN!Q10+[4]MJ!Q10+'[4]RB I'!Q10+'[4]SF I'!Q10</f>
        <v>86906.189617053387</v>
      </c>
      <c r="R10" s="224">
        <f t="shared" si="3"/>
        <v>0.47767457135496993</v>
      </c>
      <c r="S10" s="225">
        <f>+[4]SLP!S10+[4]ROSA!S10+'[4]STA ANA'!S10+[4]BOA!S10+'[4]STA MARIA'!S10+'[4]CB I'!S10+'[4]CB II'!S10+'[4]CB III'!S10+[4]IG!S10+[4]PN!S10+[4]MJ!S10+'[4]RB I'!S10+'[4]SF I'!S10</f>
        <v>58812.807164546255</v>
      </c>
      <c r="T10" s="226">
        <f>+[4]SLP!T10+[4]ROSA!T10+'[4]STA ANA'!T10+[4]BOA!T10+'[4]STA MARIA'!T10+'[4]CB I'!T10+'[4]CB II'!T10+'[4]CB III'!T10+[4]IG!T10+[4]PN!T10+[4]MJ!T10+'[4]RB I'!T10+'[4]SF I'!T10</f>
        <v>51584.713164023517</v>
      </c>
      <c r="U10" s="226">
        <f>+[4]SLP!U10+[4]ROSA!U10+'[4]STA ANA'!U10+[4]BOA!U10+'[4]STA MARIA'!U10+'[4]CB I'!U10+'[4]CB II'!U10+'[4]CB III'!U10+[4]IG!U10+[4]PN!U10+[4]MJ!U10+'[4]RB I'!U10+'[4]SF I'!U10</f>
        <v>7228.0940005227358</v>
      </c>
      <c r="V10" s="226">
        <f>+[4]SLP!V10+[4]ROSA!V10+'[4]STA ANA'!V10+[4]BOA!V10+'[4]STA MARIA'!V10+'[4]CB I'!V10+'[4]CB II'!V10+'[4]CB III'!V10+[4]IG!V10+[4]PN!V10+[4]MJ!V10+'[4]RB I'!V10+'[4]SF I'!V10</f>
        <v>43297.362616165563</v>
      </c>
      <c r="W10" s="226">
        <f>+[4]SLP!W10+[4]ROSA!W10+'[4]STA ANA'!W10+[4]BOA!W10+'[4]STA MARIA'!W10+'[4]CB I'!W10+'[4]CB II'!W10+'[4]CB III'!W10+[4]IG!W10+[4]PN!W10+[4]MJ!W10+'[4]RB I'!W10+'[4]SF I'!W10</f>
        <v>5510.2006102987762</v>
      </c>
      <c r="X10" s="166">
        <f>[4]SLP!X10+[4]ROSA!X10+'[4]STA ANA'!X10+[4]BOA!X10+'[4]STA MARIA'!X10+'[4]CB I'!X10+'[4]CB II'!X10+'[4]CB III'!X10+[4]IG!X10+[4]PN!X10+[4]MJ!X10+'[4]RB I'!X10+'[4]SF I'!X10</f>
        <v>48807.563226464343</v>
      </c>
      <c r="Y10" s="224">
        <f t="shared" si="4"/>
        <v>-0.1701201561436998</v>
      </c>
      <c r="Z10" s="225">
        <f>+[4]SLP!Z10+[4]ROSA!Z10+'[4]STA ANA'!Z10+[4]BOA!Z10+'[4]STA MARIA'!Z10+'[4]CB I'!Z10+'[4]CB II'!Z10+'[4]CB III'!Z10+[4]IG!Z10+[4]PN!Z10+[4]MJ!Z10+'[4]RB I'!Z10+'[4]SF I'!Z10</f>
        <v>58812.807164546255</v>
      </c>
      <c r="AA10" s="226">
        <f>+[4]SLP!AA10+[4]ROSA!AA10+'[4]STA ANA'!AA10+[4]BOA!AA10+'[4]STA MARIA'!AA10+'[4]CB I'!AA10+'[4]CB II'!AA10+'[4]CB III'!AA10+[4]IG!AA10+[4]PN!AA10+[4]MJ!AA10+'[4]RB I'!AA10+'[4]SF I'!AA10</f>
        <v>51584.713164023517</v>
      </c>
      <c r="AB10" s="226">
        <f>+[4]SLP!AB10+[4]ROSA!AB10+'[4]STA ANA'!AB10+[4]BOA!AB10+'[4]STA MARIA'!AB10+'[4]CB I'!AB10+'[4]CB II'!AB10+'[4]CB III'!AB10+[4]IG!AB10+[4]PN!AB10+[4]MJ!AB10+'[4]RB I'!AB10+'[4]SF I'!AB10</f>
        <v>7228.0940005227358</v>
      </c>
      <c r="AC10" s="226">
        <f>+[4]SLP!AC10+[4]ROSA!AC10+'[4]STA ANA'!AC10+[4]BOA!AC10+'[4]STA MARIA'!AC10+'[4]CB I'!AC10+'[4]CB II'!AC10+'[4]CB III'!AC10+[4]IG!AC10+[4]PN!AC10+[4]MJ!AC10+'[4]RB I'!AC10+'[4]SF I'!AC10</f>
        <v>50147.238004523148</v>
      </c>
      <c r="AD10" s="226">
        <f>+[4]SLP!AD10+[4]ROSA!AD10+'[4]STA ANA'!AD10+[4]BOA!AD10+'[4]STA MARIA'!AD10+'[4]CB I'!AD10+'[4]CB II'!AD10+'[4]CB III'!AD10+[4]IG!AD10+[4]PN!AD10+[4]MJ!AD10+'[4]RB I'!AD10+'[4]SF I'!AD10</f>
        <v>6725.7626986786036</v>
      </c>
      <c r="AE10" s="166">
        <f>+[4]SLP!AE10+[4]ROSA!AE10+'[4]STA ANA'!AE10+[4]BOA!AE10+'[4]STA MARIA'!AE10+'[4]CB I'!AE10+'[4]CB II'!AE10+'[4]CB III'!AE10+[4]IG!AE10+[4]PN!AE10+[4]MJ!AE10+'[4]RB I'!AE10+'[4]SF I'!AE10</f>
        <v>56873.000703201753</v>
      </c>
      <c r="AF10" s="224">
        <f t="shared" si="5"/>
        <v>-3.2982721874120324E-2</v>
      </c>
      <c r="AG10" s="225">
        <f>+[4]SLP!AG10+[4]ROSA!AG10+'[4]STA ANA'!AG10+[4]BOA!AG10+'[4]STA MARIA'!AG10+'[4]CB I'!AG10+'[4]CB II'!AG10+'[4]CB III'!AG10+[4]IG!AG10+[4]PN!AG10+[4]MJ!AG10+'[4]RB I'!AG10+'[4]SF I'!AG10</f>
        <v>58812.807164546255</v>
      </c>
      <c r="AH10" s="226">
        <f>+[4]SLP!AH10+[4]ROSA!AH10+'[4]STA ANA'!AH10+[4]BOA!AH10+'[4]STA MARIA'!AH10+'[4]CB I'!AH10+'[4]CB II'!AH10+'[4]CB III'!AH10+[4]IG!AH10+[4]PN!AH10+[4]MJ!AH10+'[4]RB I'!AH10+'[4]SF I'!AH10</f>
        <v>51584.713164023517</v>
      </c>
      <c r="AI10" s="226">
        <f>+[4]SLP!AI10+[4]ROSA!AI10+'[4]STA ANA'!AI10+[4]BOA!AI10+'[4]STA MARIA'!AI10+'[4]CB I'!AI10+'[4]CB II'!AI10+'[4]CB III'!AI10+[4]IG!AI10+[4]PN!AI10+[4]MJ!AI10+'[4]RB I'!AI10+'[4]SF I'!AI10</f>
        <v>7228.0940005227358</v>
      </c>
      <c r="AJ10" s="226">
        <f>+[4]SLP!AJ10+[4]ROSA!AJ10+'[4]STA ANA'!AJ10+[4]BOA!AJ10+'[4]STA MARIA'!AJ10+'[4]CB I'!AJ10+'[4]CB II'!AJ10+'[4]CB III'!AJ10+[4]IG!AJ10+[4]PN!AJ10+[4]MJ!AJ10+'[4]RB I'!AJ10+'[4]SF I'!AJ10</f>
        <v>69213.201765802762</v>
      </c>
      <c r="AK10" s="226">
        <f>+[4]SLP!AK10+[4]ROSA!AK10+'[4]STA ANA'!AK10+[4]BOA!AK10+'[4]STA MARIA'!AK10+'[4]CB I'!AK10+'[4]CB II'!AK10+'[4]CB III'!AK10+[4]IG!AK10+[4]PN!AK10+[4]MJ!AK10+'[4]RB I'!AK10+'[4]SF I'!AK10</f>
        <v>7024.8213021029933</v>
      </c>
      <c r="AL10" s="166">
        <f>+[4]SLP!AL10+[4]ROSA!AL10+'[4]STA ANA'!AL10+[4]BOA!AL10+'[4]STA MARIA'!AL10+'[4]CB I'!AL10+'[4]CB II'!AL10+'[4]CB III'!AL10+[4]IG!AL10+[4]PN!AL10+[4]MJ!AL10+'[4]RB I'!AL10+'[4]SF I'!AL10</f>
        <v>76238.023067905742</v>
      </c>
      <c r="AM10" s="224">
        <f t="shared" si="6"/>
        <v>0.29628267623082993</v>
      </c>
      <c r="AN10" s="225">
        <f>+[4]SLP!AN10+[4]ROSA!AN10+'[4]STA ANA'!AN10+[4]BOA!AN10+'[4]STA MARIA'!AN10+'[4]CB I'!AN10+'[4]CB II'!AN10+'[4]CB III'!AN10+[4]IG!AN10+[4]PN!AN10+[4]MJ!AN10+'[4]RB I'!AN10+'[4]SF I'!AN10</f>
        <v>58812.807164546255</v>
      </c>
      <c r="AO10" s="226">
        <f>+[4]SLP!AO10+[4]ROSA!AO10+'[4]STA ANA'!AO10+[4]BOA!AO10+'[4]STA MARIA'!AO10+'[4]CB I'!AO10+'[4]CB II'!AO10+'[4]CB III'!AO10+[4]IG!AO10+[4]PN!AO10+[4]MJ!AO10+'[4]RB I'!AO10+'[4]SF I'!AO10</f>
        <v>51584.713164023517</v>
      </c>
      <c r="AP10" s="226">
        <f>+[4]SLP!AP10+[4]ROSA!AP10+'[4]STA ANA'!AP10+[4]BOA!AP10+'[4]STA MARIA'!AP10+'[4]CB I'!AP10+'[4]CB II'!AP10+'[4]CB III'!AP10+[4]IG!AP10+[4]PN!AP10+[4]MJ!AP10+'[4]RB I'!AP10+'[4]SF I'!AP10</f>
        <v>7228.0940005227358</v>
      </c>
      <c r="AQ10" s="226">
        <f>+[4]SLP!AQ10+[4]ROSA!AQ10+'[4]STA ANA'!AQ10+[4]BOA!AQ10+'[4]STA MARIA'!AQ10+'[4]CB I'!AQ10+'[4]CB II'!AQ10+'[4]CB III'!AQ10+[4]IG!AQ10+[4]PN!AQ10+[4]MJ!AQ10+'[4]RB I'!AQ10+'[4]SF I'!AQ10</f>
        <v>0</v>
      </c>
      <c r="AR10" s="226">
        <f>+[4]SLP!AR10+[4]ROSA!AR10+'[4]STA ANA'!AR10+[4]BOA!AR10+'[4]STA MARIA'!AR10+'[4]CB I'!AR10+'[4]CB II'!AR10+'[4]CB III'!AR10+[4]IG!AR10+[4]PN!AR10+[4]MJ!AR10+'[4]RB I'!AR10+'[4]SF I'!AR10</f>
        <v>0</v>
      </c>
      <c r="AS10" s="166">
        <f>+[4]SLP!AS10+[4]ROSA!AS10+'[4]STA ANA'!AS10+[4]BOA!AS10+'[4]STA MARIA'!AS10+'[4]CB I'!AS10+'[4]CB II'!AS10+'[4]CB III'!AS10+[4]IG!AS10+[4]PN!AS10+[4]MJ!AS10+'[4]RB I'!AS10+'[4]SÃO FRANCISCO'!AS10</f>
        <v>0</v>
      </c>
      <c r="AT10" s="224">
        <f t="shared" si="7"/>
        <v>-1</v>
      </c>
      <c r="AU10" s="225">
        <f>+[4]SLP!AU10+[4]ROSA!AU10+'[4]STA ANA'!AU10+[4]BOA!AU10+'[4]STA MARIA'!AU10+'[4]CB I'!AU10+'[4]CB II'!AU10+'[4]CB III'!AU10+[4]IG!AU10+[4]PN!AU10+[4]MJ!AU10+'[4]RB I'!AU10+'[4]SF I'!AU10</f>
        <v>58812.807164546255</v>
      </c>
      <c r="AV10" s="226">
        <f>+[4]SLP!AV10+[4]ROSA!AV10+'[4]STA ANA'!AV10+[4]BOA!AV10+'[4]STA MARIA'!AV10+'[4]CB I'!AV10+'[4]CB II'!AV10+'[4]CB III'!AV10+[4]IG!AV10+[4]PN!AV10+[4]MJ!AV10+'[4]RB I'!AV10+'[4]SF I'!AV10</f>
        <v>51584.713164023517</v>
      </c>
      <c r="AW10" s="226">
        <f>+[4]SLP!AW10+[4]ROSA!AW10+'[4]STA ANA'!AW10+[4]BOA!AW10+'[4]STA MARIA'!AW10+'[4]CB I'!AW10+'[4]CB II'!AW10+'[4]CB III'!AW10+[4]IG!AW10+[4]PN!AW10+[4]MJ!AW10+'[4]RB I'!AW10+'[4]SF I'!AW10</f>
        <v>7228.0940005227358</v>
      </c>
      <c r="AX10" s="226">
        <f>+[4]SLP!AX10+[4]ROSA!AX10+'[4]STA ANA'!AX10+[4]BOA!AX10+'[4]STA MARIA'!AX10+'[4]CB I'!AX10+'[4]CB II'!AX10+'[4]CB III'!AX10+[4]IG!AX10+[4]PN!AX10+[4]MJ!AX10+'[4]RB I'!AX10+'[4]SF I'!AX10</f>
        <v>0</v>
      </c>
      <c r="AY10" s="226">
        <f>+[4]SLP!AY10+[4]ROSA!AY10+'[4]STA ANA'!AY10+[4]BOA!AY10+'[4]STA MARIA'!AY10+'[4]CB I'!AY10+'[4]CB II'!AY10+'[4]CB III'!AY10+[4]IG!AY10+[4]PN!AY10+[4]MJ!AY10+'[4]RB I'!AY10+'[4]SF I'!AY10</f>
        <v>0</v>
      </c>
      <c r="AZ10" s="166">
        <f>+[4]SLP!AZ10+[4]ROSA!AZ10+'[4]STA ANA'!AZ10+[4]BOA!AZ10+'[4]STA MARIA'!AZ10+'[4]CB I'!AZ10+'[4]CB II'!AZ10+[4]IG!AZ10+[4]PN!AZ10+[4]MJ!AZ10+'[4]RB I'!AZ10+'[4]SÃO FRANCISCO'!AZ10</f>
        <v>0</v>
      </c>
      <c r="BA10" s="224">
        <f t="shared" si="8"/>
        <v>-1</v>
      </c>
      <c r="BB10" s="225">
        <f>+[4]SLP!BB10+[4]ROSA!BB10+'[4]STA ANA'!BB10+[4]BOA!BB10+'[4]STA MARIA'!BB10+'[4]CB I'!BB10+'[4]CB II'!BB10+'[4]CB III'!BB10+[4]IG!BB10+[4]PN!BB10+[4]MJ!BB10+'[4]RB I'!BB10+'[4]SF I'!BB10</f>
        <v>58812.807164546255</v>
      </c>
      <c r="BC10" s="226">
        <f>+[4]SLP!BC10+[4]ROSA!BC10+'[4]STA ANA'!BC10+[4]BOA!BC10+'[4]STA MARIA'!BC10+'[4]CB I'!BC10+'[4]CB II'!BC10+'[4]CB III'!BC10+[4]IG!BC10+[4]PN!BC10+[4]MJ!BC10+'[4]RB I'!BC10+'[4]SF I'!BC10</f>
        <v>51584.713164023517</v>
      </c>
      <c r="BD10" s="226">
        <f>+[4]SLP!BD10+[4]ROSA!BD10+'[4]STA ANA'!BD10+[4]BOA!BD10+'[4]STA MARIA'!BD10+'[4]CB I'!BD10+'[4]CB II'!BD10+'[4]CB III'!BD10+[4]IG!BD10+[4]PN!BD10+[4]MJ!BD10+'[4]RB I'!BD10+'[4]SF I'!BD10</f>
        <v>7228.0940005227358</v>
      </c>
      <c r="BE10" s="226">
        <f>+[4]SLP!BE10+[4]ROSA!BE10+'[4]STA ANA'!BE10+[4]BOA!BE10+'[4]STA MARIA'!BE10+'[4]CB I'!BE10+'[4]CB II'!BE10+'[4]CB III'!BE10+[4]IG!BE10+[4]PN!BE10+[4]MJ!BE10+'[4]RB I'!BE10+'[4]SF I'!BE10</f>
        <v>0</v>
      </c>
      <c r="BF10" s="226">
        <f>+[4]SLP!BF10+[4]ROSA!BF10+'[4]STA ANA'!BF10+[4]BOA!BF10+'[4]STA MARIA'!BF10+'[4]CB I'!BF10+'[4]CB II'!BF10+'[4]CB III'!BF10+[4]IG!BF10+[4]PN!BF10+[4]MJ!BF10+'[4]RB I'!BF10+'[4]SF I'!BF10</f>
        <v>0</v>
      </c>
      <c r="BG10" s="166">
        <f>+[4]SLP!BG10+[4]ROSA!BG10+'[4]STA ANA'!BG10+[4]BOA!BG10+'[4]STA MARIA'!BG10+'[4]CB I'!BG10+'[4]CB II'!BG10+'[4]CB III'!BG10+[4]IG!BG10+[4]PN!BG10+[4]MJ!BG10+'[4]RB I'!BG10+'[4]SÃO FRANCISCO'!BG10</f>
        <v>0</v>
      </c>
      <c r="BH10" s="224">
        <f t="shared" si="9"/>
        <v>-1</v>
      </c>
      <c r="BI10" s="225">
        <f>+[4]SLP!BI10+[4]ROSA!BI10+'[4]STA ANA'!BI10+[4]BOA!BI10+'[4]STA MARIA'!BI10+'[4]CB I'!BI10+'[4]CB II'!BI10+'[4]CB III'!BI10+[4]IG!BI10+[4]PN!BI10+[4]MJ!BI10+'[4]RB I'!BI10+'[4]SF I'!BI10</f>
        <v>58812.807164546255</v>
      </c>
      <c r="BJ10" s="226">
        <f>+[4]SLP!BJ10+[4]ROSA!BJ10+'[4]STA ANA'!BJ10+[4]BOA!BJ10+'[4]STA MARIA'!BJ10+'[4]CB I'!BJ10+'[4]CB II'!BJ10+'[4]CB III'!BJ10+[4]IG!BJ10+[4]PN!BJ10+[4]MJ!BJ10+'[4]RB I'!BJ10+'[4]SF I'!BJ10</f>
        <v>51584.713164023517</v>
      </c>
      <c r="BK10" s="226">
        <f>+[4]SLP!BK10+[4]ROSA!BK10+'[4]STA ANA'!BK10+[4]BOA!BK10+'[4]STA MARIA'!BK10+'[4]CB I'!BK10+'[4]CB II'!BK10+'[4]CB III'!BK10+[4]IG!BK10+[4]PN!BK10+[4]MJ!BK10+'[4]RB I'!BK10+'[4]SF I'!BK10</f>
        <v>7228.0940005227358</v>
      </c>
      <c r="BL10" s="226">
        <f>+[4]SLP!BL10+[4]ROSA!BL10+'[4]STA ANA'!BL10+[4]BOA!BL10+'[4]STA MARIA'!BL10+'[4]CB I'!BL10+'[4]CB II'!BL10+'[4]CB III'!BL10+[4]IG!BL10+[4]PN!BL10+[4]MJ!BL10+'[4]RB I'!BL10+'[4]SF I'!BL10</f>
        <v>0</v>
      </c>
      <c r="BM10" s="226">
        <f>+[4]SLP!BM10+[4]ROSA!BM10+'[4]STA ANA'!BM10+[4]BOA!BM10+'[4]STA MARIA'!BM10+'[4]CB I'!BM10+'[4]CB II'!BM10+'[4]CB III'!BM10+[4]IG!BM10+[4]PN!BM10+[4]MJ!BM10+'[4]RB I'!BM10+'[4]SF I'!BM10</f>
        <v>0</v>
      </c>
      <c r="BN10" s="166">
        <f>+[4]SLP!BN10+[4]ROSA!BN10+'[4]STA ANA'!BN10+[4]BOA!BN10+'[4]STA MARIA'!BN10+'[4]CB I'!BN10+'[4]CB II'!BN10+'[4]CB III'!BN10+[4]IG!BN10+[4]PN!BN10+[4]MJ!BN10+'[4]RB I'!BN10+'[4]SÃO FRANCISCO'!BN10</f>
        <v>0</v>
      </c>
      <c r="BO10" s="224">
        <f t="shared" si="10"/>
        <v>-1</v>
      </c>
      <c r="BP10" s="225">
        <f>+[4]SLP!BP10+[4]ROSA!BP10+'[4]STA ANA'!BP10+[4]BOA!BP10+'[4]STA MARIA'!BP10+'[4]CB I'!BP10+'[4]CB II'!BP10+'[4]CB III'!BP10+[4]IG!BP10+[4]PN!BP10+[4]MJ!BP10+'[4]RB I'!BP10+'[4]SF I'!BP10</f>
        <v>58812.807164546255</v>
      </c>
      <c r="BQ10" s="226">
        <f>+[4]SLP!BQ10+[4]ROSA!BQ10+'[4]STA ANA'!BQ10+[4]BOA!BQ10+'[4]STA MARIA'!BQ10+'[4]CB I'!BQ10+'[4]CB II'!BQ10+'[4]CB III'!BQ10+[4]IG!BQ10+[4]PN!BQ10+[4]MJ!BQ10+'[4]RB I'!BQ10+'[4]SF I'!BQ10</f>
        <v>51584.713164023517</v>
      </c>
      <c r="BR10" s="226">
        <f>+[4]SLP!BR10+[4]ROSA!BR10+'[4]STA ANA'!BR10+[4]BOA!BR10+'[4]STA MARIA'!BR10+'[4]CB I'!BR10+'[4]CB II'!BR10+'[4]CB III'!BR10+[4]IG!BR10+[4]PN!BR10+[4]MJ!BR10+'[4]RB I'!BR10+'[4]SF I'!BR10</f>
        <v>7228.0940005227358</v>
      </c>
      <c r="BS10" s="226">
        <f>+[4]SLP!BS10+[4]ROSA!BS10+'[4]STA ANA'!BS10+[4]BOA!BS10+'[4]STA MARIA'!BS10+'[4]CB I'!BS10+'[4]CB II'!BS10+'[4]CB III'!BS10+[4]IG!BS10+[4]PN!BS10+[4]MJ!BS10+'[4]RB I'!BS10+'[4]SF I'!BS10</f>
        <v>0</v>
      </c>
      <c r="BT10" s="226">
        <f>+[4]SLP!BT10+[4]ROSA!BT10+'[4]STA ANA'!BT10+[4]BOA!BT10+'[4]STA MARIA'!BT10+'[4]CB I'!BT10+'[4]CB II'!BT10+'[4]CB III'!BT10+[4]IG!BT10+[4]PN!BT10+[4]MJ!BT10+'[4]RB I'!BT10+'[4]SF I'!BT10</f>
        <v>0</v>
      </c>
      <c r="BU10" s="166">
        <f>+[4]SLP!BU10+[4]ROSA!BU10+'[4]STA ANA'!BU10+[4]BOA!BU10+'[4]STA MARIA'!BU10+'[4]CB I'!BU10+'[4]CB II'!BU10+'[4]CB III'!BU10+[4]IG!BU10+[4]PN!BU10+[4]MJ!BU10+'[4]RB I'!BU10+'[4]SÃO FRANCISCO'!BU10</f>
        <v>0</v>
      </c>
      <c r="BV10" s="224">
        <f t="shared" si="11"/>
        <v>-1</v>
      </c>
      <c r="BW10" s="225">
        <f>+[4]SLP!BW10+[4]ROSA!BW10+'[4]STA ANA'!BW10+[4]BOA!BW10+'[4]STA MARIA'!BW10+'[4]CB I'!BW10+'[4]CB II'!BW10+'[4]CB III'!BW10+[4]IG!BW10+[4]PN!BW10+[4]MJ!BW10+'[4]RB I'!BW10+'[4]SF I'!BW10</f>
        <v>58812.807164546255</v>
      </c>
      <c r="BX10" s="226">
        <f>+[4]SLP!BX10+[4]ROSA!BX10+'[4]STA ANA'!BX10+[4]BOA!BX10+'[4]STA MARIA'!BX10+'[4]CB I'!BX10+'[4]CB II'!BX10+'[4]CB III'!BX10+[4]IG!BX10+[4]PN!BX10+[4]MJ!BX10+'[4]RB I'!BX10+'[4]SF I'!BX10</f>
        <v>51584.713164023517</v>
      </c>
      <c r="BY10" s="226">
        <f>+[4]SLP!BY10+[4]ROSA!BY10+'[4]STA ANA'!BY10+[4]BOA!BY10+'[4]STA MARIA'!BY10+'[4]CB I'!BY10+'[4]CB II'!BY10+'[4]CB III'!BY10+[4]IG!BY10+[4]PN!BY10+[4]MJ!BY10+'[4]RB I'!BY10+'[4]SF I'!BY10</f>
        <v>7228.0940005227358</v>
      </c>
      <c r="BZ10" s="226">
        <f>+[4]SLP!BZ10+[4]ROSA!BZ10+'[4]STA ANA'!BZ10+[4]BOA!BZ10+'[4]STA MARIA'!BZ10+'[4]CB I'!BZ10+'[4]CB II'!BZ10+'[4]CB III'!BZ10+[4]IG!BZ10+[4]PN!BZ10+[4]MJ!BZ10+'[4]RB I'!BZ10+'[4]SF I'!BZ10</f>
        <v>0</v>
      </c>
      <c r="CA10" s="226">
        <f>+[4]SLP!CA10+[4]ROSA!CA10+'[4]STA ANA'!CA10+[4]BOA!CA10+'[4]STA MARIA'!CA10+'[4]CB I'!CA10+'[4]CB II'!CA10+'[4]CB III'!CA10+[4]IG!CA10+[4]PN!CA10+[4]MJ!CA10+'[4]RB I'!CA10+'[4]SF I'!CA10</f>
        <v>0</v>
      </c>
      <c r="CB10" s="166">
        <f>+[4]SLP!CB10+[4]ROSA!CB10+'[4]STA ANA'!CB10+[4]BOA!CB10+'[4]STA MARIA'!CB10+'[4]CB I'!CB10+'[4]CB II'!CB10+'[4]CB III'!CB10+[4]IG!CB10+[4]PN!CB10+[4]MJ!CB10+'[4]RB I'!CB10+'[4]SÃO FRANCISCO'!CB10</f>
        <v>0</v>
      </c>
      <c r="CC10" s="224">
        <f t="shared" si="12"/>
        <v>-1</v>
      </c>
      <c r="CD10" s="225">
        <f>+[4]SLP!CD10+[4]ROSA!CD10+'[4]STA ANA'!CD10+[4]BOA!CD10+'[4]STA MARIA'!CD10+'[4]CB I'!CD10+'[4]CB II'!CD10+'[4]CB III'!CD10+[4]IG!CD10+[4]PN!CD10+[4]MJ!CD10+'[4]RB I'!CD10+'[4]SF I'!CD10</f>
        <v>58812.807164546255</v>
      </c>
      <c r="CE10" s="226">
        <f>+[4]SLP!CE10+[4]ROSA!CE10+'[4]STA ANA'!CE10+[4]BOA!CE10+'[4]STA MARIA'!CE10+'[4]CB I'!CE10+'[4]CB II'!CE10+'[4]CB III'!CE10+[4]IG!CE10+[4]PN!CE10+[4]MJ!CE10+'[4]RB I'!CE10+'[4]SF I'!CE10</f>
        <v>51584.713164023517</v>
      </c>
      <c r="CF10" s="226">
        <f>+[4]SLP!CF10+[4]ROSA!CF10+'[4]STA ANA'!CF10+[4]BOA!CF10+'[4]STA MARIA'!CF10+'[4]CB I'!CF10+'[4]CB II'!CF10+'[4]CB III'!CF10+[4]IG!CF10+[4]PN!CF10+[4]MJ!CF10+'[4]RB I'!CF10+'[4]SF I'!CF10</f>
        <v>7228.0940005227358</v>
      </c>
      <c r="CG10" s="226">
        <f>+[4]SLP!CG10+[4]ROSA!CG10+'[4]STA ANA'!CG10+[4]BOA!CG10+'[4]STA MARIA'!CG10+'[4]CB I'!CG10+'[4]CB II'!CG10+'[4]CB III'!CG10+[4]IG!CG10+[4]PN!CG10+[4]MJ!CG10+'[4]RB I'!CG10+'[4]SF I'!CG10</f>
        <v>0</v>
      </c>
      <c r="CH10" s="226">
        <f>+[4]SLP!CH10+[4]ROSA!CH10+'[4]STA ANA'!CH10+[4]BOA!CH10+'[4]STA MARIA'!CH10+'[4]CB I'!CH10+'[4]CB II'!CH10+'[4]CB III'!CH10+[4]IG!CH10+[4]PN!CH10+[4]MJ!CH10+'[4]RB I'!CH10+'[4]SF I'!CH10</f>
        <v>0</v>
      </c>
      <c r="CI10" s="166">
        <f>+[4]SLP!CI10+[4]ROSA!CI10+'[4]STA ANA'!CI10+[4]BOA!CI10+'[4]STA MARIA'!CI10+'[4]CB I'!CI10+'[4]CB II'!CI10+'[4]CB III'!CI10+[4]IG!CI10+[4]PN!CI10+[4]MJ!CI10+'[4]RB I'!CI10+'[4]SÃO FRANCISCO'!CI10</f>
        <v>0</v>
      </c>
      <c r="CJ10" s="224">
        <f t="shared" si="13"/>
        <v>-1</v>
      </c>
      <c r="CK10" s="225">
        <f>+[4]SLP!CK10+[4]ROSA!CK10+'[4]STA ANA'!CK10+[4]BOA!CK10+'[4]STA MARIA'!CK10+'[4]CB I'!CK10+'[4]CB II'!CK10+'[4]CB III'!CK10+[4]IG!CK10+[4]PN!CK10+[4]MJ!CK10+'[4]RB I'!CK10+'[4]SF I'!CK10</f>
        <v>58812.807164546255</v>
      </c>
      <c r="CL10" s="226">
        <f>+[4]SLP!CL10+[4]ROSA!CL10+'[4]STA ANA'!CL10+[4]BOA!CL10+'[4]STA MARIA'!CL10+'[4]CB I'!CL10+'[4]CB II'!CL10+'[4]CB III'!CL10+[4]IG!CL10+[4]PN!CL10+[4]MJ!CL10+'[4]RB I'!CL10+'[4]SF I'!CL10</f>
        <v>51584.713164023517</v>
      </c>
      <c r="CM10" s="226">
        <f>+[4]SLP!CM10+[4]ROSA!CM10+'[4]STA ANA'!CM10+[4]BOA!CM10+'[4]STA MARIA'!CM10+'[4]CB I'!CM10+'[4]CB II'!CM10+'[4]CB III'!CM10+[4]IG!CM10+[4]PN!CM10+[4]MJ!CM10+'[4]RB I'!CM10+'[4]SF I'!CM10</f>
        <v>7228.0940005227358</v>
      </c>
      <c r="CN10" s="226">
        <f>+[4]SLP!CN10+[4]ROSA!CN10+'[4]STA ANA'!CN10+[4]BOA!CN10+'[4]STA MARIA'!CN10+'[4]CB I'!CN10+'[4]CB II'!CN10+'[4]CB III'!CN10+[4]IG!CN10+[4]PN!CN10+[4]MJ!CN10+'[4]RB I'!CN10+'[4]SF I'!CN10</f>
        <v>0</v>
      </c>
      <c r="CO10" s="226">
        <f>+[4]SLP!CO10+[4]ROSA!CO10+'[4]STA ANA'!CO10+[4]BOA!CO10+'[4]STA MARIA'!CO10+'[4]CB I'!CO10+'[4]CB II'!CO10+'[4]CB III'!CO10+[4]IG!CO10+[4]PN!CO10+[4]MJ!CO10+'[4]RB I'!CO10+'[4]SF I'!CO10</f>
        <v>0</v>
      </c>
      <c r="CP10" s="166">
        <f>+[4]SLP!CP10+[4]ROSA!CP10+'[4]STA ANA'!CP10+[4]BOA!CP10+'[4]STA MARIA'!CP10+'[4]CB I'!CP10+'[4]CB II'!CP10+'[4]CB III'!CP10+[4]IG!CP10+[4]PN!CP10+[4]MJ!CP10+'[4]RB I'!CP10+'[4]SÃO FRANCISCO'!CP10</f>
        <v>0</v>
      </c>
      <c r="CQ10" s="224">
        <f t="shared" si="14"/>
        <v>-1</v>
      </c>
      <c r="CR10" s="155"/>
      <c r="CS10" s="227" t="e">
        <f t="shared" si="15"/>
        <v>#VALUE!</v>
      </c>
    </row>
    <row r="11" spans="1:101" ht="14.25" customHeight="1" x14ac:dyDescent="0.2">
      <c r="A11" s="228" t="s">
        <v>35</v>
      </c>
      <c r="B11" s="30">
        <f t="shared" si="0"/>
        <v>0</v>
      </c>
      <c r="C11" s="31">
        <f t="shared" si="0"/>
        <v>0</v>
      </c>
      <c r="D11" s="32">
        <f t="shared" si="0"/>
        <v>0</v>
      </c>
      <c r="E11" s="30">
        <f t="shared" si="16"/>
        <v>0</v>
      </c>
      <c r="F11" s="33">
        <f t="shared" si="16"/>
        <v>0</v>
      </c>
      <c r="G11" s="34">
        <f t="shared" si="16"/>
        <v>0</v>
      </c>
      <c r="H11" s="31">
        <f t="shared" si="1"/>
        <v>91441.208815000005</v>
      </c>
      <c r="I11" s="33">
        <f t="shared" si="1"/>
        <v>4280.5911850000002</v>
      </c>
      <c r="J11" s="33">
        <f t="shared" si="1"/>
        <v>95721.799999999988</v>
      </c>
      <c r="K11" s="224" t="str">
        <f t="shared" si="2"/>
        <v/>
      </c>
      <c r="L11" s="225">
        <f>+[4]SLP!L11+[4]ROSA!L11+'[4]STA ANA'!L11+[4]BOA!L11+'[4]STA MARIA'!L11+'[4]CB I'!L11+'[4]CB II'!L11+'[4]CB III'!L11+[4]IG!L11+[4]PN!L11+[4]MJ!L11+'[4]RB I'!L11+'[4]SF I'!L11</f>
        <v>0</v>
      </c>
      <c r="M11" s="226">
        <f>+[4]SLP!M11+[4]ROSA!M11+'[4]STA ANA'!M11+[4]BOA!M11+'[4]STA MARIA'!M11+'[4]CB I'!M11+'[4]CB II'!M11+'[4]CB III'!M11+[4]IG!M11+[4]PN!M11+[4]MJ!M11+'[4]RB I'!M11+'[4]SF I'!M11</f>
        <v>0</v>
      </c>
      <c r="N11" s="226">
        <f>+[4]SLP!N11+[4]ROSA!N11+'[4]STA ANA'!N11+[4]BOA!N11+'[4]STA MARIA'!N11+'[4]CB I'!N11+'[4]CB II'!N11+'[4]CB III'!N11+[4]IG!N11+[4]PN!N11+[4]MJ!N11+'[4]RB I'!N11+'[4]SF I'!N11</f>
        <v>0</v>
      </c>
      <c r="O11" s="226">
        <f>+[4]SLP!O11+[4]ROSA!O11+'[4]STA ANA'!O11+[4]BOA!O11+'[4]STA MARIA'!O11+'[4]CB I'!O11+'[4]CB II'!O11+'[4]CB III'!O11+[4]IG!O11+[4]PN!O11+[4]MJ!O11+'[4]RB I'!O11+'[4]SF I'!O11</f>
        <v>0</v>
      </c>
      <c r="P11" s="226">
        <f>+[4]SLP!P11+[4]ROSA!P11+'[4]STA ANA'!P11+[4]BOA!P11+'[4]STA MARIA'!P11+'[4]CB I'!P11+'[4]CB II'!P11+'[4]CB III'!P11+[4]IG!P11+[4]PN!P11+[4]MJ!P11+'[4]RB I'!P11+'[4]SF I'!P11</f>
        <v>0</v>
      </c>
      <c r="Q11" s="166">
        <f>+[4]SLP!Q11+[4]ROSA!Q11+'[4]STA ANA'!Q11+[4]BOA!Q11+'[4]STA MARIA'!Q11+'[4]CB I'!Q11+'[4]CB II'!Q11+'[4]CB III'!Q11+[4]IG!Q11+[4]PN!Q11+[4]MJ!Q11+'[4]RB I'!Q11+'[4]SF I'!Q11</f>
        <v>0</v>
      </c>
      <c r="R11" s="224" t="str">
        <f t="shared" si="3"/>
        <v/>
      </c>
      <c r="S11" s="225">
        <f>+[4]SLP!S11+[4]ROSA!S11+'[4]STA ANA'!S11+[4]BOA!S11+'[4]STA MARIA'!S11+'[4]CB I'!S11+'[4]CB II'!S11+'[4]CB III'!S11+[4]IG!S11+[4]PN!S11+[4]MJ!S11+'[4]RB I'!S11+'[4]SF I'!S11</f>
        <v>0</v>
      </c>
      <c r="T11" s="226">
        <f>+[4]SLP!T11+[4]ROSA!T11+'[4]STA ANA'!T11+[4]BOA!T11+'[4]STA MARIA'!T11+'[4]CB I'!T11+'[4]CB II'!T11+'[4]CB III'!T11+[4]IG!T11+[4]PN!T11+[4]MJ!T11+'[4]RB I'!T11+'[4]SF I'!T11</f>
        <v>0</v>
      </c>
      <c r="U11" s="226">
        <f>+[4]SLP!U11+[4]ROSA!U11+'[4]STA ANA'!U11+[4]BOA!U11+'[4]STA MARIA'!U11+'[4]CB I'!U11+'[4]CB II'!U11+'[4]CB III'!U11+[4]IG!U11+[4]PN!U11+[4]MJ!U11+'[4]RB I'!U11+'[4]SF I'!U11</f>
        <v>0</v>
      </c>
      <c r="V11" s="226">
        <f>+[4]SLP!V11+[4]ROSA!V11+'[4]STA ANA'!V11+[4]BOA!V11+'[4]STA MARIA'!V11+'[4]CB I'!V11+'[4]CB II'!V11+'[4]CB III'!V11+[4]IG!V11+[4]PN!V11+[4]MJ!V11+'[4]RB I'!V11+'[4]SF I'!V11</f>
        <v>20120.137296000001</v>
      </c>
      <c r="W11" s="226">
        <f>+[4]SLP!W11+[4]ROSA!W11+'[4]STA ANA'!W11+[4]BOA!W11+'[4]STA MARIA'!W11+'[4]CB I'!W11+'[4]CB II'!W11+'[4]CB III'!W11+[4]IG!W11+[4]PN!W11+[4]MJ!W11+'[4]RB I'!W11+'[4]SF I'!W11</f>
        <v>498.98270399999996</v>
      </c>
      <c r="X11" s="166">
        <f>[4]SLP!X11+[4]ROSA!X11+'[4]STA ANA'!X11+[4]BOA!X11+'[4]STA MARIA'!X11+'[4]CB I'!X11+'[4]CB II'!X11+'[4]CB III'!X11+[4]IG!X11+[4]PN!X11+[4]MJ!X11+'[4]RB I'!X11+'[4]SF I'!X11</f>
        <v>20619.12</v>
      </c>
      <c r="Y11" s="224" t="str">
        <f t="shared" si="4"/>
        <v/>
      </c>
      <c r="Z11" s="225">
        <f>+[4]SLP!Z11+[4]ROSA!Z11+'[4]STA ANA'!Z11+[4]BOA!Z11+'[4]STA MARIA'!Z11+'[4]CB I'!Z11+'[4]CB II'!Z11+'[4]CB III'!Z11+[4]IG!Z11+[4]PN!Z11+[4]MJ!Z11+'[4]RB I'!Z11+'[4]SF I'!Z11</f>
        <v>0</v>
      </c>
      <c r="AA11" s="226">
        <f>+[4]SLP!AA11+[4]ROSA!AA11+'[4]STA ANA'!AA11+[4]BOA!AA11+'[4]STA MARIA'!AA11+'[4]CB I'!AA11+'[4]CB II'!AA11+'[4]CB III'!AA11+[4]IG!AA11+[4]PN!AA11+[4]MJ!AA11+'[4]RB I'!AA11+'[4]SF I'!AA11</f>
        <v>0</v>
      </c>
      <c r="AB11" s="226">
        <f>+[4]SLP!AB11+[4]ROSA!AB11+'[4]STA ANA'!AB11+[4]BOA!AB11+'[4]STA MARIA'!AB11+'[4]CB I'!AB11+'[4]CB II'!AB11+'[4]CB III'!AB11+[4]IG!AB11+[4]PN!AB11+[4]MJ!AB11+'[4]RB I'!AB11+'[4]SF I'!AB11</f>
        <v>0</v>
      </c>
      <c r="AC11" s="226">
        <f>+[4]SLP!AC11+[4]ROSA!AC11+'[4]STA ANA'!AC11+[4]BOA!AC11+'[4]STA MARIA'!AC11+'[4]CB I'!AC11+'[4]CB II'!AC11+'[4]CB III'!AC11+[4]IG!AC11+[4]PN!AC11+[4]MJ!AC11+'[4]RB I'!AC11+'[4]SF I'!AC11</f>
        <v>41203.115623999998</v>
      </c>
      <c r="AD11" s="226">
        <f>+[4]SLP!AD11+[4]ROSA!AD11+'[4]STA ANA'!AD11+[4]BOA!AD11+'[4]STA MARIA'!AD11+'[4]CB I'!AD11+'[4]CB II'!AD11+'[4]CB III'!AD11+[4]IG!AD11+[4]PN!AD11+[4]MJ!AD11+'[4]RB I'!AD11+'[4]SF I'!AD11</f>
        <v>1792.2443760000001</v>
      </c>
      <c r="AE11" s="166">
        <f>+[4]SLP!AE11+[4]ROSA!AE11+'[4]STA ANA'!AE11+[4]BOA!AE11+'[4]STA MARIA'!AE11+'[4]CB I'!AE11+'[4]CB II'!AE11+'[4]CB III'!AE11+[4]IG!AE11+[4]PN!AE11+[4]MJ!AE11+'[4]RB I'!AE11+'[4]SF I'!AE11</f>
        <v>42995.360000000001</v>
      </c>
      <c r="AF11" s="224" t="str">
        <f t="shared" si="5"/>
        <v/>
      </c>
      <c r="AG11" s="225">
        <f>+[4]SLP!AG11+[4]ROSA!AG11+'[4]STA ANA'!AG11+[4]BOA!AG11+'[4]STA MARIA'!AG11+'[4]CB I'!AG11+'[4]CB II'!AG11+'[4]CB III'!AG11+[4]IG!AG11+[4]PN!AG11+[4]MJ!AG11+'[4]RB I'!AG11+'[4]SF I'!AG11</f>
        <v>0</v>
      </c>
      <c r="AH11" s="226">
        <f>+[4]SLP!AH11+[4]ROSA!AH11+'[4]STA ANA'!AH11+[4]BOA!AH11+'[4]STA MARIA'!AH11+'[4]CB I'!AH11+'[4]CB II'!AH11+'[4]CB III'!AH11+[4]IG!AH11+[4]PN!AH11+[4]MJ!AH11+'[4]RB I'!AH11+'[4]SF I'!AH11</f>
        <v>0</v>
      </c>
      <c r="AI11" s="226">
        <f>+[4]SLP!AI11+[4]ROSA!AI11+'[4]STA ANA'!AI11+[4]BOA!AI11+'[4]STA MARIA'!AI11+'[4]CB I'!AI11+'[4]CB II'!AI11+'[4]CB III'!AI11+[4]IG!AI11+[4]PN!AI11+[4]MJ!AI11+'[4]RB I'!AI11+'[4]SF I'!AI11</f>
        <v>0</v>
      </c>
      <c r="AJ11" s="226">
        <f>+[4]SLP!AJ11+[4]ROSA!AJ11+'[4]STA ANA'!AJ11+[4]BOA!AJ11+'[4]STA MARIA'!AJ11+'[4]CB I'!AJ11+'[4]CB II'!AJ11+'[4]CB III'!AJ11+[4]IG!AJ11+[4]PN!AJ11+[4]MJ!AJ11+'[4]RB I'!AJ11+'[4]SF I'!AJ11</f>
        <v>30117.955895000003</v>
      </c>
      <c r="AK11" s="226">
        <f>+[4]SLP!AK11+[4]ROSA!AK11+'[4]STA ANA'!AK11+[4]BOA!AK11+'[4]STA MARIA'!AK11+'[4]CB I'!AK11+'[4]CB II'!AK11+'[4]CB III'!AK11+[4]IG!AK11+[4]PN!AK11+[4]MJ!AK11+'[4]RB I'!AK11+'[4]SF I'!AK11</f>
        <v>1989.3641050000001</v>
      </c>
      <c r="AL11" s="166">
        <f>+[4]SLP!AL11+[4]ROSA!AL11+'[4]STA ANA'!AL11+[4]BOA!AL11+'[4]STA MARIA'!AL11+'[4]CB I'!AL11+'[4]CB II'!AL11+'[4]CB III'!AL11+[4]IG!AL11+[4]PN!AL11+[4]MJ!AL11+'[4]RB I'!AL11+'[4]SF I'!AL11</f>
        <v>32107.32</v>
      </c>
      <c r="AM11" s="224" t="str">
        <f t="shared" si="6"/>
        <v/>
      </c>
      <c r="AN11" s="225">
        <f>+[4]SLP!AN11+[4]ROSA!AN11+'[4]STA ANA'!AN11+[4]BOA!AN11+'[4]STA MARIA'!AN11+'[4]CB I'!AN11+'[4]CB II'!AN11+'[4]CB III'!AN11+[4]IG!AN11+[4]PN!AN11+[4]MJ!AN11+'[4]RB I'!AN11+'[4]SF I'!AN11</f>
        <v>0</v>
      </c>
      <c r="AO11" s="226">
        <f>+[4]SLP!AO11+[4]ROSA!AO11+'[4]STA ANA'!AO11+[4]BOA!AO11+'[4]STA MARIA'!AO11+'[4]CB I'!AO11+'[4]CB II'!AO11+'[4]CB III'!AO11+[4]IG!AO11+[4]PN!AO11+[4]MJ!AO11+'[4]RB I'!AO11+'[4]SF I'!AO11</f>
        <v>0</v>
      </c>
      <c r="AP11" s="226">
        <f>+[4]SLP!AP11+[4]ROSA!AP11+'[4]STA ANA'!AP11+[4]BOA!AP11+'[4]STA MARIA'!AP11+'[4]CB I'!AP11+'[4]CB II'!AP11+'[4]CB III'!AP11+[4]IG!AP11+[4]PN!AP11+[4]MJ!AP11+'[4]RB I'!AP11+'[4]SF I'!AP11</f>
        <v>0</v>
      </c>
      <c r="AQ11" s="226">
        <f>+[4]SLP!AQ11+[4]ROSA!AQ11+'[4]STA ANA'!AQ11+[4]BOA!AQ11+'[4]STA MARIA'!AQ11+'[4]CB I'!AQ11+'[4]CB II'!AQ11+'[4]CB III'!AQ11+[4]IG!AQ11+[4]PN!AQ11+[4]MJ!AQ11+'[4]RB I'!AQ11+'[4]SF I'!AQ11</f>
        <v>0</v>
      </c>
      <c r="AR11" s="226">
        <f>+[4]SLP!AR11+[4]ROSA!AR11+'[4]STA ANA'!AR11+[4]BOA!AR11+'[4]STA MARIA'!AR11+'[4]CB I'!AR11+'[4]CB II'!AR11+'[4]CB III'!AR11+[4]IG!AR11+[4]PN!AR11+[4]MJ!AR11+'[4]RB I'!AR11+'[4]SF I'!AR11</f>
        <v>0</v>
      </c>
      <c r="AS11" s="166">
        <f>+[4]SLP!AS11+[4]ROSA!AS11+'[4]STA ANA'!AS11+[4]BOA!AS11+'[4]STA MARIA'!AS11+'[4]CB I'!AS11+'[4]CB II'!AS11+'[4]CB III'!AS11+[4]IG!AS11+[4]PN!AS11+[4]MJ!AS11+'[4]RB I'!AS11+'[4]SÃO FRANCISCO'!AS11</f>
        <v>0</v>
      </c>
      <c r="AT11" s="224" t="str">
        <f t="shared" si="7"/>
        <v/>
      </c>
      <c r="AU11" s="225">
        <f>+[4]SLP!AU11+[4]ROSA!AU11+'[4]STA ANA'!AU11+[4]BOA!AU11+'[4]STA MARIA'!AU11+'[4]CB I'!AU11+'[4]CB II'!AU11+'[4]CB III'!AU11+[4]IG!AU11+[4]PN!AU11+[4]MJ!AU11+'[4]RB I'!AU11+'[4]SF I'!AU11</f>
        <v>0</v>
      </c>
      <c r="AV11" s="226">
        <f>+[4]SLP!AV11+[4]ROSA!AV11+'[4]STA ANA'!AV11+[4]BOA!AV11+'[4]STA MARIA'!AV11+'[4]CB I'!AV11+'[4]CB II'!AV11+'[4]CB III'!AV11+[4]IG!AV11+[4]PN!AV11+[4]MJ!AV11+'[4]RB I'!AV11+'[4]SF I'!AV11</f>
        <v>0</v>
      </c>
      <c r="AW11" s="226">
        <f>+[4]SLP!AW11+[4]ROSA!AW11+'[4]STA ANA'!AW11+[4]BOA!AW11+'[4]STA MARIA'!AW11+'[4]CB I'!AW11+'[4]CB II'!AW11+'[4]CB III'!AW11+[4]IG!AW11+[4]PN!AW11+[4]MJ!AW11+'[4]RB I'!AW11+'[4]SF I'!AW11</f>
        <v>0</v>
      </c>
      <c r="AX11" s="226">
        <f>+[4]SLP!AX11+[4]ROSA!AX11+'[4]STA ANA'!AX11+[4]BOA!AX11+'[4]STA MARIA'!AX11+'[4]CB I'!AX11+'[4]CB II'!AX11+'[4]CB III'!AX11+[4]IG!AX11+[4]PN!AX11+[4]MJ!AX11+'[4]RB I'!AX11+'[4]SF I'!AX11</f>
        <v>0</v>
      </c>
      <c r="AY11" s="226">
        <f>+[4]SLP!AY11+[4]ROSA!AY11+'[4]STA ANA'!AY11+[4]BOA!AY11+'[4]STA MARIA'!AY11+'[4]CB I'!AY11+'[4]CB II'!AY11+'[4]CB III'!AY11+[4]IG!AY11+[4]PN!AY11+[4]MJ!AY11+'[4]RB I'!AY11+'[4]SF I'!AY11</f>
        <v>0</v>
      </c>
      <c r="AZ11" s="166">
        <f>+[4]SLP!AZ11+[4]ROSA!AZ11+'[4]STA ANA'!AZ11+[4]BOA!AZ11+'[4]STA MARIA'!AZ11+'[4]CB I'!AZ11+'[4]CB II'!AZ11+[4]IG!AZ11+[4]PN!AZ11+[4]MJ!AZ11+'[4]RB I'!AZ11+'[4]SÃO FRANCISCO'!AZ11</f>
        <v>0</v>
      </c>
      <c r="BA11" s="224" t="str">
        <f t="shared" si="8"/>
        <v/>
      </c>
      <c r="BB11" s="225">
        <f>+[4]SLP!BB11+[4]ROSA!BB11+'[4]STA ANA'!BB11+[4]BOA!BB11+'[4]STA MARIA'!BB11+'[4]CB I'!BB11+'[4]CB II'!BB11+'[4]CB III'!BB11+[4]IG!BB11+[4]PN!BB11+[4]MJ!BB11+'[4]RB I'!BB11+'[4]SF I'!BB11</f>
        <v>0</v>
      </c>
      <c r="BC11" s="226">
        <f>+[4]SLP!BC11+[4]ROSA!BC11+'[4]STA ANA'!BC11+[4]BOA!BC11+'[4]STA MARIA'!BC11+'[4]CB I'!BC11+'[4]CB II'!BC11+'[4]CB III'!BC11+[4]IG!BC11+[4]PN!BC11+[4]MJ!BC11+'[4]RB I'!BC11+'[4]SF I'!BC11</f>
        <v>0</v>
      </c>
      <c r="BD11" s="226">
        <f>+[4]SLP!BD11+[4]ROSA!BD11+'[4]STA ANA'!BD11+[4]BOA!BD11+'[4]STA MARIA'!BD11+'[4]CB I'!BD11+'[4]CB II'!BD11+'[4]CB III'!BD11+[4]IG!BD11+[4]PN!BD11+[4]MJ!BD11+'[4]RB I'!BD11+'[4]SF I'!BD11</f>
        <v>0</v>
      </c>
      <c r="BE11" s="226">
        <f>+[4]SLP!BE11+[4]ROSA!BE11+'[4]STA ANA'!BE11+[4]BOA!BE11+'[4]STA MARIA'!BE11+'[4]CB I'!BE11+'[4]CB II'!BE11+'[4]CB III'!BE11+[4]IG!BE11+[4]PN!BE11+[4]MJ!BE11+'[4]RB I'!BE11+'[4]SF I'!BE11</f>
        <v>0</v>
      </c>
      <c r="BF11" s="226">
        <f>+[4]SLP!BF11+[4]ROSA!BF11+'[4]STA ANA'!BF11+[4]BOA!BF11+'[4]STA MARIA'!BF11+'[4]CB I'!BF11+'[4]CB II'!BF11+'[4]CB III'!BF11+[4]IG!BF11+[4]PN!BF11+[4]MJ!BF11+'[4]RB I'!BF11+'[4]SF I'!BF11</f>
        <v>0</v>
      </c>
      <c r="BG11" s="166">
        <f>+[4]SLP!BG11+[4]ROSA!BG11+'[4]STA ANA'!BG11+[4]BOA!BG11+'[4]STA MARIA'!BG11+'[4]CB I'!BG11+'[4]CB II'!BG11+'[4]CB III'!BG11+[4]IG!BG11+[4]PN!BG11+[4]MJ!BG11+'[4]RB I'!BG11+'[4]SÃO FRANCISCO'!BG11</f>
        <v>0</v>
      </c>
      <c r="BH11" s="224" t="str">
        <f t="shared" si="9"/>
        <v/>
      </c>
      <c r="BI11" s="225">
        <f>+[4]SLP!BI11+[4]ROSA!BI11+'[4]STA ANA'!BI11+[4]BOA!BI11+'[4]STA MARIA'!BI11+'[4]CB I'!BI11+'[4]CB II'!BI11+'[4]CB III'!BI11+[4]IG!BI11+[4]PN!BI11+[4]MJ!BI11+'[4]RB I'!BI11+'[4]SF I'!BI11</f>
        <v>0</v>
      </c>
      <c r="BJ11" s="226">
        <f>+[4]SLP!BJ11+[4]ROSA!BJ11+'[4]STA ANA'!BJ11+[4]BOA!BJ11+'[4]STA MARIA'!BJ11+'[4]CB I'!BJ11+'[4]CB II'!BJ11+'[4]CB III'!BJ11+[4]IG!BJ11+[4]PN!BJ11+[4]MJ!BJ11+'[4]RB I'!BJ11+'[4]SF I'!BJ11</f>
        <v>0</v>
      </c>
      <c r="BK11" s="226">
        <f>+[4]SLP!BK11+[4]ROSA!BK11+'[4]STA ANA'!BK11+[4]BOA!BK11+'[4]STA MARIA'!BK11+'[4]CB I'!BK11+'[4]CB II'!BK11+'[4]CB III'!BK11+[4]IG!BK11+[4]PN!BK11+[4]MJ!BK11+'[4]RB I'!BK11+'[4]SF I'!BK11</f>
        <v>0</v>
      </c>
      <c r="BL11" s="226">
        <f>+[4]SLP!BL11+[4]ROSA!BL11+'[4]STA ANA'!BL11+[4]BOA!BL11+'[4]STA MARIA'!BL11+'[4]CB I'!BL11+'[4]CB II'!BL11+'[4]CB III'!BL11+[4]IG!BL11+[4]PN!BL11+[4]MJ!BL11+'[4]RB I'!BL11+'[4]SF I'!BL11</f>
        <v>0</v>
      </c>
      <c r="BM11" s="226">
        <f>+[4]SLP!BM11+[4]ROSA!BM11+'[4]STA ANA'!BM11+[4]BOA!BM11+'[4]STA MARIA'!BM11+'[4]CB I'!BM11+'[4]CB II'!BM11+'[4]CB III'!BM11+[4]IG!BM11+[4]PN!BM11+[4]MJ!BM11+'[4]RB I'!BM11+'[4]SF I'!BM11</f>
        <v>0</v>
      </c>
      <c r="BN11" s="166">
        <f>+[4]SLP!BN11+[4]ROSA!BN11+'[4]STA ANA'!BN11+[4]BOA!BN11+'[4]STA MARIA'!BN11+'[4]CB I'!BN11+'[4]CB II'!BN11+'[4]CB III'!BN11+[4]IG!BN11+[4]PN!BN11+[4]MJ!BN11+'[4]RB I'!BN11+'[4]SÃO FRANCISCO'!BN11</f>
        <v>0</v>
      </c>
      <c r="BO11" s="224" t="str">
        <f t="shared" si="10"/>
        <v/>
      </c>
      <c r="BP11" s="225">
        <f>+[4]SLP!BP11+[4]ROSA!BP11+'[4]STA ANA'!BP11+[4]BOA!BP11+'[4]STA MARIA'!BP11+'[4]CB I'!BP11+'[4]CB II'!BP11+'[4]CB III'!BP11+[4]IG!BP11+[4]PN!BP11+[4]MJ!BP11+'[4]RB I'!BP11+'[4]SF I'!BP11</f>
        <v>0</v>
      </c>
      <c r="BQ11" s="226">
        <f>+[4]SLP!BQ11+[4]ROSA!BQ11+'[4]STA ANA'!BQ11+[4]BOA!BQ11+'[4]STA MARIA'!BQ11+'[4]CB I'!BQ11+'[4]CB II'!BQ11+'[4]CB III'!BQ11+[4]IG!BQ11+[4]PN!BQ11+[4]MJ!BQ11+'[4]RB I'!BQ11+'[4]SF I'!BQ11</f>
        <v>0</v>
      </c>
      <c r="BR11" s="226">
        <f>+[4]SLP!BR11+[4]ROSA!BR11+'[4]STA ANA'!BR11+[4]BOA!BR11+'[4]STA MARIA'!BR11+'[4]CB I'!BR11+'[4]CB II'!BR11+'[4]CB III'!BR11+[4]IG!BR11+[4]PN!BR11+[4]MJ!BR11+'[4]RB I'!BR11+'[4]SF I'!BR11</f>
        <v>0</v>
      </c>
      <c r="BS11" s="226">
        <f>+[4]SLP!BS11+[4]ROSA!BS11+'[4]STA ANA'!BS11+[4]BOA!BS11+'[4]STA MARIA'!BS11+'[4]CB I'!BS11+'[4]CB II'!BS11+'[4]CB III'!BS11+[4]IG!BS11+[4]PN!BS11+[4]MJ!BS11+'[4]RB I'!BS11+'[4]SF I'!BS11</f>
        <v>0</v>
      </c>
      <c r="BT11" s="226">
        <f>+[4]SLP!BT11+[4]ROSA!BT11+'[4]STA ANA'!BT11+[4]BOA!BT11+'[4]STA MARIA'!BT11+'[4]CB I'!BT11+'[4]CB II'!BT11+'[4]CB III'!BT11+[4]IG!BT11+[4]PN!BT11+[4]MJ!BT11+'[4]RB I'!BT11+'[4]SF I'!BT11</f>
        <v>0</v>
      </c>
      <c r="BU11" s="166">
        <f>+[4]SLP!BU11+[4]ROSA!BU11+'[4]STA ANA'!BU11+[4]BOA!BU11+'[4]STA MARIA'!BU11+'[4]CB I'!BU11+'[4]CB II'!BU11+'[4]CB III'!BU11+[4]IG!BU11+[4]PN!BU11+[4]MJ!BU11+'[4]RB I'!BU11+'[4]SÃO FRANCISCO'!BU11</f>
        <v>0</v>
      </c>
      <c r="BV11" s="224" t="str">
        <f t="shared" si="11"/>
        <v/>
      </c>
      <c r="BW11" s="225">
        <f>+[4]SLP!BW11+[4]ROSA!BW11+'[4]STA ANA'!BW11+[4]BOA!BW11+'[4]STA MARIA'!BW11+'[4]CB I'!BW11+'[4]CB II'!BW11+'[4]CB III'!BW11+[4]IG!BW11+[4]PN!BW11+[4]MJ!BW11+'[4]RB I'!BW11+'[4]SF I'!BW11</f>
        <v>0</v>
      </c>
      <c r="BX11" s="226">
        <f>+[4]SLP!BX11+[4]ROSA!BX11+'[4]STA ANA'!BX11+[4]BOA!BX11+'[4]STA MARIA'!BX11+'[4]CB I'!BX11+'[4]CB II'!BX11+'[4]CB III'!BX11+[4]IG!BX11+[4]PN!BX11+[4]MJ!BX11+'[4]RB I'!BX11+'[4]SF I'!BX11</f>
        <v>0</v>
      </c>
      <c r="BY11" s="226">
        <f>+[4]SLP!BY11+[4]ROSA!BY11+'[4]STA ANA'!BY11+[4]BOA!BY11+'[4]STA MARIA'!BY11+'[4]CB I'!BY11+'[4]CB II'!BY11+'[4]CB III'!BY11+[4]IG!BY11+[4]PN!BY11+[4]MJ!BY11+'[4]RB I'!BY11+'[4]SF I'!BY11</f>
        <v>0</v>
      </c>
      <c r="BZ11" s="226">
        <f>+[4]SLP!BZ11+[4]ROSA!BZ11+'[4]STA ANA'!BZ11+[4]BOA!BZ11+'[4]STA MARIA'!BZ11+'[4]CB I'!BZ11+'[4]CB II'!BZ11+'[4]CB III'!BZ11+[4]IG!BZ11+[4]PN!BZ11+[4]MJ!BZ11+'[4]RB I'!BZ11+'[4]SF I'!BZ11</f>
        <v>0</v>
      </c>
      <c r="CA11" s="226">
        <f>+[4]SLP!CA11+[4]ROSA!CA11+'[4]STA ANA'!CA11+[4]BOA!CA11+'[4]STA MARIA'!CA11+'[4]CB I'!CA11+'[4]CB II'!CA11+'[4]CB III'!CA11+[4]IG!CA11+[4]PN!CA11+[4]MJ!CA11+'[4]RB I'!CA11+'[4]SF I'!CA11</f>
        <v>0</v>
      </c>
      <c r="CB11" s="166">
        <f>+[4]SLP!CB11+[4]ROSA!CB11+'[4]STA ANA'!CB11+[4]BOA!CB11+'[4]STA MARIA'!CB11+'[4]CB I'!CB11+'[4]CB II'!CB11+'[4]CB III'!CB11+[4]IG!CB11+[4]PN!CB11+[4]MJ!CB11+'[4]RB I'!CB11+'[4]SÃO FRANCISCO'!CB11</f>
        <v>0</v>
      </c>
      <c r="CC11" s="224" t="str">
        <f t="shared" si="12"/>
        <v/>
      </c>
      <c r="CD11" s="225">
        <f>+[4]SLP!CD11+[4]ROSA!CD11+'[4]STA ANA'!CD11+[4]BOA!CD11+'[4]STA MARIA'!CD11+'[4]CB I'!CD11+'[4]CB II'!CD11+'[4]CB III'!CD11+[4]IG!CD11+[4]PN!CD11+[4]MJ!CD11+'[4]RB I'!CD11+'[4]SF I'!CD11</f>
        <v>0</v>
      </c>
      <c r="CE11" s="226">
        <f>+[4]SLP!CE11+[4]ROSA!CE11+'[4]STA ANA'!CE11+[4]BOA!CE11+'[4]STA MARIA'!CE11+'[4]CB I'!CE11+'[4]CB II'!CE11+'[4]CB III'!CE11+[4]IG!CE11+[4]PN!CE11+[4]MJ!CE11+'[4]RB I'!CE11+'[4]SF I'!CE11</f>
        <v>0</v>
      </c>
      <c r="CF11" s="226">
        <f>+[4]SLP!CF11+[4]ROSA!CF11+'[4]STA ANA'!CF11+[4]BOA!CF11+'[4]STA MARIA'!CF11+'[4]CB I'!CF11+'[4]CB II'!CF11+'[4]CB III'!CF11+[4]IG!CF11+[4]PN!CF11+[4]MJ!CF11+'[4]RB I'!CF11+'[4]SF I'!CF11</f>
        <v>0</v>
      </c>
      <c r="CG11" s="226">
        <f>+[4]SLP!CG11+[4]ROSA!CG11+'[4]STA ANA'!CG11+[4]BOA!CG11+'[4]STA MARIA'!CG11+'[4]CB I'!CG11+'[4]CB II'!CG11+'[4]CB III'!CG11+[4]IG!CG11+[4]PN!CG11+[4]MJ!CG11+'[4]RB I'!CG11+'[4]SF I'!CG11</f>
        <v>0</v>
      </c>
      <c r="CH11" s="226">
        <f>+[4]SLP!CH11+[4]ROSA!CH11+'[4]STA ANA'!CH11+[4]BOA!CH11+'[4]STA MARIA'!CH11+'[4]CB I'!CH11+'[4]CB II'!CH11+'[4]CB III'!CH11+[4]IG!CH11+[4]PN!CH11+[4]MJ!CH11+'[4]RB I'!CH11+'[4]SF I'!CH11</f>
        <v>0</v>
      </c>
      <c r="CI11" s="166">
        <f>+[4]SLP!CI11+[4]ROSA!CI11+'[4]STA ANA'!CI11+[4]BOA!CI11+'[4]STA MARIA'!CI11+'[4]CB I'!CI11+'[4]CB II'!CI11+'[4]CB III'!CI11+[4]IG!CI11+[4]PN!CI11+[4]MJ!CI11+'[4]RB I'!CI11+'[4]SÃO FRANCISCO'!CI11</f>
        <v>0</v>
      </c>
      <c r="CJ11" s="224" t="str">
        <f t="shared" si="13"/>
        <v/>
      </c>
      <c r="CK11" s="225">
        <f>+[4]SLP!CK11+[4]ROSA!CK11+'[4]STA ANA'!CK11+[4]BOA!CK11+'[4]STA MARIA'!CK11+'[4]CB I'!CK11+'[4]CB II'!CK11+'[4]CB III'!CK11+[4]IG!CK11+[4]PN!CK11+[4]MJ!CK11+'[4]RB I'!CK11+'[4]SF I'!CK11</f>
        <v>0</v>
      </c>
      <c r="CL11" s="226">
        <f>+[4]SLP!CL11+[4]ROSA!CL11+'[4]STA ANA'!CL11+[4]BOA!CL11+'[4]STA MARIA'!CL11+'[4]CB I'!CL11+'[4]CB II'!CL11+'[4]CB III'!CL11+[4]IG!CL11+[4]PN!CL11+[4]MJ!CL11+'[4]RB I'!CL11+'[4]SF I'!CL11</f>
        <v>0</v>
      </c>
      <c r="CM11" s="226">
        <f>+[4]SLP!CM11+[4]ROSA!CM11+'[4]STA ANA'!CM11+[4]BOA!CM11+'[4]STA MARIA'!CM11+'[4]CB I'!CM11+'[4]CB II'!CM11+'[4]CB III'!CM11+[4]IG!CM11+[4]PN!CM11+[4]MJ!CM11+'[4]RB I'!CM11+'[4]SF I'!CM11</f>
        <v>0</v>
      </c>
      <c r="CN11" s="226">
        <f>+[4]SLP!CN11+[4]ROSA!CN11+'[4]STA ANA'!CN11+[4]BOA!CN11+'[4]STA MARIA'!CN11+'[4]CB I'!CN11+'[4]CB II'!CN11+'[4]CB III'!CN11+[4]IG!CN11+[4]PN!CN11+[4]MJ!CN11+'[4]RB I'!CN11+'[4]SF I'!CN11</f>
        <v>0</v>
      </c>
      <c r="CO11" s="226">
        <f>+[4]SLP!CO11+[4]ROSA!CO11+'[4]STA ANA'!CO11+[4]BOA!CO11+'[4]STA MARIA'!CO11+'[4]CB I'!CO11+'[4]CB II'!CO11+'[4]CB III'!CO11+[4]IG!CO11+[4]PN!CO11+[4]MJ!CO11+'[4]RB I'!CO11+'[4]SF I'!CO11</f>
        <v>0</v>
      </c>
      <c r="CP11" s="166">
        <f>+[4]SLP!CP11+[4]ROSA!CP11+'[4]STA ANA'!CP11+[4]BOA!CP11+'[4]STA MARIA'!CP11+'[4]CB I'!CP11+'[4]CB II'!CP11+'[4]CB III'!CP11+[4]IG!CP11+[4]PN!CP11+[4]MJ!CP11+'[4]RB I'!CP11+'[4]SÃO FRANCISCO'!CP11</f>
        <v>0</v>
      </c>
      <c r="CQ11" s="224" t="str">
        <f t="shared" si="14"/>
        <v/>
      </c>
      <c r="CR11" s="155"/>
      <c r="CS11" s="227" t="e">
        <f t="shared" si="15"/>
        <v>#VALUE!</v>
      </c>
    </row>
    <row r="12" spans="1:101" ht="14.25" customHeight="1" x14ac:dyDescent="0.2">
      <c r="A12" s="223" t="s">
        <v>36</v>
      </c>
      <c r="B12" s="30">
        <f t="shared" si="0"/>
        <v>336324.804843141</v>
      </c>
      <c r="C12" s="31">
        <f t="shared" si="0"/>
        <v>294990.48632791894</v>
      </c>
      <c r="D12" s="32">
        <f t="shared" si="0"/>
        <v>41334.318515222025</v>
      </c>
      <c r="E12" s="30">
        <f t="shared" si="16"/>
        <v>112108.268281047</v>
      </c>
      <c r="F12" s="33">
        <f t="shared" si="16"/>
        <v>98330.162109306315</v>
      </c>
      <c r="G12" s="34">
        <f t="shared" si="16"/>
        <v>13778.106171740676</v>
      </c>
      <c r="H12" s="31">
        <f t="shared" si="1"/>
        <v>102537.09848130692</v>
      </c>
      <c r="I12" s="33">
        <f t="shared" si="1"/>
        <v>9895.6842403443788</v>
      </c>
      <c r="J12" s="33">
        <f t="shared" si="1"/>
        <v>112432.7827216513</v>
      </c>
      <c r="K12" s="224">
        <f t="shared" si="2"/>
        <v>2.8946521570627493E-3</v>
      </c>
      <c r="L12" s="225">
        <f>+[4]SLP!L12+[4]ROSA!L12+'[4]STA ANA'!L12+[4]BOA!L12+'[4]STA MARIA'!L12+'[4]CB I'!L12+'[4]CB II'!L12+'[4]CB III'!L12+[4]IG!L12+[4]PN!L12+[4]MJ!L12+'[4]RB I'!L12+'[4]SF I'!L12</f>
        <v>28027.06707026175</v>
      </c>
      <c r="M12" s="226">
        <f>+[4]SLP!M12+[4]ROSA!M12+'[4]STA ANA'!M12+[4]BOA!M12+'[4]STA MARIA'!M12+'[4]CB I'!M12+'[4]CB II'!M12+'[4]CB III'!M12+[4]IG!M12+[4]PN!M12+[4]MJ!M12+'[4]RB I'!M12+'[4]SF I'!M12</f>
        <v>24582.540527326579</v>
      </c>
      <c r="N12" s="226">
        <f>+[4]SLP!N12+[4]ROSA!N12+'[4]STA ANA'!N12+[4]BOA!N12+'[4]STA MARIA'!N12+'[4]CB I'!N12+'[4]CB II'!N12+'[4]CB III'!N12+[4]IG!N12+[4]PN!N12+[4]MJ!N12+'[4]RB I'!N12+'[4]SF I'!N12</f>
        <v>3444.5265429351689</v>
      </c>
      <c r="O12" s="226">
        <f>+[4]SLP!O12+[4]ROSA!O12+'[4]STA ANA'!O12+[4]BOA!O12+'[4]STA MARIA'!O12+'[4]CB I'!O12+'[4]CB II'!O12+'[4]CB III'!O12+[4]IG!O12+[4]PN!O12+[4]MJ!O12+'[4]RB I'!O12+'[4]SF I'!O12</f>
        <v>25665.634159091816</v>
      </c>
      <c r="P12" s="226">
        <f>+[4]SLP!P12+[4]ROSA!P12+'[4]STA ANA'!P12+[4]BOA!P12+'[4]STA MARIA'!P12+'[4]CB I'!P12+'[4]CB II'!P12+'[4]CB III'!P12+[4]IG!P12+[4]PN!P12+[4]MJ!P12+'[4]RB I'!P12+'[4]SF I'!P12</f>
        <v>3003.4956162683079</v>
      </c>
      <c r="Q12" s="166">
        <f>+[4]SLP!Q12+[4]ROSA!Q12+'[4]STA ANA'!Q12+[4]BOA!Q12+'[4]STA MARIA'!Q12+'[4]CB I'!Q12+'[4]CB II'!Q12+'[4]CB III'!Q12+[4]IG!Q12+[4]PN!Q12+[4]MJ!Q12+'[4]RB I'!Q12+'[4]SF I'!Q12</f>
        <v>28669.129775360128</v>
      </c>
      <c r="R12" s="224">
        <f t="shared" si="3"/>
        <v>2.290866552282389E-2</v>
      </c>
      <c r="S12" s="225">
        <f>+[4]SLP!S12+[4]ROSA!S12+'[4]STA ANA'!S12+[4]BOA!S12+'[4]STA MARIA'!S12+'[4]CB I'!S12+'[4]CB II'!S12+'[4]CB III'!S12+[4]IG!S12+[4]PN!S12+[4]MJ!S12+'[4]RB I'!S12+'[4]SF I'!S12</f>
        <v>28027.06707026175</v>
      </c>
      <c r="T12" s="226">
        <f>+[4]SLP!T12+[4]ROSA!T12+'[4]STA ANA'!T12+[4]BOA!T12+'[4]STA MARIA'!T12+'[4]CB I'!T12+'[4]CB II'!T12+'[4]CB III'!T12+[4]IG!T12+[4]PN!T12+[4]MJ!T12+'[4]RB I'!T12+'[4]SF I'!T12</f>
        <v>24582.540527326579</v>
      </c>
      <c r="U12" s="226">
        <f>+[4]SLP!U12+[4]ROSA!U12+'[4]STA ANA'!U12+[4]BOA!U12+'[4]STA MARIA'!U12+'[4]CB I'!U12+'[4]CB II'!U12+'[4]CB III'!U12+[4]IG!U12+[4]PN!U12+[4]MJ!U12+'[4]RB I'!U12+'[4]SF I'!U12</f>
        <v>3444.5265429351689</v>
      </c>
      <c r="V12" s="226">
        <f>+[4]SLP!V12+[4]ROSA!V12+'[4]STA ANA'!V12+[4]BOA!V12+'[4]STA MARIA'!V12+'[4]CB I'!V12+'[4]CB II'!V12+'[4]CB III'!V12+[4]IG!V12+[4]PN!V12+[4]MJ!V12+'[4]RB I'!V12+'[4]SF I'!V12</f>
        <v>13629.469070289761</v>
      </c>
      <c r="W12" s="226">
        <f>+[4]SLP!W12+[4]ROSA!W12+'[4]STA ANA'!W12+[4]BOA!W12+'[4]STA MARIA'!W12+'[4]CB I'!W12+'[4]CB II'!W12+'[4]CB III'!W12+[4]IG!W12+[4]PN!W12+[4]MJ!W12+'[4]RB I'!W12+'[4]SF I'!W12</f>
        <v>1349.676438649002</v>
      </c>
      <c r="X12" s="166">
        <f>[4]SLP!X12+[4]ROSA!X12+'[4]STA ANA'!X12+[4]BOA!X12+'[4]STA MARIA'!X12+'[4]CB I'!X12+'[4]CB II'!X12+'[4]CB III'!X12+[4]IG!X12+[4]PN!X12+[4]MJ!X12+'[4]RB I'!X12+'[4]SF I'!X12</f>
        <v>14979.145508938764</v>
      </c>
      <c r="Y12" s="224">
        <f t="shared" si="4"/>
        <v>-0.46554716298401211</v>
      </c>
      <c r="Z12" s="225">
        <f>+[4]SLP!Z12+[4]ROSA!Z12+'[4]STA ANA'!Z12+[4]BOA!Z12+'[4]STA MARIA'!Z12+'[4]CB I'!Z12+'[4]CB II'!Z12+'[4]CB III'!Z12+[4]IG!Z12+[4]PN!Z12+[4]MJ!Z12+'[4]RB I'!Z12+'[4]SF I'!Z12</f>
        <v>28027.06707026175</v>
      </c>
      <c r="AA12" s="226">
        <f>+[4]SLP!AA12+[4]ROSA!AA12+'[4]STA ANA'!AA12+[4]BOA!AA12+'[4]STA MARIA'!AA12+'[4]CB I'!AA12+'[4]CB II'!AA12+'[4]CB III'!AA12+[4]IG!AA12+[4]PN!AA12+[4]MJ!AA12+'[4]RB I'!AA12+'[4]SF I'!AA12</f>
        <v>24582.540527326579</v>
      </c>
      <c r="AB12" s="226">
        <f>+[4]SLP!AB12+[4]ROSA!AB12+'[4]STA ANA'!AB12+[4]BOA!AB12+'[4]STA MARIA'!AB12+'[4]CB I'!AB12+'[4]CB II'!AB12+'[4]CB III'!AB12+[4]IG!AB12+[4]PN!AB12+[4]MJ!AB12+'[4]RB I'!AB12+'[4]SF I'!AB12</f>
        <v>3444.5265429351689</v>
      </c>
      <c r="AC12" s="226">
        <f>+[4]SLP!AC12+[4]ROSA!AC12+'[4]STA ANA'!AC12+[4]BOA!AC12+'[4]STA MARIA'!AC12+'[4]CB I'!AC12+'[4]CB II'!AC12+'[4]CB III'!AC12+[4]IG!AC12+[4]PN!AC12+[4]MJ!AC12+'[4]RB I'!AC12+'[4]SF I'!AC12</f>
        <v>33360.338706389855</v>
      </c>
      <c r="AD12" s="226">
        <f>+[4]SLP!AD12+[4]ROSA!AD12+'[4]STA ANA'!AD12+[4]BOA!AD12+'[4]STA MARIA'!AD12+'[4]CB I'!AD12+'[4]CB II'!AD12+'[4]CB III'!AD12+[4]IG!AD12+[4]PN!AD12+[4]MJ!AD12+'[4]RB I'!AD12+'[4]SF I'!AD12</f>
        <v>2947.1219242828893</v>
      </c>
      <c r="AE12" s="166">
        <f>+[4]SLP!AE12+[4]ROSA!AE12+'[4]STA ANA'!AE12+[4]BOA!AE12+'[4]STA MARIA'!AE12+'[4]CB I'!AE12+'[4]CB II'!AE12+'[4]CB III'!AE12+[4]IG!AE12+[4]PN!AE12+[4]MJ!AE12+'[4]RB I'!AE12+'[4]SF I'!AE12</f>
        <v>36307.460630672744</v>
      </c>
      <c r="AF12" s="224">
        <f t="shared" si="5"/>
        <v>0.29544274253358971</v>
      </c>
      <c r="AG12" s="225">
        <f>+[4]SLP!AG12+[4]ROSA!AG12+'[4]STA ANA'!AG12+[4]BOA!AG12+'[4]STA MARIA'!AG12+'[4]CB I'!AG12+'[4]CB II'!AG12+'[4]CB III'!AG12+[4]IG!AG12+[4]PN!AG12+[4]MJ!AG12+'[4]RB I'!AG12+'[4]SF I'!AG12</f>
        <v>28027.06707026175</v>
      </c>
      <c r="AH12" s="226">
        <f>+[4]SLP!AH12+[4]ROSA!AH12+'[4]STA ANA'!AH12+[4]BOA!AH12+'[4]STA MARIA'!AH12+'[4]CB I'!AH12+'[4]CB II'!AH12+'[4]CB III'!AH12+[4]IG!AH12+[4]PN!AH12+[4]MJ!AH12+'[4]RB I'!AH12+'[4]SF I'!AH12</f>
        <v>24582.540527326579</v>
      </c>
      <c r="AI12" s="226">
        <f>+[4]SLP!AI12+[4]ROSA!AI12+'[4]STA ANA'!AI12+[4]BOA!AI12+'[4]STA MARIA'!AI12+'[4]CB I'!AI12+'[4]CB II'!AI12+'[4]CB III'!AI12+[4]IG!AI12+[4]PN!AI12+[4]MJ!AI12+'[4]RB I'!AI12+'[4]SF I'!AI12</f>
        <v>3444.5265429351689</v>
      </c>
      <c r="AJ12" s="226">
        <f>+[4]SLP!AJ12+[4]ROSA!AJ12+'[4]STA ANA'!AJ12+[4]BOA!AJ12+'[4]STA MARIA'!AJ12+'[4]CB I'!AJ12+'[4]CB II'!AJ12+'[4]CB III'!AJ12+[4]IG!AJ12+[4]PN!AJ12+[4]MJ!AJ12+'[4]RB I'!AJ12+'[4]SF I'!AJ12</f>
        <v>29881.656545535479</v>
      </c>
      <c r="AK12" s="226">
        <f>+[4]SLP!AK12+[4]ROSA!AK12+'[4]STA ANA'!AK12+[4]BOA!AK12+'[4]STA MARIA'!AK12+'[4]CB I'!AK12+'[4]CB II'!AK12+'[4]CB III'!AK12+[4]IG!AK12+[4]PN!AK12+[4]MJ!AK12+'[4]RB I'!AK12+'[4]SF I'!AK12</f>
        <v>2595.3902611441799</v>
      </c>
      <c r="AL12" s="166">
        <f>+[4]SLP!AL12+[4]ROSA!AL12+'[4]STA ANA'!AL12+[4]BOA!AL12+'[4]STA MARIA'!AL12+'[4]CB I'!AL12+'[4]CB II'!AL12+'[4]CB III'!AL12+[4]IG!AL12+[4]PN!AL12+[4]MJ!AL12+'[4]RB I'!AL12+'[4]SF I'!AL12</f>
        <v>32477.046806679657</v>
      </c>
      <c r="AM12" s="224">
        <f t="shared" si="6"/>
        <v>0.15877436355584917</v>
      </c>
      <c r="AN12" s="225">
        <f>+[4]SLP!AN12+[4]ROSA!AN12+'[4]STA ANA'!AN12+[4]BOA!AN12+'[4]STA MARIA'!AN12+'[4]CB I'!AN12+'[4]CB II'!AN12+'[4]CB III'!AN12+[4]IG!AN12+[4]PN!AN12+[4]MJ!AN12+'[4]RB I'!AN12+'[4]SF I'!AN12</f>
        <v>28027.06707026175</v>
      </c>
      <c r="AO12" s="226">
        <f>+[4]SLP!AO12+[4]ROSA!AO12+'[4]STA ANA'!AO12+[4]BOA!AO12+'[4]STA MARIA'!AO12+'[4]CB I'!AO12+'[4]CB II'!AO12+'[4]CB III'!AO12+[4]IG!AO12+[4]PN!AO12+[4]MJ!AO12+'[4]RB I'!AO12+'[4]SF I'!AO12</f>
        <v>24582.540527326579</v>
      </c>
      <c r="AP12" s="226">
        <f>+[4]SLP!AP12+[4]ROSA!AP12+'[4]STA ANA'!AP12+[4]BOA!AP12+'[4]STA MARIA'!AP12+'[4]CB I'!AP12+'[4]CB II'!AP12+'[4]CB III'!AP12+[4]IG!AP12+[4]PN!AP12+[4]MJ!AP12+'[4]RB I'!AP12+'[4]SF I'!AP12</f>
        <v>3444.5265429351689</v>
      </c>
      <c r="AQ12" s="226">
        <f>+[4]SLP!AQ12+[4]ROSA!AQ12+'[4]STA ANA'!AQ12+[4]BOA!AQ12+'[4]STA MARIA'!AQ12+'[4]CB I'!AQ12+'[4]CB II'!AQ12+'[4]CB III'!AQ12+[4]IG!AQ12+[4]PN!AQ12+[4]MJ!AQ12+'[4]RB I'!AQ12+'[4]SF I'!AQ12</f>
        <v>0</v>
      </c>
      <c r="AR12" s="226">
        <f>+[4]SLP!AR12+[4]ROSA!AR12+'[4]STA ANA'!AR12+[4]BOA!AR12+'[4]STA MARIA'!AR12+'[4]CB I'!AR12+'[4]CB II'!AR12+'[4]CB III'!AR12+[4]IG!AR12+[4]PN!AR12+[4]MJ!AR12+'[4]RB I'!AR12+'[4]SF I'!AR12</f>
        <v>0</v>
      </c>
      <c r="AS12" s="166">
        <f>+[4]SLP!AS12+[4]ROSA!AS12+'[4]STA ANA'!AS12+[4]BOA!AS12+'[4]STA MARIA'!AS12+'[4]CB I'!AS12+'[4]CB II'!AS12+'[4]CB III'!AS12+[4]IG!AS12+[4]PN!AS12+[4]MJ!AS12+'[4]RB I'!AS12+'[4]SÃO FRANCISCO'!AS12</f>
        <v>0</v>
      </c>
      <c r="AT12" s="224">
        <f t="shared" si="7"/>
        <v>-1</v>
      </c>
      <c r="AU12" s="225">
        <f>+[4]SLP!AU12+[4]ROSA!AU12+'[4]STA ANA'!AU12+[4]BOA!AU12+'[4]STA MARIA'!AU12+'[4]CB I'!AU12+'[4]CB II'!AU12+'[4]CB III'!AU12+[4]IG!AU12+[4]PN!AU12+[4]MJ!AU12+'[4]RB I'!AU12+'[4]SF I'!AU12</f>
        <v>28027.06707026175</v>
      </c>
      <c r="AV12" s="226">
        <f>+[4]SLP!AV12+[4]ROSA!AV12+'[4]STA ANA'!AV12+[4]BOA!AV12+'[4]STA MARIA'!AV12+'[4]CB I'!AV12+'[4]CB II'!AV12+'[4]CB III'!AV12+[4]IG!AV12+[4]PN!AV12+[4]MJ!AV12+'[4]RB I'!AV12+'[4]SF I'!AV12</f>
        <v>24582.540527326579</v>
      </c>
      <c r="AW12" s="226">
        <f>+[4]SLP!AW12+[4]ROSA!AW12+'[4]STA ANA'!AW12+[4]BOA!AW12+'[4]STA MARIA'!AW12+'[4]CB I'!AW12+'[4]CB II'!AW12+'[4]CB III'!AW12+[4]IG!AW12+[4]PN!AW12+[4]MJ!AW12+'[4]RB I'!AW12+'[4]SF I'!AW12</f>
        <v>3444.5265429351689</v>
      </c>
      <c r="AX12" s="226">
        <f>+[4]SLP!AX12+[4]ROSA!AX12+'[4]STA ANA'!AX12+[4]BOA!AX12+'[4]STA MARIA'!AX12+'[4]CB I'!AX12+'[4]CB II'!AX12+'[4]CB III'!AX12+[4]IG!AX12+[4]PN!AX12+[4]MJ!AX12+'[4]RB I'!AX12+'[4]SF I'!AX12</f>
        <v>0</v>
      </c>
      <c r="AY12" s="226">
        <f>+[4]SLP!AY12+[4]ROSA!AY12+'[4]STA ANA'!AY12+[4]BOA!AY12+'[4]STA MARIA'!AY12+'[4]CB I'!AY12+'[4]CB II'!AY12+'[4]CB III'!AY12+[4]IG!AY12+[4]PN!AY12+[4]MJ!AY12+'[4]RB I'!AY12+'[4]SF I'!AY12</f>
        <v>0</v>
      </c>
      <c r="AZ12" s="166">
        <f>+[4]SLP!AZ12+[4]ROSA!AZ12+'[4]STA ANA'!AZ12+[4]BOA!AZ12+'[4]STA MARIA'!AZ12+'[4]CB I'!AZ12+'[4]CB II'!AZ12+[4]IG!AZ12+[4]PN!AZ12+[4]MJ!AZ12+'[4]RB I'!AZ12+'[4]SÃO FRANCISCO'!AZ12</f>
        <v>0</v>
      </c>
      <c r="BA12" s="224">
        <f t="shared" si="8"/>
        <v>-1</v>
      </c>
      <c r="BB12" s="225">
        <f>+[4]SLP!BB12+[4]ROSA!BB12+'[4]STA ANA'!BB12+[4]BOA!BB12+'[4]STA MARIA'!BB12+'[4]CB I'!BB12+'[4]CB II'!BB12+'[4]CB III'!BB12+[4]IG!BB12+[4]PN!BB12+[4]MJ!BB12+'[4]RB I'!BB12+'[4]SF I'!BB12</f>
        <v>28027.06707026175</v>
      </c>
      <c r="BC12" s="226">
        <f>+[4]SLP!BC12+[4]ROSA!BC12+'[4]STA ANA'!BC12+[4]BOA!BC12+'[4]STA MARIA'!BC12+'[4]CB I'!BC12+'[4]CB II'!BC12+'[4]CB III'!BC12+[4]IG!BC12+[4]PN!BC12+[4]MJ!BC12+'[4]RB I'!BC12+'[4]SF I'!BC12</f>
        <v>24582.540527326579</v>
      </c>
      <c r="BD12" s="226">
        <f>+[4]SLP!BD12+[4]ROSA!BD12+'[4]STA ANA'!BD12+[4]BOA!BD12+'[4]STA MARIA'!BD12+'[4]CB I'!BD12+'[4]CB II'!BD12+'[4]CB III'!BD12+[4]IG!BD12+[4]PN!BD12+[4]MJ!BD12+'[4]RB I'!BD12+'[4]SF I'!BD12</f>
        <v>3444.5265429351689</v>
      </c>
      <c r="BE12" s="226">
        <f>+[4]SLP!BE12+[4]ROSA!BE12+'[4]STA ANA'!BE12+[4]BOA!BE12+'[4]STA MARIA'!BE12+'[4]CB I'!BE12+'[4]CB II'!BE12+'[4]CB III'!BE12+[4]IG!BE12+[4]PN!BE12+[4]MJ!BE12+'[4]RB I'!BE12+'[4]SF I'!BE12</f>
        <v>0</v>
      </c>
      <c r="BF12" s="226">
        <f>+[4]SLP!BF12+[4]ROSA!BF12+'[4]STA ANA'!BF12+[4]BOA!BF12+'[4]STA MARIA'!BF12+'[4]CB I'!BF12+'[4]CB II'!BF12+'[4]CB III'!BF12+[4]IG!BF12+[4]PN!BF12+[4]MJ!BF12+'[4]RB I'!BF12+'[4]SF I'!BF12</f>
        <v>0</v>
      </c>
      <c r="BG12" s="166">
        <f>+[4]SLP!BG12+[4]ROSA!BG12+'[4]STA ANA'!BG12+[4]BOA!BG12+'[4]STA MARIA'!BG12+'[4]CB I'!BG12+'[4]CB II'!BG12+'[4]CB III'!BG12+[4]IG!BG12+[4]PN!BG12+[4]MJ!BG12+'[4]RB I'!BG12+'[4]SÃO FRANCISCO'!BG12</f>
        <v>0</v>
      </c>
      <c r="BH12" s="224">
        <f t="shared" si="9"/>
        <v>-1</v>
      </c>
      <c r="BI12" s="225">
        <f>+[4]SLP!BI12+[4]ROSA!BI12+'[4]STA ANA'!BI12+[4]BOA!BI12+'[4]STA MARIA'!BI12+'[4]CB I'!BI12+'[4]CB II'!BI12+'[4]CB III'!BI12+[4]IG!BI12+[4]PN!BI12+[4]MJ!BI12+'[4]RB I'!BI12+'[4]SF I'!BI12</f>
        <v>28027.06707026175</v>
      </c>
      <c r="BJ12" s="226">
        <f>+[4]SLP!BJ12+[4]ROSA!BJ12+'[4]STA ANA'!BJ12+[4]BOA!BJ12+'[4]STA MARIA'!BJ12+'[4]CB I'!BJ12+'[4]CB II'!BJ12+'[4]CB III'!BJ12+[4]IG!BJ12+[4]PN!BJ12+[4]MJ!BJ12+'[4]RB I'!BJ12+'[4]SF I'!BJ12</f>
        <v>24582.540527326579</v>
      </c>
      <c r="BK12" s="226">
        <f>+[4]SLP!BK12+[4]ROSA!BK12+'[4]STA ANA'!BK12+[4]BOA!BK12+'[4]STA MARIA'!BK12+'[4]CB I'!BK12+'[4]CB II'!BK12+'[4]CB III'!BK12+[4]IG!BK12+[4]PN!BK12+[4]MJ!BK12+'[4]RB I'!BK12+'[4]SF I'!BK12</f>
        <v>3444.5265429351689</v>
      </c>
      <c r="BL12" s="226">
        <f>+[4]SLP!BL12+[4]ROSA!BL12+'[4]STA ANA'!BL12+[4]BOA!BL12+'[4]STA MARIA'!BL12+'[4]CB I'!BL12+'[4]CB II'!BL12+'[4]CB III'!BL12+[4]IG!BL12+[4]PN!BL12+[4]MJ!BL12+'[4]RB I'!BL12+'[4]SF I'!BL12</f>
        <v>0</v>
      </c>
      <c r="BM12" s="226">
        <f>+[4]SLP!BM12+[4]ROSA!BM12+'[4]STA ANA'!BM12+[4]BOA!BM12+'[4]STA MARIA'!BM12+'[4]CB I'!BM12+'[4]CB II'!BM12+'[4]CB III'!BM12+[4]IG!BM12+[4]PN!BM12+[4]MJ!BM12+'[4]RB I'!BM12+'[4]SF I'!BM12</f>
        <v>0</v>
      </c>
      <c r="BN12" s="166">
        <f>+[4]SLP!BN12+[4]ROSA!BN12+'[4]STA ANA'!BN12+[4]BOA!BN12+'[4]STA MARIA'!BN12+'[4]CB I'!BN12+'[4]CB II'!BN12+'[4]CB III'!BN12+[4]IG!BN12+[4]PN!BN12+[4]MJ!BN12+'[4]RB I'!BN12+'[4]SÃO FRANCISCO'!BN12</f>
        <v>0</v>
      </c>
      <c r="BO12" s="224">
        <f t="shared" si="10"/>
        <v>-1</v>
      </c>
      <c r="BP12" s="225">
        <f>+[4]SLP!BP12+[4]ROSA!BP12+'[4]STA ANA'!BP12+[4]BOA!BP12+'[4]STA MARIA'!BP12+'[4]CB I'!BP12+'[4]CB II'!BP12+'[4]CB III'!BP12+[4]IG!BP12+[4]PN!BP12+[4]MJ!BP12+'[4]RB I'!BP12+'[4]SF I'!BP12</f>
        <v>28027.06707026175</v>
      </c>
      <c r="BQ12" s="226">
        <f>+[4]SLP!BQ12+[4]ROSA!BQ12+'[4]STA ANA'!BQ12+[4]BOA!BQ12+'[4]STA MARIA'!BQ12+'[4]CB I'!BQ12+'[4]CB II'!BQ12+'[4]CB III'!BQ12+[4]IG!BQ12+[4]PN!BQ12+[4]MJ!BQ12+'[4]RB I'!BQ12+'[4]SF I'!BQ12</f>
        <v>24582.540527326579</v>
      </c>
      <c r="BR12" s="226">
        <f>+[4]SLP!BR12+[4]ROSA!BR12+'[4]STA ANA'!BR12+[4]BOA!BR12+'[4]STA MARIA'!BR12+'[4]CB I'!BR12+'[4]CB II'!BR12+'[4]CB III'!BR12+[4]IG!BR12+[4]PN!BR12+[4]MJ!BR12+'[4]RB I'!BR12+'[4]SF I'!BR12</f>
        <v>3444.5265429351689</v>
      </c>
      <c r="BS12" s="226">
        <f>+[4]SLP!BS12+[4]ROSA!BS12+'[4]STA ANA'!BS12+[4]BOA!BS12+'[4]STA MARIA'!BS12+'[4]CB I'!BS12+'[4]CB II'!BS12+'[4]CB III'!BS12+[4]IG!BS12+[4]PN!BS12+[4]MJ!BS12+'[4]RB I'!BS12+'[4]SF I'!BS12</f>
        <v>0</v>
      </c>
      <c r="BT12" s="226">
        <f>+[4]SLP!BT12+[4]ROSA!BT12+'[4]STA ANA'!BT12+[4]BOA!BT12+'[4]STA MARIA'!BT12+'[4]CB I'!BT12+'[4]CB II'!BT12+'[4]CB III'!BT12+[4]IG!BT12+[4]PN!BT12+[4]MJ!BT12+'[4]RB I'!BT12+'[4]SF I'!BT12</f>
        <v>0</v>
      </c>
      <c r="BU12" s="166">
        <f>+[4]SLP!BU12+[4]ROSA!BU12+'[4]STA ANA'!BU12+[4]BOA!BU12+'[4]STA MARIA'!BU12+'[4]CB I'!BU12+'[4]CB II'!BU12+'[4]CB III'!BU12+[4]IG!BU12+[4]PN!BU12+[4]MJ!BU12+'[4]RB I'!BU12+'[4]SÃO FRANCISCO'!BU12</f>
        <v>0</v>
      </c>
      <c r="BV12" s="224">
        <f t="shared" si="11"/>
        <v>-1</v>
      </c>
      <c r="BW12" s="225">
        <f>+[4]SLP!BW12+[4]ROSA!BW12+'[4]STA ANA'!BW12+[4]BOA!BW12+'[4]STA MARIA'!BW12+'[4]CB I'!BW12+'[4]CB II'!BW12+'[4]CB III'!BW12+[4]IG!BW12+[4]PN!BW12+[4]MJ!BW12+'[4]RB I'!BW12+'[4]SF I'!BW12</f>
        <v>28027.06707026175</v>
      </c>
      <c r="BX12" s="226">
        <f>+[4]SLP!BX12+[4]ROSA!BX12+'[4]STA ANA'!BX12+[4]BOA!BX12+'[4]STA MARIA'!BX12+'[4]CB I'!BX12+'[4]CB II'!BX12+'[4]CB III'!BX12+[4]IG!BX12+[4]PN!BX12+[4]MJ!BX12+'[4]RB I'!BX12+'[4]SF I'!BX12</f>
        <v>24582.540527326579</v>
      </c>
      <c r="BY12" s="226">
        <f>+[4]SLP!BY12+[4]ROSA!BY12+'[4]STA ANA'!BY12+[4]BOA!BY12+'[4]STA MARIA'!BY12+'[4]CB I'!BY12+'[4]CB II'!BY12+'[4]CB III'!BY12+[4]IG!BY12+[4]PN!BY12+[4]MJ!BY12+'[4]RB I'!BY12+'[4]SF I'!BY12</f>
        <v>3444.5265429351689</v>
      </c>
      <c r="BZ12" s="226">
        <f>+[4]SLP!BZ12+[4]ROSA!BZ12+'[4]STA ANA'!BZ12+[4]BOA!BZ12+'[4]STA MARIA'!BZ12+'[4]CB I'!BZ12+'[4]CB II'!BZ12+'[4]CB III'!BZ12+[4]IG!BZ12+[4]PN!BZ12+[4]MJ!BZ12+'[4]RB I'!BZ12+'[4]SF I'!BZ12</f>
        <v>0</v>
      </c>
      <c r="CA12" s="226">
        <f>+[4]SLP!CA12+[4]ROSA!CA12+'[4]STA ANA'!CA12+[4]BOA!CA12+'[4]STA MARIA'!CA12+'[4]CB I'!CA12+'[4]CB II'!CA12+'[4]CB III'!CA12+[4]IG!CA12+[4]PN!CA12+[4]MJ!CA12+'[4]RB I'!CA12+'[4]SF I'!CA12</f>
        <v>0</v>
      </c>
      <c r="CB12" s="166">
        <f>+[4]SLP!CB12+[4]ROSA!CB12+'[4]STA ANA'!CB12+[4]BOA!CB12+'[4]STA MARIA'!CB12+'[4]CB I'!CB12+'[4]CB II'!CB12+'[4]CB III'!CB12+[4]IG!CB12+[4]PN!CB12+[4]MJ!CB12+'[4]RB I'!CB12+'[4]SÃO FRANCISCO'!CB12</f>
        <v>0</v>
      </c>
      <c r="CC12" s="224">
        <f t="shared" si="12"/>
        <v>-1</v>
      </c>
      <c r="CD12" s="225">
        <f>+[4]SLP!CD12+[4]ROSA!CD12+'[4]STA ANA'!CD12+[4]BOA!CD12+'[4]STA MARIA'!CD12+'[4]CB I'!CD12+'[4]CB II'!CD12+'[4]CB III'!CD12+[4]IG!CD12+[4]PN!CD12+[4]MJ!CD12+'[4]RB I'!CD12+'[4]SF I'!CD12</f>
        <v>28027.06707026175</v>
      </c>
      <c r="CE12" s="226">
        <f>+[4]SLP!CE12+[4]ROSA!CE12+'[4]STA ANA'!CE12+[4]BOA!CE12+'[4]STA MARIA'!CE12+'[4]CB I'!CE12+'[4]CB II'!CE12+'[4]CB III'!CE12+[4]IG!CE12+[4]PN!CE12+[4]MJ!CE12+'[4]RB I'!CE12+'[4]SF I'!CE12</f>
        <v>24582.540527326579</v>
      </c>
      <c r="CF12" s="226">
        <f>+[4]SLP!CF12+[4]ROSA!CF12+'[4]STA ANA'!CF12+[4]BOA!CF12+'[4]STA MARIA'!CF12+'[4]CB I'!CF12+'[4]CB II'!CF12+'[4]CB III'!CF12+[4]IG!CF12+[4]PN!CF12+[4]MJ!CF12+'[4]RB I'!CF12+'[4]SF I'!CF12</f>
        <v>3444.5265429351689</v>
      </c>
      <c r="CG12" s="226">
        <f>+[4]SLP!CG12+[4]ROSA!CG12+'[4]STA ANA'!CG12+[4]BOA!CG12+'[4]STA MARIA'!CG12+'[4]CB I'!CG12+'[4]CB II'!CG12+'[4]CB III'!CG12+[4]IG!CG12+[4]PN!CG12+[4]MJ!CG12+'[4]RB I'!CG12+'[4]SF I'!CG12</f>
        <v>0</v>
      </c>
      <c r="CH12" s="226">
        <f>+[4]SLP!CH12+[4]ROSA!CH12+'[4]STA ANA'!CH12+[4]BOA!CH12+'[4]STA MARIA'!CH12+'[4]CB I'!CH12+'[4]CB II'!CH12+'[4]CB III'!CH12+[4]IG!CH12+[4]PN!CH12+[4]MJ!CH12+'[4]RB I'!CH12+'[4]SF I'!CH12</f>
        <v>0</v>
      </c>
      <c r="CI12" s="166">
        <f>+[4]SLP!CI12+[4]ROSA!CI12+'[4]STA ANA'!CI12+[4]BOA!CI12+'[4]STA MARIA'!CI12+'[4]CB I'!CI12+'[4]CB II'!CI12+'[4]CB III'!CI12+[4]IG!CI12+[4]PN!CI12+[4]MJ!CI12+'[4]RB I'!CI12+'[4]SÃO FRANCISCO'!CI12</f>
        <v>0</v>
      </c>
      <c r="CJ12" s="224">
        <f t="shared" si="13"/>
        <v>-1</v>
      </c>
      <c r="CK12" s="225">
        <f>+[4]SLP!CK12+[4]ROSA!CK12+'[4]STA ANA'!CK12+[4]BOA!CK12+'[4]STA MARIA'!CK12+'[4]CB I'!CK12+'[4]CB II'!CK12+'[4]CB III'!CK12+[4]IG!CK12+[4]PN!CK12+[4]MJ!CK12+'[4]RB I'!CK12+'[4]SF I'!CK12</f>
        <v>28027.06707026175</v>
      </c>
      <c r="CL12" s="226">
        <f>+[4]SLP!CL12+[4]ROSA!CL12+'[4]STA ANA'!CL12+[4]BOA!CL12+'[4]STA MARIA'!CL12+'[4]CB I'!CL12+'[4]CB II'!CL12+'[4]CB III'!CL12+[4]IG!CL12+[4]PN!CL12+[4]MJ!CL12+'[4]RB I'!CL12+'[4]SF I'!CL12</f>
        <v>24582.540527326579</v>
      </c>
      <c r="CM12" s="226">
        <f>+[4]SLP!CM12+[4]ROSA!CM12+'[4]STA ANA'!CM12+[4]BOA!CM12+'[4]STA MARIA'!CM12+'[4]CB I'!CM12+'[4]CB II'!CM12+'[4]CB III'!CM12+[4]IG!CM12+[4]PN!CM12+[4]MJ!CM12+'[4]RB I'!CM12+'[4]SF I'!CM12</f>
        <v>3444.5265429351689</v>
      </c>
      <c r="CN12" s="226">
        <f>+[4]SLP!CN12+[4]ROSA!CN12+'[4]STA ANA'!CN12+[4]BOA!CN12+'[4]STA MARIA'!CN12+'[4]CB I'!CN12+'[4]CB II'!CN12+'[4]CB III'!CN12+[4]IG!CN12+[4]PN!CN12+[4]MJ!CN12+'[4]RB I'!CN12+'[4]SF I'!CN12</f>
        <v>0</v>
      </c>
      <c r="CO12" s="226">
        <f>+[4]SLP!CO12+[4]ROSA!CO12+'[4]STA ANA'!CO12+[4]BOA!CO12+'[4]STA MARIA'!CO12+'[4]CB I'!CO12+'[4]CB II'!CO12+'[4]CB III'!CO12+[4]IG!CO12+[4]PN!CO12+[4]MJ!CO12+'[4]RB I'!CO12+'[4]SF I'!CO12</f>
        <v>0</v>
      </c>
      <c r="CP12" s="166">
        <f>+[4]SLP!CP12+[4]ROSA!CP12+'[4]STA ANA'!CP12+[4]BOA!CP12+'[4]STA MARIA'!CP12+'[4]CB I'!CP12+'[4]CB II'!CP12+'[4]CB III'!CP12+[4]IG!CP12+[4]PN!CP12+[4]MJ!CP12+'[4]RB I'!CP12+'[4]SÃO FRANCISCO'!CP12</f>
        <v>0</v>
      </c>
      <c r="CQ12" s="224">
        <f t="shared" si="14"/>
        <v>-1</v>
      </c>
      <c r="CR12" s="155"/>
      <c r="CS12" s="227" t="e">
        <f t="shared" si="15"/>
        <v>#VALUE!</v>
      </c>
    </row>
    <row r="13" spans="1:101" ht="16" customHeight="1" x14ac:dyDescent="0.2">
      <c r="A13" s="228" t="s">
        <v>37</v>
      </c>
      <c r="B13" s="30">
        <f t="shared" si="0"/>
        <v>356258.40000000008</v>
      </c>
      <c r="C13" s="31">
        <f t="shared" si="0"/>
        <v>312474.24264000001</v>
      </c>
      <c r="D13" s="32">
        <f t="shared" si="0"/>
        <v>43784.15735999999</v>
      </c>
      <c r="E13" s="30">
        <f t="shared" si="16"/>
        <v>118752.8</v>
      </c>
      <c r="F13" s="33">
        <f t="shared" si="16"/>
        <v>104158.08087999999</v>
      </c>
      <c r="G13" s="34">
        <f t="shared" si="16"/>
        <v>14594.719119999998</v>
      </c>
      <c r="H13" s="31">
        <f t="shared" si="1"/>
        <v>360832.29459601972</v>
      </c>
      <c r="I13" s="33">
        <f t="shared" si="1"/>
        <v>32216.569722578031</v>
      </c>
      <c r="J13" s="33">
        <f t="shared" si="1"/>
        <v>393048.86431859771</v>
      </c>
      <c r="K13" s="224">
        <f t="shared" si="2"/>
        <v>2.309807131441092</v>
      </c>
      <c r="L13" s="225">
        <f>+[4]SLP!L13+[4]ROSA!L13+'[4]STA ANA'!L13+[4]BOA!L13+'[4]STA MARIA'!L13+'[4]CB I'!L13+'[4]CB II'!L13+'[4]CB III'!L13+[4]IG!L13+[4]PN!L13+[4]MJ!L13+'[4]RB I'!L13+'[4]SF I'!L13</f>
        <v>29688.2</v>
      </c>
      <c r="M13" s="226">
        <f>+[4]SLP!M13+[4]ROSA!M13+'[4]STA ANA'!M13+[4]BOA!M13+'[4]STA MARIA'!M13+'[4]CB I'!M13+'[4]CB II'!M13+'[4]CB III'!M13+[4]IG!M13+[4]PN!M13+[4]MJ!M13+'[4]RB I'!M13+'[4]SF I'!M13</f>
        <v>26039.520219999999</v>
      </c>
      <c r="N13" s="226">
        <f>+[4]SLP!N13+[4]ROSA!N13+'[4]STA ANA'!N13+[4]BOA!N13+'[4]STA MARIA'!N13+'[4]CB I'!N13+'[4]CB II'!N13+'[4]CB III'!N13+[4]IG!N13+[4]PN!N13+[4]MJ!N13+'[4]RB I'!N13+'[4]SF I'!N13</f>
        <v>3648.6797799999995</v>
      </c>
      <c r="O13" s="226">
        <f>+[4]SLP!O13+[4]ROSA!O13+'[4]STA ANA'!O13+[4]BOA!O13+'[4]STA MARIA'!O13+'[4]CB I'!O13+'[4]CB II'!O13+'[4]CB III'!O13+[4]IG!O13+[4]PN!O13+[4]MJ!O13+'[4]RB I'!O13+'[4]SF I'!O13</f>
        <v>37736.091827353193</v>
      </c>
      <c r="P13" s="226">
        <f>+[4]SLP!P13+[4]ROSA!P13+'[4]STA ANA'!P13+[4]BOA!P13+'[4]STA MARIA'!P13+'[4]CB I'!P13+'[4]CB II'!P13+'[4]CB III'!P13+[4]IG!P13+[4]PN!P13+[4]MJ!P13+'[4]RB I'!P13+'[4]SF I'!P13</f>
        <v>3970.4789022460163</v>
      </c>
      <c r="Q13" s="166">
        <f>+[4]SLP!Q13+[4]ROSA!Q13+'[4]STA ANA'!Q13+[4]BOA!Q13+'[4]STA MARIA'!Q13+'[4]CB I'!Q13+'[4]CB II'!Q13+'[4]CB III'!Q13+[4]IG!Q13+[4]PN!Q13+[4]MJ!Q13+'[4]RB I'!Q13+'[4]SF I'!Q13</f>
        <v>41706.570729599203</v>
      </c>
      <c r="R13" s="224">
        <f t="shared" si="3"/>
        <v>0.40481978461473589</v>
      </c>
      <c r="S13" s="225">
        <f>+[4]SLP!S13+[4]ROSA!S13+'[4]STA ANA'!S13+[4]BOA!S13+'[4]STA MARIA'!S13+'[4]CB I'!S13+'[4]CB II'!S13+'[4]CB III'!S13+[4]IG!S13+[4]PN!S13+[4]MJ!S13+'[4]RB I'!S13+'[4]SF I'!S13</f>
        <v>29688.2</v>
      </c>
      <c r="T13" s="226">
        <f>+[4]SLP!T13+[4]ROSA!T13+'[4]STA ANA'!T13+[4]BOA!T13+'[4]STA MARIA'!T13+'[4]CB I'!T13+'[4]CB II'!T13+'[4]CB III'!T13+[4]IG!T13+[4]PN!T13+[4]MJ!T13+'[4]RB I'!T13+'[4]SF I'!T13</f>
        <v>26039.520219999999</v>
      </c>
      <c r="U13" s="226">
        <f>+[4]SLP!U13+[4]ROSA!U13+'[4]STA ANA'!U13+[4]BOA!U13+'[4]STA MARIA'!U13+'[4]CB I'!U13+'[4]CB II'!U13+'[4]CB III'!U13+[4]IG!U13+[4]PN!U13+[4]MJ!U13+'[4]RB I'!U13+'[4]SF I'!U13</f>
        <v>3648.6797799999995</v>
      </c>
      <c r="V13" s="226">
        <f>+[4]SLP!V13+[4]ROSA!V13+'[4]STA ANA'!V13+[4]BOA!V13+'[4]STA MARIA'!V13+'[4]CB I'!V13+'[4]CB II'!V13+'[4]CB III'!V13+[4]IG!V13+[4]PN!V13+[4]MJ!V13+'[4]RB I'!V13+'[4]SF I'!V13</f>
        <v>116927.15862222217</v>
      </c>
      <c r="W13" s="226">
        <f>+[4]SLP!W13+[4]ROSA!W13+'[4]STA ANA'!W13+[4]BOA!W13+'[4]STA MARIA'!W13+'[4]CB I'!W13+'[4]CB II'!W13+'[4]CB III'!W13+[4]IG!W13+[4]PN!W13+[4]MJ!W13+'[4]RB I'!W13+'[4]SF I'!W13</f>
        <v>9394.712574110672</v>
      </c>
      <c r="X13" s="166">
        <f>[4]SLP!X13+[4]ROSA!X13+'[4]STA ANA'!X13+[4]BOA!X13+'[4]STA MARIA'!X13+'[4]CB I'!X13+'[4]CB II'!X13+'[4]CB III'!X13+[4]IG!X13+[4]PN!X13+[4]MJ!X13+'[4]RB I'!X13+'[4]SF I'!X13</f>
        <v>126321.87119633284</v>
      </c>
      <c r="Y13" s="224">
        <f t="shared" si="4"/>
        <v>3.2549521761620053</v>
      </c>
      <c r="Z13" s="225">
        <f>+[4]SLP!Z13+[4]ROSA!Z13+'[4]STA ANA'!Z13+[4]BOA!Z13+'[4]STA MARIA'!Z13+'[4]CB I'!Z13+'[4]CB II'!Z13+'[4]CB III'!Z13+[4]IG!Z13+[4]PN!Z13+[4]MJ!Z13+'[4]RB I'!Z13+'[4]SF I'!Z13</f>
        <v>29688.2</v>
      </c>
      <c r="AA13" s="226">
        <f>+[4]SLP!AA13+[4]ROSA!AA13+'[4]STA ANA'!AA13+[4]BOA!AA13+'[4]STA MARIA'!AA13+'[4]CB I'!AA13+'[4]CB II'!AA13+'[4]CB III'!AA13+[4]IG!AA13+[4]PN!AA13+[4]MJ!AA13+'[4]RB I'!AA13+'[4]SF I'!AA13</f>
        <v>26039.520219999999</v>
      </c>
      <c r="AB13" s="226">
        <f>+[4]SLP!AB13+[4]ROSA!AB13+'[4]STA ANA'!AB13+[4]BOA!AB13+'[4]STA MARIA'!AB13+'[4]CB I'!AB13+'[4]CB II'!AB13+'[4]CB III'!AB13+[4]IG!AB13+[4]PN!AB13+[4]MJ!AB13+'[4]RB I'!AB13+'[4]SF I'!AB13</f>
        <v>3648.6797799999995</v>
      </c>
      <c r="AC13" s="226">
        <f>+[4]SLP!AC13+[4]ROSA!AC13+'[4]STA ANA'!AC13+[4]BOA!AC13+'[4]STA MARIA'!AC13+'[4]CB I'!AC13+'[4]CB II'!AC13+'[4]CB III'!AC13+[4]IG!AC13+[4]PN!AC13+[4]MJ!AC13+'[4]RB I'!AC13+'[4]SF I'!AC13</f>
        <v>147059.70034822216</v>
      </c>
      <c r="AD13" s="226">
        <f>+[4]SLP!AD13+[4]ROSA!AD13+'[4]STA ANA'!AD13+[4]BOA!AD13+'[4]STA MARIA'!AD13+'[4]CB I'!AD13+'[4]CB II'!AD13+'[4]CB III'!AD13+[4]IG!AD13+[4]PN!AD13+[4]MJ!AD13+'[4]RB I'!AD13+'[4]SF I'!AD13</f>
        <v>14305.89084811067</v>
      </c>
      <c r="AE13" s="166">
        <f>+[4]SLP!AE13+[4]ROSA!AE13+'[4]STA ANA'!AE13+[4]BOA!AE13+'[4]STA MARIA'!AE13+'[4]CB I'!AE13+'[4]CB II'!AE13+'[4]CB III'!AE13+[4]IG!AE13+[4]PN!AE13+[4]MJ!AE13+'[4]RB I'!AE13+'[4]SF I'!AE13</f>
        <v>161365.59119633285</v>
      </c>
      <c r="AF13" s="224">
        <f t="shared" si="5"/>
        <v>4.4353443858614821</v>
      </c>
      <c r="AG13" s="225">
        <f>+[4]SLP!AG13+[4]ROSA!AG13+'[4]STA ANA'!AG13+[4]BOA!AG13+'[4]STA MARIA'!AG13+'[4]CB I'!AG13+'[4]CB II'!AG13+'[4]CB III'!AG13+[4]IG!AG13+[4]PN!AG13+[4]MJ!AG13+'[4]RB I'!AG13+'[4]SF I'!AG13</f>
        <v>29688.2</v>
      </c>
      <c r="AH13" s="226">
        <f>+[4]SLP!AH13+[4]ROSA!AH13+'[4]STA ANA'!AH13+[4]BOA!AH13+'[4]STA MARIA'!AH13+'[4]CB I'!AH13+'[4]CB II'!AH13+'[4]CB III'!AH13+[4]IG!AH13+[4]PN!AH13+[4]MJ!AH13+'[4]RB I'!AH13+'[4]SF I'!AH13</f>
        <v>26039.520219999999</v>
      </c>
      <c r="AI13" s="226">
        <f>+[4]SLP!AI13+[4]ROSA!AI13+'[4]STA ANA'!AI13+[4]BOA!AI13+'[4]STA MARIA'!AI13+'[4]CB I'!AI13+'[4]CB II'!AI13+'[4]CB III'!AI13+[4]IG!AI13+[4]PN!AI13+[4]MJ!AI13+'[4]RB I'!AI13+'[4]SF I'!AI13</f>
        <v>3648.6797799999995</v>
      </c>
      <c r="AJ13" s="226">
        <f>+[4]SLP!AJ13+[4]ROSA!AJ13+'[4]STA ANA'!AJ13+[4]BOA!AJ13+'[4]STA MARIA'!AJ13+'[4]CB I'!AJ13+'[4]CB II'!AJ13+'[4]CB III'!AJ13+[4]IG!AJ13+[4]PN!AJ13+[4]MJ!AJ13+'[4]RB I'!AJ13+'[4]SF I'!AJ13</f>
        <v>59109.343798222173</v>
      </c>
      <c r="AK13" s="226">
        <f>+[4]SLP!AK13+[4]ROSA!AK13+'[4]STA ANA'!AK13+[4]BOA!AK13+'[4]STA MARIA'!AK13+'[4]CB I'!AK13+'[4]CB II'!AK13+'[4]CB III'!AK13+[4]IG!AK13+[4]PN!AK13+[4]MJ!AK13+'[4]RB I'!AK13+'[4]SF I'!AK13</f>
        <v>4545.4873981106712</v>
      </c>
      <c r="AL13" s="166">
        <f>+[4]SLP!AL13+[4]ROSA!AL13+'[4]STA ANA'!AL13+[4]BOA!AL13+'[4]STA MARIA'!AL13+'[4]CB I'!AL13+'[4]CB II'!AL13+'[4]CB III'!AL13+[4]IG!AL13+[4]PN!AL13+[4]MJ!AL13+'[4]RB I'!AL13+'[4]SF I'!AL13</f>
        <v>63654.831196332845</v>
      </c>
      <c r="AM13" s="224">
        <f t="shared" si="6"/>
        <v>1.1441121791261457</v>
      </c>
      <c r="AN13" s="225">
        <f>+[4]SLP!AN13+[4]ROSA!AN13+'[4]STA ANA'!AN13+[4]BOA!AN13+'[4]STA MARIA'!AN13+'[4]CB I'!AN13+'[4]CB II'!AN13+'[4]CB III'!AN13+[4]IG!AN13+[4]PN!AN13+[4]MJ!AN13+'[4]RB I'!AN13+'[4]SF I'!AN13</f>
        <v>29688.2</v>
      </c>
      <c r="AO13" s="226">
        <f>+[4]SLP!AO13+[4]ROSA!AO13+'[4]STA ANA'!AO13+[4]BOA!AO13+'[4]STA MARIA'!AO13+'[4]CB I'!AO13+'[4]CB II'!AO13+'[4]CB III'!AO13+[4]IG!AO13+[4]PN!AO13+[4]MJ!AO13+'[4]RB I'!AO13+'[4]SF I'!AO13</f>
        <v>26039.520219999999</v>
      </c>
      <c r="AP13" s="226">
        <f>+[4]SLP!AP13+[4]ROSA!AP13+'[4]STA ANA'!AP13+[4]BOA!AP13+'[4]STA MARIA'!AP13+'[4]CB I'!AP13+'[4]CB II'!AP13+'[4]CB III'!AP13+[4]IG!AP13+[4]PN!AP13+[4]MJ!AP13+'[4]RB I'!AP13+'[4]SF I'!AP13</f>
        <v>3648.6797799999995</v>
      </c>
      <c r="AQ13" s="226">
        <f>+[4]SLP!AQ13+[4]ROSA!AQ13+'[4]STA ANA'!AQ13+[4]BOA!AQ13+'[4]STA MARIA'!AQ13+'[4]CB I'!AQ13+'[4]CB II'!AQ13+'[4]CB III'!AQ13+[4]IG!AQ13+[4]PN!AQ13+[4]MJ!AQ13+'[4]RB I'!AQ13+'[4]SF I'!AQ13</f>
        <v>0</v>
      </c>
      <c r="AR13" s="226">
        <f>+[4]SLP!AR13+[4]ROSA!AR13+'[4]STA ANA'!AR13+[4]BOA!AR13+'[4]STA MARIA'!AR13+'[4]CB I'!AR13+'[4]CB II'!AR13+'[4]CB III'!AR13+[4]IG!AR13+[4]PN!AR13+[4]MJ!AR13+'[4]RB I'!AR13+'[4]SF I'!AR13</f>
        <v>0</v>
      </c>
      <c r="AS13" s="166">
        <f>+[4]SLP!AS13+[4]ROSA!AS13+'[4]STA ANA'!AS13+[4]BOA!AS13+'[4]STA MARIA'!AS13+'[4]CB I'!AS13+'[4]CB II'!AS13+'[4]CB III'!AS13+[4]IG!AS13+[4]PN!AS13+[4]MJ!AS13+'[4]RB I'!AS13+'[4]SÃO FRANCISCO'!AS13</f>
        <v>0</v>
      </c>
      <c r="AT13" s="224">
        <f t="shared" si="7"/>
        <v>-1</v>
      </c>
      <c r="AU13" s="225">
        <f>+[4]SLP!AU13+[4]ROSA!AU13+'[4]STA ANA'!AU13+[4]BOA!AU13+'[4]STA MARIA'!AU13+'[4]CB I'!AU13+'[4]CB II'!AU13+'[4]CB III'!AU13+[4]IG!AU13+[4]PN!AU13+[4]MJ!AU13+'[4]RB I'!AU13+'[4]SF I'!AU13</f>
        <v>29688.2</v>
      </c>
      <c r="AV13" s="226">
        <f>+[4]SLP!AV13+[4]ROSA!AV13+'[4]STA ANA'!AV13+[4]BOA!AV13+'[4]STA MARIA'!AV13+'[4]CB I'!AV13+'[4]CB II'!AV13+'[4]CB III'!AV13+[4]IG!AV13+[4]PN!AV13+[4]MJ!AV13+'[4]RB I'!AV13+'[4]SF I'!AV13</f>
        <v>26039.520219999999</v>
      </c>
      <c r="AW13" s="226">
        <f>+[4]SLP!AW13+[4]ROSA!AW13+'[4]STA ANA'!AW13+[4]BOA!AW13+'[4]STA MARIA'!AW13+'[4]CB I'!AW13+'[4]CB II'!AW13+'[4]CB III'!AW13+[4]IG!AW13+[4]PN!AW13+[4]MJ!AW13+'[4]RB I'!AW13+'[4]SF I'!AW13</f>
        <v>3648.6797799999995</v>
      </c>
      <c r="AX13" s="226">
        <f>+[4]SLP!AX13+[4]ROSA!AX13+'[4]STA ANA'!AX13+[4]BOA!AX13+'[4]STA MARIA'!AX13+'[4]CB I'!AX13+'[4]CB II'!AX13+'[4]CB III'!AX13+[4]IG!AX13+[4]PN!AX13+[4]MJ!AX13+'[4]RB I'!AX13+'[4]SF I'!AX13</f>
        <v>0</v>
      </c>
      <c r="AY13" s="226">
        <f>+[4]SLP!AY13+[4]ROSA!AY13+'[4]STA ANA'!AY13+[4]BOA!AY13+'[4]STA MARIA'!AY13+'[4]CB I'!AY13+'[4]CB II'!AY13+'[4]CB III'!AY13+[4]IG!AY13+[4]PN!AY13+[4]MJ!AY13+'[4]RB I'!AY13+'[4]SF I'!AY13</f>
        <v>0</v>
      </c>
      <c r="AZ13" s="166">
        <f>+[4]SLP!AZ13+[4]ROSA!AZ13+'[4]STA ANA'!AZ13+[4]BOA!AZ13+'[4]STA MARIA'!AZ13+'[4]CB I'!AZ13+'[4]CB II'!AZ13+[4]IG!AZ13+[4]PN!AZ13+[4]MJ!AZ13+'[4]RB I'!AZ13+'[4]SÃO FRANCISCO'!AZ13</f>
        <v>0</v>
      </c>
      <c r="BA13" s="224">
        <f t="shared" si="8"/>
        <v>-1</v>
      </c>
      <c r="BB13" s="225">
        <f>+[4]SLP!BB13+[4]ROSA!BB13+'[4]STA ANA'!BB13+[4]BOA!BB13+'[4]STA MARIA'!BB13+'[4]CB I'!BB13+'[4]CB II'!BB13+'[4]CB III'!BB13+[4]IG!BB13+[4]PN!BB13+[4]MJ!BB13+'[4]RB I'!BB13+'[4]SF I'!BB13</f>
        <v>29688.2</v>
      </c>
      <c r="BC13" s="226">
        <f>+[4]SLP!BC13+[4]ROSA!BC13+'[4]STA ANA'!BC13+[4]BOA!BC13+'[4]STA MARIA'!BC13+'[4]CB I'!BC13+'[4]CB II'!BC13+'[4]CB III'!BC13+[4]IG!BC13+[4]PN!BC13+[4]MJ!BC13+'[4]RB I'!BC13+'[4]SF I'!BC13</f>
        <v>26039.520219999999</v>
      </c>
      <c r="BD13" s="226">
        <f>+[4]SLP!BD13+[4]ROSA!BD13+'[4]STA ANA'!BD13+[4]BOA!BD13+'[4]STA MARIA'!BD13+'[4]CB I'!BD13+'[4]CB II'!BD13+'[4]CB III'!BD13+[4]IG!BD13+[4]PN!BD13+[4]MJ!BD13+'[4]RB I'!BD13+'[4]SF I'!BD13</f>
        <v>3648.6797799999995</v>
      </c>
      <c r="BE13" s="226">
        <f>+[4]SLP!BE13+[4]ROSA!BE13+'[4]STA ANA'!BE13+[4]BOA!BE13+'[4]STA MARIA'!BE13+'[4]CB I'!BE13+'[4]CB II'!BE13+'[4]CB III'!BE13+[4]IG!BE13+[4]PN!BE13+[4]MJ!BE13+'[4]RB I'!BE13+'[4]SF I'!BE13</f>
        <v>0</v>
      </c>
      <c r="BF13" s="226">
        <f>+[4]SLP!BF13+[4]ROSA!BF13+'[4]STA ANA'!BF13+[4]BOA!BF13+'[4]STA MARIA'!BF13+'[4]CB I'!BF13+'[4]CB II'!BF13+'[4]CB III'!BF13+[4]IG!BF13+[4]PN!BF13+[4]MJ!BF13+'[4]RB I'!BF13+'[4]SF I'!BF13</f>
        <v>0</v>
      </c>
      <c r="BG13" s="166">
        <f>+[4]SLP!BG13+[4]ROSA!BG13+'[4]STA ANA'!BG13+[4]BOA!BG13+'[4]STA MARIA'!BG13+'[4]CB I'!BG13+'[4]CB II'!BG13+'[4]CB III'!BG13+[4]IG!BG13+[4]PN!BG13+[4]MJ!BG13+'[4]RB I'!BG13+'[4]SÃO FRANCISCO'!BG13</f>
        <v>0</v>
      </c>
      <c r="BH13" s="224">
        <f t="shared" si="9"/>
        <v>-1</v>
      </c>
      <c r="BI13" s="225">
        <f>+[4]SLP!BI13+[4]ROSA!BI13+'[4]STA ANA'!BI13+[4]BOA!BI13+'[4]STA MARIA'!BI13+'[4]CB I'!BI13+'[4]CB II'!BI13+'[4]CB III'!BI13+[4]IG!BI13+[4]PN!BI13+[4]MJ!BI13+'[4]RB I'!BI13+'[4]SF I'!BI13</f>
        <v>29688.2</v>
      </c>
      <c r="BJ13" s="226">
        <f>+[4]SLP!BJ13+[4]ROSA!BJ13+'[4]STA ANA'!BJ13+[4]BOA!BJ13+'[4]STA MARIA'!BJ13+'[4]CB I'!BJ13+'[4]CB II'!BJ13+'[4]CB III'!BJ13+[4]IG!BJ13+[4]PN!BJ13+[4]MJ!BJ13+'[4]RB I'!BJ13+'[4]SF I'!BJ13</f>
        <v>26039.520219999999</v>
      </c>
      <c r="BK13" s="226">
        <f>+[4]SLP!BK13+[4]ROSA!BK13+'[4]STA ANA'!BK13+[4]BOA!BK13+'[4]STA MARIA'!BK13+'[4]CB I'!BK13+'[4]CB II'!BK13+'[4]CB III'!BK13+[4]IG!BK13+[4]PN!BK13+[4]MJ!BK13+'[4]RB I'!BK13+'[4]SF I'!BK13</f>
        <v>3648.6797799999995</v>
      </c>
      <c r="BL13" s="226">
        <f>+[4]SLP!BL13+[4]ROSA!BL13+'[4]STA ANA'!BL13+[4]BOA!BL13+'[4]STA MARIA'!BL13+'[4]CB I'!BL13+'[4]CB II'!BL13+'[4]CB III'!BL13+[4]IG!BL13+[4]PN!BL13+[4]MJ!BL13+'[4]RB I'!BL13+'[4]SF I'!BL13</f>
        <v>0</v>
      </c>
      <c r="BM13" s="226">
        <f>+[4]SLP!BM13+[4]ROSA!BM13+'[4]STA ANA'!BM13+[4]BOA!BM13+'[4]STA MARIA'!BM13+'[4]CB I'!BM13+'[4]CB II'!BM13+'[4]CB III'!BM13+[4]IG!BM13+[4]PN!BM13+[4]MJ!BM13+'[4]RB I'!BM13+'[4]SF I'!BM13</f>
        <v>0</v>
      </c>
      <c r="BN13" s="166">
        <f>+[4]SLP!BN13+[4]ROSA!BN13+'[4]STA ANA'!BN13+[4]BOA!BN13+'[4]STA MARIA'!BN13+'[4]CB I'!BN13+'[4]CB II'!BN13+'[4]CB III'!BN13+[4]IG!BN13+[4]PN!BN13+[4]MJ!BN13+'[4]RB I'!BN13+'[4]SÃO FRANCISCO'!BN13</f>
        <v>0</v>
      </c>
      <c r="BO13" s="224">
        <f t="shared" si="10"/>
        <v>-1</v>
      </c>
      <c r="BP13" s="225">
        <f>+[4]SLP!BP13+[4]ROSA!BP13+'[4]STA ANA'!BP13+[4]BOA!BP13+'[4]STA MARIA'!BP13+'[4]CB I'!BP13+'[4]CB II'!BP13+'[4]CB III'!BP13+[4]IG!BP13+[4]PN!BP13+[4]MJ!BP13+'[4]RB I'!BP13+'[4]SF I'!BP13</f>
        <v>29688.2</v>
      </c>
      <c r="BQ13" s="226">
        <f>+[4]SLP!BQ13+[4]ROSA!BQ13+'[4]STA ANA'!BQ13+[4]BOA!BQ13+'[4]STA MARIA'!BQ13+'[4]CB I'!BQ13+'[4]CB II'!BQ13+'[4]CB III'!BQ13+[4]IG!BQ13+[4]PN!BQ13+[4]MJ!BQ13+'[4]RB I'!BQ13+'[4]SF I'!BQ13</f>
        <v>26039.520219999999</v>
      </c>
      <c r="BR13" s="226">
        <f>+[4]SLP!BR13+[4]ROSA!BR13+'[4]STA ANA'!BR13+[4]BOA!BR13+'[4]STA MARIA'!BR13+'[4]CB I'!BR13+'[4]CB II'!BR13+'[4]CB III'!BR13+[4]IG!BR13+[4]PN!BR13+[4]MJ!BR13+'[4]RB I'!BR13+'[4]SF I'!BR13</f>
        <v>3648.6797799999995</v>
      </c>
      <c r="BS13" s="226">
        <f>+[4]SLP!BS13+[4]ROSA!BS13+'[4]STA ANA'!BS13+[4]BOA!BS13+'[4]STA MARIA'!BS13+'[4]CB I'!BS13+'[4]CB II'!BS13+'[4]CB III'!BS13+[4]IG!BS13+[4]PN!BS13+[4]MJ!BS13+'[4]RB I'!BS13+'[4]SF I'!BS13</f>
        <v>0</v>
      </c>
      <c r="BT13" s="226">
        <f>+[4]SLP!BT13+[4]ROSA!BT13+'[4]STA ANA'!BT13+[4]BOA!BT13+'[4]STA MARIA'!BT13+'[4]CB I'!BT13+'[4]CB II'!BT13+'[4]CB III'!BT13+[4]IG!BT13+[4]PN!BT13+[4]MJ!BT13+'[4]RB I'!BT13+'[4]SF I'!BT13</f>
        <v>0</v>
      </c>
      <c r="BU13" s="166">
        <f>+[4]SLP!BU13+[4]ROSA!BU13+'[4]STA ANA'!BU13+[4]BOA!BU13+'[4]STA MARIA'!BU13+'[4]CB I'!BU13+'[4]CB II'!BU13+'[4]CB III'!BU13+[4]IG!BU13+[4]PN!BU13+[4]MJ!BU13+'[4]RB I'!BU13+'[4]SÃO FRANCISCO'!BU13</f>
        <v>0</v>
      </c>
      <c r="BV13" s="224">
        <f t="shared" si="11"/>
        <v>-1</v>
      </c>
      <c r="BW13" s="225">
        <f>+[4]SLP!BW13+[4]ROSA!BW13+'[4]STA ANA'!BW13+[4]BOA!BW13+'[4]STA MARIA'!BW13+'[4]CB I'!BW13+'[4]CB II'!BW13+'[4]CB III'!BW13+[4]IG!BW13+[4]PN!BW13+[4]MJ!BW13+'[4]RB I'!BW13+'[4]SF I'!BW13</f>
        <v>29688.2</v>
      </c>
      <c r="BX13" s="226">
        <f>+[4]SLP!BX13+[4]ROSA!BX13+'[4]STA ANA'!BX13+[4]BOA!BX13+'[4]STA MARIA'!BX13+'[4]CB I'!BX13+'[4]CB II'!BX13+'[4]CB III'!BX13+[4]IG!BX13+[4]PN!BX13+[4]MJ!BX13+'[4]RB I'!BX13+'[4]SF I'!BX13</f>
        <v>26039.520219999999</v>
      </c>
      <c r="BY13" s="226">
        <f>+[4]SLP!BY13+[4]ROSA!BY13+'[4]STA ANA'!BY13+[4]BOA!BY13+'[4]STA MARIA'!BY13+'[4]CB I'!BY13+'[4]CB II'!BY13+'[4]CB III'!BY13+[4]IG!BY13+[4]PN!BY13+[4]MJ!BY13+'[4]RB I'!BY13+'[4]SF I'!BY13</f>
        <v>3648.6797799999995</v>
      </c>
      <c r="BZ13" s="226">
        <f>+[4]SLP!BZ13+[4]ROSA!BZ13+'[4]STA ANA'!BZ13+[4]BOA!BZ13+'[4]STA MARIA'!BZ13+'[4]CB I'!BZ13+'[4]CB II'!BZ13+'[4]CB III'!BZ13+[4]IG!BZ13+[4]PN!BZ13+[4]MJ!BZ13+'[4]RB I'!BZ13+'[4]SF I'!BZ13</f>
        <v>0</v>
      </c>
      <c r="CA13" s="226">
        <f>+[4]SLP!CA13+[4]ROSA!CA13+'[4]STA ANA'!CA13+[4]BOA!CA13+'[4]STA MARIA'!CA13+'[4]CB I'!CA13+'[4]CB II'!CA13+'[4]CB III'!CA13+[4]IG!CA13+[4]PN!CA13+[4]MJ!CA13+'[4]RB I'!CA13+'[4]SF I'!CA13</f>
        <v>0</v>
      </c>
      <c r="CB13" s="166">
        <f>+[4]SLP!CB13+[4]ROSA!CB13+'[4]STA ANA'!CB13+[4]BOA!CB13+'[4]STA MARIA'!CB13+'[4]CB I'!CB13+'[4]CB II'!CB13+'[4]CB III'!CB13+[4]IG!CB13+[4]PN!CB13+[4]MJ!CB13+'[4]RB I'!CB13+'[4]SÃO FRANCISCO'!CB13</f>
        <v>0</v>
      </c>
      <c r="CC13" s="224">
        <f t="shared" si="12"/>
        <v>-1</v>
      </c>
      <c r="CD13" s="225">
        <f>+[4]SLP!CD13+[4]ROSA!CD13+'[4]STA ANA'!CD13+[4]BOA!CD13+'[4]STA MARIA'!CD13+'[4]CB I'!CD13+'[4]CB II'!CD13+'[4]CB III'!CD13+[4]IG!CD13+[4]PN!CD13+[4]MJ!CD13+'[4]RB I'!CD13+'[4]SF I'!CD13</f>
        <v>29688.2</v>
      </c>
      <c r="CE13" s="226">
        <f>+[4]SLP!CE13+[4]ROSA!CE13+'[4]STA ANA'!CE13+[4]BOA!CE13+'[4]STA MARIA'!CE13+'[4]CB I'!CE13+'[4]CB II'!CE13+'[4]CB III'!CE13+[4]IG!CE13+[4]PN!CE13+[4]MJ!CE13+'[4]RB I'!CE13+'[4]SF I'!CE13</f>
        <v>26039.520219999999</v>
      </c>
      <c r="CF13" s="226">
        <f>+[4]SLP!CF13+[4]ROSA!CF13+'[4]STA ANA'!CF13+[4]BOA!CF13+'[4]STA MARIA'!CF13+'[4]CB I'!CF13+'[4]CB II'!CF13+'[4]CB III'!CF13+[4]IG!CF13+[4]PN!CF13+[4]MJ!CF13+'[4]RB I'!CF13+'[4]SF I'!CF13</f>
        <v>3648.6797799999995</v>
      </c>
      <c r="CG13" s="226">
        <f>+[4]SLP!CG13+[4]ROSA!CG13+'[4]STA ANA'!CG13+[4]BOA!CG13+'[4]STA MARIA'!CG13+'[4]CB I'!CG13+'[4]CB II'!CG13+'[4]CB III'!CG13+[4]IG!CG13+[4]PN!CG13+[4]MJ!CG13+'[4]RB I'!CG13+'[4]SF I'!CG13</f>
        <v>0</v>
      </c>
      <c r="CH13" s="226">
        <f>+[4]SLP!CH13+[4]ROSA!CH13+'[4]STA ANA'!CH13+[4]BOA!CH13+'[4]STA MARIA'!CH13+'[4]CB I'!CH13+'[4]CB II'!CH13+'[4]CB III'!CH13+[4]IG!CH13+[4]PN!CH13+[4]MJ!CH13+'[4]RB I'!CH13+'[4]SF I'!CH13</f>
        <v>0</v>
      </c>
      <c r="CI13" s="166">
        <f>+[4]SLP!CI13+[4]ROSA!CI13+'[4]STA ANA'!CI13+[4]BOA!CI13+'[4]STA MARIA'!CI13+'[4]CB I'!CI13+'[4]CB II'!CI13+'[4]CB III'!CI13+[4]IG!CI13+[4]PN!CI13+[4]MJ!CI13+'[4]RB I'!CI13+'[4]SÃO FRANCISCO'!CI13</f>
        <v>0</v>
      </c>
      <c r="CJ13" s="224">
        <f t="shared" si="13"/>
        <v>-1</v>
      </c>
      <c r="CK13" s="225">
        <f>+[4]SLP!CK13+[4]ROSA!CK13+'[4]STA ANA'!CK13+[4]BOA!CK13+'[4]STA MARIA'!CK13+'[4]CB I'!CK13+'[4]CB II'!CK13+'[4]CB III'!CK13+[4]IG!CK13+[4]PN!CK13+[4]MJ!CK13+'[4]RB I'!CK13+'[4]SF I'!CK13</f>
        <v>29688.2</v>
      </c>
      <c r="CL13" s="226">
        <f>+[4]SLP!CL13+[4]ROSA!CL13+'[4]STA ANA'!CL13+[4]BOA!CL13+'[4]STA MARIA'!CL13+'[4]CB I'!CL13+'[4]CB II'!CL13+'[4]CB III'!CL13+[4]IG!CL13+[4]PN!CL13+[4]MJ!CL13+'[4]RB I'!CL13+'[4]SF I'!CL13</f>
        <v>26039.520219999999</v>
      </c>
      <c r="CM13" s="226">
        <f>+[4]SLP!CM13+[4]ROSA!CM13+'[4]STA ANA'!CM13+[4]BOA!CM13+'[4]STA MARIA'!CM13+'[4]CB I'!CM13+'[4]CB II'!CM13+'[4]CB III'!CM13+[4]IG!CM13+[4]PN!CM13+[4]MJ!CM13+'[4]RB I'!CM13+'[4]SF I'!CM13</f>
        <v>3648.6797799999995</v>
      </c>
      <c r="CN13" s="226">
        <f>+[4]SLP!CN13+[4]ROSA!CN13+'[4]STA ANA'!CN13+[4]BOA!CN13+'[4]STA MARIA'!CN13+'[4]CB I'!CN13+'[4]CB II'!CN13+'[4]CB III'!CN13+[4]IG!CN13+[4]PN!CN13+[4]MJ!CN13+'[4]RB I'!CN13+'[4]SF I'!CN13</f>
        <v>0</v>
      </c>
      <c r="CO13" s="226">
        <f>+[4]SLP!CO13+[4]ROSA!CO13+'[4]STA ANA'!CO13+[4]BOA!CO13+'[4]STA MARIA'!CO13+'[4]CB I'!CO13+'[4]CB II'!CO13+'[4]CB III'!CO13+[4]IG!CO13+[4]PN!CO13+[4]MJ!CO13+'[4]RB I'!CO13+'[4]SF I'!CO13</f>
        <v>0</v>
      </c>
      <c r="CP13" s="166">
        <f>+[4]SLP!CP13+[4]ROSA!CP13+'[4]STA ANA'!CP13+[4]BOA!CP13+'[4]STA MARIA'!CP13+'[4]CB I'!CP13+'[4]CB II'!CP13+'[4]CB III'!CP13+[4]IG!CP13+[4]PN!CP13+[4]MJ!CP13+'[4]RB I'!CP13+'[4]SÃO FRANCISCO'!CP13</f>
        <v>0</v>
      </c>
      <c r="CQ13" s="224">
        <f t="shared" si="14"/>
        <v>-1</v>
      </c>
      <c r="CR13" s="155"/>
      <c r="CS13" s="227" t="e">
        <f t="shared" si="15"/>
        <v>#VALUE!</v>
      </c>
    </row>
    <row r="14" spans="1:101" ht="16" customHeight="1" x14ac:dyDescent="0.2">
      <c r="A14" s="228" t="s">
        <v>38</v>
      </c>
      <c r="B14" s="30">
        <f t="shared" si="0"/>
        <v>553043.06427057448</v>
      </c>
      <c r="C14" s="31">
        <f t="shared" si="0"/>
        <v>485074.07167172089</v>
      </c>
      <c r="D14" s="32">
        <f t="shared" si="0"/>
        <v>67968.992598853583</v>
      </c>
      <c r="E14" s="30">
        <f t="shared" si="16"/>
        <v>184347.68809019148</v>
      </c>
      <c r="F14" s="33">
        <f t="shared" si="16"/>
        <v>161691.35722390693</v>
      </c>
      <c r="G14" s="34">
        <f t="shared" si="16"/>
        <v>22656.330866284534</v>
      </c>
      <c r="H14" s="31">
        <f t="shared" si="1"/>
        <v>200644.65646659379</v>
      </c>
      <c r="I14" s="33">
        <f t="shared" si="1"/>
        <v>22544.658970969038</v>
      </c>
      <c r="J14" s="33">
        <f t="shared" si="1"/>
        <v>223189.31543756282</v>
      </c>
      <c r="K14" s="224">
        <f t="shared" si="2"/>
        <v>0.21069766455854988</v>
      </c>
      <c r="L14" s="225">
        <f>+[4]SLP!L14+[4]ROSA!L14+'[4]STA ANA'!L14+[4]BOA!L14+'[4]STA MARIA'!L14+'[4]CB I'!L14+'[4]CB II'!L14+'[4]CB III'!L14+[4]IG!L14+[4]PN!L14+[4]MJ!L14+'[4]RB I'!L14+'[4]SF I'!L14</f>
        <v>46086.922022547871</v>
      </c>
      <c r="M14" s="226">
        <f>+[4]SLP!M14+[4]ROSA!M14+'[4]STA ANA'!M14+[4]BOA!M14+'[4]STA MARIA'!M14+'[4]CB I'!M14+'[4]CB II'!M14+'[4]CB III'!M14+[4]IG!M14+[4]PN!M14+[4]MJ!M14+'[4]RB I'!M14+'[4]SF I'!M14</f>
        <v>40422.839305976733</v>
      </c>
      <c r="N14" s="226">
        <f>+[4]SLP!N14+[4]ROSA!N14+'[4]STA ANA'!N14+[4]BOA!N14+'[4]STA MARIA'!N14+'[4]CB I'!N14+'[4]CB II'!N14+'[4]CB III'!N14+[4]IG!N14+[4]PN!N14+[4]MJ!N14+'[4]RB I'!N14+'[4]SF I'!N14</f>
        <v>5664.0827165711335</v>
      </c>
      <c r="O14" s="226">
        <f>+[4]SLP!O14+[4]ROSA!O14+'[4]STA ANA'!O14+[4]BOA!O14+'[4]STA MARIA'!O14+'[4]CB I'!O14+'[4]CB II'!O14+'[4]CB III'!O14+[4]IG!O14+[4]PN!O14+[4]MJ!O14+'[4]RB I'!O14+'[4]SF I'!O14</f>
        <v>30589.456173986979</v>
      </c>
      <c r="P14" s="226">
        <f>+[4]SLP!P14+[4]ROSA!P14+'[4]STA ANA'!P14+[4]BOA!P14+'[4]STA MARIA'!P14+'[4]CB I'!P14+'[4]CB II'!P14+'[4]CB III'!P14+[4]IG!P14+[4]PN!P14+[4]MJ!P14+'[4]RB I'!P14+'[4]SF I'!P14</f>
        <v>3511.8562638288654</v>
      </c>
      <c r="Q14" s="166">
        <f>+[4]SLP!Q14+[4]ROSA!Q14+'[4]STA ANA'!Q14+[4]BOA!Q14+'[4]STA MARIA'!Q14+'[4]CB I'!Q14+'[4]CB II'!Q14+'[4]CB III'!Q14+[4]IG!Q14+[4]PN!Q14+[4]MJ!Q14+'[4]RB I'!Q14+'[4]SF I'!Q14</f>
        <v>34101.312437815839</v>
      </c>
      <c r="R14" s="224">
        <f t="shared" si="3"/>
        <v>-0.26006530830737873</v>
      </c>
      <c r="S14" s="225">
        <f>+[4]SLP!S14+[4]ROSA!S14+'[4]STA ANA'!S14+[4]BOA!S14+'[4]STA MARIA'!S14+'[4]CB I'!S14+'[4]CB II'!S14+'[4]CB III'!S14+[4]IG!S14+[4]PN!S14+[4]MJ!S14+'[4]RB I'!S14+'[4]SF I'!S14</f>
        <v>46086.922022547871</v>
      </c>
      <c r="T14" s="226">
        <f>+[4]SLP!T14+[4]ROSA!T14+'[4]STA ANA'!T14+[4]BOA!T14+'[4]STA MARIA'!T14+'[4]CB I'!T14+'[4]CB II'!T14+'[4]CB III'!T14+[4]IG!T14+[4]PN!T14+[4]MJ!T14+'[4]RB I'!T14+'[4]SF I'!T14</f>
        <v>40422.839305976733</v>
      </c>
      <c r="U14" s="226">
        <f>+[4]SLP!U14+[4]ROSA!U14+'[4]STA ANA'!U14+[4]BOA!U14+'[4]STA MARIA'!U14+'[4]CB I'!U14+'[4]CB II'!U14+'[4]CB III'!U14+[4]IG!U14+[4]PN!U14+[4]MJ!U14+'[4]RB I'!U14+'[4]SF I'!U14</f>
        <v>5664.0827165711335</v>
      </c>
      <c r="V14" s="226">
        <f>+[4]SLP!V14+[4]ROSA!V14+'[4]STA ANA'!V14+[4]BOA!V14+'[4]STA MARIA'!V14+'[4]CB I'!V14+'[4]CB II'!V14+'[4]CB III'!V14+[4]IG!V14+[4]PN!V14+[4]MJ!V14+'[4]RB I'!V14+'[4]SF I'!V14</f>
        <v>90628.612632737844</v>
      </c>
      <c r="W14" s="226">
        <f>+[4]SLP!W14+[4]ROSA!W14+'[4]STA ANA'!W14+[4]BOA!W14+'[4]STA MARIA'!W14+'[4]CB I'!W14+'[4]CB II'!W14+'[4]CB III'!W14+[4]IG!W14+[4]PN!W14+[4]MJ!W14+'[4]RB I'!W14+'[4]SF I'!W14</f>
        <v>10523.308403204401</v>
      </c>
      <c r="X14" s="166">
        <f>[4]SLP!X14+[4]ROSA!X14+'[4]STA ANA'!X14+[4]BOA!X14+'[4]STA MARIA'!X14+'[4]CB I'!X14+'[4]CB II'!X14+'[4]CB III'!X14+[4]IG!X14+[4]PN!X14+[4]MJ!X14+'[4]RB I'!X14+'[4]SF I'!X14</f>
        <v>101151.92103594226</v>
      </c>
      <c r="Y14" s="224">
        <f t="shared" si="4"/>
        <v>1.1948074767599803</v>
      </c>
      <c r="Z14" s="225">
        <f>+[4]SLP!Z14+[4]ROSA!Z14+'[4]STA ANA'!Z14+[4]BOA!Z14+'[4]STA MARIA'!Z14+'[4]CB I'!Z14+'[4]CB II'!Z14+'[4]CB III'!Z14+[4]IG!Z14+[4]PN!Z14+[4]MJ!Z14+'[4]RB I'!Z14+'[4]SF I'!Z14</f>
        <v>46086.922022547871</v>
      </c>
      <c r="AA14" s="226">
        <f>+[4]SLP!AA14+[4]ROSA!AA14+'[4]STA ANA'!AA14+[4]BOA!AA14+'[4]STA MARIA'!AA14+'[4]CB I'!AA14+'[4]CB II'!AA14+'[4]CB III'!AA14+[4]IG!AA14+[4]PN!AA14+[4]MJ!AA14+'[4]RB I'!AA14+'[4]SF I'!AA14</f>
        <v>40422.839305976733</v>
      </c>
      <c r="AB14" s="226">
        <f>+[4]SLP!AB14+[4]ROSA!AB14+'[4]STA ANA'!AB14+[4]BOA!AB14+'[4]STA MARIA'!AB14+'[4]CB I'!AB14+'[4]CB II'!AB14+'[4]CB III'!AB14+[4]IG!AB14+[4]PN!AB14+[4]MJ!AB14+'[4]RB I'!AB14+'[4]SF I'!AB14</f>
        <v>5664.0827165711335</v>
      </c>
      <c r="AC14" s="226">
        <f>+[4]SLP!AC14+[4]ROSA!AC14+'[4]STA ANA'!AC14+[4]BOA!AC14+'[4]STA MARIA'!AC14+'[4]CB I'!AC14+'[4]CB II'!AC14+'[4]CB III'!AC14+[4]IG!AC14+[4]PN!AC14+[4]MJ!AC14+'[4]RB I'!AC14+'[4]SF I'!AC14</f>
        <v>43447.195109720495</v>
      </c>
      <c r="AD14" s="226">
        <f>+[4]SLP!AD14+[4]ROSA!AD14+'[4]STA ANA'!AD14+[4]BOA!AD14+'[4]STA MARIA'!AD14+'[4]CB I'!AD14+'[4]CB II'!AD14+'[4]CB III'!AD14+[4]IG!AD14+[4]PN!AD14+[4]MJ!AD14+'[4]RB I'!AD14+'[4]SF I'!AD14</f>
        <v>4343.0086680752083</v>
      </c>
      <c r="AE14" s="166">
        <f>+[4]SLP!AE14+[4]ROSA!AE14+'[4]STA ANA'!AE14+[4]BOA!AE14+'[4]STA MARIA'!AE14+'[4]CB I'!AE14+'[4]CB II'!AE14+'[4]CB III'!AE14+[4]IG!AE14+[4]PN!AE14+[4]MJ!AE14+'[4]RB I'!AE14+'[4]SF I'!AE14</f>
        <v>47790.203777795694</v>
      </c>
      <c r="AF14" s="224">
        <f t="shared" si="5"/>
        <v>3.6958028015290356E-2</v>
      </c>
      <c r="AG14" s="225">
        <f>+[4]SLP!AG14+[4]ROSA!AG14+'[4]STA ANA'!AG14+[4]BOA!AG14+'[4]STA MARIA'!AG14+'[4]CB I'!AG14+'[4]CB II'!AG14+'[4]CB III'!AG14+[4]IG!AG14+[4]PN!AG14+[4]MJ!AG14+'[4]RB I'!AG14+'[4]SF I'!AG14</f>
        <v>46086.922022547871</v>
      </c>
      <c r="AH14" s="226">
        <f>+[4]SLP!AH14+[4]ROSA!AH14+'[4]STA ANA'!AH14+[4]BOA!AH14+'[4]STA MARIA'!AH14+'[4]CB I'!AH14+'[4]CB II'!AH14+'[4]CB III'!AH14+[4]IG!AH14+[4]PN!AH14+[4]MJ!AH14+'[4]RB I'!AH14+'[4]SF I'!AH14</f>
        <v>40422.839305976733</v>
      </c>
      <c r="AI14" s="226">
        <f>+[4]SLP!AI14+[4]ROSA!AI14+'[4]STA ANA'!AI14+[4]BOA!AI14+'[4]STA MARIA'!AI14+'[4]CB I'!AI14+'[4]CB II'!AI14+'[4]CB III'!AI14+[4]IG!AI14+[4]PN!AI14+[4]MJ!AI14+'[4]RB I'!AI14+'[4]SF I'!AI14</f>
        <v>5664.0827165711335</v>
      </c>
      <c r="AJ14" s="226">
        <f>+[4]SLP!AJ14+[4]ROSA!AJ14+'[4]STA ANA'!AJ14+[4]BOA!AJ14+'[4]STA MARIA'!AJ14+'[4]CB I'!AJ14+'[4]CB II'!AJ14+'[4]CB III'!AJ14+[4]IG!AJ14+[4]PN!AJ14+[4]MJ!AJ14+'[4]RB I'!AJ14+'[4]SF I'!AJ14</f>
        <v>35979.392550148485</v>
      </c>
      <c r="AK14" s="226">
        <f>+[4]SLP!AK14+[4]ROSA!AK14+'[4]STA ANA'!AK14+[4]BOA!AK14+'[4]STA MARIA'!AK14+'[4]CB I'!AK14+'[4]CB II'!AK14+'[4]CB III'!AK14+[4]IG!AK14+[4]PN!AK14+[4]MJ!AK14+'[4]RB I'!AK14+'[4]SF I'!AK14</f>
        <v>4166.4856358605612</v>
      </c>
      <c r="AL14" s="166">
        <f>+[4]SLP!AL14+[4]ROSA!AL14+'[4]STA ANA'!AL14+[4]BOA!AL14+'[4]STA MARIA'!AL14+'[4]CB I'!AL14+'[4]CB II'!AL14+'[4]CB III'!AL14+[4]IG!AL14+[4]PN!AL14+[4]MJ!AL14+'[4]RB I'!AL14+'[4]SF I'!AL14</f>
        <v>40145.878186009038</v>
      </c>
      <c r="AM14" s="224">
        <f t="shared" si="6"/>
        <v>-0.12890953823369233</v>
      </c>
      <c r="AN14" s="225">
        <f>+[4]SLP!AN14+[4]ROSA!AN14+'[4]STA ANA'!AN14+[4]BOA!AN14+'[4]STA MARIA'!AN14+'[4]CB I'!AN14+'[4]CB II'!AN14+'[4]CB III'!AN14+[4]IG!AN14+[4]PN!AN14+[4]MJ!AN14+'[4]RB I'!AN14+'[4]SF I'!AN14</f>
        <v>46086.922022547871</v>
      </c>
      <c r="AO14" s="226">
        <f>+[4]SLP!AO14+[4]ROSA!AO14+'[4]STA ANA'!AO14+[4]BOA!AO14+'[4]STA MARIA'!AO14+'[4]CB I'!AO14+'[4]CB II'!AO14+'[4]CB III'!AO14+[4]IG!AO14+[4]PN!AO14+[4]MJ!AO14+'[4]RB I'!AO14+'[4]SF I'!AO14</f>
        <v>40422.839305976733</v>
      </c>
      <c r="AP14" s="226">
        <f>+[4]SLP!AP14+[4]ROSA!AP14+'[4]STA ANA'!AP14+[4]BOA!AP14+'[4]STA MARIA'!AP14+'[4]CB I'!AP14+'[4]CB II'!AP14+'[4]CB III'!AP14+[4]IG!AP14+[4]PN!AP14+[4]MJ!AP14+'[4]RB I'!AP14+'[4]SF I'!AP14</f>
        <v>5664.0827165711335</v>
      </c>
      <c r="AQ14" s="226">
        <f>+[4]SLP!AQ14+[4]ROSA!AQ14+'[4]STA ANA'!AQ14+[4]BOA!AQ14+'[4]STA MARIA'!AQ14+'[4]CB I'!AQ14+'[4]CB II'!AQ14+'[4]CB III'!AQ14+[4]IG!AQ14+[4]PN!AQ14+[4]MJ!AQ14+'[4]RB I'!AQ14+'[4]SF I'!AQ14</f>
        <v>0</v>
      </c>
      <c r="AR14" s="226">
        <f>+[4]SLP!AR14+[4]ROSA!AR14+'[4]STA ANA'!AR14+[4]BOA!AR14+'[4]STA MARIA'!AR14+'[4]CB I'!AR14+'[4]CB II'!AR14+'[4]CB III'!AR14+[4]IG!AR14+[4]PN!AR14+[4]MJ!AR14+'[4]RB I'!AR14+'[4]SF I'!AR14</f>
        <v>0</v>
      </c>
      <c r="AS14" s="166">
        <f>+[4]SLP!AS14+[4]ROSA!AS14+'[4]STA ANA'!AS14+[4]BOA!AS14+'[4]STA MARIA'!AS14+'[4]CB I'!AS14+'[4]CB II'!AS14+'[4]CB III'!AS14+[4]IG!AS14+[4]PN!AS14+[4]MJ!AS14+'[4]RB I'!AS14+'[4]SÃO FRANCISCO'!AS14</f>
        <v>0</v>
      </c>
      <c r="AT14" s="224">
        <f t="shared" si="7"/>
        <v>-1</v>
      </c>
      <c r="AU14" s="225">
        <f>+[4]SLP!AU14+[4]ROSA!AU14+'[4]STA ANA'!AU14+[4]BOA!AU14+'[4]STA MARIA'!AU14+'[4]CB I'!AU14+'[4]CB II'!AU14+'[4]CB III'!AU14+[4]IG!AU14+[4]PN!AU14+[4]MJ!AU14+'[4]RB I'!AU14+'[4]SF I'!AU14</f>
        <v>46086.922022547871</v>
      </c>
      <c r="AV14" s="226">
        <f>+[4]SLP!AV14+[4]ROSA!AV14+'[4]STA ANA'!AV14+[4]BOA!AV14+'[4]STA MARIA'!AV14+'[4]CB I'!AV14+'[4]CB II'!AV14+'[4]CB III'!AV14+[4]IG!AV14+[4]PN!AV14+[4]MJ!AV14+'[4]RB I'!AV14+'[4]SF I'!AV14</f>
        <v>40422.839305976733</v>
      </c>
      <c r="AW14" s="226">
        <f>+[4]SLP!AW14+[4]ROSA!AW14+'[4]STA ANA'!AW14+[4]BOA!AW14+'[4]STA MARIA'!AW14+'[4]CB I'!AW14+'[4]CB II'!AW14+'[4]CB III'!AW14+[4]IG!AW14+[4]PN!AW14+[4]MJ!AW14+'[4]RB I'!AW14+'[4]SF I'!AW14</f>
        <v>5664.0827165711335</v>
      </c>
      <c r="AX14" s="226">
        <f>+[4]SLP!AX14+[4]ROSA!AX14+'[4]STA ANA'!AX14+[4]BOA!AX14+'[4]STA MARIA'!AX14+'[4]CB I'!AX14+'[4]CB II'!AX14+'[4]CB III'!AX14+[4]IG!AX14+[4]PN!AX14+[4]MJ!AX14+'[4]RB I'!AX14+'[4]SF I'!AX14</f>
        <v>0</v>
      </c>
      <c r="AY14" s="226">
        <f>+[4]SLP!AY14+[4]ROSA!AY14+'[4]STA ANA'!AY14+[4]BOA!AY14+'[4]STA MARIA'!AY14+'[4]CB I'!AY14+'[4]CB II'!AY14+'[4]CB III'!AY14+[4]IG!AY14+[4]PN!AY14+[4]MJ!AY14+'[4]RB I'!AY14+'[4]SF I'!AY14</f>
        <v>0</v>
      </c>
      <c r="AZ14" s="166">
        <f>+[4]SLP!AZ14+[4]ROSA!AZ14+'[4]STA ANA'!AZ14+[4]BOA!AZ14+'[4]STA MARIA'!AZ14+'[4]CB I'!AZ14+'[4]CB II'!AZ14+[4]IG!AZ14+[4]PN!AZ14+[4]MJ!AZ14+'[4]RB I'!AZ14+'[4]SÃO FRANCISCO'!AZ14</f>
        <v>0</v>
      </c>
      <c r="BA14" s="224">
        <f t="shared" si="8"/>
        <v>-1</v>
      </c>
      <c r="BB14" s="225">
        <f>+[4]SLP!BB14+[4]ROSA!BB14+'[4]STA ANA'!BB14+[4]BOA!BB14+'[4]STA MARIA'!BB14+'[4]CB I'!BB14+'[4]CB II'!BB14+'[4]CB III'!BB14+[4]IG!BB14+[4]PN!BB14+[4]MJ!BB14+'[4]RB I'!BB14+'[4]SF I'!BB14</f>
        <v>46086.922022547871</v>
      </c>
      <c r="BC14" s="226">
        <f>+[4]SLP!BC14+[4]ROSA!BC14+'[4]STA ANA'!BC14+[4]BOA!BC14+'[4]STA MARIA'!BC14+'[4]CB I'!BC14+'[4]CB II'!BC14+'[4]CB III'!BC14+[4]IG!BC14+[4]PN!BC14+[4]MJ!BC14+'[4]RB I'!BC14+'[4]SF I'!BC14</f>
        <v>40422.839305976733</v>
      </c>
      <c r="BD14" s="226">
        <f>+[4]SLP!BD14+[4]ROSA!BD14+'[4]STA ANA'!BD14+[4]BOA!BD14+'[4]STA MARIA'!BD14+'[4]CB I'!BD14+'[4]CB II'!BD14+'[4]CB III'!BD14+[4]IG!BD14+[4]PN!BD14+[4]MJ!BD14+'[4]RB I'!BD14+'[4]SF I'!BD14</f>
        <v>5664.0827165711335</v>
      </c>
      <c r="BE14" s="226">
        <f>+[4]SLP!BE14+[4]ROSA!BE14+'[4]STA ANA'!BE14+[4]BOA!BE14+'[4]STA MARIA'!BE14+'[4]CB I'!BE14+'[4]CB II'!BE14+'[4]CB III'!BE14+[4]IG!BE14+[4]PN!BE14+[4]MJ!BE14+'[4]RB I'!BE14+'[4]SF I'!BE14</f>
        <v>0</v>
      </c>
      <c r="BF14" s="226">
        <f>+[4]SLP!BF14+[4]ROSA!BF14+'[4]STA ANA'!BF14+[4]BOA!BF14+'[4]STA MARIA'!BF14+'[4]CB I'!BF14+'[4]CB II'!BF14+'[4]CB III'!BF14+[4]IG!BF14+[4]PN!BF14+[4]MJ!BF14+'[4]RB I'!BF14+'[4]SF I'!BF14</f>
        <v>0</v>
      </c>
      <c r="BG14" s="166">
        <f>+[4]SLP!BG14+[4]ROSA!BG14+'[4]STA ANA'!BG14+[4]BOA!BG14+'[4]STA MARIA'!BG14+'[4]CB I'!BG14+'[4]CB II'!BG14+'[4]CB III'!BG14+[4]IG!BG14+[4]PN!BG14+[4]MJ!BG14+'[4]RB I'!BG14+'[4]SÃO FRANCISCO'!BG14</f>
        <v>0</v>
      </c>
      <c r="BH14" s="224">
        <f t="shared" si="9"/>
        <v>-1</v>
      </c>
      <c r="BI14" s="225">
        <f>+[4]SLP!BI14+[4]ROSA!BI14+'[4]STA ANA'!BI14+[4]BOA!BI14+'[4]STA MARIA'!BI14+'[4]CB I'!BI14+'[4]CB II'!BI14+'[4]CB III'!BI14+[4]IG!BI14+[4]PN!BI14+[4]MJ!BI14+'[4]RB I'!BI14+'[4]SF I'!BI14</f>
        <v>46086.922022547871</v>
      </c>
      <c r="BJ14" s="226">
        <f>+[4]SLP!BJ14+[4]ROSA!BJ14+'[4]STA ANA'!BJ14+[4]BOA!BJ14+'[4]STA MARIA'!BJ14+'[4]CB I'!BJ14+'[4]CB II'!BJ14+'[4]CB III'!BJ14+[4]IG!BJ14+[4]PN!BJ14+[4]MJ!BJ14+'[4]RB I'!BJ14+'[4]SF I'!BJ14</f>
        <v>40422.839305976733</v>
      </c>
      <c r="BK14" s="226">
        <f>+[4]SLP!BK14+[4]ROSA!BK14+'[4]STA ANA'!BK14+[4]BOA!BK14+'[4]STA MARIA'!BK14+'[4]CB I'!BK14+'[4]CB II'!BK14+'[4]CB III'!BK14+[4]IG!BK14+[4]PN!BK14+[4]MJ!BK14+'[4]RB I'!BK14+'[4]SF I'!BK14</f>
        <v>5664.0827165711335</v>
      </c>
      <c r="BL14" s="226">
        <f>+[4]SLP!BL14+[4]ROSA!BL14+'[4]STA ANA'!BL14+[4]BOA!BL14+'[4]STA MARIA'!BL14+'[4]CB I'!BL14+'[4]CB II'!BL14+'[4]CB III'!BL14+[4]IG!BL14+[4]PN!BL14+[4]MJ!BL14+'[4]RB I'!BL14+'[4]SF I'!BL14</f>
        <v>0</v>
      </c>
      <c r="BM14" s="226">
        <f>+[4]SLP!BM14+[4]ROSA!BM14+'[4]STA ANA'!BM14+[4]BOA!BM14+'[4]STA MARIA'!BM14+'[4]CB I'!BM14+'[4]CB II'!BM14+'[4]CB III'!BM14+[4]IG!BM14+[4]PN!BM14+[4]MJ!BM14+'[4]RB I'!BM14+'[4]SF I'!BM14</f>
        <v>0</v>
      </c>
      <c r="BN14" s="166">
        <f>+[4]SLP!BN14+[4]ROSA!BN14+'[4]STA ANA'!BN14+[4]BOA!BN14+'[4]STA MARIA'!BN14+'[4]CB I'!BN14+'[4]CB II'!BN14+'[4]CB III'!BN14+[4]IG!BN14+[4]PN!BN14+[4]MJ!BN14+'[4]RB I'!BN14+'[4]SÃO FRANCISCO'!BN14</f>
        <v>0</v>
      </c>
      <c r="BO14" s="224">
        <f t="shared" si="10"/>
        <v>-1</v>
      </c>
      <c r="BP14" s="225">
        <f>+[4]SLP!BP14+[4]ROSA!BP14+'[4]STA ANA'!BP14+[4]BOA!BP14+'[4]STA MARIA'!BP14+'[4]CB I'!BP14+'[4]CB II'!BP14+'[4]CB III'!BP14+[4]IG!BP14+[4]PN!BP14+[4]MJ!BP14+'[4]RB I'!BP14+'[4]SF I'!BP14</f>
        <v>46086.922022547871</v>
      </c>
      <c r="BQ14" s="226">
        <f>+[4]SLP!BQ14+[4]ROSA!BQ14+'[4]STA ANA'!BQ14+[4]BOA!BQ14+'[4]STA MARIA'!BQ14+'[4]CB I'!BQ14+'[4]CB II'!BQ14+'[4]CB III'!BQ14+[4]IG!BQ14+[4]PN!BQ14+[4]MJ!BQ14+'[4]RB I'!BQ14+'[4]SF I'!BQ14</f>
        <v>40422.839305976733</v>
      </c>
      <c r="BR14" s="226">
        <f>+[4]SLP!BR14+[4]ROSA!BR14+'[4]STA ANA'!BR14+[4]BOA!BR14+'[4]STA MARIA'!BR14+'[4]CB I'!BR14+'[4]CB II'!BR14+'[4]CB III'!BR14+[4]IG!BR14+[4]PN!BR14+[4]MJ!BR14+'[4]RB I'!BR14+'[4]SF I'!BR14</f>
        <v>5664.0827165711335</v>
      </c>
      <c r="BS14" s="226">
        <f>+[4]SLP!BS14+[4]ROSA!BS14+'[4]STA ANA'!BS14+[4]BOA!BS14+'[4]STA MARIA'!BS14+'[4]CB I'!BS14+'[4]CB II'!BS14+'[4]CB III'!BS14+[4]IG!BS14+[4]PN!BS14+[4]MJ!BS14+'[4]RB I'!BS14+'[4]SF I'!BS14</f>
        <v>0</v>
      </c>
      <c r="BT14" s="226">
        <f>+[4]SLP!BT14+[4]ROSA!BT14+'[4]STA ANA'!BT14+[4]BOA!BT14+'[4]STA MARIA'!BT14+'[4]CB I'!BT14+'[4]CB II'!BT14+'[4]CB III'!BT14+[4]IG!BT14+[4]PN!BT14+[4]MJ!BT14+'[4]RB I'!BT14+'[4]SF I'!BT14</f>
        <v>0</v>
      </c>
      <c r="BU14" s="166">
        <f>+[4]SLP!BU14+[4]ROSA!BU14+'[4]STA ANA'!BU14+[4]BOA!BU14+'[4]STA MARIA'!BU14+'[4]CB I'!BU14+'[4]CB II'!BU14+'[4]CB III'!BU14+[4]IG!BU14+[4]PN!BU14+[4]MJ!BU14+'[4]RB I'!BU14+'[4]SÃO FRANCISCO'!BU14</f>
        <v>0</v>
      </c>
      <c r="BV14" s="224">
        <f t="shared" si="11"/>
        <v>-1</v>
      </c>
      <c r="BW14" s="225">
        <f>+[4]SLP!BW14+[4]ROSA!BW14+'[4]STA ANA'!BW14+[4]BOA!BW14+'[4]STA MARIA'!BW14+'[4]CB I'!BW14+'[4]CB II'!BW14+'[4]CB III'!BW14+[4]IG!BW14+[4]PN!BW14+[4]MJ!BW14+'[4]RB I'!BW14+'[4]SF I'!BW14</f>
        <v>46086.922022547871</v>
      </c>
      <c r="BX14" s="226">
        <f>+[4]SLP!BX14+[4]ROSA!BX14+'[4]STA ANA'!BX14+[4]BOA!BX14+'[4]STA MARIA'!BX14+'[4]CB I'!BX14+'[4]CB II'!BX14+'[4]CB III'!BX14+[4]IG!BX14+[4]PN!BX14+[4]MJ!BX14+'[4]RB I'!BX14+'[4]SF I'!BX14</f>
        <v>40422.839305976733</v>
      </c>
      <c r="BY14" s="226">
        <f>+[4]SLP!BY14+[4]ROSA!BY14+'[4]STA ANA'!BY14+[4]BOA!BY14+'[4]STA MARIA'!BY14+'[4]CB I'!BY14+'[4]CB II'!BY14+'[4]CB III'!BY14+[4]IG!BY14+[4]PN!BY14+[4]MJ!BY14+'[4]RB I'!BY14+'[4]SF I'!BY14</f>
        <v>5664.0827165711335</v>
      </c>
      <c r="BZ14" s="226">
        <f>+[4]SLP!BZ14+[4]ROSA!BZ14+'[4]STA ANA'!BZ14+[4]BOA!BZ14+'[4]STA MARIA'!BZ14+'[4]CB I'!BZ14+'[4]CB II'!BZ14+'[4]CB III'!BZ14+[4]IG!BZ14+[4]PN!BZ14+[4]MJ!BZ14+'[4]RB I'!BZ14+'[4]SF I'!BZ14</f>
        <v>0</v>
      </c>
      <c r="CA14" s="226">
        <f>+[4]SLP!CA14+[4]ROSA!CA14+'[4]STA ANA'!CA14+[4]BOA!CA14+'[4]STA MARIA'!CA14+'[4]CB I'!CA14+'[4]CB II'!CA14+'[4]CB III'!CA14+[4]IG!CA14+[4]PN!CA14+[4]MJ!CA14+'[4]RB I'!CA14+'[4]SF I'!CA14</f>
        <v>0</v>
      </c>
      <c r="CB14" s="166">
        <f>+[4]SLP!CB14+[4]ROSA!CB14+'[4]STA ANA'!CB14+[4]BOA!CB14+'[4]STA MARIA'!CB14+'[4]CB I'!CB14+'[4]CB II'!CB14+'[4]CB III'!CB14+[4]IG!CB14+[4]PN!CB14+[4]MJ!CB14+'[4]RB I'!CB14+'[4]SÃO FRANCISCO'!CB14</f>
        <v>0</v>
      </c>
      <c r="CC14" s="224">
        <f t="shared" si="12"/>
        <v>-1</v>
      </c>
      <c r="CD14" s="225">
        <f>+[4]SLP!CD14+[4]ROSA!CD14+'[4]STA ANA'!CD14+[4]BOA!CD14+'[4]STA MARIA'!CD14+'[4]CB I'!CD14+'[4]CB II'!CD14+'[4]CB III'!CD14+[4]IG!CD14+[4]PN!CD14+[4]MJ!CD14+'[4]RB I'!CD14+'[4]SF I'!CD14</f>
        <v>46086.922022547871</v>
      </c>
      <c r="CE14" s="226">
        <f>+[4]SLP!CE14+[4]ROSA!CE14+'[4]STA ANA'!CE14+[4]BOA!CE14+'[4]STA MARIA'!CE14+'[4]CB I'!CE14+'[4]CB II'!CE14+'[4]CB III'!CE14+[4]IG!CE14+[4]PN!CE14+[4]MJ!CE14+'[4]RB I'!CE14+'[4]SF I'!CE14</f>
        <v>40422.839305976733</v>
      </c>
      <c r="CF14" s="226">
        <f>+[4]SLP!CF14+[4]ROSA!CF14+'[4]STA ANA'!CF14+[4]BOA!CF14+'[4]STA MARIA'!CF14+'[4]CB I'!CF14+'[4]CB II'!CF14+'[4]CB III'!CF14+[4]IG!CF14+[4]PN!CF14+[4]MJ!CF14+'[4]RB I'!CF14+'[4]SF I'!CF14</f>
        <v>5664.0827165711335</v>
      </c>
      <c r="CG14" s="226">
        <f>+[4]SLP!CG14+[4]ROSA!CG14+'[4]STA ANA'!CG14+[4]BOA!CG14+'[4]STA MARIA'!CG14+'[4]CB I'!CG14+'[4]CB II'!CG14+'[4]CB III'!CG14+[4]IG!CG14+[4]PN!CG14+[4]MJ!CG14+'[4]RB I'!CG14+'[4]SF I'!CG14</f>
        <v>0</v>
      </c>
      <c r="CH14" s="226">
        <f>+[4]SLP!CH14+[4]ROSA!CH14+'[4]STA ANA'!CH14+[4]BOA!CH14+'[4]STA MARIA'!CH14+'[4]CB I'!CH14+'[4]CB II'!CH14+'[4]CB III'!CH14+[4]IG!CH14+[4]PN!CH14+[4]MJ!CH14+'[4]RB I'!CH14+'[4]SF I'!CH14</f>
        <v>0</v>
      </c>
      <c r="CI14" s="166">
        <f>+[4]SLP!CI14+[4]ROSA!CI14+'[4]STA ANA'!CI14+[4]BOA!CI14+'[4]STA MARIA'!CI14+'[4]CB I'!CI14+'[4]CB II'!CI14+'[4]CB III'!CI14+[4]IG!CI14+[4]PN!CI14+[4]MJ!CI14+'[4]RB I'!CI14+'[4]SÃO FRANCISCO'!CI14</f>
        <v>0</v>
      </c>
      <c r="CJ14" s="224">
        <f t="shared" si="13"/>
        <v>-1</v>
      </c>
      <c r="CK14" s="225">
        <f>+[4]SLP!CK14+[4]ROSA!CK14+'[4]STA ANA'!CK14+[4]BOA!CK14+'[4]STA MARIA'!CK14+'[4]CB I'!CK14+'[4]CB II'!CK14+'[4]CB III'!CK14+[4]IG!CK14+[4]PN!CK14+[4]MJ!CK14+'[4]RB I'!CK14+'[4]SF I'!CK14</f>
        <v>46086.922022547871</v>
      </c>
      <c r="CL14" s="226">
        <f>+[4]SLP!CL14+[4]ROSA!CL14+'[4]STA ANA'!CL14+[4]BOA!CL14+'[4]STA MARIA'!CL14+'[4]CB I'!CL14+'[4]CB II'!CL14+'[4]CB III'!CL14+[4]IG!CL14+[4]PN!CL14+[4]MJ!CL14+'[4]RB I'!CL14+'[4]SF I'!CL14</f>
        <v>40422.839305976733</v>
      </c>
      <c r="CM14" s="226">
        <f>+[4]SLP!CM14+[4]ROSA!CM14+'[4]STA ANA'!CM14+[4]BOA!CM14+'[4]STA MARIA'!CM14+'[4]CB I'!CM14+'[4]CB II'!CM14+'[4]CB III'!CM14+[4]IG!CM14+[4]PN!CM14+[4]MJ!CM14+'[4]RB I'!CM14+'[4]SF I'!CM14</f>
        <v>5664.0827165711335</v>
      </c>
      <c r="CN14" s="226">
        <f>+[4]SLP!CN14+[4]ROSA!CN14+'[4]STA ANA'!CN14+[4]BOA!CN14+'[4]STA MARIA'!CN14+'[4]CB I'!CN14+'[4]CB II'!CN14+'[4]CB III'!CN14+[4]IG!CN14+[4]PN!CN14+[4]MJ!CN14+'[4]RB I'!CN14+'[4]SF I'!CN14</f>
        <v>0</v>
      </c>
      <c r="CO14" s="226">
        <f>+[4]SLP!CO14+[4]ROSA!CO14+'[4]STA ANA'!CO14+[4]BOA!CO14+'[4]STA MARIA'!CO14+'[4]CB I'!CO14+'[4]CB II'!CO14+'[4]CB III'!CO14+[4]IG!CO14+[4]PN!CO14+[4]MJ!CO14+'[4]RB I'!CO14+'[4]SF I'!CO14</f>
        <v>0</v>
      </c>
      <c r="CP14" s="166">
        <f>+[4]SLP!CP14+[4]ROSA!CP14+'[4]STA ANA'!CP14+[4]BOA!CP14+'[4]STA MARIA'!CP14+'[4]CB I'!CP14+'[4]CB II'!CP14+'[4]CB III'!CP14+[4]IG!CP14+[4]PN!CP14+[4]MJ!CP14+'[4]RB I'!CP14+'[4]SÃO FRANCISCO'!CP14</f>
        <v>0</v>
      </c>
      <c r="CQ14" s="224">
        <f t="shared" si="14"/>
        <v>-1</v>
      </c>
      <c r="CR14" s="155"/>
      <c r="CS14" s="227" t="e">
        <f t="shared" si="15"/>
        <v>#VALUE!</v>
      </c>
    </row>
    <row r="15" spans="1:101" ht="16" customHeight="1" x14ac:dyDescent="0.2">
      <c r="A15" s="228" t="s">
        <v>39</v>
      </c>
      <c r="B15" s="30">
        <f t="shared" si="0"/>
        <v>1249388.266032814</v>
      </c>
      <c r="C15" s="31">
        <f t="shared" si="0"/>
        <v>1095838.4481373813</v>
      </c>
      <c r="D15" s="32">
        <f t="shared" si="0"/>
        <v>153549.81789543282</v>
      </c>
      <c r="E15" s="30">
        <f t="shared" si="16"/>
        <v>413772.74341897067</v>
      </c>
      <c r="F15" s="33">
        <f t="shared" si="16"/>
        <v>362920.0732527792</v>
      </c>
      <c r="G15" s="34">
        <f t="shared" si="16"/>
        <v>50852.670166191492</v>
      </c>
      <c r="H15" s="31">
        <f t="shared" si="1"/>
        <v>439184.75479547388</v>
      </c>
      <c r="I15" s="33">
        <f t="shared" si="1"/>
        <v>47093.265533390091</v>
      </c>
      <c r="J15" s="33">
        <f t="shared" si="1"/>
        <v>486278.02032886393</v>
      </c>
      <c r="K15" s="224">
        <f t="shared" si="2"/>
        <v>0.17522970776370639</v>
      </c>
      <c r="L15" s="225">
        <f>+[4]SLP!L15+[4]ROSA!L15+'[4]STA ANA'!L15+[4]BOA!L15+'[4]STA MARIA'!L15+'[4]CB I'!L15+'[4]CB II'!L15+'[4]CB III'!L15+[4]IG!L15+[4]PN!L15+[4]MJ!L15+'[4]RB I'!L15+'[4]SF I'!L15</f>
        <v>103443.18585474267</v>
      </c>
      <c r="M15" s="226">
        <f>+[4]SLP!M15+[4]ROSA!M15+'[4]STA ANA'!M15+[4]BOA!M15+'[4]STA MARIA'!M15+'[4]CB I'!M15+'[4]CB II'!M15+'[4]CB III'!M15+[4]IG!M15+[4]PN!M15+[4]MJ!M15+'[4]RB I'!M15+'[4]SF I'!M15</f>
        <v>90730.0183131948</v>
      </c>
      <c r="N15" s="226">
        <f>+[4]SLP!N15+[4]ROSA!N15+'[4]STA ANA'!N15+[4]BOA!N15+'[4]STA MARIA'!N15+'[4]CB I'!N15+'[4]CB II'!N15+'[4]CB III'!N15+[4]IG!N15+[4]PN!N15+[4]MJ!N15+'[4]RB I'!N15+'[4]SF I'!N15</f>
        <v>12713.167541547873</v>
      </c>
      <c r="O15" s="226">
        <f>+[4]SLP!O15+[4]ROSA!O15+'[4]STA ANA'!O15+[4]BOA!O15+'[4]STA MARIA'!O15+'[4]CB I'!O15+'[4]CB II'!O15+'[4]CB III'!O15+[4]IG!O15+[4]PN!O15+[4]MJ!O15+'[4]RB I'!O15+'[4]SF I'!O15</f>
        <v>88610.952780315987</v>
      </c>
      <c r="P15" s="226">
        <f>+[4]SLP!P15+[4]ROSA!P15+'[4]STA ANA'!P15+[4]BOA!P15+'[4]STA MARIA'!P15+'[4]CB I'!P15+'[4]CB II'!P15+'[4]CB III'!P15+[4]IG!P15+[4]PN!P15+[4]MJ!P15+'[4]RB I'!P15+'[4]SF I'!P15</f>
        <v>9194.1567053033323</v>
      </c>
      <c r="Q15" s="166">
        <f>+[4]SLP!Q15+[4]ROSA!Q15+'[4]STA ANA'!Q15+[4]BOA!Q15+'[4]STA MARIA'!Q15+'[4]CB I'!Q15+'[4]CB II'!Q15+'[4]CB III'!Q15+[4]IG!Q15+[4]PN!Q15+[4]MJ!Q15+'[4]RB I'!Q15+'[4]SF I'!Q15</f>
        <v>97805.109485619309</v>
      </c>
      <c r="R15" s="224">
        <f t="shared" si="3"/>
        <v>-5.4504086688131226E-2</v>
      </c>
      <c r="S15" s="225">
        <f>+[4]SLP!S15+[4]ROSA!S15+'[4]STA ANA'!S15+[4]BOA!S15+'[4]STA MARIA'!S15+'[4]CB I'!S15+'[4]CB II'!S15+'[4]CB III'!S15+[4]IG!S15+[4]PN!S15+[4]MJ!S15+'[4]RB I'!S15+'[4]SF I'!S15</f>
        <v>103443.18585474267</v>
      </c>
      <c r="T15" s="226">
        <f>+[4]SLP!T15+[4]ROSA!T15+'[4]STA ANA'!T15+[4]BOA!T15+'[4]STA MARIA'!T15+'[4]CB I'!T15+'[4]CB II'!T15+'[4]CB III'!T15+[4]IG!T15+[4]PN!T15+[4]MJ!T15+'[4]RB I'!T15+'[4]SF I'!T15</f>
        <v>90730.0183131948</v>
      </c>
      <c r="U15" s="226">
        <f>+[4]SLP!U15+[4]ROSA!U15+'[4]STA ANA'!U15+[4]BOA!U15+'[4]STA MARIA'!U15+'[4]CB I'!U15+'[4]CB II'!U15+'[4]CB III'!U15+[4]IG!U15+[4]PN!U15+[4]MJ!U15+'[4]RB I'!U15+'[4]SF I'!U15</f>
        <v>12713.167541547873</v>
      </c>
      <c r="V15" s="226">
        <f>+[4]SLP!V15+[4]ROSA!V15+'[4]STA ANA'!V15+[4]BOA!V15+'[4]STA MARIA'!V15+'[4]CB I'!V15+'[4]CB II'!V15+'[4]CB III'!V15+[4]IG!V15+[4]PN!V15+[4]MJ!V15+'[4]RB I'!V15+'[4]SF I'!V15</f>
        <v>79893.839766085628</v>
      </c>
      <c r="W15" s="226">
        <f>+[4]SLP!W15+[4]ROSA!W15+'[4]STA ANA'!W15+[4]BOA!W15+'[4]STA MARIA'!W15+'[4]CB I'!W15+'[4]CB II'!W15+'[4]CB III'!W15+[4]IG!W15+[4]PN!W15+[4]MJ!W15+'[4]RB I'!W15+'[4]SF I'!W15</f>
        <v>8938.5162272410962</v>
      </c>
      <c r="X15" s="166">
        <f>[4]SLP!X15+[4]ROSA!X15+'[4]STA ANA'!X15+[4]BOA!X15+'[4]STA MARIA'!X15+'[4]CB I'!X15+'[4]CB II'!X15+'[4]CB III'!X15+[4]IG!X15+[4]PN!X15+[4]MJ!X15+'[4]RB I'!X15+'[4]SF I'!X15</f>
        <v>88832.355993326739</v>
      </c>
      <c r="Y15" s="224">
        <f t="shared" si="4"/>
        <v>-0.14124497172711592</v>
      </c>
      <c r="Z15" s="225">
        <f>+[4]SLP!Z15+[4]ROSA!Z15+'[4]STA ANA'!Z15+[4]BOA!Z15+'[4]STA MARIA'!Z15+'[4]CB I'!Z15+'[4]CB II'!Z15+'[4]CB III'!Z15+[4]IG!Z15+[4]PN!Z15+[4]MJ!Z15+'[4]RB I'!Z15+'[4]SF I'!Z15</f>
        <v>103443.18585474267</v>
      </c>
      <c r="AA15" s="226">
        <f>+[4]SLP!AA15+[4]ROSA!AA15+'[4]STA ANA'!AA15+[4]BOA!AA15+'[4]STA MARIA'!AA15+'[4]CB I'!AA15+'[4]CB II'!AA15+'[4]CB III'!AA15+[4]IG!AA15+[4]PN!AA15+[4]MJ!AA15+'[4]RB I'!AA15+'[4]SF I'!AA15</f>
        <v>90730.0183131948</v>
      </c>
      <c r="AB15" s="226">
        <f>+[4]SLP!AB15+[4]ROSA!AB15+'[4]STA ANA'!AB15+[4]BOA!AB15+'[4]STA MARIA'!AB15+'[4]CB I'!AB15+'[4]CB II'!AB15+'[4]CB III'!AB15+[4]IG!AB15+[4]PN!AB15+[4]MJ!AB15+'[4]RB I'!AB15+'[4]SF I'!AB15</f>
        <v>12713.167541547873</v>
      </c>
      <c r="AC15" s="226">
        <f>+[4]SLP!AC15+[4]ROSA!AC15+'[4]STA ANA'!AC15+[4]BOA!AC15+'[4]STA MARIA'!AC15+'[4]CB I'!AC15+'[4]CB II'!AC15+'[4]CB III'!AC15+[4]IG!AC15+[4]PN!AC15+[4]MJ!AC15+'[4]RB I'!AC15+'[4]SF I'!AC15</f>
        <v>123431.26665600584</v>
      </c>
      <c r="AD15" s="226">
        <f>+[4]SLP!AD15+[4]ROSA!AD15+'[4]STA ANA'!AD15+[4]BOA!AD15+'[4]STA MARIA'!AD15+'[4]CB I'!AD15+'[4]CB II'!AD15+'[4]CB III'!AD15+[4]IG!AD15+[4]PN!AD15+[4]MJ!AD15+'[4]RB I'!AD15+'[4]SF I'!AD15</f>
        <v>13234.168847962073</v>
      </c>
      <c r="AE15" s="166">
        <f>+[4]SLP!AE15+[4]ROSA!AE15+'[4]STA ANA'!AE15+[4]BOA!AE15+'[4]STA MARIA'!AE15+'[4]CB I'!AE15+'[4]CB II'!AE15+'[4]CB III'!AE15+[4]IG!AE15+[4]PN!AE15+[4]MJ!AE15+'[4]RB I'!AE15+'[4]SF I'!AE15</f>
        <v>136665.43550396789</v>
      </c>
      <c r="AF15" s="224">
        <f t="shared" si="5"/>
        <v>0.32116421564854636</v>
      </c>
      <c r="AG15" s="225">
        <f>+[4]SLP!AG15+[4]ROSA!AG15+'[4]STA ANA'!AG15+[4]BOA!AG15+'[4]STA MARIA'!AG15+'[4]CB I'!AG15+'[4]CB II'!AG15+'[4]CB III'!AG15+[4]IG!AG15+[4]PN!AG15+[4]MJ!AG15+'[4]RB I'!AG15+'[4]SF I'!AG15</f>
        <v>103443.18585474267</v>
      </c>
      <c r="AH15" s="226">
        <f>+[4]SLP!AH15+[4]ROSA!AH15+'[4]STA ANA'!AH15+[4]BOA!AH15+'[4]STA MARIA'!AH15+'[4]CB I'!AH15+'[4]CB II'!AH15+'[4]CB III'!AH15+[4]IG!AH15+[4]PN!AH15+[4]MJ!AH15+'[4]RB I'!AH15+'[4]SF I'!AH15</f>
        <v>90730.0183131948</v>
      </c>
      <c r="AI15" s="226">
        <f>+[4]SLP!AI15+[4]ROSA!AI15+'[4]STA ANA'!AI15+[4]BOA!AI15+'[4]STA MARIA'!AI15+'[4]CB I'!AI15+'[4]CB II'!AI15+'[4]CB III'!AI15+[4]IG!AI15+[4]PN!AI15+[4]MJ!AI15+'[4]RB I'!AI15+'[4]SF I'!AI15</f>
        <v>12713.167541547873</v>
      </c>
      <c r="AJ15" s="226">
        <f>+[4]SLP!AJ15+[4]ROSA!AJ15+'[4]STA ANA'!AJ15+[4]BOA!AJ15+'[4]STA MARIA'!AJ15+'[4]CB I'!AJ15+'[4]CB II'!AJ15+'[4]CB III'!AJ15+[4]IG!AJ15+[4]PN!AJ15+[4]MJ!AJ15+'[4]RB I'!AJ15+'[4]SF I'!AJ15</f>
        <v>147248.6955930664</v>
      </c>
      <c r="AK15" s="226">
        <f>+[4]SLP!AK15+[4]ROSA!AK15+'[4]STA ANA'!AK15+[4]BOA!AK15+'[4]STA MARIA'!AK15+'[4]CB I'!AK15+'[4]CB II'!AK15+'[4]CB III'!AK15+[4]IG!AK15+[4]PN!AK15+[4]MJ!AK15+'[4]RB I'!AK15+'[4]SF I'!AK15</f>
        <v>15726.423752883584</v>
      </c>
      <c r="AL15" s="166">
        <f>+[4]SLP!AL15+[4]ROSA!AL15+'[4]STA ANA'!AL15+[4]BOA!AL15+'[4]STA MARIA'!AL15+'[4]CB I'!AL15+'[4]CB II'!AL15+'[4]CB III'!AL15+[4]IG!AL15+[4]PN!AL15+[4]MJ!AL15+'[4]RB I'!AL15+'[4]SF I'!AL15</f>
        <v>162975.11934595002</v>
      </c>
      <c r="AM15" s="224">
        <f t="shared" si="6"/>
        <v>0.57550367382152645</v>
      </c>
      <c r="AN15" s="225">
        <f>+[4]SLP!AN15+[4]ROSA!AN15+'[4]STA ANA'!AN15+[4]BOA!AN15+'[4]STA MARIA'!AN15+'[4]CB I'!AN15+'[4]CB II'!AN15+'[4]CB III'!AN15+[4]IG!AN15+[4]PN!AN15+[4]MJ!AN15+'[4]RB I'!AN15+'[4]SF I'!AN15</f>
        <v>103443.18585474267</v>
      </c>
      <c r="AO15" s="226">
        <f>+[4]SLP!AO15+[4]ROSA!AO15+'[4]STA ANA'!AO15+[4]BOA!AO15+'[4]STA MARIA'!AO15+'[4]CB I'!AO15+'[4]CB II'!AO15+'[4]CB III'!AO15+[4]IG!AO15+[4]PN!AO15+[4]MJ!AO15+'[4]RB I'!AO15+'[4]SF I'!AO15</f>
        <v>90730.0183131948</v>
      </c>
      <c r="AP15" s="226">
        <f>+[4]SLP!AP15+[4]ROSA!AP15+'[4]STA ANA'!AP15+[4]BOA!AP15+'[4]STA MARIA'!AP15+'[4]CB I'!AP15+'[4]CB II'!AP15+'[4]CB III'!AP15+[4]IG!AP15+[4]PN!AP15+[4]MJ!AP15+'[4]RB I'!AP15+'[4]SF I'!AP15</f>
        <v>12713.167541547873</v>
      </c>
      <c r="AQ15" s="226">
        <f>+[4]SLP!AQ15+[4]ROSA!AQ15+'[4]STA ANA'!AQ15+[4]BOA!AQ15+'[4]STA MARIA'!AQ15+'[4]CB I'!AQ15+'[4]CB II'!AQ15+'[4]CB III'!AQ15+[4]IG!AQ15+[4]PN!AQ15+[4]MJ!AQ15+'[4]RB I'!AQ15+'[4]SF I'!AQ15</f>
        <v>0</v>
      </c>
      <c r="AR15" s="226">
        <f>+[4]SLP!AR15+[4]ROSA!AR15+'[4]STA ANA'!AR15+[4]BOA!AR15+'[4]STA MARIA'!AR15+'[4]CB I'!AR15+'[4]CB II'!AR15+'[4]CB III'!AR15+[4]IG!AR15+[4]PN!AR15+[4]MJ!AR15+'[4]RB I'!AR15+'[4]SF I'!AR15</f>
        <v>0</v>
      </c>
      <c r="AS15" s="166">
        <f>+[4]SLP!AS15+[4]ROSA!AS15+'[4]STA ANA'!AS15+[4]BOA!AS15+'[4]STA MARIA'!AS15+'[4]CB I'!AS15+'[4]CB II'!AS15+'[4]CB III'!AS15+[4]IG!AS15+[4]PN!AS15+[4]MJ!AS15+'[4]RB I'!AS15+'[4]SÃO FRANCISCO'!AS15</f>
        <v>0</v>
      </c>
      <c r="AT15" s="224">
        <f t="shared" si="7"/>
        <v>-1</v>
      </c>
      <c r="AU15" s="225">
        <f>+[4]SLP!AU15+[4]ROSA!AU15+'[4]STA ANA'!AU15+[4]BOA!AU15+'[4]STA MARIA'!AU15+'[4]CB I'!AU15+'[4]CB II'!AU15+'[4]CB III'!AU15+[4]IG!AU15+[4]PN!AU15+[4]MJ!AU15+'[4]RB I'!AU15+'[4]SF I'!AU15</f>
        <v>103443.18585474267</v>
      </c>
      <c r="AV15" s="226">
        <f>+[4]SLP!AV15+[4]ROSA!AV15+'[4]STA ANA'!AV15+[4]BOA!AV15+'[4]STA MARIA'!AV15+'[4]CB I'!AV15+'[4]CB II'!AV15+'[4]CB III'!AV15+[4]IG!AV15+[4]PN!AV15+[4]MJ!AV15+'[4]RB I'!AV15+'[4]SF I'!AV15</f>
        <v>90730.0183131948</v>
      </c>
      <c r="AW15" s="226">
        <f>+[4]SLP!AW15+[4]ROSA!AW15+'[4]STA ANA'!AW15+[4]BOA!AW15+'[4]STA MARIA'!AW15+'[4]CB I'!AW15+'[4]CB II'!AW15+'[4]CB III'!AW15+[4]IG!AW15+[4]PN!AW15+[4]MJ!AW15+'[4]RB I'!AW15+'[4]SF I'!AW15</f>
        <v>12713.167541547873</v>
      </c>
      <c r="AX15" s="226">
        <f>+[4]SLP!AX15+[4]ROSA!AX15+'[4]STA ANA'!AX15+[4]BOA!AX15+'[4]STA MARIA'!AX15+'[4]CB I'!AX15+'[4]CB II'!AX15+'[4]CB III'!AX15+[4]IG!AX15+[4]PN!AX15+[4]MJ!AX15+'[4]RB I'!AX15+'[4]SF I'!AX15</f>
        <v>0</v>
      </c>
      <c r="AY15" s="226">
        <f>+[4]SLP!AY15+[4]ROSA!AY15+'[4]STA ANA'!AY15+[4]BOA!AY15+'[4]STA MARIA'!AY15+'[4]CB I'!AY15+'[4]CB II'!AY15+'[4]CB III'!AY15+[4]IG!AY15+[4]PN!AY15+[4]MJ!AY15+'[4]RB I'!AY15+'[4]SF I'!AY15</f>
        <v>0</v>
      </c>
      <c r="AZ15" s="166">
        <f>+[4]SLP!AZ15+[4]ROSA!AZ15+'[4]STA ANA'!AZ15+[4]BOA!AZ15+'[4]STA MARIA'!AZ15+'[4]CB I'!AZ15+'[4]CB II'!AZ15+[4]IG!AZ15+[4]PN!AZ15+[4]MJ!AZ15+'[4]RB I'!AZ15+'[4]SÃO FRANCISCO'!AZ15</f>
        <v>0</v>
      </c>
      <c r="BA15" s="224">
        <f t="shared" si="8"/>
        <v>-1</v>
      </c>
      <c r="BB15" s="225">
        <f>+[4]SLP!BB15+[4]ROSA!BB15+'[4]STA ANA'!BB15+[4]BOA!BB15+'[4]STA MARIA'!BB15+'[4]CB I'!BB15+'[4]CB II'!BB15+'[4]CB III'!BB15+[4]IG!BB15+[4]PN!BB15+[4]MJ!BB15+'[4]RB I'!BB15+'[4]SF I'!BB15</f>
        <v>111513.22163064456</v>
      </c>
      <c r="BC15" s="226">
        <f>+[4]SLP!BC15+[4]ROSA!BC15+'[4]STA ANA'!BC15+[4]BOA!BC15+'[4]STA MARIA'!BC15+'[4]CB I'!BC15+'[4]CB II'!BC15+'[4]CB III'!BC15+[4]IG!BC15+[4]PN!BC15+[4]MJ!BC15+'[4]RB I'!BC15+'[4]SF I'!BC15</f>
        <v>97808.246692238361</v>
      </c>
      <c r="BD15" s="226">
        <f>+[4]SLP!BD15+[4]ROSA!BD15+'[4]STA ANA'!BD15+[4]BOA!BD15+'[4]STA MARIA'!BD15+'[4]CB I'!BD15+'[4]CB II'!BD15+'[4]CB III'!BD15+[4]IG!BD15+[4]PN!BD15+[4]MJ!BD15+'[4]RB I'!BD15+'[4]SF I'!BD15</f>
        <v>13704.974938406218</v>
      </c>
      <c r="BE15" s="226">
        <f>+[4]SLP!BE15+[4]ROSA!BE15+'[4]STA ANA'!BE15+[4]BOA!BE15+'[4]STA MARIA'!BE15+'[4]CB I'!BE15+'[4]CB II'!BE15+'[4]CB III'!BE15+[4]IG!BE15+[4]PN!BE15+[4]MJ!BE15+'[4]RB I'!BE15+'[4]SF I'!BE15</f>
        <v>0</v>
      </c>
      <c r="BF15" s="226">
        <f>+[4]SLP!BF15+[4]ROSA!BF15+'[4]STA ANA'!BF15+[4]BOA!BF15+'[4]STA MARIA'!BF15+'[4]CB I'!BF15+'[4]CB II'!BF15+'[4]CB III'!BF15+[4]IG!BF15+[4]PN!BF15+[4]MJ!BF15+'[4]RB I'!BF15+'[4]SF I'!BF15</f>
        <v>0</v>
      </c>
      <c r="BG15" s="166">
        <f>+[4]SLP!BG15+[4]ROSA!BG15+'[4]STA ANA'!BG15+[4]BOA!BG15+'[4]STA MARIA'!BG15+'[4]CB I'!BG15+'[4]CB II'!BG15+'[4]CB III'!BG15+[4]IG!BG15+[4]PN!BG15+[4]MJ!BG15+'[4]RB I'!BG15+'[4]SÃO FRANCISCO'!BG15</f>
        <v>0</v>
      </c>
      <c r="BH15" s="224">
        <f t="shared" si="9"/>
        <v>-1</v>
      </c>
      <c r="BI15" s="225">
        <f>+[4]SLP!BI15+[4]ROSA!BI15+'[4]STA ANA'!BI15+[4]BOA!BI15+'[4]STA MARIA'!BI15+'[4]CB I'!BI15+'[4]CB II'!BI15+'[4]CB III'!BI15+[4]IG!BI15+[4]PN!BI15+[4]MJ!BI15+'[4]RB I'!BI15+'[4]SF I'!BI15</f>
        <v>103443.18585474267</v>
      </c>
      <c r="BJ15" s="226">
        <f>+[4]SLP!BJ15+[4]ROSA!BJ15+'[4]STA ANA'!BJ15+[4]BOA!BJ15+'[4]STA MARIA'!BJ15+'[4]CB I'!BJ15+'[4]CB II'!BJ15+'[4]CB III'!BJ15+[4]IG!BJ15+[4]PN!BJ15+[4]MJ!BJ15+'[4]RB I'!BJ15+'[4]SF I'!BJ15</f>
        <v>90730.0183131948</v>
      </c>
      <c r="BK15" s="226">
        <f>+[4]SLP!BK15+[4]ROSA!BK15+'[4]STA ANA'!BK15+[4]BOA!BK15+'[4]STA MARIA'!BK15+'[4]CB I'!BK15+'[4]CB II'!BK15+'[4]CB III'!BK15+[4]IG!BK15+[4]PN!BK15+[4]MJ!BK15+'[4]RB I'!BK15+'[4]SF I'!BK15</f>
        <v>12713.167541547873</v>
      </c>
      <c r="BL15" s="226">
        <f>+[4]SLP!BL15+[4]ROSA!BL15+'[4]STA ANA'!BL15+[4]BOA!BL15+'[4]STA MARIA'!BL15+'[4]CB I'!BL15+'[4]CB II'!BL15+'[4]CB III'!BL15+[4]IG!BL15+[4]PN!BL15+[4]MJ!BL15+'[4]RB I'!BL15+'[4]SF I'!BL15</f>
        <v>0</v>
      </c>
      <c r="BM15" s="226">
        <f>+[4]SLP!BM15+[4]ROSA!BM15+'[4]STA ANA'!BM15+[4]BOA!BM15+'[4]STA MARIA'!BM15+'[4]CB I'!BM15+'[4]CB II'!BM15+'[4]CB III'!BM15+[4]IG!BM15+[4]PN!BM15+[4]MJ!BM15+'[4]RB I'!BM15+'[4]SF I'!BM15</f>
        <v>0</v>
      </c>
      <c r="BN15" s="166">
        <f>+[4]SLP!BN15+[4]ROSA!BN15+'[4]STA ANA'!BN15+[4]BOA!BN15+'[4]STA MARIA'!BN15+'[4]CB I'!BN15+'[4]CB II'!BN15+'[4]CB III'!BN15+[4]IG!BN15+[4]PN!BN15+[4]MJ!BN15+'[4]RB I'!BN15+'[4]SÃO FRANCISCO'!BN15</f>
        <v>0</v>
      </c>
      <c r="BO15" s="224">
        <f t="shared" si="10"/>
        <v>-1</v>
      </c>
      <c r="BP15" s="225">
        <f>+[4]SLP!BP15+[4]ROSA!BP15+'[4]STA ANA'!BP15+[4]BOA!BP15+'[4]STA MARIA'!BP15+'[4]CB I'!BP15+'[4]CB II'!BP15+'[4]CB III'!BP15+[4]IG!BP15+[4]PN!BP15+[4]MJ!BP15+'[4]RB I'!BP15+'[4]SF I'!BP15</f>
        <v>103443.18585474267</v>
      </c>
      <c r="BQ15" s="226">
        <f>+[4]SLP!BQ15+[4]ROSA!BQ15+'[4]STA ANA'!BQ15+[4]BOA!BQ15+'[4]STA MARIA'!BQ15+'[4]CB I'!BQ15+'[4]CB II'!BQ15+'[4]CB III'!BQ15+[4]IG!BQ15+[4]PN!BQ15+[4]MJ!BQ15+'[4]RB I'!BQ15+'[4]SF I'!BQ15</f>
        <v>90730.0183131948</v>
      </c>
      <c r="BR15" s="226">
        <f>+[4]SLP!BR15+[4]ROSA!BR15+'[4]STA ANA'!BR15+[4]BOA!BR15+'[4]STA MARIA'!BR15+'[4]CB I'!BR15+'[4]CB II'!BR15+'[4]CB III'!BR15+[4]IG!BR15+[4]PN!BR15+[4]MJ!BR15+'[4]RB I'!BR15+'[4]SF I'!BR15</f>
        <v>12713.167541547873</v>
      </c>
      <c r="BS15" s="226">
        <f>+[4]SLP!BS15+[4]ROSA!BS15+'[4]STA ANA'!BS15+[4]BOA!BS15+'[4]STA MARIA'!BS15+'[4]CB I'!BS15+'[4]CB II'!BS15+'[4]CB III'!BS15+[4]IG!BS15+[4]PN!BS15+[4]MJ!BS15+'[4]RB I'!BS15+'[4]SF I'!BS15</f>
        <v>0</v>
      </c>
      <c r="BT15" s="226">
        <f>+[4]SLP!BT15+[4]ROSA!BT15+'[4]STA ANA'!BT15+[4]BOA!BT15+'[4]STA MARIA'!BT15+'[4]CB I'!BT15+'[4]CB II'!BT15+'[4]CB III'!BT15+[4]IG!BT15+[4]PN!BT15+[4]MJ!BT15+'[4]RB I'!BT15+'[4]SF I'!BT15</f>
        <v>0</v>
      </c>
      <c r="BU15" s="166">
        <f>+[4]SLP!BU15+[4]ROSA!BU15+'[4]STA ANA'!BU15+[4]BOA!BU15+'[4]STA MARIA'!BU15+'[4]CB I'!BU15+'[4]CB II'!BU15+'[4]CB III'!BU15+[4]IG!BU15+[4]PN!BU15+[4]MJ!BU15+'[4]RB I'!BU15+'[4]SÃO FRANCISCO'!BU15</f>
        <v>0</v>
      </c>
      <c r="BV15" s="224">
        <f t="shared" si="11"/>
        <v>-1</v>
      </c>
      <c r="BW15" s="225">
        <f>+[4]SLP!BW15+[4]ROSA!BW15+'[4]STA ANA'!BW15+[4]BOA!BW15+'[4]STA MARIA'!BW15+'[4]CB I'!BW15+'[4]CB II'!BW15+'[4]CB III'!BW15+[4]IG!BW15+[4]PN!BW15+[4]MJ!BW15+'[4]RB I'!BW15+'[4]SF I'!BW15</f>
        <v>103443.18585474267</v>
      </c>
      <c r="BX15" s="226">
        <f>+[4]SLP!BX15+[4]ROSA!BX15+'[4]STA ANA'!BX15+[4]BOA!BX15+'[4]STA MARIA'!BX15+'[4]CB I'!BX15+'[4]CB II'!BX15+'[4]CB III'!BX15+[4]IG!BX15+[4]PN!BX15+[4]MJ!BX15+'[4]RB I'!BX15+'[4]SF I'!BX15</f>
        <v>90730.0183131948</v>
      </c>
      <c r="BY15" s="226">
        <f>+[4]SLP!BY15+[4]ROSA!BY15+'[4]STA ANA'!BY15+[4]BOA!BY15+'[4]STA MARIA'!BY15+'[4]CB I'!BY15+'[4]CB II'!BY15+'[4]CB III'!BY15+[4]IG!BY15+[4]PN!BY15+[4]MJ!BY15+'[4]RB I'!BY15+'[4]SF I'!BY15</f>
        <v>12713.167541547873</v>
      </c>
      <c r="BZ15" s="226">
        <f>+[4]SLP!BZ15+[4]ROSA!BZ15+'[4]STA ANA'!BZ15+[4]BOA!BZ15+'[4]STA MARIA'!BZ15+'[4]CB I'!BZ15+'[4]CB II'!BZ15+'[4]CB III'!BZ15+[4]IG!BZ15+[4]PN!BZ15+[4]MJ!BZ15+'[4]RB I'!BZ15+'[4]SF I'!BZ15</f>
        <v>0</v>
      </c>
      <c r="CA15" s="226">
        <f>+[4]SLP!CA15+[4]ROSA!CA15+'[4]STA ANA'!CA15+[4]BOA!CA15+'[4]STA MARIA'!CA15+'[4]CB I'!CA15+'[4]CB II'!CA15+'[4]CB III'!CA15+[4]IG!CA15+[4]PN!CA15+[4]MJ!CA15+'[4]RB I'!CA15+'[4]SF I'!CA15</f>
        <v>0</v>
      </c>
      <c r="CB15" s="166">
        <f>+[4]SLP!CB15+[4]ROSA!CB15+'[4]STA ANA'!CB15+[4]BOA!CB15+'[4]STA MARIA'!CB15+'[4]CB I'!CB15+'[4]CB II'!CB15+'[4]CB III'!CB15+[4]IG!CB15+[4]PN!CB15+[4]MJ!CB15+'[4]RB I'!CB15+'[4]SÃO FRANCISCO'!CB15</f>
        <v>0</v>
      </c>
      <c r="CC15" s="224">
        <f t="shared" si="12"/>
        <v>-1</v>
      </c>
      <c r="CD15" s="225">
        <f>+[4]SLP!CD15+[4]ROSA!CD15+'[4]STA ANA'!CD15+[4]BOA!CD15+'[4]STA MARIA'!CD15+'[4]CB I'!CD15+'[4]CB II'!CD15+'[4]CB III'!CD15+[4]IG!CD15+[4]PN!CD15+[4]MJ!CD15+'[4]RB I'!CD15+'[4]SF I'!CD15</f>
        <v>103443.18585474267</v>
      </c>
      <c r="CE15" s="226">
        <f>+[4]SLP!CE15+[4]ROSA!CE15+'[4]STA ANA'!CE15+[4]BOA!CE15+'[4]STA MARIA'!CE15+'[4]CB I'!CE15+'[4]CB II'!CE15+'[4]CB III'!CE15+[4]IG!CE15+[4]PN!CE15+[4]MJ!CE15+'[4]RB I'!CE15+'[4]SF I'!CE15</f>
        <v>90730.0183131948</v>
      </c>
      <c r="CF15" s="226">
        <f>+[4]SLP!CF15+[4]ROSA!CF15+'[4]STA ANA'!CF15+[4]BOA!CF15+'[4]STA MARIA'!CF15+'[4]CB I'!CF15+'[4]CB II'!CF15+'[4]CB III'!CF15+[4]IG!CF15+[4]PN!CF15+[4]MJ!CF15+'[4]RB I'!CF15+'[4]SF I'!CF15</f>
        <v>12713.167541547873</v>
      </c>
      <c r="CG15" s="226">
        <f>+[4]SLP!CG15+[4]ROSA!CG15+'[4]STA ANA'!CG15+[4]BOA!CG15+'[4]STA MARIA'!CG15+'[4]CB I'!CG15+'[4]CB II'!CG15+'[4]CB III'!CG15+[4]IG!CG15+[4]PN!CG15+[4]MJ!CG15+'[4]RB I'!CG15+'[4]SF I'!CG15</f>
        <v>0</v>
      </c>
      <c r="CH15" s="226">
        <f>+[4]SLP!CH15+[4]ROSA!CH15+'[4]STA ANA'!CH15+[4]BOA!CH15+'[4]STA MARIA'!CH15+'[4]CB I'!CH15+'[4]CB II'!CH15+'[4]CB III'!CH15+[4]IG!CH15+[4]PN!CH15+[4]MJ!CH15+'[4]RB I'!CH15+'[4]SF I'!CH15</f>
        <v>0</v>
      </c>
      <c r="CI15" s="166">
        <f>+[4]SLP!CI15+[4]ROSA!CI15+'[4]STA ANA'!CI15+[4]BOA!CI15+'[4]STA MARIA'!CI15+'[4]CB I'!CI15+'[4]CB II'!CI15+'[4]CB III'!CI15+[4]IG!CI15+[4]PN!CI15+[4]MJ!CI15+'[4]RB I'!CI15+'[4]SÃO FRANCISCO'!CI15</f>
        <v>0</v>
      </c>
      <c r="CJ15" s="224">
        <f t="shared" si="13"/>
        <v>-1</v>
      </c>
      <c r="CK15" s="225">
        <f>+[4]SLP!CK15+[4]ROSA!CK15+'[4]STA ANA'!CK15+[4]BOA!CK15+'[4]STA MARIA'!CK15+'[4]CB I'!CK15+'[4]CB II'!CK15+'[4]CB III'!CK15+[4]IG!CK15+[4]PN!CK15+[4]MJ!CK15+'[4]RB I'!CK15+'[4]SF I'!CK15</f>
        <v>103443.18585474267</v>
      </c>
      <c r="CL15" s="226">
        <f>+[4]SLP!CL15+[4]ROSA!CL15+'[4]STA ANA'!CL15+[4]BOA!CL15+'[4]STA MARIA'!CL15+'[4]CB I'!CL15+'[4]CB II'!CL15+'[4]CB III'!CL15+[4]IG!CL15+[4]PN!CL15+[4]MJ!CL15+'[4]RB I'!CL15+'[4]SF I'!CL15</f>
        <v>90730.0183131948</v>
      </c>
      <c r="CM15" s="226">
        <f>+[4]SLP!CM15+[4]ROSA!CM15+'[4]STA ANA'!CM15+[4]BOA!CM15+'[4]STA MARIA'!CM15+'[4]CB I'!CM15+'[4]CB II'!CM15+'[4]CB III'!CM15+[4]IG!CM15+[4]PN!CM15+[4]MJ!CM15+'[4]RB I'!CM15+'[4]SF I'!CM15</f>
        <v>12713.167541547873</v>
      </c>
      <c r="CN15" s="226">
        <f>+[4]SLP!CN15+[4]ROSA!CN15+'[4]STA ANA'!CN15+[4]BOA!CN15+'[4]STA MARIA'!CN15+'[4]CB I'!CN15+'[4]CB II'!CN15+'[4]CB III'!CN15+[4]IG!CN15+[4]PN!CN15+[4]MJ!CN15+'[4]RB I'!CN15+'[4]SF I'!CN15</f>
        <v>0</v>
      </c>
      <c r="CO15" s="226">
        <f>+[4]SLP!CO15+[4]ROSA!CO15+'[4]STA ANA'!CO15+[4]BOA!CO15+'[4]STA MARIA'!CO15+'[4]CB I'!CO15+'[4]CB II'!CO15+'[4]CB III'!CO15+[4]IG!CO15+[4]PN!CO15+[4]MJ!CO15+'[4]RB I'!CO15+'[4]SF I'!CO15</f>
        <v>0</v>
      </c>
      <c r="CP15" s="166">
        <f>+[4]SLP!CP15+[4]ROSA!CP15+'[4]STA ANA'!CP15+[4]BOA!CP15+'[4]STA MARIA'!CP15+'[4]CB I'!CP15+'[4]CB II'!CP15+'[4]CB III'!CP15+[4]IG!CP15+[4]PN!CP15+[4]MJ!CP15+'[4]RB I'!CP15+'[4]SÃO FRANCISCO'!CP15</f>
        <v>0</v>
      </c>
      <c r="CQ15" s="224">
        <f t="shared" si="14"/>
        <v>-1</v>
      </c>
      <c r="CR15" s="155"/>
      <c r="CS15" s="227" t="e">
        <f t="shared" si="15"/>
        <v>#VALUE!</v>
      </c>
    </row>
    <row r="16" spans="1:101" ht="16" customHeight="1" x14ac:dyDescent="0.2">
      <c r="A16" s="223" t="s">
        <v>40</v>
      </c>
      <c r="B16" s="30">
        <f t="shared" si="0"/>
        <v>614622.49509935803</v>
      </c>
      <c r="C16" s="31">
        <f t="shared" si="0"/>
        <v>539085.39045164722</v>
      </c>
      <c r="D16" s="32">
        <f t="shared" si="0"/>
        <v>75537.104647711138</v>
      </c>
      <c r="E16" s="30">
        <f t="shared" si="16"/>
        <v>204874.16503311938</v>
      </c>
      <c r="F16" s="33">
        <f t="shared" si="16"/>
        <v>179695.13015054903</v>
      </c>
      <c r="G16" s="34">
        <f t="shared" si="16"/>
        <v>25179.034882570373</v>
      </c>
      <c r="H16" s="31">
        <f t="shared" si="1"/>
        <v>325315.03010812053</v>
      </c>
      <c r="I16" s="33">
        <f t="shared" si="1"/>
        <v>60196.956623927719</v>
      </c>
      <c r="J16" s="33">
        <f t="shared" si="1"/>
        <v>385511.98673204833</v>
      </c>
      <c r="K16" s="224">
        <f t="shared" si="2"/>
        <v>0.88170131978196253</v>
      </c>
      <c r="L16" s="225">
        <f>+[4]SLP!L16+[4]ROSA!L16+'[4]STA ANA'!L16+[4]BOA!L16+'[4]STA MARIA'!L16+'[4]CB I'!L16+'[4]CB II'!L16+'[4]CB III'!L16+[4]IG!L16+[4]PN!L16+[4]MJ!L16+'[4]RB I'!L16+'[4]SF I'!L16</f>
        <v>51218.541258279845</v>
      </c>
      <c r="M16" s="226">
        <f>+[4]SLP!M16+[4]ROSA!M16+'[4]STA ANA'!M16+[4]BOA!M16+'[4]STA MARIA'!M16+'[4]CB I'!M16+'[4]CB II'!M16+'[4]CB III'!M16+[4]IG!M16+[4]PN!M16+[4]MJ!M16+'[4]RB I'!M16+'[4]SF I'!M16</f>
        <v>44923.782537637257</v>
      </c>
      <c r="N16" s="226">
        <f>+[4]SLP!N16+[4]ROSA!N16+'[4]STA ANA'!N16+[4]BOA!N16+'[4]STA MARIA'!N16+'[4]CB I'!N16+'[4]CB II'!N16+'[4]CB III'!N16+[4]IG!N16+[4]PN!N16+[4]MJ!N16+'[4]RB I'!N16+'[4]SF I'!N16</f>
        <v>6294.7587206425933</v>
      </c>
      <c r="O16" s="226">
        <f>+[4]SLP!O16+[4]ROSA!O16+'[4]STA ANA'!O16+[4]BOA!O16+'[4]STA MARIA'!O16+'[4]CB I'!O16+'[4]CB II'!O16+'[4]CB III'!O16+[4]IG!O16+[4]PN!O16+[4]MJ!O16+'[4]RB I'!O16+'[4]SF I'!O16</f>
        <v>65422.401786220908</v>
      </c>
      <c r="P16" s="226">
        <f>+[4]SLP!P16+[4]ROSA!P16+'[4]STA ANA'!P16+[4]BOA!P16+'[4]STA MARIA'!P16+'[4]CB I'!P16+'[4]CB II'!P16+'[4]CB III'!P16+[4]IG!P16+[4]PN!P16+[4]MJ!P16+'[4]RB I'!P16+'[4]SF I'!P16</f>
        <v>11447.284675146177</v>
      </c>
      <c r="Q16" s="166">
        <f>+[4]SLP!Q16+[4]ROSA!Q16+'[4]STA ANA'!Q16+[4]BOA!Q16+'[4]STA MARIA'!Q16+'[4]CB I'!Q16+'[4]CB II'!Q16+'[4]CB III'!Q16+[4]IG!Q16+[4]PN!Q16+[4]MJ!Q16+'[4]RB I'!Q16+'[4]SF I'!Q16</f>
        <v>76869.686461367091</v>
      </c>
      <c r="R16" s="224">
        <f t="shared" si="3"/>
        <v>0.50081756670374822</v>
      </c>
      <c r="S16" s="225">
        <f>+[4]SLP!S16+[4]ROSA!S16+'[4]STA ANA'!S16+[4]BOA!S16+'[4]STA MARIA'!S16+'[4]CB I'!S16+'[4]CB II'!S16+'[4]CB III'!S16+[4]IG!S16+[4]PN!S16+[4]MJ!S16+'[4]RB I'!S16+'[4]SF I'!S16</f>
        <v>51218.541258279845</v>
      </c>
      <c r="T16" s="226">
        <f>+[4]SLP!T16+[4]ROSA!T16+'[4]STA ANA'!T16+[4]BOA!T16+'[4]STA MARIA'!T16+'[4]CB I'!T16+'[4]CB II'!T16+'[4]CB III'!T16+[4]IG!T16+[4]PN!T16+[4]MJ!T16+'[4]RB I'!T16+'[4]SF I'!T16</f>
        <v>44923.782537637257</v>
      </c>
      <c r="U16" s="226">
        <f>+[4]SLP!U16+[4]ROSA!U16+'[4]STA ANA'!U16+[4]BOA!U16+'[4]STA MARIA'!U16+'[4]CB I'!U16+'[4]CB II'!U16+'[4]CB III'!U16+[4]IG!U16+[4]PN!U16+[4]MJ!U16+'[4]RB I'!U16+'[4]SF I'!U16</f>
        <v>6294.7587206425933</v>
      </c>
      <c r="V16" s="226">
        <f>+[4]SLP!V16+[4]ROSA!V16+'[4]STA ANA'!V16+[4]BOA!V16+'[4]STA MARIA'!V16+'[4]CB I'!V16+'[4]CB II'!V16+'[4]CB III'!V16+[4]IG!V16+[4]PN!V16+[4]MJ!V16+'[4]RB I'!V16+'[4]SF I'!V16</f>
        <v>86539.131337534316</v>
      </c>
      <c r="W16" s="226">
        <f>+[4]SLP!W16+[4]ROSA!W16+'[4]STA ANA'!W16+[4]BOA!W16+'[4]STA MARIA'!W16+'[4]CB I'!W16+'[4]CB II'!W16+'[4]CB III'!W16+[4]IG!W16+[4]PN!W16+[4]MJ!W16+'[4]RB I'!W16+'[4]SF I'!W16</f>
        <v>14462.80056463708</v>
      </c>
      <c r="X16" s="166">
        <f>[4]SLP!X16+[4]ROSA!X16+'[4]STA ANA'!X16+[4]BOA!X16+'[4]STA MARIA'!X16+'[4]CB I'!X16+'[4]CB II'!X16+'[4]CB III'!X16+[4]IG!X16+[4]PN!X16+[4]MJ!X16+'[4]RB I'!X16+'[4]SF I'!X16</f>
        <v>101001.9319021714</v>
      </c>
      <c r="Y16" s="224">
        <f t="shared" si="4"/>
        <v>0.97197986160614658</v>
      </c>
      <c r="Z16" s="225">
        <f>+[4]SLP!Z16+[4]ROSA!Z16+'[4]STA ANA'!Z16+[4]BOA!Z16+'[4]STA MARIA'!Z16+'[4]CB I'!Z16+'[4]CB II'!Z16+'[4]CB III'!Z16+[4]IG!Z16+[4]PN!Z16+[4]MJ!Z16+'[4]RB I'!Z16+'[4]SF I'!Z16</f>
        <v>51218.541258279845</v>
      </c>
      <c r="AA16" s="226">
        <f>+[4]SLP!AA16+[4]ROSA!AA16+'[4]STA ANA'!AA16+[4]BOA!AA16+'[4]STA MARIA'!AA16+'[4]CB I'!AA16+'[4]CB II'!AA16+'[4]CB III'!AA16+[4]IG!AA16+[4]PN!AA16+[4]MJ!AA16+'[4]RB I'!AA16+'[4]SF I'!AA16</f>
        <v>44923.782537637257</v>
      </c>
      <c r="AB16" s="226">
        <f>+[4]SLP!AB16+[4]ROSA!AB16+'[4]STA ANA'!AB16+[4]BOA!AB16+'[4]STA MARIA'!AB16+'[4]CB I'!AB16+'[4]CB II'!AB16+'[4]CB III'!AB16+[4]IG!AB16+[4]PN!AB16+[4]MJ!AB16+'[4]RB I'!AB16+'[4]SF I'!AB16</f>
        <v>6294.7587206425933</v>
      </c>
      <c r="AC16" s="226">
        <f>+[4]SLP!AC16+[4]ROSA!AC16+'[4]STA ANA'!AC16+[4]BOA!AC16+'[4]STA MARIA'!AC16+'[4]CB I'!AC16+'[4]CB II'!AC16+'[4]CB III'!AC16+[4]IG!AC16+[4]PN!AC16+[4]MJ!AC16+'[4]RB I'!AC16+'[4]SF I'!AC16</f>
        <v>61959.722959853236</v>
      </c>
      <c r="AD16" s="226">
        <f>+[4]SLP!AD16+[4]ROSA!AD16+'[4]STA ANA'!AD16+[4]BOA!AD16+'[4]STA MARIA'!AD16+'[4]CB I'!AD16+'[4]CB II'!AD16+'[4]CB III'!AD16+[4]IG!AD16+[4]PN!AD16+[4]MJ!AD16+'[4]RB I'!AD16+'[4]SF I'!AD16</f>
        <v>7285.7034535092462</v>
      </c>
      <c r="AE16" s="166">
        <f>+[4]SLP!AE16+[4]ROSA!AE16+'[4]STA ANA'!AE16+[4]BOA!AE16+'[4]STA MARIA'!AE16+'[4]CB I'!AE16+'[4]CB II'!AE16+'[4]CB III'!AE16+[4]IG!AE16+[4]PN!AE16+[4]MJ!AE16+'[4]RB I'!AE16+'[4]SF I'!AE16</f>
        <v>69245.426413362497</v>
      </c>
      <c r="AF16" s="224">
        <f t="shared" si="5"/>
        <v>0.35196014396775643</v>
      </c>
      <c r="AG16" s="225">
        <f>+[4]SLP!AG16+[4]ROSA!AG16+'[4]STA ANA'!AG16+[4]BOA!AG16+'[4]STA MARIA'!AG16+'[4]CB I'!AG16+'[4]CB II'!AG16+'[4]CB III'!AG16+[4]IG!AG16+[4]PN!AG16+[4]MJ!AG16+'[4]RB I'!AG16+'[4]SF I'!AG16</f>
        <v>51218.541258279845</v>
      </c>
      <c r="AH16" s="226">
        <f>+[4]SLP!AH16+[4]ROSA!AH16+'[4]STA ANA'!AH16+[4]BOA!AH16+'[4]STA MARIA'!AH16+'[4]CB I'!AH16+'[4]CB II'!AH16+'[4]CB III'!AH16+[4]IG!AH16+[4]PN!AH16+[4]MJ!AH16+'[4]RB I'!AH16+'[4]SF I'!AH16</f>
        <v>44923.782537637257</v>
      </c>
      <c r="AI16" s="226">
        <f>+[4]SLP!AI16+[4]ROSA!AI16+'[4]STA ANA'!AI16+[4]BOA!AI16+'[4]STA MARIA'!AI16+'[4]CB I'!AI16+'[4]CB II'!AI16+'[4]CB III'!AI16+[4]IG!AI16+[4]PN!AI16+[4]MJ!AI16+'[4]RB I'!AI16+'[4]SF I'!AI16</f>
        <v>6294.7587206425933</v>
      </c>
      <c r="AJ16" s="226">
        <f>+[4]SLP!AJ16+[4]ROSA!AJ16+'[4]STA ANA'!AJ16+[4]BOA!AJ16+'[4]STA MARIA'!AJ16+'[4]CB I'!AJ16+'[4]CB II'!AJ16+'[4]CB III'!AJ16+[4]IG!AJ16+[4]PN!AJ16+[4]MJ!AJ16+'[4]RB I'!AJ16+'[4]SF I'!AJ16</f>
        <v>111393.77402451209</v>
      </c>
      <c r="AK16" s="226">
        <f>+[4]SLP!AK16+[4]ROSA!AK16+'[4]STA ANA'!AK16+[4]BOA!AK16+'[4]STA MARIA'!AK16+'[4]CB I'!AK16+'[4]CB II'!AK16+'[4]CB III'!AK16+[4]IG!AK16+[4]PN!AK16+[4]MJ!AK16+'[4]RB I'!AK16+'[4]SF I'!AK16</f>
        <v>27001.167930635213</v>
      </c>
      <c r="AL16" s="166">
        <f>+[4]SLP!AL16+[4]ROSA!AL16+'[4]STA ANA'!AL16+[4]BOA!AL16+'[4]STA MARIA'!AL16+'[4]CB I'!AL16+'[4]CB II'!AL16+'[4]CB III'!AL16+[4]IG!AL16+[4]PN!AL16+[4]MJ!AL16+'[4]RB I'!AL16+'[4]SF I'!AL16</f>
        <v>138394.94195514734</v>
      </c>
      <c r="AM16" s="224">
        <f t="shared" si="6"/>
        <v>1.7020477068501987</v>
      </c>
      <c r="AN16" s="225">
        <f>+[4]SLP!AN16+[4]ROSA!AN16+'[4]STA ANA'!AN16+[4]BOA!AN16+'[4]STA MARIA'!AN16+'[4]CB I'!AN16+'[4]CB II'!AN16+'[4]CB III'!AN16+[4]IG!AN16+[4]PN!AN16+[4]MJ!AN16+'[4]RB I'!AN16+'[4]SF I'!AN16</f>
        <v>51218.541258279845</v>
      </c>
      <c r="AO16" s="226">
        <f>+[4]SLP!AO16+[4]ROSA!AO16+'[4]STA ANA'!AO16+[4]BOA!AO16+'[4]STA MARIA'!AO16+'[4]CB I'!AO16+'[4]CB II'!AO16+'[4]CB III'!AO16+[4]IG!AO16+[4]PN!AO16+[4]MJ!AO16+'[4]RB I'!AO16+'[4]SF I'!AO16</f>
        <v>44923.782537637257</v>
      </c>
      <c r="AP16" s="226">
        <f>+[4]SLP!AP16+[4]ROSA!AP16+'[4]STA ANA'!AP16+[4]BOA!AP16+'[4]STA MARIA'!AP16+'[4]CB I'!AP16+'[4]CB II'!AP16+'[4]CB III'!AP16+[4]IG!AP16+[4]PN!AP16+[4]MJ!AP16+'[4]RB I'!AP16+'[4]SF I'!AP16</f>
        <v>6294.7587206425933</v>
      </c>
      <c r="AQ16" s="226">
        <f>+[4]SLP!AQ16+[4]ROSA!AQ16+'[4]STA ANA'!AQ16+[4]BOA!AQ16+'[4]STA MARIA'!AQ16+'[4]CB I'!AQ16+'[4]CB II'!AQ16+'[4]CB III'!AQ16+[4]IG!AQ16+[4]PN!AQ16+[4]MJ!AQ16+'[4]RB I'!AQ16+'[4]SF I'!AQ16</f>
        <v>0</v>
      </c>
      <c r="AR16" s="226">
        <f>+[4]SLP!AR16+[4]ROSA!AR16+'[4]STA ANA'!AR16+[4]BOA!AR16+'[4]STA MARIA'!AR16+'[4]CB I'!AR16+'[4]CB II'!AR16+'[4]CB III'!AR16+[4]IG!AR16+[4]PN!AR16+[4]MJ!AR16+'[4]RB I'!AR16+'[4]SF I'!AR16</f>
        <v>0</v>
      </c>
      <c r="AS16" s="166">
        <f>+[4]SLP!AS16+[4]ROSA!AS16+'[4]STA ANA'!AS16+[4]BOA!AS16+'[4]STA MARIA'!AS16+'[4]CB I'!AS16+'[4]CB II'!AS16+'[4]CB III'!AS16+[4]IG!AS16+[4]PN!AS16+[4]MJ!AS16+'[4]RB I'!AS16+'[4]SÃO FRANCISCO'!AS16</f>
        <v>0</v>
      </c>
      <c r="AT16" s="224">
        <f t="shared" si="7"/>
        <v>-1</v>
      </c>
      <c r="AU16" s="225">
        <f>+[4]SLP!AU16+[4]ROSA!AU16+'[4]STA ANA'!AU16+[4]BOA!AU16+'[4]STA MARIA'!AU16+'[4]CB I'!AU16+'[4]CB II'!AU16+'[4]CB III'!AU16+[4]IG!AU16+[4]PN!AU16+[4]MJ!AU16+'[4]RB I'!AU16+'[4]SF I'!AU16</f>
        <v>51218.541258279845</v>
      </c>
      <c r="AV16" s="226">
        <f>+[4]SLP!AV16+[4]ROSA!AV16+'[4]STA ANA'!AV16+[4]BOA!AV16+'[4]STA MARIA'!AV16+'[4]CB I'!AV16+'[4]CB II'!AV16+'[4]CB III'!AV16+[4]IG!AV16+[4]PN!AV16+[4]MJ!AV16+'[4]RB I'!AV16+'[4]SF I'!AV16</f>
        <v>44923.782537637257</v>
      </c>
      <c r="AW16" s="226">
        <f>+[4]SLP!AW16+[4]ROSA!AW16+'[4]STA ANA'!AW16+[4]BOA!AW16+'[4]STA MARIA'!AW16+'[4]CB I'!AW16+'[4]CB II'!AW16+'[4]CB III'!AW16+[4]IG!AW16+[4]PN!AW16+[4]MJ!AW16+'[4]RB I'!AW16+'[4]SF I'!AW16</f>
        <v>6294.7587206425933</v>
      </c>
      <c r="AX16" s="226">
        <f>+[4]SLP!AX16+[4]ROSA!AX16+'[4]STA ANA'!AX16+[4]BOA!AX16+'[4]STA MARIA'!AX16+'[4]CB I'!AX16+'[4]CB II'!AX16+'[4]CB III'!AX16+[4]IG!AX16+[4]PN!AX16+[4]MJ!AX16+'[4]RB I'!AX16+'[4]SF I'!AX16</f>
        <v>0</v>
      </c>
      <c r="AY16" s="226">
        <f>+[4]SLP!AY16+[4]ROSA!AY16+'[4]STA ANA'!AY16+[4]BOA!AY16+'[4]STA MARIA'!AY16+'[4]CB I'!AY16+'[4]CB II'!AY16+'[4]CB III'!AY16+[4]IG!AY16+[4]PN!AY16+[4]MJ!AY16+'[4]RB I'!AY16+'[4]SF I'!AY16</f>
        <v>0</v>
      </c>
      <c r="AZ16" s="166">
        <f>+[4]SLP!AZ16+[4]ROSA!AZ16+'[4]STA ANA'!AZ16+[4]BOA!AZ16+'[4]STA MARIA'!AZ16+'[4]CB I'!AZ16+'[4]CB II'!AZ16+[4]IG!AZ16+[4]PN!AZ16+[4]MJ!AZ16+'[4]RB I'!AZ16+'[4]SÃO FRANCISCO'!AZ16</f>
        <v>0</v>
      </c>
      <c r="BA16" s="224">
        <f t="shared" si="8"/>
        <v>-1</v>
      </c>
      <c r="BB16" s="225">
        <f>+[4]SLP!BB16+[4]ROSA!BB16+'[4]STA ANA'!BB16+[4]BOA!BB16+'[4]STA MARIA'!BB16+'[4]CB I'!BB16+'[4]CB II'!BB16+'[4]CB III'!BB16+[4]IG!BB16+[4]PN!BB16+[4]MJ!BB16+'[4]RB I'!BB16+'[4]SF I'!BB16</f>
        <v>51218.541258279845</v>
      </c>
      <c r="BC16" s="226">
        <f>+[4]SLP!BC16+[4]ROSA!BC16+'[4]STA ANA'!BC16+[4]BOA!BC16+'[4]STA MARIA'!BC16+'[4]CB I'!BC16+'[4]CB II'!BC16+'[4]CB III'!BC16+[4]IG!BC16+[4]PN!BC16+[4]MJ!BC16+'[4]RB I'!BC16+'[4]SF I'!BC16</f>
        <v>44923.782537637257</v>
      </c>
      <c r="BD16" s="226">
        <f>+[4]SLP!BD16+[4]ROSA!BD16+'[4]STA ANA'!BD16+[4]BOA!BD16+'[4]STA MARIA'!BD16+'[4]CB I'!BD16+'[4]CB II'!BD16+'[4]CB III'!BD16+[4]IG!BD16+[4]PN!BD16+[4]MJ!BD16+'[4]RB I'!BD16+'[4]SF I'!BD16</f>
        <v>6294.7587206425933</v>
      </c>
      <c r="BE16" s="226">
        <f>+[4]SLP!BE16+[4]ROSA!BE16+'[4]STA ANA'!BE16+[4]BOA!BE16+'[4]STA MARIA'!BE16+'[4]CB I'!BE16+'[4]CB II'!BE16+'[4]CB III'!BE16+[4]IG!BE16+[4]PN!BE16+[4]MJ!BE16+'[4]RB I'!BE16+'[4]SF I'!BE16</f>
        <v>0</v>
      </c>
      <c r="BF16" s="226">
        <f>+[4]SLP!BF16+[4]ROSA!BF16+'[4]STA ANA'!BF16+[4]BOA!BF16+'[4]STA MARIA'!BF16+'[4]CB I'!BF16+'[4]CB II'!BF16+'[4]CB III'!BF16+[4]IG!BF16+[4]PN!BF16+[4]MJ!BF16+'[4]RB I'!BF16+'[4]SF I'!BF16</f>
        <v>0</v>
      </c>
      <c r="BG16" s="166">
        <f>+[4]SLP!BG16+[4]ROSA!BG16+'[4]STA ANA'!BG16+[4]BOA!BG16+'[4]STA MARIA'!BG16+'[4]CB I'!BG16+'[4]CB II'!BG16+'[4]CB III'!BG16+[4]IG!BG16+[4]PN!BG16+[4]MJ!BG16+'[4]RB I'!BG16+'[4]SÃO FRANCISCO'!BG16</f>
        <v>0</v>
      </c>
      <c r="BH16" s="224">
        <f t="shared" si="9"/>
        <v>-1</v>
      </c>
      <c r="BI16" s="225">
        <f>+[4]SLP!BI16+[4]ROSA!BI16+'[4]STA ANA'!BI16+[4]BOA!BI16+'[4]STA MARIA'!BI16+'[4]CB I'!BI16+'[4]CB II'!BI16+'[4]CB III'!BI16+[4]IG!BI16+[4]PN!BI16+[4]MJ!BI16+'[4]RB I'!BI16+'[4]SF I'!BI16</f>
        <v>51218.541258279845</v>
      </c>
      <c r="BJ16" s="226">
        <f>+[4]SLP!BJ16+[4]ROSA!BJ16+'[4]STA ANA'!BJ16+[4]BOA!BJ16+'[4]STA MARIA'!BJ16+'[4]CB I'!BJ16+'[4]CB II'!BJ16+'[4]CB III'!BJ16+[4]IG!BJ16+[4]PN!BJ16+[4]MJ!BJ16+'[4]RB I'!BJ16+'[4]SF I'!BJ16</f>
        <v>44923.782537637257</v>
      </c>
      <c r="BK16" s="226">
        <f>+[4]SLP!BK16+[4]ROSA!BK16+'[4]STA ANA'!BK16+[4]BOA!BK16+'[4]STA MARIA'!BK16+'[4]CB I'!BK16+'[4]CB II'!BK16+'[4]CB III'!BK16+[4]IG!BK16+[4]PN!BK16+[4]MJ!BK16+'[4]RB I'!BK16+'[4]SF I'!BK16</f>
        <v>6294.7587206425933</v>
      </c>
      <c r="BL16" s="226">
        <f>+[4]SLP!BL16+[4]ROSA!BL16+'[4]STA ANA'!BL16+[4]BOA!BL16+'[4]STA MARIA'!BL16+'[4]CB I'!BL16+'[4]CB II'!BL16+'[4]CB III'!BL16+[4]IG!BL16+[4]PN!BL16+[4]MJ!BL16+'[4]RB I'!BL16+'[4]SF I'!BL16</f>
        <v>0</v>
      </c>
      <c r="BM16" s="226">
        <f>+[4]SLP!BM16+[4]ROSA!BM16+'[4]STA ANA'!BM16+[4]BOA!BM16+'[4]STA MARIA'!BM16+'[4]CB I'!BM16+'[4]CB II'!BM16+'[4]CB III'!BM16+[4]IG!BM16+[4]PN!BM16+[4]MJ!BM16+'[4]RB I'!BM16+'[4]SF I'!BM16</f>
        <v>0</v>
      </c>
      <c r="BN16" s="166">
        <f>+[4]SLP!BN16+[4]ROSA!BN16+'[4]STA ANA'!BN16+[4]BOA!BN16+'[4]STA MARIA'!BN16+'[4]CB I'!BN16+'[4]CB II'!BN16+'[4]CB III'!BN16+[4]IG!BN16+[4]PN!BN16+[4]MJ!BN16+'[4]RB I'!BN16+'[4]SÃO FRANCISCO'!BN16</f>
        <v>0</v>
      </c>
      <c r="BO16" s="224">
        <f t="shared" si="10"/>
        <v>-1</v>
      </c>
      <c r="BP16" s="225">
        <f>+[4]SLP!BP16+[4]ROSA!BP16+'[4]STA ANA'!BP16+[4]BOA!BP16+'[4]STA MARIA'!BP16+'[4]CB I'!BP16+'[4]CB II'!BP16+'[4]CB III'!BP16+[4]IG!BP16+[4]PN!BP16+[4]MJ!BP16+'[4]RB I'!BP16+'[4]SF I'!BP16</f>
        <v>51218.541258279845</v>
      </c>
      <c r="BQ16" s="226">
        <f>+[4]SLP!BQ16+[4]ROSA!BQ16+'[4]STA ANA'!BQ16+[4]BOA!BQ16+'[4]STA MARIA'!BQ16+'[4]CB I'!BQ16+'[4]CB II'!BQ16+'[4]CB III'!BQ16+[4]IG!BQ16+[4]PN!BQ16+[4]MJ!BQ16+'[4]RB I'!BQ16+'[4]SF I'!BQ16</f>
        <v>44923.782537637257</v>
      </c>
      <c r="BR16" s="226">
        <f>+[4]SLP!BR16+[4]ROSA!BR16+'[4]STA ANA'!BR16+[4]BOA!BR16+'[4]STA MARIA'!BR16+'[4]CB I'!BR16+'[4]CB II'!BR16+'[4]CB III'!BR16+[4]IG!BR16+[4]PN!BR16+[4]MJ!BR16+'[4]RB I'!BR16+'[4]SF I'!BR16</f>
        <v>6294.7587206425933</v>
      </c>
      <c r="BS16" s="226">
        <f>+[4]SLP!BS16+[4]ROSA!BS16+'[4]STA ANA'!BS16+[4]BOA!BS16+'[4]STA MARIA'!BS16+'[4]CB I'!BS16+'[4]CB II'!BS16+'[4]CB III'!BS16+[4]IG!BS16+[4]PN!BS16+[4]MJ!BS16+'[4]RB I'!BS16+'[4]SF I'!BS16</f>
        <v>0</v>
      </c>
      <c r="BT16" s="226">
        <f>+[4]SLP!BT16+[4]ROSA!BT16+'[4]STA ANA'!BT16+[4]BOA!BT16+'[4]STA MARIA'!BT16+'[4]CB I'!BT16+'[4]CB II'!BT16+'[4]CB III'!BT16+[4]IG!BT16+[4]PN!BT16+[4]MJ!BT16+'[4]RB I'!BT16+'[4]SF I'!BT16</f>
        <v>0</v>
      </c>
      <c r="BU16" s="166">
        <f>+[4]SLP!BU16+[4]ROSA!BU16+'[4]STA ANA'!BU16+[4]BOA!BU16+'[4]STA MARIA'!BU16+'[4]CB I'!BU16+'[4]CB II'!BU16+'[4]CB III'!BU16+[4]IG!BU16+[4]PN!BU16+[4]MJ!BU16+'[4]RB I'!BU16+'[4]SÃO FRANCISCO'!BU16</f>
        <v>0</v>
      </c>
      <c r="BV16" s="224">
        <f t="shared" si="11"/>
        <v>-1</v>
      </c>
      <c r="BW16" s="225">
        <f>+[4]SLP!BW16+[4]ROSA!BW16+'[4]STA ANA'!BW16+[4]BOA!BW16+'[4]STA MARIA'!BW16+'[4]CB I'!BW16+'[4]CB II'!BW16+'[4]CB III'!BW16+[4]IG!BW16+[4]PN!BW16+[4]MJ!BW16+'[4]RB I'!BW16+'[4]SF I'!BW16</f>
        <v>51218.541258279845</v>
      </c>
      <c r="BX16" s="226">
        <f>+[4]SLP!BX16+[4]ROSA!BX16+'[4]STA ANA'!BX16+[4]BOA!BX16+'[4]STA MARIA'!BX16+'[4]CB I'!BX16+'[4]CB II'!BX16+'[4]CB III'!BX16+[4]IG!BX16+[4]PN!BX16+[4]MJ!BX16+'[4]RB I'!BX16+'[4]SF I'!BX16</f>
        <v>44923.782537637257</v>
      </c>
      <c r="BY16" s="226">
        <f>+[4]SLP!BY16+[4]ROSA!BY16+'[4]STA ANA'!BY16+[4]BOA!BY16+'[4]STA MARIA'!BY16+'[4]CB I'!BY16+'[4]CB II'!BY16+'[4]CB III'!BY16+[4]IG!BY16+[4]PN!BY16+[4]MJ!BY16+'[4]RB I'!BY16+'[4]SF I'!BY16</f>
        <v>6294.7587206425933</v>
      </c>
      <c r="BZ16" s="226">
        <f>+[4]SLP!BZ16+[4]ROSA!BZ16+'[4]STA ANA'!BZ16+[4]BOA!BZ16+'[4]STA MARIA'!BZ16+'[4]CB I'!BZ16+'[4]CB II'!BZ16+'[4]CB III'!BZ16+[4]IG!BZ16+[4]PN!BZ16+[4]MJ!BZ16+'[4]RB I'!BZ16+'[4]SF I'!BZ16</f>
        <v>0</v>
      </c>
      <c r="CA16" s="226">
        <f>+[4]SLP!CA16+[4]ROSA!CA16+'[4]STA ANA'!CA16+[4]BOA!CA16+'[4]STA MARIA'!CA16+'[4]CB I'!CA16+'[4]CB II'!CA16+'[4]CB III'!CA16+[4]IG!CA16+[4]PN!CA16+[4]MJ!CA16+'[4]RB I'!CA16+'[4]SF I'!CA16</f>
        <v>0</v>
      </c>
      <c r="CB16" s="166">
        <f>+[4]SLP!CB16+[4]ROSA!CB16+'[4]STA ANA'!CB16+[4]BOA!CB16+'[4]STA MARIA'!CB16+'[4]CB I'!CB16+'[4]CB II'!CB16+'[4]CB III'!CB16+[4]IG!CB16+[4]PN!CB16+[4]MJ!CB16+'[4]RB I'!CB16+'[4]SÃO FRANCISCO'!CB16</f>
        <v>0</v>
      </c>
      <c r="CC16" s="224">
        <f t="shared" si="12"/>
        <v>-1</v>
      </c>
      <c r="CD16" s="225">
        <f>+[4]SLP!CD16+[4]ROSA!CD16+'[4]STA ANA'!CD16+[4]BOA!CD16+'[4]STA MARIA'!CD16+'[4]CB I'!CD16+'[4]CB II'!CD16+'[4]CB III'!CD16+[4]IG!CD16+[4]PN!CD16+[4]MJ!CD16+'[4]RB I'!CD16+'[4]SF I'!CD16</f>
        <v>51218.541258279845</v>
      </c>
      <c r="CE16" s="226">
        <f>+[4]SLP!CE16+[4]ROSA!CE16+'[4]STA ANA'!CE16+[4]BOA!CE16+'[4]STA MARIA'!CE16+'[4]CB I'!CE16+'[4]CB II'!CE16+'[4]CB III'!CE16+[4]IG!CE16+[4]PN!CE16+[4]MJ!CE16+'[4]RB I'!CE16+'[4]SF I'!CE16</f>
        <v>44923.782537637257</v>
      </c>
      <c r="CF16" s="226">
        <f>+[4]SLP!CF16+[4]ROSA!CF16+'[4]STA ANA'!CF16+[4]BOA!CF16+'[4]STA MARIA'!CF16+'[4]CB I'!CF16+'[4]CB II'!CF16+'[4]CB III'!CF16+[4]IG!CF16+[4]PN!CF16+[4]MJ!CF16+'[4]RB I'!CF16+'[4]SF I'!CF16</f>
        <v>6294.7587206425933</v>
      </c>
      <c r="CG16" s="226">
        <f>+[4]SLP!CG16+[4]ROSA!CG16+'[4]STA ANA'!CG16+[4]BOA!CG16+'[4]STA MARIA'!CG16+'[4]CB I'!CG16+'[4]CB II'!CG16+'[4]CB III'!CG16+[4]IG!CG16+[4]PN!CG16+[4]MJ!CG16+'[4]RB I'!CG16+'[4]SF I'!CG16</f>
        <v>0</v>
      </c>
      <c r="CH16" s="226">
        <f>+[4]SLP!CH16+[4]ROSA!CH16+'[4]STA ANA'!CH16+[4]BOA!CH16+'[4]STA MARIA'!CH16+'[4]CB I'!CH16+'[4]CB II'!CH16+'[4]CB III'!CH16+[4]IG!CH16+[4]PN!CH16+[4]MJ!CH16+'[4]RB I'!CH16+'[4]SF I'!CH16</f>
        <v>0</v>
      </c>
      <c r="CI16" s="166">
        <f>+[4]SLP!CI16+[4]ROSA!CI16+'[4]STA ANA'!CI16+[4]BOA!CI16+'[4]STA MARIA'!CI16+'[4]CB I'!CI16+'[4]CB II'!CI16+'[4]CB III'!CI16+[4]IG!CI16+[4]PN!CI16+[4]MJ!CI16+'[4]RB I'!CI16+'[4]SÃO FRANCISCO'!CI16</f>
        <v>0</v>
      </c>
      <c r="CJ16" s="224">
        <f t="shared" si="13"/>
        <v>-1</v>
      </c>
      <c r="CK16" s="225">
        <f>+[4]SLP!CK16+[4]ROSA!CK16+'[4]STA ANA'!CK16+[4]BOA!CK16+'[4]STA MARIA'!CK16+'[4]CB I'!CK16+'[4]CB II'!CK16+'[4]CB III'!CK16+[4]IG!CK16+[4]PN!CK16+[4]MJ!CK16+'[4]RB I'!CK16+'[4]SF I'!CK16</f>
        <v>51218.541258279845</v>
      </c>
      <c r="CL16" s="226">
        <f>+[4]SLP!CL16+[4]ROSA!CL16+'[4]STA ANA'!CL16+[4]BOA!CL16+'[4]STA MARIA'!CL16+'[4]CB I'!CL16+'[4]CB II'!CL16+'[4]CB III'!CL16+[4]IG!CL16+[4]PN!CL16+[4]MJ!CL16+'[4]RB I'!CL16+'[4]SF I'!CL16</f>
        <v>44923.782537637257</v>
      </c>
      <c r="CM16" s="226">
        <f>+[4]SLP!CM16+[4]ROSA!CM16+'[4]STA ANA'!CM16+[4]BOA!CM16+'[4]STA MARIA'!CM16+'[4]CB I'!CM16+'[4]CB II'!CM16+'[4]CB III'!CM16+[4]IG!CM16+[4]PN!CM16+[4]MJ!CM16+'[4]RB I'!CM16+'[4]SF I'!CM16</f>
        <v>6294.7587206425933</v>
      </c>
      <c r="CN16" s="226">
        <f>+[4]SLP!CN16+[4]ROSA!CN16+'[4]STA ANA'!CN16+[4]BOA!CN16+'[4]STA MARIA'!CN16+'[4]CB I'!CN16+'[4]CB II'!CN16+'[4]CB III'!CN16+[4]IG!CN16+[4]PN!CN16+[4]MJ!CN16+'[4]RB I'!CN16+'[4]SF I'!CN16</f>
        <v>0</v>
      </c>
      <c r="CO16" s="226">
        <f>+[4]SLP!CO16+[4]ROSA!CO16+'[4]STA ANA'!CO16+[4]BOA!CO16+'[4]STA MARIA'!CO16+'[4]CB I'!CO16+'[4]CB II'!CO16+'[4]CB III'!CO16+[4]IG!CO16+[4]PN!CO16+[4]MJ!CO16+'[4]RB I'!CO16+'[4]SF I'!CO16</f>
        <v>0</v>
      </c>
      <c r="CP16" s="166">
        <f>+[4]SLP!CP16+[4]ROSA!CP16+'[4]STA ANA'!CP16+[4]BOA!CP16+'[4]STA MARIA'!CP16+'[4]CB I'!CP16+'[4]CB II'!CP16+'[4]CB III'!CP16+[4]IG!CP16+[4]PN!CP16+[4]MJ!CP16+'[4]RB I'!CP16+'[4]SÃO FRANCISCO'!CP16</f>
        <v>0</v>
      </c>
      <c r="CQ16" s="224">
        <f t="shared" si="14"/>
        <v>-1</v>
      </c>
      <c r="CR16" s="155"/>
      <c r="CS16" s="227" t="e">
        <f t="shared" si="15"/>
        <v>#VALUE!</v>
      </c>
    </row>
    <row r="17" spans="1:97" ht="16" customHeight="1" x14ac:dyDescent="0.2">
      <c r="A17" s="228" t="s">
        <v>41</v>
      </c>
      <c r="B17" s="30">
        <f t="shared" si="0"/>
        <v>6049506.100368374</v>
      </c>
      <c r="C17" s="31">
        <f t="shared" si="0"/>
        <v>5306021.8006331017</v>
      </c>
      <c r="D17" s="32">
        <f t="shared" si="0"/>
        <v>743484.29973527335</v>
      </c>
      <c r="E17" s="30">
        <f t="shared" si="16"/>
        <v>2016502.0334561251</v>
      </c>
      <c r="F17" s="33">
        <f t="shared" si="16"/>
        <v>1768673.9335443671</v>
      </c>
      <c r="G17" s="34">
        <f t="shared" si="16"/>
        <v>247828.09991175777</v>
      </c>
      <c r="H17" s="31">
        <f t="shared" si="1"/>
        <v>2073194.5911679754</v>
      </c>
      <c r="I17" s="33">
        <f t="shared" si="1"/>
        <v>210497.85809584073</v>
      </c>
      <c r="J17" s="33">
        <f t="shared" si="1"/>
        <v>2283692.4492638162</v>
      </c>
      <c r="K17" s="224">
        <f t="shared" si="2"/>
        <v>0.13250193224439655</v>
      </c>
      <c r="L17" s="225">
        <f>+[4]SLP!L17+[4]ROSA!L17+'[4]STA ANA'!L17+[4]BOA!L17+'[4]STA MARIA'!L17+'[4]CB I'!L17+'[4]CB II'!L17+'[4]CB III'!L17+[4]IG!L17+[4]PN!L17+[4]MJ!L17+'[4]RB I'!L17+'[4]SF I'!L17</f>
        <v>504125.50836403127</v>
      </c>
      <c r="M17" s="226">
        <f>+[4]SLP!M17+[4]ROSA!M17+'[4]STA ANA'!M17+[4]BOA!M17+'[4]STA MARIA'!M17+'[4]CB I'!M17+'[4]CB II'!M17+'[4]CB III'!M17+[4]IG!M17+[4]PN!M17+[4]MJ!M17+'[4]RB I'!M17+'[4]SF I'!M17</f>
        <v>442168.48338609177</v>
      </c>
      <c r="N17" s="226">
        <f>+[4]SLP!N17+[4]ROSA!N17+'[4]STA ANA'!N17+[4]BOA!N17+'[4]STA MARIA'!N17+'[4]CB I'!N17+'[4]CB II'!N17+'[4]CB III'!N17+[4]IG!N17+[4]PN!N17+[4]MJ!N17+'[4]RB I'!N17+'[4]SF I'!N17</f>
        <v>61957.024977939443</v>
      </c>
      <c r="O17" s="226">
        <f>+[4]SLP!O17+[4]ROSA!O17+'[4]STA ANA'!O17+[4]BOA!O17+'[4]STA MARIA'!O17+'[4]CB I'!O17+'[4]CB II'!O17+'[4]CB III'!O17+[4]IG!O17+[4]PN!O17+[4]MJ!O17+'[4]RB I'!O17+'[4]SF I'!O17</f>
        <v>442549.42115209601</v>
      </c>
      <c r="P17" s="226">
        <f>+[4]SLP!P17+[4]ROSA!P17+'[4]STA ANA'!P17+[4]BOA!P17+'[4]STA MARIA'!P17+'[4]CB I'!P17+'[4]CB II'!P17+'[4]CB III'!P17+[4]IG!P17+[4]PN!P17+[4]MJ!P17+'[4]RB I'!P17+'[4]SF I'!P17</f>
        <v>46707.450169660973</v>
      </c>
      <c r="Q17" s="166">
        <f>+[4]SLP!Q17+[4]ROSA!Q17+'[4]STA ANA'!Q17+[4]BOA!Q17+'[4]STA MARIA'!Q17+'[4]CB I'!Q17+'[4]CB II'!Q17+'[4]CB III'!Q17+[4]IG!Q17+[4]PN!Q17+[4]MJ!Q17+'[4]RB I'!Q17+'[4]SF I'!Q17</f>
        <v>489256.87132175697</v>
      </c>
      <c r="R17" s="224">
        <f t="shared" si="3"/>
        <v>-2.949391926333067E-2</v>
      </c>
      <c r="S17" s="225">
        <f>+[4]SLP!S17+[4]ROSA!S17+'[4]STA ANA'!S17+[4]BOA!S17+'[4]STA MARIA'!S17+'[4]CB I'!S17+'[4]CB II'!S17+'[4]CB III'!S17+[4]IG!S17+[4]PN!S17+[4]MJ!S17+'[4]RB I'!S17+'[4]SF I'!S17</f>
        <v>504125.50836403127</v>
      </c>
      <c r="T17" s="226">
        <f>+[4]SLP!T17+[4]ROSA!T17+'[4]STA ANA'!T17+[4]BOA!T17+'[4]STA MARIA'!T17+'[4]CB I'!T17+'[4]CB II'!T17+'[4]CB III'!T17+[4]IG!T17+[4]PN!T17+[4]MJ!T17+'[4]RB I'!T17+'[4]SF I'!T17</f>
        <v>442168.48338609177</v>
      </c>
      <c r="U17" s="226">
        <f>+[4]SLP!U17+[4]ROSA!U17+'[4]STA ANA'!U17+[4]BOA!U17+'[4]STA MARIA'!U17+'[4]CB I'!U17+'[4]CB II'!U17+'[4]CB III'!U17+[4]IG!U17+[4]PN!U17+[4]MJ!U17+'[4]RB I'!U17+'[4]SF I'!U17</f>
        <v>61957.024977939443</v>
      </c>
      <c r="V17" s="226">
        <f>+[4]SLP!V17+[4]ROSA!V17+'[4]STA ANA'!V17+[4]BOA!V17+'[4]STA MARIA'!V17+'[4]CB I'!V17+'[4]CB II'!V17+'[4]CB III'!V17+[4]IG!V17+[4]PN!V17+[4]MJ!V17+'[4]RB I'!V17+'[4]SF I'!V17</f>
        <v>452390.02758412872</v>
      </c>
      <c r="W17" s="226">
        <f>+[4]SLP!W17+[4]ROSA!W17+'[4]STA ANA'!W17+[4]BOA!W17+'[4]STA MARIA'!W17+'[4]CB I'!W17+'[4]CB II'!W17+'[4]CB III'!W17+[4]IG!W17+[4]PN!W17+[4]MJ!W17+'[4]RB I'!W17+'[4]SF I'!W17</f>
        <v>40085.472083367575</v>
      </c>
      <c r="X17" s="166">
        <f>[4]SLP!X17+[4]ROSA!X17+'[4]STA ANA'!X17+[4]BOA!X17+'[4]STA MARIA'!X17+'[4]CB I'!X17+'[4]CB II'!X17+'[4]CB III'!X17+[4]IG!X17+[4]PN!X17+[4]MJ!X17+'[4]RB I'!X17+'[4]SF I'!X17</f>
        <v>492475.49966749636</v>
      </c>
      <c r="Y17" s="224">
        <f t="shared" si="4"/>
        <v>-2.3109341827080021E-2</v>
      </c>
      <c r="Z17" s="225">
        <f>+[4]SLP!Z17+[4]ROSA!Z17+'[4]STA ANA'!Z17+[4]BOA!Z17+'[4]STA MARIA'!Z17+'[4]CB I'!Z17+'[4]CB II'!Z17+'[4]CB III'!Z17+[4]IG!Z17+[4]PN!Z17+[4]MJ!Z17+'[4]RB I'!Z17+'[4]SF I'!Z17</f>
        <v>504125.50836403127</v>
      </c>
      <c r="AA17" s="226">
        <f>+[4]SLP!AA17+[4]ROSA!AA17+'[4]STA ANA'!AA17+[4]BOA!AA17+'[4]STA MARIA'!AA17+'[4]CB I'!AA17+'[4]CB II'!AA17+'[4]CB III'!AA17+[4]IG!AA17+[4]PN!AA17+[4]MJ!AA17+'[4]RB I'!AA17+'[4]SF I'!AA17</f>
        <v>442168.48338609177</v>
      </c>
      <c r="AB17" s="226">
        <f>+[4]SLP!AB17+[4]ROSA!AB17+'[4]STA ANA'!AB17+[4]BOA!AB17+'[4]STA MARIA'!AB17+'[4]CB I'!AB17+'[4]CB II'!AB17+'[4]CB III'!AB17+[4]IG!AB17+[4]PN!AB17+[4]MJ!AB17+'[4]RB I'!AB17+'[4]SF I'!AB17</f>
        <v>61957.024977939443</v>
      </c>
      <c r="AC17" s="226">
        <f>+[4]SLP!AC17+[4]ROSA!AC17+'[4]STA ANA'!AC17+[4]BOA!AC17+'[4]STA MARIA'!AC17+'[4]CB I'!AC17+'[4]CB II'!AC17+'[4]CB III'!AC17+[4]IG!AC17+[4]PN!AC17+[4]MJ!AC17+'[4]RB I'!AC17+'[4]SF I'!AC17</f>
        <v>501157.52536703559</v>
      </c>
      <c r="AD17" s="226">
        <f>+[4]SLP!AD17+[4]ROSA!AD17+'[4]STA ANA'!AD17+[4]BOA!AD17+'[4]STA MARIA'!AD17+'[4]CB I'!AD17+'[4]CB II'!AD17+'[4]CB III'!AD17+[4]IG!AD17+[4]PN!AD17+[4]MJ!AD17+'[4]RB I'!AD17+'[4]SF I'!AD17</f>
        <v>48955.472725533662</v>
      </c>
      <c r="AE17" s="166">
        <f>+[4]SLP!AE17+[4]ROSA!AE17+'[4]STA ANA'!AE17+[4]BOA!AE17+'[4]STA MARIA'!AE17+'[4]CB I'!AE17+'[4]CB II'!AE17+'[4]CB III'!AE17+[4]IG!AE17+[4]PN!AE17+[4]MJ!AE17+'[4]RB I'!AE17+'[4]SF I'!AE17</f>
        <v>550112.99809256918</v>
      </c>
      <c r="AF17" s="224">
        <f t="shared" si="5"/>
        <v>9.1222302711431391E-2</v>
      </c>
      <c r="AG17" s="225">
        <f>+[4]SLP!AG17+[4]ROSA!AG17+'[4]STA ANA'!AG17+[4]BOA!AG17+'[4]STA MARIA'!AG17+'[4]CB I'!AG17+'[4]CB II'!AG17+'[4]CB III'!AG17+[4]IG!AG17+[4]PN!AG17+[4]MJ!AG17+'[4]RB I'!AG17+'[4]SF I'!AG17</f>
        <v>504125.50836403127</v>
      </c>
      <c r="AH17" s="226">
        <f>+[4]SLP!AH17+[4]ROSA!AH17+'[4]STA ANA'!AH17+[4]BOA!AH17+'[4]STA MARIA'!AH17+'[4]CB I'!AH17+'[4]CB II'!AH17+'[4]CB III'!AH17+[4]IG!AH17+[4]PN!AH17+[4]MJ!AH17+'[4]RB I'!AH17+'[4]SF I'!AH17</f>
        <v>442168.48338609177</v>
      </c>
      <c r="AI17" s="226">
        <f>+[4]SLP!AI17+[4]ROSA!AI17+'[4]STA ANA'!AI17+[4]BOA!AI17+'[4]STA MARIA'!AI17+'[4]CB I'!AI17+'[4]CB II'!AI17+'[4]CB III'!AI17+[4]IG!AI17+[4]PN!AI17+[4]MJ!AI17+'[4]RB I'!AI17+'[4]SF I'!AI17</f>
        <v>61957.024977939443</v>
      </c>
      <c r="AJ17" s="226">
        <f>+[4]SLP!AJ17+[4]ROSA!AJ17+'[4]STA ANA'!AJ17+[4]BOA!AJ17+'[4]STA MARIA'!AJ17+'[4]CB I'!AJ17+'[4]CB II'!AJ17+'[4]CB III'!AJ17+[4]IG!AJ17+[4]PN!AJ17+[4]MJ!AJ17+'[4]RB I'!AJ17+'[4]SF I'!AJ17</f>
        <v>677097.61706471513</v>
      </c>
      <c r="AK17" s="226">
        <f>+[4]SLP!AK17+[4]ROSA!AK17+'[4]STA ANA'!AK17+[4]BOA!AK17+'[4]STA MARIA'!AK17+'[4]CB I'!AK17+'[4]CB II'!AK17+'[4]CB III'!AK17+[4]IG!AK17+[4]PN!AK17+[4]MJ!AK17+'[4]RB I'!AK17+'[4]SF I'!AK17</f>
        <v>74749.463117278545</v>
      </c>
      <c r="AL17" s="166">
        <f>+[4]SLP!AL17+[4]ROSA!AL17+'[4]STA ANA'!AL17+[4]BOA!AL17+'[4]STA MARIA'!AL17+'[4]CB I'!AL17+'[4]CB II'!AL17+'[4]CB III'!AL17+[4]IG!AL17+[4]PN!AL17+[4]MJ!AL17+'[4]RB I'!AL17+'[4]SF I'!AL17</f>
        <v>751847.08018199389</v>
      </c>
      <c r="AM17" s="224">
        <f t="shared" si="6"/>
        <v>0.4913886873565656</v>
      </c>
      <c r="AN17" s="225">
        <f>+[4]SLP!AN17+[4]ROSA!AN17+'[4]STA ANA'!AN17+[4]BOA!AN17+'[4]STA MARIA'!AN17+'[4]CB I'!AN17+'[4]CB II'!AN17+'[4]CB III'!AN17+[4]IG!AN17+[4]PN!AN17+[4]MJ!AN17+'[4]RB I'!AN17+'[4]SF I'!AN17</f>
        <v>504125.50836403127</v>
      </c>
      <c r="AO17" s="226">
        <f>+[4]SLP!AO17+[4]ROSA!AO17+'[4]STA ANA'!AO17+[4]BOA!AO17+'[4]STA MARIA'!AO17+'[4]CB I'!AO17+'[4]CB II'!AO17+'[4]CB III'!AO17+[4]IG!AO17+[4]PN!AO17+[4]MJ!AO17+'[4]RB I'!AO17+'[4]SF I'!AO17</f>
        <v>442168.48338609177</v>
      </c>
      <c r="AP17" s="226">
        <f>+[4]SLP!AP17+[4]ROSA!AP17+'[4]STA ANA'!AP17+[4]BOA!AP17+'[4]STA MARIA'!AP17+'[4]CB I'!AP17+'[4]CB II'!AP17+'[4]CB III'!AP17+[4]IG!AP17+[4]PN!AP17+[4]MJ!AP17+'[4]RB I'!AP17+'[4]SF I'!AP17</f>
        <v>61957.024977939443</v>
      </c>
      <c r="AQ17" s="226">
        <f>+[4]SLP!AQ17+[4]ROSA!AQ17+'[4]STA ANA'!AQ17+[4]BOA!AQ17+'[4]STA MARIA'!AQ17+'[4]CB I'!AQ17+'[4]CB II'!AQ17+'[4]CB III'!AQ17+[4]IG!AQ17+[4]PN!AQ17+[4]MJ!AQ17+'[4]RB I'!AQ17+'[4]SF I'!AQ17</f>
        <v>0</v>
      </c>
      <c r="AR17" s="226">
        <f>+[4]SLP!AR17+[4]ROSA!AR17+'[4]STA ANA'!AR17+[4]BOA!AR17+'[4]STA MARIA'!AR17+'[4]CB I'!AR17+'[4]CB II'!AR17+'[4]CB III'!AR17+[4]IG!AR17+[4]PN!AR17+[4]MJ!AR17+'[4]RB I'!AR17+'[4]SF I'!AR17</f>
        <v>0</v>
      </c>
      <c r="AS17" s="166">
        <f>+[4]SLP!AS17+[4]ROSA!AS17+'[4]STA ANA'!AS17+[4]BOA!AS17+'[4]STA MARIA'!AS17+'[4]CB I'!AS17+'[4]CB II'!AS17+'[4]CB III'!AS17+[4]IG!AS17+[4]PN!AS17+[4]MJ!AS17+'[4]RB I'!AS17+'[4]SÃO FRANCISCO'!AS17</f>
        <v>0</v>
      </c>
      <c r="AT17" s="224">
        <f t="shared" si="7"/>
        <v>-1</v>
      </c>
      <c r="AU17" s="225">
        <f>+[4]SLP!AU17+[4]ROSA!AU17+'[4]STA ANA'!AU17+[4]BOA!AU17+'[4]STA MARIA'!AU17+'[4]CB I'!AU17+'[4]CB II'!AU17+'[4]CB III'!AU17+[4]IG!AU17+[4]PN!AU17+[4]MJ!AU17+'[4]RB I'!AU17+'[4]SF I'!AU17</f>
        <v>504125.50836403127</v>
      </c>
      <c r="AV17" s="226">
        <f>+[4]SLP!AV17+[4]ROSA!AV17+'[4]STA ANA'!AV17+[4]BOA!AV17+'[4]STA MARIA'!AV17+'[4]CB I'!AV17+'[4]CB II'!AV17+'[4]CB III'!AV17+[4]IG!AV17+[4]PN!AV17+[4]MJ!AV17+'[4]RB I'!AV17+'[4]SF I'!AV17</f>
        <v>442168.48338609177</v>
      </c>
      <c r="AW17" s="226">
        <f>+[4]SLP!AW17+[4]ROSA!AW17+'[4]STA ANA'!AW17+[4]BOA!AW17+'[4]STA MARIA'!AW17+'[4]CB I'!AW17+'[4]CB II'!AW17+'[4]CB III'!AW17+[4]IG!AW17+[4]PN!AW17+[4]MJ!AW17+'[4]RB I'!AW17+'[4]SF I'!AW17</f>
        <v>61957.024977939443</v>
      </c>
      <c r="AX17" s="226">
        <f>+[4]SLP!AX17+[4]ROSA!AX17+'[4]STA ANA'!AX17+[4]BOA!AX17+'[4]STA MARIA'!AX17+'[4]CB I'!AX17+'[4]CB II'!AX17+'[4]CB III'!AX17+[4]IG!AX17+[4]PN!AX17+[4]MJ!AX17+'[4]RB I'!AX17+'[4]SF I'!AX17</f>
        <v>0</v>
      </c>
      <c r="AY17" s="226">
        <f>+[4]SLP!AY17+[4]ROSA!AY17+'[4]STA ANA'!AY17+[4]BOA!AY17+'[4]STA MARIA'!AY17+'[4]CB I'!AY17+'[4]CB II'!AY17+'[4]CB III'!AY17+[4]IG!AY17+[4]PN!AY17+[4]MJ!AY17+'[4]RB I'!AY17+'[4]SF I'!AY17</f>
        <v>0</v>
      </c>
      <c r="AZ17" s="166">
        <f>+[4]SLP!AZ17+[4]ROSA!AZ17+'[4]STA ANA'!AZ17+[4]BOA!AZ17+'[4]STA MARIA'!AZ17+'[4]CB I'!AZ17+'[4]CB II'!AZ17+[4]IG!AZ17+[4]PN!AZ17+[4]MJ!AZ17+'[4]RB I'!AZ17+'[4]SÃO FRANCISCO'!AZ17</f>
        <v>0</v>
      </c>
      <c r="BA17" s="224">
        <f t="shared" si="8"/>
        <v>-1</v>
      </c>
      <c r="BB17" s="225">
        <f>+[4]SLP!BB17+[4]ROSA!BB17+'[4]STA ANA'!BB17+[4]BOA!BB17+'[4]STA MARIA'!BB17+'[4]CB I'!BB17+'[4]CB II'!BB17+'[4]CB III'!BB17+[4]IG!BB17+[4]PN!BB17+[4]MJ!BB17+'[4]RB I'!BB17+'[4]SF I'!BB17</f>
        <v>504125.50836403127</v>
      </c>
      <c r="BC17" s="226">
        <f>+[4]SLP!BC17+[4]ROSA!BC17+'[4]STA ANA'!BC17+[4]BOA!BC17+'[4]STA MARIA'!BC17+'[4]CB I'!BC17+'[4]CB II'!BC17+'[4]CB III'!BC17+[4]IG!BC17+[4]PN!BC17+[4]MJ!BC17+'[4]RB I'!BC17+'[4]SF I'!BC17</f>
        <v>442168.48338609177</v>
      </c>
      <c r="BD17" s="226">
        <f>+[4]SLP!BD17+[4]ROSA!BD17+'[4]STA ANA'!BD17+[4]BOA!BD17+'[4]STA MARIA'!BD17+'[4]CB I'!BD17+'[4]CB II'!BD17+'[4]CB III'!BD17+[4]IG!BD17+[4]PN!BD17+[4]MJ!BD17+'[4]RB I'!BD17+'[4]SF I'!BD17</f>
        <v>61957.024977939443</v>
      </c>
      <c r="BE17" s="226">
        <f>+[4]SLP!BE17+[4]ROSA!BE17+'[4]STA ANA'!BE17+[4]BOA!BE17+'[4]STA MARIA'!BE17+'[4]CB I'!BE17+'[4]CB II'!BE17+'[4]CB III'!BE17+[4]IG!BE17+[4]PN!BE17+[4]MJ!BE17+'[4]RB I'!BE17+'[4]SF I'!BE17</f>
        <v>0</v>
      </c>
      <c r="BF17" s="226">
        <f>+[4]SLP!BF17+[4]ROSA!BF17+'[4]STA ANA'!BF17+[4]BOA!BF17+'[4]STA MARIA'!BF17+'[4]CB I'!BF17+'[4]CB II'!BF17+'[4]CB III'!BF17+[4]IG!BF17+[4]PN!BF17+[4]MJ!BF17+'[4]RB I'!BF17+'[4]SF I'!BF17</f>
        <v>0</v>
      </c>
      <c r="BG17" s="166">
        <f>+[4]SLP!BG17+[4]ROSA!BG17+'[4]STA ANA'!BG17+[4]BOA!BG17+'[4]STA MARIA'!BG17+'[4]CB I'!BG17+'[4]CB II'!BG17+'[4]CB III'!BG17+[4]IG!BG17+[4]PN!BG17+[4]MJ!BG17+'[4]RB I'!BG17+'[4]SÃO FRANCISCO'!BG17</f>
        <v>0</v>
      </c>
      <c r="BH17" s="224">
        <f t="shared" si="9"/>
        <v>-1</v>
      </c>
      <c r="BI17" s="225">
        <f>+[4]SLP!BI17+[4]ROSA!BI17+'[4]STA ANA'!BI17+[4]BOA!BI17+'[4]STA MARIA'!BI17+'[4]CB I'!BI17+'[4]CB II'!BI17+'[4]CB III'!BI17+[4]IG!BI17+[4]PN!BI17+[4]MJ!BI17+'[4]RB I'!BI17+'[4]SF I'!BI17</f>
        <v>504125.50836403127</v>
      </c>
      <c r="BJ17" s="226">
        <f>+[4]SLP!BJ17+[4]ROSA!BJ17+'[4]STA ANA'!BJ17+[4]BOA!BJ17+'[4]STA MARIA'!BJ17+'[4]CB I'!BJ17+'[4]CB II'!BJ17+'[4]CB III'!BJ17+[4]IG!BJ17+[4]PN!BJ17+[4]MJ!BJ17+'[4]RB I'!BJ17+'[4]SF I'!BJ17</f>
        <v>442168.48338609177</v>
      </c>
      <c r="BK17" s="226">
        <f>+[4]SLP!BK17+[4]ROSA!BK17+'[4]STA ANA'!BK17+[4]BOA!BK17+'[4]STA MARIA'!BK17+'[4]CB I'!BK17+'[4]CB II'!BK17+'[4]CB III'!BK17+[4]IG!BK17+[4]PN!BK17+[4]MJ!BK17+'[4]RB I'!BK17+'[4]SF I'!BK17</f>
        <v>61957.024977939443</v>
      </c>
      <c r="BL17" s="226">
        <f>+[4]SLP!BL17+[4]ROSA!BL17+'[4]STA ANA'!BL17+[4]BOA!BL17+'[4]STA MARIA'!BL17+'[4]CB I'!BL17+'[4]CB II'!BL17+'[4]CB III'!BL17+[4]IG!BL17+[4]PN!BL17+[4]MJ!BL17+'[4]RB I'!BL17+'[4]SF I'!BL17</f>
        <v>0</v>
      </c>
      <c r="BM17" s="226">
        <f>+[4]SLP!BM17+[4]ROSA!BM17+'[4]STA ANA'!BM17+[4]BOA!BM17+'[4]STA MARIA'!BM17+'[4]CB I'!BM17+'[4]CB II'!BM17+'[4]CB III'!BM17+[4]IG!BM17+[4]PN!BM17+[4]MJ!BM17+'[4]RB I'!BM17+'[4]SF I'!BM17</f>
        <v>0</v>
      </c>
      <c r="BN17" s="166">
        <f>+[4]SLP!BN17+[4]ROSA!BN17+'[4]STA ANA'!BN17+[4]BOA!BN17+'[4]STA MARIA'!BN17+'[4]CB I'!BN17+'[4]CB II'!BN17+'[4]CB III'!BN17+[4]IG!BN17+[4]PN!BN17+[4]MJ!BN17+'[4]RB I'!BN17+'[4]SÃO FRANCISCO'!BN17</f>
        <v>0</v>
      </c>
      <c r="BO17" s="224">
        <f t="shared" si="10"/>
        <v>-1</v>
      </c>
      <c r="BP17" s="225">
        <f>+[4]SLP!BP17+[4]ROSA!BP17+'[4]STA ANA'!BP17+[4]BOA!BP17+'[4]STA MARIA'!BP17+'[4]CB I'!BP17+'[4]CB II'!BP17+'[4]CB III'!BP17+[4]IG!BP17+[4]PN!BP17+[4]MJ!BP17+'[4]RB I'!BP17+'[4]SF I'!BP17</f>
        <v>504125.50836403127</v>
      </c>
      <c r="BQ17" s="226">
        <f>+[4]SLP!BQ17+[4]ROSA!BQ17+'[4]STA ANA'!BQ17+[4]BOA!BQ17+'[4]STA MARIA'!BQ17+'[4]CB I'!BQ17+'[4]CB II'!BQ17+'[4]CB III'!BQ17+[4]IG!BQ17+[4]PN!BQ17+[4]MJ!BQ17+'[4]RB I'!BQ17+'[4]SF I'!BQ17</f>
        <v>442168.48338609177</v>
      </c>
      <c r="BR17" s="226">
        <f>+[4]SLP!BR17+[4]ROSA!BR17+'[4]STA ANA'!BR17+[4]BOA!BR17+'[4]STA MARIA'!BR17+'[4]CB I'!BR17+'[4]CB II'!BR17+'[4]CB III'!BR17+[4]IG!BR17+[4]PN!BR17+[4]MJ!BR17+'[4]RB I'!BR17+'[4]SF I'!BR17</f>
        <v>61957.024977939443</v>
      </c>
      <c r="BS17" s="226">
        <f>+[4]SLP!BS17+[4]ROSA!BS17+'[4]STA ANA'!BS17+[4]BOA!BS17+'[4]STA MARIA'!BS17+'[4]CB I'!BS17+'[4]CB II'!BS17+'[4]CB III'!BS17+[4]IG!BS17+[4]PN!BS17+[4]MJ!BS17+'[4]RB I'!BS17+'[4]SF I'!BS17</f>
        <v>0</v>
      </c>
      <c r="BT17" s="226">
        <f>+[4]SLP!BT17+[4]ROSA!BT17+'[4]STA ANA'!BT17+[4]BOA!BT17+'[4]STA MARIA'!BT17+'[4]CB I'!BT17+'[4]CB II'!BT17+'[4]CB III'!BT17+[4]IG!BT17+[4]PN!BT17+[4]MJ!BT17+'[4]RB I'!BT17+'[4]SF I'!BT17</f>
        <v>0</v>
      </c>
      <c r="BU17" s="166">
        <f>+[4]SLP!BU17+[4]ROSA!BU17+'[4]STA ANA'!BU17+[4]BOA!BU17+'[4]STA MARIA'!BU17+'[4]CB I'!BU17+'[4]CB II'!BU17+'[4]CB III'!BU17+[4]IG!BU17+[4]PN!BU17+[4]MJ!BU17+'[4]RB I'!BU17+'[4]SÃO FRANCISCO'!BU17</f>
        <v>0</v>
      </c>
      <c r="BV17" s="224">
        <f t="shared" si="11"/>
        <v>-1</v>
      </c>
      <c r="BW17" s="225">
        <f>+[4]SLP!BW17+[4]ROSA!BW17+'[4]STA ANA'!BW17+[4]BOA!BW17+'[4]STA MARIA'!BW17+'[4]CB I'!BW17+'[4]CB II'!BW17+'[4]CB III'!BW17+[4]IG!BW17+[4]PN!BW17+[4]MJ!BW17+'[4]RB I'!BW17+'[4]SF I'!BW17</f>
        <v>504125.50836403127</v>
      </c>
      <c r="BX17" s="226">
        <f>+[4]SLP!BX17+[4]ROSA!BX17+'[4]STA ANA'!BX17+[4]BOA!BX17+'[4]STA MARIA'!BX17+'[4]CB I'!BX17+'[4]CB II'!BX17+'[4]CB III'!BX17+[4]IG!BX17+[4]PN!BX17+[4]MJ!BX17+'[4]RB I'!BX17+'[4]SF I'!BX17</f>
        <v>442168.48338609177</v>
      </c>
      <c r="BY17" s="226">
        <f>+[4]SLP!BY17+[4]ROSA!BY17+'[4]STA ANA'!BY17+[4]BOA!BY17+'[4]STA MARIA'!BY17+'[4]CB I'!BY17+'[4]CB II'!BY17+'[4]CB III'!BY17+[4]IG!BY17+[4]PN!BY17+[4]MJ!BY17+'[4]RB I'!BY17+'[4]SF I'!BY17</f>
        <v>61957.024977939443</v>
      </c>
      <c r="BZ17" s="226">
        <f>+[4]SLP!BZ17+[4]ROSA!BZ17+'[4]STA ANA'!BZ17+[4]BOA!BZ17+'[4]STA MARIA'!BZ17+'[4]CB I'!BZ17+'[4]CB II'!BZ17+'[4]CB III'!BZ17+[4]IG!BZ17+[4]PN!BZ17+[4]MJ!BZ17+'[4]RB I'!BZ17+'[4]SF I'!BZ17</f>
        <v>0</v>
      </c>
      <c r="CA17" s="226">
        <f>+[4]SLP!CA17+[4]ROSA!CA17+'[4]STA ANA'!CA17+[4]BOA!CA17+'[4]STA MARIA'!CA17+'[4]CB I'!CA17+'[4]CB II'!CA17+'[4]CB III'!CA17+[4]IG!CA17+[4]PN!CA17+[4]MJ!CA17+'[4]RB I'!CA17+'[4]SF I'!CA17</f>
        <v>0</v>
      </c>
      <c r="CB17" s="166">
        <f>+[4]SLP!CB17+[4]ROSA!CB17+'[4]STA ANA'!CB17+[4]BOA!CB17+'[4]STA MARIA'!CB17+'[4]CB I'!CB17+'[4]CB II'!CB17+'[4]CB III'!CB17+[4]IG!CB17+[4]PN!CB17+[4]MJ!CB17+'[4]RB I'!CB17+'[4]SÃO FRANCISCO'!CB17</f>
        <v>0</v>
      </c>
      <c r="CC17" s="224">
        <f t="shared" si="12"/>
        <v>-1</v>
      </c>
      <c r="CD17" s="225">
        <f>+[4]SLP!CD17+[4]ROSA!CD17+'[4]STA ANA'!CD17+[4]BOA!CD17+'[4]STA MARIA'!CD17+'[4]CB I'!CD17+'[4]CB II'!CD17+'[4]CB III'!CD17+[4]IG!CD17+[4]PN!CD17+[4]MJ!CD17+'[4]RB I'!CD17+'[4]SF I'!CD17</f>
        <v>504125.50836403127</v>
      </c>
      <c r="CE17" s="226">
        <f>+[4]SLP!CE17+[4]ROSA!CE17+'[4]STA ANA'!CE17+[4]BOA!CE17+'[4]STA MARIA'!CE17+'[4]CB I'!CE17+'[4]CB II'!CE17+'[4]CB III'!CE17+[4]IG!CE17+[4]PN!CE17+[4]MJ!CE17+'[4]RB I'!CE17+'[4]SF I'!CE17</f>
        <v>442168.48338609177</v>
      </c>
      <c r="CF17" s="226">
        <f>+[4]SLP!CF17+[4]ROSA!CF17+'[4]STA ANA'!CF17+[4]BOA!CF17+'[4]STA MARIA'!CF17+'[4]CB I'!CF17+'[4]CB II'!CF17+'[4]CB III'!CF17+[4]IG!CF17+[4]PN!CF17+[4]MJ!CF17+'[4]RB I'!CF17+'[4]SF I'!CF17</f>
        <v>61957.024977939443</v>
      </c>
      <c r="CG17" s="226">
        <f>+[4]SLP!CG17+[4]ROSA!CG17+'[4]STA ANA'!CG17+[4]BOA!CG17+'[4]STA MARIA'!CG17+'[4]CB I'!CG17+'[4]CB II'!CG17+'[4]CB III'!CG17+[4]IG!CG17+[4]PN!CG17+[4]MJ!CG17+'[4]RB I'!CG17+'[4]SF I'!CG17</f>
        <v>0</v>
      </c>
      <c r="CH17" s="226">
        <f>+[4]SLP!CH17+[4]ROSA!CH17+'[4]STA ANA'!CH17+[4]BOA!CH17+'[4]STA MARIA'!CH17+'[4]CB I'!CH17+'[4]CB II'!CH17+'[4]CB III'!CH17+[4]IG!CH17+[4]PN!CH17+[4]MJ!CH17+'[4]RB I'!CH17+'[4]SF I'!CH17</f>
        <v>0</v>
      </c>
      <c r="CI17" s="166">
        <f>+[4]SLP!CI17+[4]ROSA!CI17+'[4]STA ANA'!CI17+[4]BOA!CI17+'[4]STA MARIA'!CI17+'[4]CB I'!CI17+'[4]CB II'!CI17+'[4]CB III'!CI17+[4]IG!CI17+[4]PN!CI17+[4]MJ!CI17+'[4]RB I'!CI17+'[4]SÃO FRANCISCO'!CI17</f>
        <v>0</v>
      </c>
      <c r="CJ17" s="224">
        <f t="shared" si="13"/>
        <v>-1</v>
      </c>
      <c r="CK17" s="225">
        <f>+[4]SLP!CK17+[4]ROSA!CK17+'[4]STA ANA'!CK17+[4]BOA!CK17+'[4]STA MARIA'!CK17+'[4]CB I'!CK17+'[4]CB II'!CK17+'[4]CB III'!CK17+[4]IG!CK17+[4]PN!CK17+[4]MJ!CK17+'[4]RB I'!CK17+'[4]SF I'!CK17</f>
        <v>504125.50836403127</v>
      </c>
      <c r="CL17" s="226">
        <f>+[4]SLP!CL17+[4]ROSA!CL17+'[4]STA ANA'!CL17+[4]BOA!CL17+'[4]STA MARIA'!CL17+'[4]CB I'!CL17+'[4]CB II'!CL17+'[4]CB III'!CL17+[4]IG!CL17+[4]PN!CL17+[4]MJ!CL17+'[4]RB I'!CL17+'[4]SF I'!CL17</f>
        <v>442168.48338609177</v>
      </c>
      <c r="CM17" s="226">
        <f>+[4]SLP!CM17+[4]ROSA!CM17+'[4]STA ANA'!CM17+[4]BOA!CM17+'[4]STA MARIA'!CM17+'[4]CB I'!CM17+'[4]CB II'!CM17+'[4]CB III'!CM17+[4]IG!CM17+[4]PN!CM17+[4]MJ!CM17+'[4]RB I'!CM17+'[4]SF I'!CM17</f>
        <v>61957.024977939443</v>
      </c>
      <c r="CN17" s="226">
        <f>+[4]SLP!CN17+[4]ROSA!CN17+'[4]STA ANA'!CN17+[4]BOA!CN17+'[4]STA MARIA'!CN17+'[4]CB I'!CN17+'[4]CB II'!CN17+'[4]CB III'!CN17+[4]IG!CN17+[4]PN!CN17+[4]MJ!CN17+'[4]RB I'!CN17+'[4]SF I'!CN17</f>
        <v>0</v>
      </c>
      <c r="CO17" s="226">
        <f>+[4]SLP!CO17+[4]ROSA!CO17+'[4]STA ANA'!CO17+[4]BOA!CO17+'[4]STA MARIA'!CO17+'[4]CB I'!CO17+'[4]CB II'!CO17+'[4]CB III'!CO17+[4]IG!CO17+[4]PN!CO17+[4]MJ!CO17+'[4]RB I'!CO17+'[4]SF I'!CO17</f>
        <v>0</v>
      </c>
      <c r="CP17" s="166">
        <f>+[4]SLP!CP17+[4]ROSA!CP17+'[4]STA ANA'!CP17+[4]BOA!CP17+'[4]STA MARIA'!CP17+'[4]CB I'!CP17+'[4]CB II'!CP17+'[4]CB III'!CP17+[4]IG!CP17+[4]PN!CP17+[4]MJ!CP17+'[4]RB I'!CP17+'[4]SÃO FRANCISCO'!CP17</f>
        <v>0</v>
      </c>
      <c r="CQ17" s="224">
        <f t="shared" si="14"/>
        <v>-1</v>
      </c>
      <c r="CR17" s="155"/>
      <c r="CS17" s="227" t="e">
        <f t="shared" si="15"/>
        <v>#VALUE!</v>
      </c>
    </row>
    <row r="18" spans="1:97" ht="16" customHeight="1" x14ac:dyDescent="0.2">
      <c r="A18" s="228" t="s">
        <v>42</v>
      </c>
      <c r="B18" s="30">
        <f t="shared" si="0"/>
        <v>1056464.4009699277</v>
      </c>
      <c r="C18" s="31">
        <f t="shared" si="0"/>
        <v>926624.92609072325</v>
      </c>
      <c r="D18" s="32">
        <f t="shared" si="0"/>
        <v>129839.47487920406</v>
      </c>
      <c r="E18" s="30">
        <f t="shared" si="16"/>
        <v>352154.80032330914</v>
      </c>
      <c r="F18" s="33">
        <f t="shared" si="16"/>
        <v>308874.9753635744</v>
      </c>
      <c r="G18" s="34">
        <f t="shared" si="16"/>
        <v>43279.824959734688</v>
      </c>
      <c r="H18" s="31">
        <f t="shared" si="1"/>
        <v>367377.58125029487</v>
      </c>
      <c r="I18" s="33">
        <f t="shared" si="1"/>
        <v>33696.241542458083</v>
      </c>
      <c r="J18" s="33">
        <f t="shared" si="1"/>
        <v>401073.82279275305</v>
      </c>
      <c r="K18" s="224">
        <f t="shared" si="2"/>
        <v>0.1389134051971801</v>
      </c>
      <c r="L18" s="225">
        <f>+[4]SLP!L18+[4]ROSA!L18+'[4]STA ANA'!L18+[4]BOA!L18+'[4]STA MARIA'!L18+'[4]CB I'!L18+'[4]CB II'!L18+'[4]CB III'!L18+[4]IG!L18+[4]PN!L18+[4]MJ!L18+'[4]RB I'!L18+'[4]SF I'!L18</f>
        <v>88038.700080827286</v>
      </c>
      <c r="M18" s="226">
        <f>+[4]SLP!M18+[4]ROSA!M18+'[4]STA ANA'!M18+[4]BOA!M18+'[4]STA MARIA'!M18+'[4]CB I'!M18+'[4]CB II'!M18+'[4]CB III'!M18+[4]IG!M18+[4]PN!M18+[4]MJ!M18+'[4]RB I'!M18+'[4]SF I'!M18</f>
        <v>77218.7438408936</v>
      </c>
      <c r="N18" s="226">
        <f>+[4]SLP!N18+[4]ROSA!N18+'[4]STA ANA'!N18+[4]BOA!N18+'[4]STA MARIA'!N18+'[4]CB I'!N18+'[4]CB II'!N18+'[4]CB III'!N18+[4]IG!N18+[4]PN!N18+[4]MJ!N18+'[4]RB I'!N18+'[4]SF I'!N18</f>
        <v>10819.956239933672</v>
      </c>
      <c r="O18" s="226">
        <f>+[4]SLP!O18+[4]ROSA!O18+'[4]STA ANA'!O18+[4]BOA!O18+'[4]STA MARIA'!O18+'[4]CB I'!O18+'[4]CB II'!O18+'[4]CB III'!O18+[4]IG!O18+[4]PN!O18+[4]MJ!O18+'[4]RB I'!O18+'[4]SF I'!O18</f>
        <v>114531.63583546797</v>
      </c>
      <c r="P18" s="226">
        <f>+[4]SLP!P18+[4]ROSA!P18+'[4]STA ANA'!P18+[4]BOA!P18+'[4]STA MARIA'!P18+'[4]CB I'!P18+'[4]CB II'!P18+'[4]CB III'!P18+[4]IG!P18+[4]PN!P18+[4]MJ!P18+'[4]RB I'!P18+'[4]SF I'!P18</f>
        <v>10964.85686638163</v>
      </c>
      <c r="Q18" s="166">
        <f>+[4]SLP!Q18+[4]ROSA!Q18+'[4]STA ANA'!Q18+[4]BOA!Q18+'[4]STA MARIA'!Q18+'[4]CB I'!Q18+'[4]CB II'!Q18+'[4]CB III'!Q18+[4]IG!Q18+[4]PN!Q18+[4]MJ!Q18+'[4]RB I'!Q18+'[4]SF I'!Q18</f>
        <v>125496.49270184962</v>
      </c>
      <c r="R18" s="224">
        <f t="shared" si="3"/>
        <v>0.42546962400208987</v>
      </c>
      <c r="S18" s="225">
        <f>+[4]SLP!S18+[4]ROSA!S18+'[4]STA ANA'!S18+[4]BOA!S18+'[4]STA MARIA'!S18+'[4]CB I'!S18+'[4]CB II'!S18+'[4]CB III'!S18+[4]IG!S18+[4]PN!S18+[4]MJ!S18+'[4]RB I'!S18+'[4]SF I'!S18</f>
        <v>88038.700080827286</v>
      </c>
      <c r="T18" s="226">
        <f>+[4]SLP!T18+[4]ROSA!T18+'[4]STA ANA'!T18+[4]BOA!T18+'[4]STA MARIA'!T18+'[4]CB I'!T18+'[4]CB II'!T18+'[4]CB III'!T18+[4]IG!T18+[4]PN!T18+[4]MJ!T18+'[4]RB I'!T18+'[4]SF I'!T18</f>
        <v>77218.7438408936</v>
      </c>
      <c r="U18" s="226">
        <f>+[4]SLP!U18+[4]ROSA!U18+'[4]STA ANA'!U18+[4]BOA!U18+'[4]STA MARIA'!U18+'[4]CB I'!U18+'[4]CB II'!U18+'[4]CB III'!U18+[4]IG!U18+[4]PN!U18+[4]MJ!U18+'[4]RB I'!U18+'[4]SF I'!U18</f>
        <v>10819.956239933672</v>
      </c>
      <c r="V18" s="226">
        <f>+[4]SLP!V18+[4]ROSA!V18+'[4]STA ANA'!V18+[4]BOA!V18+'[4]STA MARIA'!V18+'[4]CB I'!V18+'[4]CB II'!V18+'[4]CB III'!V18+[4]IG!V18+[4]PN!V18+[4]MJ!V18+'[4]RB I'!V18+'[4]SF I'!V18</f>
        <v>61238.575607286672</v>
      </c>
      <c r="W18" s="226">
        <f>+[4]SLP!W18+[4]ROSA!W18+'[4]STA ANA'!W18+[4]BOA!W18+'[4]STA MARIA'!W18+'[4]CB I'!W18+'[4]CB II'!W18+'[4]CB III'!W18+[4]IG!W18+[4]PN!W18+[4]MJ!W18+'[4]RB I'!W18+'[4]SF I'!W18</f>
        <v>13674.081134172095</v>
      </c>
      <c r="X18" s="166">
        <f>[4]SLP!X18+[4]ROSA!X18+'[4]STA ANA'!X18+[4]BOA!X18+'[4]STA MARIA'!X18+'[4]CB I'!X18+'[4]CB II'!X18+'[4]CB III'!X18+[4]IG!X18+[4]PN!X18+[4]MJ!X18+'[4]RB I'!X18+'[4]SF I'!X18</f>
        <v>74912.656741458777</v>
      </c>
      <c r="Y18" s="224">
        <f t="shared" si="4"/>
        <v>-0.14909401578303227</v>
      </c>
      <c r="Z18" s="225">
        <f>+[4]SLP!Z18+[4]ROSA!Z18+'[4]STA ANA'!Z18+[4]BOA!Z18+'[4]STA MARIA'!Z18+'[4]CB I'!Z18+'[4]CB II'!Z18+'[4]CB III'!Z18+[4]IG!Z18+[4]PN!Z18+[4]MJ!Z18+'[4]RB I'!Z18+'[4]SF I'!Z18</f>
        <v>88038.700080827286</v>
      </c>
      <c r="AA18" s="226">
        <f>+[4]SLP!AA18+[4]ROSA!AA18+'[4]STA ANA'!AA18+[4]BOA!AA18+'[4]STA MARIA'!AA18+'[4]CB I'!AA18+'[4]CB II'!AA18+'[4]CB III'!AA18+[4]IG!AA18+[4]PN!AA18+[4]MJ!AA18+'[4]RB I'!AA18+'[4]SF I'!AA18</f>
        <v>77218.7438408936</v>
      </c>
      <c r="AB18" s="226">
        <f>+[4]SLP!AB18+[4]ROSA!AB18+'[4]STA ANA'!AB18+[4]BOA!AB18+'[4]STA MARIA'!AB18+'[4]CB I'!AB18+'[4]CB II'!AB18+'[4]CB III'!AB18+[4]IG!AB18+[4]PN!AB18+[4]MJ!AB18+'[4]RB I'!AB18+'[4]SF I'!AB18</f>
        <v>10819.956239933672</v>
      </c>
      <c r="AC18" s="226">
        <f>+[4]SLP!AC18+[4]ROSA!AC18+'[4]STA ANA'!AC18+[4]BOA!AC18+'[4]STA MARIA'!AC18+'[4]CB I'!AC18+'[4]CB II'!AC18+'[4]CB III'!AC18+[4]IG!AC18+[4]PN!AC18+[4]MJ!AC18+'[4]RB I'!AC18+'[4]SF I'!AC18</f>
        <v>189004.00987220404</v>
      </c>
      <c r="AD18" s="226">
        <f>+[4]SLP!AD18+[4]ROSA!AD18+'[4]STA ANA'!AD18+[4]BOA!AD18+'[4]STA MARIA'!AD18+'[4]CB I'!AD18+'[4]CB II'!AD18+'[4]CB III'!AD18+[4]IG!AD18+[4]PN!AD18+[4]MJ!AD18+'[4]RB I'!AD18+'[4]SF I'!AD18</f>
        <v>9057.3035419043626</v>
      </c>
      <c r="AE18" s="166">
        <f>+[4]SLP!AE18+[4]ROSA!AE18+'[4]STA ANA'!AE18+[4]BOA!AE18+'[4]STA MARIA'!AE18+'[4]CB I'!AE18+'[4]CB II'!AE18+'[4]CB III'!AE18+[4]IG!AE18+[4]PN!AE18+[4]MJ!AE18+'[4]RB I'!AE18+'[4]SF I'!AE18</f>
        <v>198061.31341410839</v>
      </c>
      <c r="AF18" s="224">
        <f t="shared" si="5"/>
        <v>1.2497073813251518</v>
      </c>
      <c r="AG18" s="225">
        <f>+[4]SLP!AG18+[4]ROSA!AG18+'[4]STA ANA'!AG18+[4]BOA!AG18+'[4]STA MARIA'!AG18+'[4]CB I'!AG18+'[4]CB II'!AG18+'[4]CB III'!AG18+[4]IG!AG18+[4]PN!AG18+[4]MJ!AG18+'[4]RB I'!AG18+'[4]SF I'!AG18</f>
        <v>88038.700080827286</v>
      </c>
      <c r="AH18" s="226">
        <f>+[4]SLP!AH18+[4]ROSA!AH18+'[4]STA ANA'!AH18+[4]BOA!AH18+'[4]STA MARIA'!AH18+'[4]CB I'!AH18+'[4]CB II'!AH18+'[4]CB III'!AH18+[4]IG!AH18+[4]PN!AH18+[4]MJ!AH18+'[4]RB I'!AH18+'[4]SF I'!AH18</f>
        <v>77218.7438408936</v>
      </c>
      <c r="AI18" s="226">
        <f>+[4]SLP!AI18+[4]ROSA!AI18+'[4]STA ANA'!AI18+[4]BOA!AI18+'[4]STA MARIA'!AI18+'[4]CB I'!AI18+'[4]CB II'!AI18+'[4]CB III'!AI18+[4]IG!AI18+[4]PN!AI18+[4]MJ!AI18+'[4]RB I'!AI18+'[4]SF I'!AI18</f>
        <v>10819.956239933672</v>
      </c>
      <c r="AJ18" s="226">
        <f>+[4]SLP!AJ18+[4]ROSA!AJ18+'[4]STA ANA'!AJ18+[4]BOA!AJ18+'[4]STA MARIA'!AJ18+'[4]CB I'!AJ18+'[4]CB II'!AJ18+'[4]CB III'!AJ18+[4]IG!AJ18+[4]PN!AJ18+[4]MJ!AJ18+'[4]RB I'!AJ18+'[4]SF I'!AJ18</f>
        <v>2603.3599353362192</v>
      </c>
      <c r="AK18" s="226">
        <f>+[4]SLP!AK18+[4]ROSA!AK18+'[4]STA ANA'!AK18+[4]BOA!AK18+'[4]STA MARIA'!AK18+'[4]CB I'!AK18+'[4]CB II'!AK18+'[4]CB III'!AK18+[4]IG!AK18+[4]PN!AK18+[4]MJ!AK18+'[4]RB I'!AK18+'[4]SF I'!AK18</f>
        <v>0</v>
      </c>
      <c r="AL18" s="166">
        <f>+[4]SLP!AL18+[4]ROSA!AL18+'[4]STA ANA'!AL18+[4]BOA!AL18+'[4]STA MARIA'!AL18+'[4]CB I'!AL18+'[4]CB II'!AL18+'[4]CB III'!AL18+[4]IG!AL18+[4]PN!AL18+[4]MJ!AL18+'[4]RB I'!AL18+'[4]SF I'!AL18</f>
        <v>2603.3599353362192</v>
      </c>
      <c r="AM18" s="224">
        <f t="shared" si="6"/>
        <v>-0.97042936875548924</v>
      </c>
      <c r="AN18" s="225">
        <f>+[4]SLP!AN18+[4]ROSA!AN18+'[4]STA ANA'!AN18+[4]BOA!AN18+'[4]STA MARIA'!AN18+'[4]CB I'!AN18+'[4]CB II'!AN18+'[4]CB III'!AN18+[4]IG!AN18+[4]PN!AN18+[4]MJ!AN18+'[4]RB I'!AN18+'[4]SF I'!AN18</f>
        <v>88038.700080827286</v>
      </c>
      <c r="AO18" s="226">
        <f>+[4]SLP!AO18+[4]ROSA!AO18+'[4]STA ANA'!AO18+[4]BOA!AO18+'[4]STA MARIA'!AO18+'[4]CB I'!AO18+'[4]CB II'!AO18+'[4]CB III'!AO18+[4]IG!AO18+[4]PN!AO18+[4]MJ!AO18+'[4]RB I'!AO18+'[4]SF I'!AO18</f>
        <v>77218.7438408936</v>
      </c>
      <c r="AP18" s="226">
        <f>+[4]SLP!AP18+[4]ROSA!AP18+'[4]STA ANA'!AP18+[4]BOA!AP18+'[4]STA MARIA'!AP18+'[4]CB I'!AP18+'[4]CB II'!AP18+'[4]CB III'!AP18+[4]IG!AP18+[4]PN!AP18+[4]MJ!AP18+'[4]RB I'!AP18+'[4]SF I'!AP18</f>
        <v>10819.956239933672</v>
      </c>
      <c r="AQ18" s="226">
        <f>+[4]SLP!AQ18+[4]ROSA!AQ18+'[4]STA ANA'!AQ18+[4]BOA!AQ18+'[4]STA MARIA'!AQ18+'[4]CB I'!AQ18+'[4]CB II'!AQ18+'[4]CB III'!AQ18+[4]IG!AQ18+[4]PN!AQ18+[4]MJ!AQ18+'[4]RB I'!AQ18+'[4]SF I'!AQ18</f>
        <v>0</v>
      </c>
      <c r="AR18" s="226">
        <f>+[4]SLP!AR18+[4]ROSA!AR18+'[4]STA ANA'!AR18+[4]BOA!AR18+'[4]STA MARIA'!AR18+'[4]CB I'!AR18+'[4]CB II'!AR18+'[4]CB III'!AR18+[4]IG!AR18+[4]PN!AR18+[4]MJ!AR18+'[4]RB I'!AR18+'[4]SF I'!AR18</f>
        <v>0</v>
      </c>
      <c r="AS18" s="166">
        <f>+[4]SLP!AS18+[4]ROSA!AS18+'[4]STA ANA'!AS18+[4]BOA!AS18+'[4]STA MARIA'!AS18+'[4]CB I'!AS18+'[4]CB II'!AS18+'[4]CB III'!AS18+[4]IG!AS18+[4]PN!AS18+[4]MJ!AS18+'[4]RB I'!AS18+'[4]SÃO FRANCISCO'!AS18</f>
        <v>0</v>
      </c>
      <c r="AT18" s="224">
        <f t="shared" si="7"/>
        <v>-1</v>
      </c>
      <c r="AU18" s="225">
        <f>+[4]SLP!AU18+[4]ROSA!AU18+'[4]STA ANA'!AU18+[4]BOA!AU18+'[4]STA MARIA'!AU18+'[4]CB I'!AU18+'[4]CB II'!AU18+'[4]CB III'!AU18+[4]IG!AU18+[4]PN!AU18+[4]MJ!AU18+'[4]RB I'!AU18+'[4]SF I'!AU18</f>
        <v>88038.700080827286</v>
      </c>
      <c r="AV18" s="226">
        <f>+[4]SLP!AV18+[4]ROSA!AV18+'[4]STA ANA'!AV18+[4]BOA!AV18+'[4]STA MARIA'!AV18+'[4]CB I'!AV18+'[4]CB II'!AV18+'[4]CB III'!AV18+[4]IG!AV18+[4]PN!AV18+[4]MJ!AV18+'[4]RB I'!AV18+'[4]SF I'!AV18</f>
        <v>77218.7438408936</v>
      </c>
      <c r="AW18" s="226">
        <f>+[4]SLP!AW18+[4]ROSA!AW18+'[4]STA ANA'!AW18+[4]BOA!AW18+'[4]STA MARIA'!AW18+'[4]CB I'!AW18+'[4]CB II'!AW18+'[4]CB III'!AW18+[4]IG!AW18+[4]PN!AW18+[4]MJ!AW18+'[4]RB I'!AW18+'[4]SF I'!AW18</f>
        <v>10819.956239933672</v>
      </c>
      <c r="AX18" s="226">
        <f>+[4]SLP!AX18+[4]ROSA!AX18+'[4]STA ANA'!AX18+[4]BOA!AX18+'[4]STA MARIA'!AX18+'[4]CB I'!AX18+'[4]CB II'!AX18+'[4]CB III'!AX18+[4]IG!AX18+[4]PN!AX18+[4]MJ!AX18+'[4]RB I'!AX18+'[4]SF I'!AX18</f>
        <v>0</v>
      </c>
      <c r="AY18" s="226">
        <f>+[4]SLP!AY18+[4]ROSA!AY18+'[4]STA ANA'!AY18+[4]BOA!AY18+'[4]STA MARIA'!AY18+'[4]CB I'!AY18+'[4]CB II'!AY18+'[4]CB III'!AY18+[4]IG!AY18+[4]PN!AY18+[4]MJ!AY18+'[4]RB I'!AY18+'[4]SF I'!AY18</f>
        <v>0</v>
      </c>
      <c r="AZ18" s="166">
        <f>+[4]SLP!AZ18+[4]ROSA!AZ18+'[4]STA ANA'!AZ18+[4]BOA!AZ18+'[4]STA MARIA'!AZ18+'[4]CB I'!AZ18+'[4]CB II'!AZ18+[4]IG!AZ18+[4]PN!AZ18+[4]MJ!AZ18+'[4]RB I'!AZ18+'[4]SÃO FRANCISCO'!AZ18</f>
        <v>0</v>
      </c>
      <c r="BA18" s="224">
        <f t="shared" si="8"/>
        <v>-1</v>
      </c>
      <c r="BB18" s="225">
        <f>+[4]SLP!BB18+[4]ROSA!BB18+'[4]STA ANA'!BB18+[4]BOA!BB18+'[4]STA MARIA'!BB18+'[4]CB I'!BB18+'[4]CB II'!BB18+'[4]CB III'!BB18+[4]IG!BB18+[4]PN!BB18+[4]MJ!BB18+'[4]RB I'!BB18+'[4]SF I'!BB18</f>
        <v>88038.700080827286</v>
      </c>
      <c r="BC18" s="226">
        <f>+[4]SLP!BC18+[4]ROSA!BC18+'[4]STA ANA'!BC18+[4]BOA!BC18+'[4]STA MARIA'!BC18+'[4]CB I'!BC18+'[4]CB II'!BC18+'[4]CB III'!BC18+[4]IG!BC18+[4]PN!BC18+[4]MJ!BC18+'[4]RB I'!BC18+'[4]SF I'!BC18</f>
        <v>77218.7438408936</v>
      </c>
      <c r="BD18" s="226">
        <f>+[4]SLP!BD18+[4]ROSA!BD18+'[4]STA ANA'!BD18+[4]BOA!BD18+'[4]STA MARIA'!BD18+'[4]CB I'!BD18+'[4]CB II'!BD18+'[4]CB III'!BD18+[4]IG!BD18+[4]PN!BD18+[4]MJ!BD18+'[4]RB I'!BD18+'[4]SF I'!BD18</f>
        <v>10819.956239933672</v>
      </c>
      <c r="BE18" s="226">
        <f>+[4]SLP!BE18+[4]ROSA!BE18+'[4]STA ANA'!BE18+[4]BOA!BE18+'[4]STA MARIA'!BE18+'[4]CB I'!BE18+'[4]CB II'!BE18+'[4]CB III'!BE18+[4]IG!BE18+[4]PN!BE18+[4]MJ!BE18+'[4]RB I'!BE18+'[4]SF I'!BE18</f>
        <v>0</v>
      </c>
      <c r="BF18" s="226">
        <f>+[4]SLP!BF18+[4]ROSA!BF18+'[4]STA ANA'!BF18+[4]BOA!BF18+'[4]STA MARIA'!BF18+'[4]CB I'!BF18+'[4]CB II'!BF18+'[4]CB III'!BF18+[4]IG!BF18+[4]PN!BF18+[4]MJ!BF18+'[4]RB I'!BF18+'[4]SF I'!BF18</f>
        <v>0</v>
      </c>
      <c r="BG18" s="166">
        <f>+[4]SLP!BG18+[4]ROSA!BG18+'[4]STA ANA'!BG18+[4]BOA!BG18+'[4]STA MARIA'!BG18+'[4]CB I'!BG18+'[4]CB II'!BG18+'[4]CB III'!BG18+[4]IG!BG18+[4]PN!BG18+[4]MJ!BG18+'[4]RB I'!BG18+'[4]SÃO FRANCISCO'!BG18</f>
        <v>0</v>
      </c>
      <c r="BH18" s="224">
        <f t="shared" si="9"/>
        <v>-1</v>
      </c>
      <c r="BI18" s="225">
        <f>+[4]SLP!BI18+[4]ROSA!BI18+'[4]STA ANA'!BI18+[4]BOA!BI18+'[4]STA MARIA'!BI18+'[4]CB I'!BI18+'[4]CB II'!BI18+'[4]CB III'!BI18+[4]IG!BI18+[4]PN!BI18+[4]MJ!BI18+'[4]RB I'!BI18+'[4]SF I'!BI18</f>
        <v>88038.700080827286</v>
      </c>
      <c r="BJ18" s="226">
        <f>+[4]SLP!BJ18+[4]ROSA!BJ18+'[4]STA ANA'!BJ18+[4]BOA!BJ18+'[4]STA MARIA'!BJ18+'[4]CB I'!BJ18+'[4]CB II'!BJ18+'[4]CB III'!BJ18+[4]IG!BJ18+[4]PN!BJ18+[4]MJ!BJ18+'[4]RB I'!BJ18+'[4]SF I'!BJ18</f>
        <v>77218.7438408936</v>
      </c>
      <c r="BK18" s="226">
        <f>+[4]SLP!BK18+[4]ROSA!BK18+'[4]STA ANA'!BK18+[4]BOA!BK18+'[4]STA MARIA'!BK18+'[4]CB I'!BK18+'[4]CB II'!BK18+'[4]CB III'!BK18+[4]IG!BK18+[4]PN!BK18+[4]MJ!BK18+'[4]RB I'!BK18+'[4]SF I'!BK18</f>
        <v>10819.956239933672</v>
      </c>
      <c r="BL18" s="226">
        <f>+[4]SLP!BL18+[4]ROSA!BL18+'[4]STA ANA'!BL18+[4]BOA!BL18+'[4]STA MARIA'!BL18+'[4]CB I'!BL18+'[4]CB II'!BL18+'[4]CB III'!BL18+[4]IG!BL18+[4]PN!BL18+[4]MJ!BL18+'[4]RB I'!BL18+'[4]SF I'!BL18</f>
        <v>0</v>
      </c>
      <c r="BM18" s="226">
        <f>+[4]SLP!BM18+[4]ROSA!BM18+'[4]STA ANA'!BM18+[4]BOA!BM18+'[4]STA MARIA'!BM18+'[4]CB I'!BM18+'[4]CB II'!BM18+'[4]CB III'!BM18+[4]IG!BM18+[4]PN!BM18+[4]MJ!BM18+'[4]RB I'!BM18+'[4]SF I'!BM18</f>
        <v>0</v>
      </c>
      <c r="BN18" s="166">
        <f>+[4]SLP!BN18+[4]ROSA!BN18+'[4]STA ANA'!BN18+[4]BOA!BN18+'[4]STA MARIA'!BN18+'[4]CB I'!BN18+'[4]CB II'!BN18+'[4]CB III'!BN18+[4]IG!BN18+[4]PN!BN18+[4]MJ!BN18+'[4]RB I'!BN18+'[4]SÃO FRANCISCO'!BN18</f>
        <v>0</v>
      </c>
      <c r="BO18" s="224">
        <f t="shared" si="10"/>
        <v>-1</v>
      </c>
      <c r="BP18" s="225">
        <f>+[4]SLP!BP18+[4]ROSA!BP18+'[4]STA ANA'!BP18+[4]BOA!BP18+'[4]STA MARIA'!BP18+'[4]CB I'!BP18+'[4]CB II'!BP18+'[4]CB III'!BP18+[4]IG!BP18+[4]PN!BP18+[4]MJ!BP18+'[4]RB I'!BP18+'[4]SF I'!BP18</f>
        <v>88038.700080827286</v>
      </c>
      <c r="BQ18" s="226">
        <f>+[4]SLP!BQ18+[4]ROSA!BQ18+'[4]STA ANA'!BQ18+[4]BOA!BQ18+'[4]STA MARIA'!BQ18+'[4]CB I'!BQ18+'[4]CB II'!BQ18+'[4]CB III'!BQ18+[4]IG!BQ18+[4]PN!BQ18+[4]MJ!BQ18+'[4]RB I'!BQ18+'[4]SF I'!BQ18</f>
        <v>77218.7438408936</v>
      </c>
      <c r="BR18" s="226">
        <f>+[4]SLP!BR18+[4]ROSA!BR18+'[4]STA ANA'!BR18+[4]BOA!BR18+'[4]STA MARIA'!BR18+'[4]CB I'!BR18+'[4]CB II'!BR18+'[4]CB III'!BR18+[4]IG!BR18+[4]PN!BR18+[4]MJ!BR18+'[4]RB I'!BR18+'[4]SF I'!BR18</f>
        <v>10819.956239933672</v>
      </c>
      <c r="BS18" s="226">
        <f>+[4]SLP!BS18+[4]ROSA!BS18+'[4]STA ANA'!BS18+[4]BOA!BS18+'[4]STA MARIA'!BS18+'[4]CB I'!BS18+'[4]CB II'!BS18+'[4]CB III'!BS18+[4]IG!BS18+[4]PN!BS18+[4]MJ!BS18+'[4]RB I'!BS18+'[4]SF I'!BS18</f>
        <v>0</v>
      </c>
      <c r="BT18" s="226">
        <f>+[4]SLP!BT18+[4]ROSA!BT18+'[4]STA ANA'!BT18+[4]BOA!BT18+'[4]STA MARIA'!BT18+'[4]CB I'!BT18+'[4]CB II'!BT18+'[4]CB III'!BT18+[4]IG!BT18+[4]PN!BT18+[4]MJ!BT18+'[4]RB I'!BT18+'[4]SF I'!BT18</f>
        <v>0</v>
      </c>
      <c r="BU18" s="166">
        <f>+[4]SLP!BU18+[4]ROSA!BU18+'[4]STA ANA'!BU18+[4]BOA!BU18+'[4]STA MARIA'!BU18+'[4]CB I'!BU18+'[4]CB II'!BU18+'[4]CB III'!BU18+[4]IG!BU18+[4]PN!BU18+[4]MJ!BU18+'[4]RB I'!BU18+'[4]SÃO FRANCISCO'!BU18</f>
        <v>0</v>
      </c>
      <c r="BV18" s="224">
        <f t="shared" si="11"/>
        <v>-1</v>
      </c>
      <c r="BW18" s="225">
        <f>+[4]SLP!BW18+[4]ROSA!BW18+'[4]STA ANA'!BW18+[4]BOA!BW18+'[4]STA MARIA'!BW18+'[4]CB I'!BW18+'[4]CB II'!BW18+'[4]CB III'!BW18+[4]IG!BW18+[4]PN!BW18+[4]MJ!BW18+'[4]RB I'!BW18+'[4]SF I'!BW18</f>
        <v>88038.700080827286</v>
      </c>
      <c r="BX18" s="226">
        <f>+[4]SLP!BX18+[4]ROSA!BX18+'[4]STA ANA'!BX18+[4]BOA!BX18+'[4]STA MARIA'!BX18+'[4]CB I'!BX18+'[4]CB II'!BX18+'[4]CB III'!BX18+[4]IG!BX18+[4]PN!BX18+[4]MJ!BX18+'[4]RB I'!BX18+'[4]SF I'!BX18</f>
        <v>77218.7438408936</v>
      </c>
      <c r="BY18" s="226">
        <f>+[4]SLP!BY18+[4]ROSA!BY18+'[4]STA ANA'!BY18+[4]BOA!BY18+'[4]STA MARIA'!BY18+'[4]CB I'!BY18+'[4]CB II'!BY18+'[4]CB III'!BY18+[4]IG!BY18+[4]PN!BY18+[4]MJ!BY18+'[4]RB I'!BY18+'[4]SF I'!BY18</f>
        <v>10819.956239933672</v>
      </c>
      <c r="BZ18" s="226">
        <f>+[4]SLP!BZ18+[4]ROSA!BZ18+'[4]STA ANA'!BZ18+[4]BOA!BZ18+'[4]STA MARIA'!BZ18+'[4]CB I'!BZ18+'[4]CB II'!BZ18+'[4]CB III'!BZ18+[4]IG!BZ18+[4]PN!BZ18+[4]MJ!BZ18+'[4]RB I'!BZ18+'[4]SF I'!BZ18</f>
        <v>0</v>
      </c>
      <c r="CA18" s="226">
        <f>+[4]SLP!CA18+[4]ROSA!CA18+'[4]STA ANA'!CA18+[4]BOA!CA18+'[4]STA MARIA'!CA18+'[4]CB I'!CA18+'[4]CB II'!CA18+'[4]CB III'!CA18+[4]IG!CA18+[4]PN!CA18+[4]MJ!CA18+'[4]RB I'!CA18+'[4]SF I'!CA18</f>
        <v>0</v>
      </c>
      <c r="CB18" s="166">
        <f>+[4]SLP!CB18+[4]ROSA!CB18+'[4]STA ANA'!CB18+[4]BOA!CB18+'[4]STA MARIA'!CB18+'[4]CB I'!CB18+'[4]CB II'!CB18+'[4]CB III'!CB18+[4]IG!CB18+[4]PN!CB18+[4]MJ!CB18+'[4]RB I'!CB18+'[4]SÃO FRANCISCO'!CB18</f>
        <v>0</v>
      </c>
      <c r="CC18" s="224">
        <f t="shared" si="12"/>
        <v>-1</v>
      </c>
      <c r="CD18" s="225">
        <f>+[4]SLP!CD18+[4]ROSA!CD18+'[4]STA ANA'!CD18+[4]BOA!CD18+'[4]STA MARIA'!CD18+'[4]CB I'!CD18+'[4]CB II'!CD18+'[4]CB III'!CD18+[4]IG!CD18+[4]PN!CD18+[4]MJ!CD18+'[4]RB I'!CD18+'[4]SF I'!CD18</f>
        <v>88038.700080827286</v>
      </c>
      <c r="CE18" s="226">
        <f>+[4]SLP!CE18+[4]ROSA!CE18+'[4]STA ANA'!CE18+[4]BOA!CE18+'[4]STA MARIA'!CE18+'[4]CB I'!CE18+'[4]CB II'!CE18+'[4]CB III'!CE18+[4]IG!CE18+[4]PN!CE18+[4]MJ!CE18+'[4]RB I'!CE18+'[4]SF I'!CE18</f>
        <v>77218.7438408936</v>
      </c>
      <c r="CF18" s="226">
        <f>+[4]SLP!CF18+[4]ROSA!CF18+'[4]STA ANA'!CF18+[4]BOA!CF18+'[4]STA MARIA'!CF18+'[4]CB I'!CF18+'[4]CB II'!CF18+'[4]CB III'!CF18+[4]IG!CF18+[4]PN!CF18+[4]MJ!CF18+'[4]RB I'!CF18+'[4]SF I'!CF18</f>
        <v>10819.956239933672</v>
      </c>
      <c r="CG18" s="226">
        <f>+[4]SLP!CG18+[4]ROSA!CG18+'[4]STA ANA'!CG18+[4]BOA!CG18+'[4]STA MARIA'!CG18+'[4]CB I'!CG18+'[4]CB II'!CG18+'[4]CB III'!CG18+[4]IG!CG18+[4]PN!CG18+[4]MJ!CG18+'[4]RB I'!CG18+'[4]SF I'!CG18</f>
        <v>0</v>
      </c>
      <c r="CH18" s="226">
        <f>+[4]SLP!CH18+[4]ROSA!CH18+'[4]STA ANA'!CH18+[4]BOA!CH18+'[4]STA MARIA'!CH18+'[4]CB I'!CH18+'[4]CB II'!CH18+'[4]CB III'!CH18+[4]IG!CH18+[4]PN!CH18+[4]MJ!CH18+'[4]RB I'!CH18+'[4]SF I'!CH18</f>
        <v>0</v>
      </c>
      <c r="CI18" s="166">
        <f>+[4]SLP!CI18+[4]ROSA!CI18+'[4]STA ANA'!CI18+[4]BOA!CI18+'[4]STA MARIA'!CI18+'[4]CB I'!CI18+'[4]CB II'!CI18+'[4]CB III'!CI18+[4]IG!CI18+[4]PN!CI18+[4]MJ!CI18+'[4]RB I'!CI18+'[4]SÃO FRANCISCO'!CI18</f>
        <v>0</v>
      </c>
      <c r="CJ18" s="224">
        <f t="shared" si="13"/>
        <v>-1</v>
      </c>
      <c r="CK18" s="225">
        <f>+[4]SLP!CK18+[4]ROSA!CK18+'[4]STA ANA'!CK18+[4]BOA!CK18+'[4]STA MARIA'!CK18+'[4]CB I'!CK18+'[4]CB II'!CK18+'[4]CB III'!CK18+[4]IG!CK18+[4]PN!CK18+[4]MJ!CK18+'[4]RB I'!CK18+'[4]SF I'!CK18</f>
        <v>88038.700080827286</v>
      </c>
      <c r="CL18" s="226">
        <f>+[4]SLP!CL18+[4]ROSA!CL18+'[4]STA ANA'!CL18+[4]BOA!CL18+'[4]STA MARIA'!CL18+'[4]CB I'!CL18+'[4]CB II'!CL18+'[4]CB III'!CL18+[4]IG!CL18+[4]PN!CL18+[4]MJ!CL18+'[4]RB I'!CL18+'[4]SF I'!CL18</f>
        <v>77218.7438408936</v>
      </c>
      <c r="CM18" s="226">
        <f>+[4]SLP!CM18+[4]ROSA!CM18+'[4]STA ANA'!CM18+[4]BOA!CM18+'[4]STA MARIA'!CM18+'[4]CB I'!CM18+'[4]CB II'!CM18+'[4]CB III'!CM18+[4]IG!CM18+[4]PN!CM18+[4]MJ!CM18+'[4]RB I'!CM18+'[4]SF I'!CM18</f>
        <v>10819.956239933672</v>
      </c>
      <c r="CN18" s="226">
        <f>+[4]SLP!CN18+[4]ROSA!CN18+'[4]STA ANA'!CN18+[4]BOA!CN18+'[4]STA MARIA'!CN18+'[4]CB I'!CN18+'[4]CB II'!CN18+'[4]CB III'!CN18+[4]IG!CN18+[4]PN!CN18+[4]MJ!CN18+'[4]RB I'!CN18+'[4]SF I'!CN18</f>
        <v>0</v>
      </c>
      <c r="CO18" s="226">
        <f>+[4]SLP!CO18+[4]ROSA!CO18+'[4]STA ANA'!CO18+[4]BOA!CO18+'[4]STA MARIA'!CO18+'[4]CB I'!CO18+'[4]CB II'!CO18+'[4]CB III'!CO18+[4]IG!CO18+[4]PN!CO18+[4]MJ!CO18+'[4]RB I'!CO18+'[4]SF I'!CO18</f>
        <v>0</v>
      </c>
      <c r="CP18" s="166">
        <f>+[4]SLP!CP18+[4]ROSA!CP18+'[4]STA ANA'!CP18+[4]BOA!CP18+'[4]STA MARIA'!CP18+'[4]CB I'!CP18+'[4]CB II'!CP18+'[4]CB III'!CP18+[4]IG!CP18+[4]PN!CP18+[4]MJ!CP18+'[4]RB I'!CP18+'[4]SÃO FRANCISCO'!CP18</f>
        <v>0</v>
      </c>
      <c r="CQ18" s="224">
        <f t="shared" si="14"/>
        <v>-1</v>
      </c>
      <c r="CR18" s="155"/>
      <c r="CS18" s="227" t="e">
        <f t="shared" si="15"/>
        <v>#VALUE!</v>
      </c>
    </row>
    <row r="19" spans="1:97" ht="16" customHeight="1" x14ac:dyDescent="0.2">
      <c r="A19" s="228" t="s">
        <v>43</v>
      </c>
      <c r="B19" s="30">
        <f t="shared" si="0"/>
        <v>328428.5309220893</v>
      </c>
      <c r="C19" s="31">
        <f t="shared" si="0"/>
        <v>288064.66447176464</v>
      </c>
      <c r="D19" s="32">
        <f t="shared" si="0"/>
        <v>40363.866450324771</v>
      </c>
      <c r="E19" s="30">
        <f t="shared" si="16"/>
        <v>109476.17697402979</v>
      </c>
      <c r="F19" s="33">
        <f t="shared" si="16"/>
        <v>96021.554823921542</v>
      </c>
      <c r="G19" s="34">
        <f t="shared" si="16"/>
        <v>13454.62215010826</v>
      </c>
      <c r="H19" s="31">
        <f t="shared" si="1"/>
        <v>133652.8176261776</v>
      </c>
      <c r="I19" s="33">
        <f t="shared" si="1"/>
        <v>11575.104325746706</v>
      </c>
      <c r="J19" s="33">
        <f t="shared" si="1"/>
        <v>145227.92195192428</v>
      </c>
      <c r="K19" s="224">
        <f t="shared" si="2"/>
        <v>0.32657100353783464</v>
      </c>
      <c r="L19" s="225">
        <f>+[4]SLP!L19+[4]ROSA!L19+'[4]STA ANA'!L19+[4]BOA!L19+'[4]STA MARIA'!L19+'[4]CB I'!L19+'[4]CB II'!L19+'[4]CB III'!L19+[4]IG!L19+[4]PN!L19+[4]MJ!L19+'[4]RB I'!L19+'[4]SF I'!L19</f>
        <v>27369.044243507447</v>
      </c>
      <c r="M19" s="226">
        <f>+[4]SLP!M19+[4]ROSA!M19+'[4]STA ANA'!M19+[4]BOA!M19+'[4]STA MARIA'!M19+'[4]CB I'!M19+'[4]CB II'!M19+'[4]CB III'!M19+[4]IG!M19+[4]PN!M19+[4]MJ!M19+'[4]RB I'!M19+'[4]SF I'!M19</f>
        <v>24005.388705980386</v>
      </c>
      <c r="N19" s="226">
        <f>+[4]SLP!N19+[4]ROSA!N19+'[4]STA ANA'!N19+[4]BOA!N19+'[4]STA MARIA'!N19+'[4]CB I'!N19+'[4]CB II'!N19+'[4]CB III'!N19+[4]IG!N19+[4]PN!N19+[4]MJ!N19+'[4]RB I'!N19+'[4]SF I'!N19</f>
        <v>3363.655537527065</v>
      </c>
      <c r="O19" s="226">
        <f>+[4]SLP!O19+[4]ROSA!O19+'[4]STA ANA'!O19+[4]BOA!O19+'[4]STA MARIA'!O19+'[4]CB I'!O19+'[4]CB II'!O19+'[4]CB III'!O19+[4]IG!O19+[4]PN!O19+[4]MJ!O19+'[4]RB I'!O19+'[4]SF I'!O19</f>
        <v>39496.683120592657</v>
      </c>
      <c r="P19" s="226">
        <f>+[4]SLP!P19+[4]ROSA!P19+'[4]STA ANA'!P19+[4]BOA!P19+'[4]STA MARIA'!P19+'[4]CB I'!P19+'[4]CB II'!P19+'[4]CB III'!P19+[4]IG!P19+[4]PN!P19+[4]MJ!P19+'[4]RB I'!P19+'[4]SF I'!P19</f>
        <v>3391.2375626059707</v>
      </c>
      <c r="Q19" s="166">
        <f>+[4]SLP!Q19+[4]ROSA!Q19+'[4]STA ANA'!Q19+[4]BOA!Q19+'[4]STA MARIA'!Q19+'[4]CB I'!Q19+'[4]CB II'!Q19+'[4]CB III'!Q19+[4]IG!Q19+[4]PN!Q19+[4]MJ!Q19+'[4]RB I'!Q19+'[4]SF I'!Q19</f>
        <v>42887.920683198623</v>
      </c>
      <c r="R19" s="224">
        <f t="shared" si="3"/>
        <v>0.56702295855189022</v>
      </c>
      <c r="S19" s="225">
        <f>+[4]SLP!S19+[4]ROSA!S19+'[4]STA ANA'!S19+[4]BOA!S19+'[4]STA MARIA'!S19+'[4]CB I'!S19+'[4]CB II'!S19+'[4]CB III'!S19+[4]IG!S19+[4]PN!S19+[4]MJ!S19+'[4]RB I'!S19+'[4]SF I'!S19</f>
        <v>27369.044243507447</v>
      </c>
      <c r="T19" s="226">
        <f>+[4]SLP!T19+[4]ROSA!T19+'[4]STA ANA'!T19+[4]BOA!T19+'[4]STA MARIA'!T19+'[4]CB I'!T19+'[4]CB II'!T19+'[4]CB III'!T19+[4]IG!T19+[4]PN!T19+[4]MJ!T19+'[4]RB I'!T19+'[4]SF I'!T19</f>
        <v>24005.388705980386</v>
      </c>
      <c r="U19" s="226">
        <f>+[4]SLP!U19+[4]ROSA!U19+'[4]STA ANA'!U19+[4]BOA!U19+'[4]STA MARIA'!U19+'[4]CB I'!U19+'[4]CB II'!U19+'[4]CB III'!U19+[4]IG!U19+[4]PN!U19+[4]MJ!U19+'[4]RB I'!U19+'[4]SF I'!U19</f>
        <v>3363.655537527065</v>
      </c>
      <c r="V19" s="226">
        <f>+[4]SLP!V19+[4]ROSA!V19+'[4]STA ANA'!V19+[4]BOA!V19+'[4]STA MARIA'!V19+'[4]CB I'!V19+'[4]CB II'!V19+'[4]CB III'!V19+[4]IG!V19+[4]PN!V19+[4]MJ!V19+'[4]RB I'!V19+'[4]SF I'!V19</f>
        <v>23779.386357648538</v>
      </c>
      <c r="W19" s="226">
        <f>+[4]SLP!W19+[4]ROSA!W19+'[4]STA ANA'!W19+[4]BOA!W19+'[4]STA MARIA'!W19+'[4]CB I'!W19+'[4]CB II'!W19+'[4]CB III'!W19+[4]IG!W19+[4]PN!W19+[4]MJ!W19+'[4]RB I'!W19+'[4]SF I'!W19</f>
        <v>2448.6234139937906</v>
      </c>
      <c r="X19" s="166">
        <f>[4]SLP!X19+[4]ROSA!X19+'[4]STA ANA'!X19+[4]BOA!X19+'[4]STA MARIA'!X19+'[4]CB I'!X19+'[4]CB II'!X19+'[4]CB III'!X19+[4]IG!X19+[4]PN!X19+[4]MJ!X19+'[4]RB I'!X19+'[4]SF I'!X19</f>
        <v>26228.009771642333</v>
      </c>
      <c r="Y19" s="224">
        <f t="shared" si="4"/>
        <v>-4.1690694849009668E-2</v>
      </c>
      <c r="Z19" s="225">
        <f>+[4]SLP!Z19+[4]ROSA!Z19+'[4]STA ANA'!Z19+[4]BOA!Z19+'[4]STA MARIA'!Z19+'[4]CB I'!Z19+'[4]CB II'!Z19+'[4]CB III'!Z19+[4]IG!Z19+[4]PN!Z19+[4]MJ!Z19+'[4]RB I'!Z19+'[4]SF I'!Z19</f>
        <v>27369.044243507447</v>
      </c>
      <c r="AA19" s="226">
        <f>+[4]SLP!AA19+[4]ROSA!AA19+'[4]STA ANA'!AA19+[4]BOA!AA19+'[4]STA MARIA'!AA19+'[4]CB I'!AA19+'[4]CB II'!AA19+'[4]CB III'!AA19+[4]IG!AA19+[4]PN!AA19+[4]MJ!AA19+'[4]RB I'!AA19+'[4]SF I'!AA19</f>
        <v>24005.388705980386</v>
      </c>
      <c r="AB19" s="226">
        <f>+[4]SLP!AB19+[4]ROSA!AB19+'[4]STA ANA'!AB19+[4]BOA!AB19+'[4]STA MARIA'!AB19+'[4]CB I'!AB19+'[4]CB II'!AB19+'[4]CB III'!AB19+[4]IG!AB19+[4]PN!AB19+[4]MJ!AB19+'[4]RB I'!AB19+'[4]SF I'!AB19</f>
        <v>3363.655537527065</v>
      </c>
      <c r="AC19" s="226">
        <f>+[4]SLP!AC19+[4]ROSA!AC19+'[4]STA ANA'!AC19+[4]BOA!AC19+'[4]STA MARIA'!AC19+'[4]CB I'!AC19+'[4]CB II'!AC19+'[4]CB III'!AC19+[4]IG!AC19+[4]PN!AC19+[4]MJ!AC19+'[4]RB I'!AC19+'[4]SF I'!AC19</f>
        <v>25380.483792917337</v>
      </c>
      <c r="AD19" s="226">
        <f>+[4]SLP!AD19+[4]ROSA!AD19+'[4]STA ANA'!AD19+[4]BOA!AD19+'[4]STA MARIA'!AD19+'[4]CB I'!AD19+'[4]CB II'!AD19+'[4]CB III'!AD19+[4]IG!AD19+[4]PN!AD19+[4]MJ!AD19+'[4]RB I'!AD19+'[4]SF I'!AD19</f>
        <v>1376.299676819395</v>
      </c>
      <c r="AE19" s="166">
        <f>+[4]SLP!AE19+[4]ROSA!AE19+'[4]STA ANA'!AE19+[4]BOA!AE19+'[4]STA MARIA'!AE19+'[4]CB I'!AE19+'[4]CB II'!AE19+'[4]CB III'!AE19+[4]IG!AE19+[4]PN!AE19+[4]MJ!AE19+'[4]RB I'!AE19+'[4]SF I'!AE19</f>
        <v>26756.783469736736</v>
      </c>
      <c r="AF19" s="224">
        <f t="shared" si="5"/>
        <v>-2.2370557346588882E-2</v>
      </c>
      <c r="AG19" s="225">
        <f>+[4]SLP!AG19+[4]ROSA!AG19+'[4]STA ANA'!AG19+[4]BOA!AG19+'[4]STA MARIA'!AG19+'[4]CB I'!AG19+'[4]CB II'!AG19+'[4]CB III'!AG19+[4]IG!AG19+[4]PN!AG19+[4]MJ!AG19+'[4]RB I'!AG19+'[4]SF I'!AG19</f>
        <v>27369.044243507447</v>
      </c>
      <c r="AH19" s="226">
        <f>+[4]SLP!AH19+[4]ROSA!AH19+'[4]STA ANA'!AH19+[4]BOA!AH19+'[4]STA MARIA'!AH19+'[4]CB I'!AH19+'[4]CB II'!AH19+'[4]CB III'!AH19+[4]IG!AH19+[4]PN!AH19+[4]MJ!AH19+'[4]RB I'!AH19+'[4]SF I'!AH19</f>
        <v>24005.388705980386</v>
      </c>
      <c r="AI19" s="226">
        <f>+[4]SLP!AI19+[4]ROSA!AI19+'[4]STA ANA'!AI19+[4]BOA!AI19+'[4]STA MARIA'!AI19+'[4]CB I'!AI19+'[4]CB II'!AI19+'[4]CB III'!AI19+[4]IG!AI19+[4]PN!AI19+[4]MJ!AI19+'[4]RB I'!AI19+'[4]SF I'!AI19</f>
        <v>3363.655537527065</v>
      </c>
      <c r="AJ19" s="226">
        <f>+[4]SLP!AJ19+[4]ROSA!AJ19+'[4]STA ANA'!AJ19+[4]BOA!AJ19+'[4]STA MARIA'!AJ19+'[4]CB I'!AJ19+'[4]CB II'!AJ19+'[4]CB III'!AJ19+[4]IG!AJ19+[4]PN!AJ19+[4]MJ!AJ19+'[4]RB I'!AJ19+'[4]SF I'!AJ19</f>
        <v>44996.264355019055</v>
      </c>
      <c r="AK19" s="226">
        <f>+[4]SLP!AK19+[4]ROSA!AK19+'[4]STA ANA'!AK19+[4]BOA!AK19+'[4]STA MARIA'!AK19+'[4]CB I'!AK19+'[4]CB II'!AK19+'[4]CB III'!AK19+[4]IG!AK19+[4]PN!AK19+[4]MJ!AK19+'[4]RB I'!AK19+'[4]SF I'!AK19</f>
        <v>4358.9436723275494</v>
      </c>
      <c r="AL19" s="166">
        <f>+[4]SLP!AL19+[4]ROSA!AL19+'[4]STA ANA'!AL19+[4]BOA!AL19+'[4]STA MARIA'!AL19+'[4]CB I'!AL19+'[4]CB II'!AL19+'[4]CB III'!AL19+[4]IG!AL19+[4]PN!AL19+[4]MJ!AL19+'[4]RB I'!AL19+'[4]SF I'!AL19</f>
        <v>49355.208027346598</v>
      </c>
      <c r="AM19" s="224">
        <f t="shared" si="6"/>
        <v>0.8033223077950471</v>
      </c>
      <c r="AN19" s="225">
        <f>+[4]SLP!AN19+[4]ROSA!AN19+'[4]STA ANA'!AN19+[4]BOA!AN19+'[4]STA MARIA'!AN19+'[4]CB I'!AN19+'[4]CB II'!AN19+'[4]CB III'!AN19+[4]IG!AN19+[4]PN!AN19+[4]MJ!AN19+'[4]RB I'!AN19+'[4]SF I'!AN19</f>
        <v>27369.044243507447</v>
      </c>
      <c r="AO19" s="226">
        <f>+[4]SLP!AO19+[4]ROSA!AO19+'[4]STA ANA'!AO19+[4]BOA!AO19+'[4]STA MARIA'!AO19+'[4]CB I'!AO19+'[4]CB II'!AO19+'[4]CB III'!AO19+[4]IG!AO19+[4]PN!AO19+[4]MJ!AO19+'[4]RB I'!AO19+'[4]SF I'!AO19</f>
        <v>24005.388705980386</v>
      </c>
      <c r="AP19" s="226">
        <f>+[4]SLP!AP19+[4]ROSA!AP19+'[4]STA ANA'!AP19+[4]BOA!AP19+'[4]STA MARIA'!AP19+'[4]CB I'!AP19+'[4]CB II'!AP19+'[4]CB III'!AP19+[4]IG!AP19+[4]PN!AP19+[4]MJ!AP19+'[4]RB I'!AP19+'[4]SF I'!AP19</f>
        <v>3363.655537527065</v>
      </c>
      <c r="AQ19" s="226">
        <f>+[4]SLP!AQ19+[4]ROSA!AQ19+'[4]STA ANA'!AQ19+[4]BOA!AQ19+'[4]STA MARIA'!AQ19+'[4]CB I'!AQ19+'[4]CB II'!AQ19+'[4]CB III'!AQ19+[4]IG!AQ19+[4]PN!AQ19+[4]MJ!AQ19+'[4]RB I'!AQ19+'[4]SF I'!AQ19</f>
        <v>0</v>
      </c>
      <c r="AR19" s="226">
        <f>+[4]SLP!AR19+[4]ROSA!AR19+'[4]STA ANA'!AR19+[4]BOA!AR19+'[4]STA MARIA'!AR19+'[4]CB I'!AR19+'[4]CB II'!AR19+'[4]CB III'!AR19+[4]IG!AR19+[4]PN!AR19+[4]MJ!AR19+'[4]RB I'!AR19+'[4]SF I'!AR19</f>
        <v>0</v>
      </c>
      <c r="AS19" s="166">
        <f>+[4]SLP!AS19+[4]ROSA!AS19+'[4]STA ANA'!AS19+[4]BOA!AS19+'[4]STA MARIA'!AS19+'[4]CB I'!AS19+'[4]CB II'!AS19+'[4]CB III'!AS19+[4]IG!AS19+[4]PN!AS19+[4]MJ!AS19+'[4]RB I'!AS19+'[4]SÃO FRANCISCO'!AS19</f>
        <v>0</v>
      </c>
      <c r="AT19" s="224">
        <f t="shared" si="7"/>
        <v>-1</v>
      </c>
      <c r="AU19" s="225">
        <f>+[4]SLP!AU19+[4]ROSA!AU19+'[4]STA ANA'!AU19+[4]BOA!AU19+'[4]STA MARIA'!AU19+'[4]CB I'!AU19+'[4]CB II'!AU19+'[4]CB III'!AU19+[4]IG!AU19+[4]PN!AU19+[4]MJ!AU19+'[4]RB I'!AU19+'[4]SF I'!AU19</f>
        <v>27369.044243507447</v>
      </c>
      <c r="AV19" s="226">
        <f>+[4]SLP!AV19+[4]ROSA!AV19+'[4]STA ANA'!AV19+[4]BOA!AV19+'[4]STA MARIA'!AV19+'[4]CB I'!AV19+'[4]CB II'!AV19+'[4]CB III'!AV19+[4]IG!AV19+[4]PN!AV19+[4]MJ!AV19+'[4]RB I'!AV19+'[4]SF I'!AV19</f>
        <v>24005.388705980386</v>
      </c>
      <c r="AW19" s="226">
        <f>+[4]SLP!AW19+[4]ROSA!AW19+'[4]STA ANA'!AW19+[4]BOA!AW19+'[4]STA MARIA'!AW19+'[4]CB I'!AW19+'[4]CB II'!AW19+'[4]CB III'!AW19+[4]IG!AW19+[4]PN!AW19+[4]MJ!AW19+'[4]RB I'!AW19+'[4]SF I'!AW19</f>
        <v>3363.655537527065</v>
      </c>
      <c r="AX19" s="226">
        <f>+[4]SLP!AX19+[4]ROSA!AX19+'[4]STA ANA'!AX19+[4]BOA!AX19+'[4]STA MARIA'!AX19+'[4]CB I'!AX19+'[4]CB II'!AX19+'[4]CB III'!AX19+[4]IG!AX19+[4]PN!AX19+[4]MJ!AX19+'[4]RB I'!AX19+'[4]SF I'!AX19</f>
        <v>0</v>
      </c>
      <c r="AY19" s="226">
        <f>+[4]SLP!AY19+[4]ROSA!AY19+'[4]STA ANA'!AY19+[4]BOA!AY19+'[4]STA MARIA'!AY19+'[4]CB I'!AY19+'[4]CB II'!AY19+'[4]CB III'!AY19+[4]IG!AY19+[4]PN!AY19+[4]MJ!AY19+'[4]RB I'!AY19+'[4]SF I'!AY19</f>
        <v>0</v>
      </c>
      <c r="AZ19" s="166">
        <f>+[4]SLP!AZ19+[4]ROSA!AZ19+'[4]STA ANA'!AZ19+[4]BOA!AZ19+'[4]STA MARIA'!AZ19+'[4]CB I'!AZ19+'[4]CB II'!AZ19+[4]IG!AZ19+[4]PN!AZ19+[4]MJ!AZ19+'[4]RB I'!AZ19+'[4]SÃO FRANCISCO'!AZ19</f>
        <v>0</v>
      </c>
      <c r="BA19" s="224">
        <f t="shared" si="8"/>
        <v>-1</v>
      </c>
      <c r="BB19" s="225">
        <f>+[4]SLP!BB19+[4]ROSA!BB19+'[4]STA ANA'!BB19+[4]BOA!BB19+'[4]STA MARIA'!BB19+'[4]CB I'!BB19+'[4]CB II'!BB19+'[4]CB III'!BB19+[4]IG!BB19+[4]PN!BB19+[4]MJ!BB19+'[4]RB I'!BB19+'[4]SF I'!BB19</f>
        <v>27369.044243507447</v>
      </c>
      <c r="BC19" s="226">
        <f>+[4]SLP!BC19+[4]ROSA!BC19+'[4]STA ANA'!BC19+[4]BOA!BC19+'[4]STA MARIA'!BC19+'[4]CB I'!BC19+'[4]CB II'!BC19+'[4]CB III'!BC19+[4]IG!BC19+[4]PN!BC19+[4]MJ!BC19+'[4]RB I'!BC19+'[4]SF I'!BC19</f>
        <v>24005.388705980386</v>
      </c>
      <c r="BD19" s="226">
        <f>+[4]SLP!BD19+[4]ROSA!BD19+'[4]STA ANA'!BD19+[4]BOA!BD19+'[4]STA MARIA'!BD19+'[4]CB I'!BD19+'[4]CB II'!BD19+'[4]CB III'!BD19+[4]IG!BD19+[4]PN!BD19+[4]MJ!BD19+'[4]RB I'!BD19+'[4]SF I'!BD19</f>
        <v>3363.655537527065</v>
      </c>
      <c r="BE19" s="226">
        <f>+[4]SLP!BE19+[4]ROSA!BE19+'[4]STA ANA'!BE19+[4]BOA!BE19+'[4]STA MARIA'!BE19+'[4]CB I'!BE19+'[4]CB II'!BE19+'[4]CB III'!BE19+[4]IG!BE19+[4]PN!BE19+[4]MJ!BE19+'[4]RB I'!BE19+'[4]SF I'!BE19</f>
        <v>0</v>
      </c>
      <c r="BF19" s="226">
        <f>+[4]SLP!BF19+[4]ROSA!BF19+'[4]STA ANA'!BF19+[4]BOA!BF19+'[4]STA MARIA'!BF19+'[4]CB I'!BF19+'[4]CB II'!BF19+'[4]CB III'!BF19+[4]IG!BF19+[4]PN!BF19+[4]MJ!BF19+'[4]RB I'!BF19+'[4]SF I'!BF19</f>
        <v>0</v>
      </c>
      <c r="BG19" s="166">
        <f>+[4]SLP!BG19+[4]ROSA!BG19+'[4]STA ANA'!BG19+[4]BOA!BG19+'[4]STA MARIA'!BG19+'[4]CB I'!BG19+'[4]CB II'!BG19+'[4]CB III'!BG19+[4]IG!BG19+[4]PN!BG19+[4]MJ!BG19+'[4]RB I'!BG19+'[4]SÃO FRANCISCO'!BG19</f>
        <v>0</v>
      </c>
      <c r="BH19" s="224">
        <f t="shared" si="9"/>
        <v>-1</v>
      </c>
      <c r="BI19" s="225">
        <f>+[4]SLP!BI19+[4]ROSA!BI19+'[4]STA ANA'!BI19+[4]BOA!BI19+'[4]STA MARIA'!BI19+'[4]CB I'!BI19+'[4]CB II'!BI19+'[4]CB III'!BI19+[4]IG!BI19+[4]PN!BI19+[4]MJ!BI19+'[4]RB I'!BI19+'[4]SF I'!BI19</f>
        <v>27369.044243507447</v>
      </c>
      <c r="BJ19" s="226">
        <f>+[4]SLP!BJ19+[4]ROSA!BJ19+'[4]STA ANA'!BJ19+[4]BOA!BJ19+'[4]STA MARIA'!BJ19+'[4]CB I'!BJ19+'[4]CB II'!BJ19+'[4]CB III'!BJ19+[4]IG!BJ19+[4]PN!BJ19+[4]MJ!BJ19+'[4]RB I'!BJ19+'[4]SF I'!BJ19</f>
        <v>24005.388705980386</v>
      </c>
      <c r="BK19" s="226">
        <f>+[4]SLP!BK19+[4]ROSA!BK19+'[4]STA ANA'!BK19+[4]BOA!BK19+'[4]STA MARIA'!BK19+'[4]CB I'!BK19+'[4]CB II'!BK19+'[4]CB III'!BK19+[4]IG!BK19+[4]PN!BK19+[4]MJ!BK19+'[4]RB I'!BK19+'[4]SF I'!BK19</f>
        <v>3363.655537527065</v>
      </c>
      <c r="BL19" s="226">
        <f>+[4]SLP!BL19+[4]ROSA!BL19+'[4]STA ANA'!BL19+[4]BOA!BL19+'[4]STA MARIA'!BL19+'[4]CB I'!BL19+'[4]CB II'!BL19+'[4]CB III'!BL19+[4]IG!BL19+[4]PN!BL19+[4]MJ!BL19+'[4]RB I'!BL19+'[4]SF I'!BL19</f>
        <v>0</v>
      </c>
      <c r="BM19" s="226">
        <f>+[4]SLP!BM19+[4]ROSA!BM19+'[4]STA ANA'!BM19+[4]BOA!BM19+'[4]STA MARIA'!BM19+'[4]CB I'!BM19+'[4]CB II'!BM19+'[4]CB III'!BM19+[4]IG!BM19+[4]PN!BM19+[4]MJ!BM19+'[4]RB I'!BM19+'[4]SF I'!BM19</f>
        <v>0</v>
      </c>
      <c r="BN19" s="166">
        <f>+[4]SLP!BN19+[4]ROSA!BN19+'[4]STA ANA'!BN19+[4]BOA!BN19+'[4]STA MARIA'!BN19+'[4]CB I'!BN19+'[4]CB II'!BN19+'[4]CB III'!BN19+[4]IG!BN19+[4]PN!BN19+[4]MJ!BN19+'[4]RB I'!BN19+'[4]SÃO FRANCISCO'!BN19</f>
        <v>0</v>
      </c>
      <c r="BO19" s="224">
        <f t="shared" si="10"/>
        <v>-1</v>
      </c>
      <c r="BP19" s="225">
        <f>+[4]SLP!BP19+[4]ROSA!BP19+'[4]STA ANA'!BP19+[4]BOA!BP19+'[4]STA MARIA'!BP19+'[4]CB I'!BP19+'[4]CB II'!BP19+'[4]CB III'!BP19+[4]IG!BP19+[4]PN!BP19+[4]MJ!BP19+'[4]RB I'!BP19+'[4]SF I'!BP19</f>
        <v>27369.044243507447</v>
      </c>
      <c r="BQ19" s="226">
        <f>+[4]SLP!BQ19+[4]ROSA!BQ19+'[4]STA ANA'!BQ19+[4]BOA!BQ19+'[4]STA MARIA'!BQ19+'[4]CB I'!BQ19+'[4]CB II'!BQ19+'[4]CB III'!BQ19+[4]IG!BQ19+[4]PN!BQ19+[4]MJ!BQ19+'[4]RB I'!BQ19+'[4]SF I'!BQ19</f>
        <v>24005.388705980386</v>
      </c>
      <c r="BR19" s="226">
        <f>+[4]SLP!BR19+[4]ROSA!BR19+'[4]STA ANA'!BR19+[4]BOA!BR19+'[4]STA MARIA'!BR19+'[4]CB I'!BR19+'[4]CB II'!BR19+'[4]CB III'!BR19+[4]IG!BR19+[4]PN!BR19+[4]MJ!BR19+'[4]RB I'!BR19+'[4]SF I'!BR19</f>
        <v>3363.655537527065</v>
      </c>
      <c r="BS19" s="226">
        <f>+[4]SLP!BS19+[4]ROSA!BS19+'[4]STA ANA'!BS19+[4]BOA!BS19+'[4]STA MARIA'!BS19+'[4]CB I'!BS19+'[4]CB II'!BS19+'[4]CB III'!BS19+[4]IG!BS19+[4]PN!BS19+[4]MJ!BS19+'[4]RB I'!BS19+'[4]SF I'!BS19</f>
        <v>0</v>
      </c>
      <c r="BT19" s="226">
        <f>+[4]SLP!BT19+[4]ROSA!BT19+'[4]STA ANA'!BT19+[4]BOA!BT19+'[4]STA MARIA'!BT19+'[4]CB I'!BT19+'[4]CB II'!BT19+'[4]CB III'!BT19+[4]IG!BT19+[4]PN!BT19+[4]MJ!BT19+'[4]RB I'!BT19+'[4]SF I'!BT19</f>
        <v>0</v>
      </c>
      <c r="BU19" s="166">
        <f>+[4]SLP!BU19+[4]ROSA!BU19+'[4]STA ANA'!BU19+[4]BOA!BU19+'[4]STA MARIA'!BU19+'[4]CB I'!BU19+'[4]CB II'!BU19+'[4]CB III'!BU19+[4]IG!BU19+[4]PN!BU19+[4]MJ!BU19+'[4]RB I'!BU19+'[4]SÃO FRANCISCO'!BU19</f>
        <v>0</v>
      </c>
      <c r="BV19" s="224">
        <f t="shared" si="11"/>
        <v>-1</v>
      </c>
      <c r="BW19" s="225">
        <f>+[4]SLP!BW19+[4]ROSA!BW19+'[4]STA ANA'!BW19+[4]BOA!BW19+'[4]STA MARIA'!BW19+'[4]CB I'!BW19+'[4]CB II'!BW19+'[4]CB III'!BW19+[4]IG!BW19+[4]PN!BW19+[4]MJ!BW19+'[4]RB I'!BW19+'[4]SF I'!BW19</f>
        <v>27369.044243507447</v>
      </c>
      <c r="BX19" s="226">
        <f>+[4]SLP!BX19+[4]ROSA!BX19+'[4]STA ANA'!BX19+[4]BOA!BX19+'[4]STA MARIA'!BX19+'[4]CB I'!BX19+'[4]CB II'!BX19+'[4]CB III'!BX19+[4]IG!BX19+[4]PN!BX19+[4]MJ!BX19+'[4]RB I'!BX19+'[4]SF I'!BX19</f>
        <v>24005.388705980386</v>
      </c>
      <c r="BY19" s="226">
        <f>+[4]SLP!BY19+[4]ROSA!BY19+'[4]STA ANA'!BY19+[4]BOA!BY19+'[4]STA MARIA'!BY19+'[4]CB I'!BY19+'[4]CB II'!BY19+'[4]CB III'!BY19+[4]IG!BY19+[4]PN!BY19+[4]MJ!BY19+'[4]RB I'!BY19+'[4]SF I'!BY19</f>
        <v>3363.655537527065</v>
      </c>
      <c r="BZ19" s="226">
        <f>+[4]SLP!BZ19+[4]ROSA!BZ19+'[4]STA ANA'!BZ19+[4]BOA!BZ19+'[4]STA MARIA'!BZ19+'[4]CB I'!BZ19+'[4]CB II'!BZ19+'[4]CB III'!BZ19+[4]IG!BZ19+[4]PN!BZ19+[4]MJ!BZ19+'[4]RB I'!BZ19+'[4]SF I'!BZ19</f>
        <v>0</v>
      </c>
      <c r="CA19" s="226">
        <f>+[4]SLP!CA19+[4]ROSA!CA19+'[4]STA ANA'!CA19+[4]BOA!CA19+'[4]STA MARIA'!CA19+'[4]CB I'!CA19+'[4]CB II'!CA19+'[4]CB III'!CA19+[4]IG!CA19+[4]PN!CA19+[4]MJ!CA19+'[4]RB I'!CA19+'[4]SF I'!CA19</f>
        <v>0</v>
      </c>
      <c r="CB19" s="166">
        <f>+[4]SLP!CB19+[4]ROSA!CB19+'[4]STA ANA'!CB19+[4]BOA!CB19+'[4]STA MARIA'!CB19+'[4]CB I'!CB19+'[4]CB II'!CB19+'[4]CB III'!CB19+[4]IG!CB19+[4]PN!CB19+[4]MJ!CB19+'[4]RB I'!CB19+'[4]SÃO FRANCISCO'!CB19</f>
        <v>0</v>
      </c>
      <c r="CC19" s="224">
        <f t="shared" si="12"/>
        <v>-1</v>
      </c>
      <c r="CD19" s="225">
        <f>+[4]SLP!CD19+[4]ROSA!CD19+'[4]STA ANA'!CD19+[4]BOA!CD19+'[4]STA MARIA'!CD19+'[4]CB I'!CD19+'[4]CB II'!CD19+'[4]CB III'!CD19+[4]IG!CD19+[4]PN!CD19+[4]MJ!CD19+'[4]RB I'!CD19+'[4]SF I'!CD19</f>
        <v>27369.044243507447</v>
      </c>
      <c r="CE19" s="226">
        <f>+[4]SLP!CE19+[4]ROSA!CE19+'[4]STA ANA'!CE19+[4]BOA!CE19+'[4]STA MARIA'!CE19+'[4]CB I'!CE19+'[4]CB II'!CE19+'[4]CB III'!CE19+[4]IG!CE19+[4]PN!CE19+[4]MJ!CE19+'[4]RB I'!CE19+'[4]SF I'!CE19</f>
        <v>24005.388705980386</v>
      </c>
      <c r="CF19" s="226">
        <f>+[4]SLP!CF19+[4]ROSA!CF19+'[4]STA ANA'!CF19+[4]BOA!CF19+'[4]STA MARIA'!CF19+'[4]CB I'!CF19+'[4]CB II'!CF19+'[4]CB III'!CF19+[4]IG!CF19+[4]PN!CF19+[4]MJ!CF19+'[4]RB I'!CF19+'[4]SF I'!CF19</f>
        <v>3363.655537527065</v>
      </c>
      <c r="CG19" s="226">
        <f>+[4]SLP!CG19+[4]ROSA!CG19+'[4]STA ANA'!CG19+[4]BOA!CG19+'[4]STA MARIA'!CG19+'[4]CB I'!CG19+'[4]CB II'!CG19+'[4]CB III'!CG19+[4]IG!CG19+[4]PN!CG19+[4]MJ!CG19+'[4]RB I'!CG19+'[4]SF I'!CG19</f>
        <v>0</v>
      </c>
      <c r="CH19" s="226">
        <f>+[4]SLP!CH19+[4]ROSA!CH19+'[4]STA ANA'!CH19+[4]BOA!CH19+'[4]STA MARIA'!CH19+'[4]CB I'!CH19+'[4]CB II'!CH19+'[4]CB III'!CH19+[4]IG!CH19+[4]PN!CH19+[4]MJ!CH19+'[4]RB I'!CH19+'[4]SF I'!CH19</f>
        <v>0</v>
      </c>
      <c r="CI19" s="166">
        <f>+[4]SLP!CI19+[4]ROSA!CI19+'[4]STA ANA'!CI19+[4]BOA!CI19+'[4]STA MARIA'!CI19+'[4]CB I'!CI19+'[4]CB II'!CI19+'[4]CB III'!CI19+[4]IG!CI19+[4]PN!CI19+[4]MJ!CI19+'[4]RB I'!CI19+'[4]SÃO FRANCISCO'!CI19</f>
        <v>0</v>
      </c>
      <c r="CJ19" s="224">
        <f t="shared" si="13"/>
        <v>-1</v>
      </c>
      <c r="CK19" s="225">
        <f>+[4]SLP!CK19+[4]ROSA!CK19+'[4]STA ANA'!CK19+[4]BOA!CK19+'[4]STA MARIA'!CK19+'[4]CB I'!CK19+'[4]CB II'!CK19+'[4]CB III'!CK19+[4]IG!CK19+[4]PN!CK19+[4]MJ!CK19+'[4]RB I'!CK19+'[4]SF I'!CK19</f>
        <v>27369.044243507447</v>
      </c>
      <c r="CL19" s="226">
        <f>+[4]SLP!CL19+[4]ROSA!CL19+'[4]STA ANA'!CL19+[4]BOA!CL19+'[4]STA MARIA'!CL19+'[4]CB I'!CL19+'[4]CB II'!CL19+'[4]CB III'!CL19+[4]IG!CL19+[4]PN!CL19+[4]MJ!CL19+'[4]RB I'!CL19+'[4]SF I'!CL19</f>
        <v>24005.388705980386</v>
      </c>
      <c r="CM19" s="226">
        <f>+[4]SLP!CM19+[4]ROSA!CM19+'[4]STA ANA'!CM19+[4]BOA!CM19+'[4]STA MARIA'!CM19+'[4]CB I'!CM19+'[4]CB II'!CM19+'[4]CB III'!CM19+[4]IG!CM19+[4]PN!CM19+[4]MJ!CM19+'[4]RB I'!CM19+'[4]SF I'!CM19</f>
        <v>3363.655537527065</v>
      </c>
      <c r="CN19" s="226">
        <f>+[4]SLP!CN19+[4]ROSA!CN19+'[4]STA ANA'!CN19+[4]BOA!CN19+'[4]STA MARIA'!CN19+'[4]CB I'!CN19+'[4]CB II'!CN19+'[4]CB III'!CN19+[4]IG!CN19+[4]PN!CN19+[4]MJ!CN19+'[4]RB I'!CN19+'[4]SF I'!CN19</f>
        <v>0</v>
      </c>
      <c r="CO19" s="226">
        <f>+[4]SLP!CO19+[4]ROSA!CO19+'[4]STA ANA'!CO19+[4]BOA!CO19+'[4]STA MARIA'!CO19+'[4]CB I'!CO19+'[4]CB II'!CO19+'[4]CB III'!CO19+[4]IG!CO19+[4]PN!CO19+[4]MJ!CO19+'[4]RB I'!CO19+'[4]SF I'!CO19</f>
        <v>0</v>
      </c>
      <c r="CP19" s="166">
        <f>+[4]SLP!CP19+[4]ROSA!CP19+'[4]STA ANA'!CP19+[4]BOA!CP19+'[4]STA MARIA'!CP19+'[4]CB I'!CP19+'[4]CB II'!CP19+'[4]CB III'!CP19+[4]IG!CP19+[4]PN!CP19+[4]MJ!CP19+'[4]RB I'!CP19+'[4]SÃO FRANCISCO'!CP19</f>
        <v>0</v>
      </c>
      <c r="CQ19" s="224">
        <f t="shared" si="14"/>
        <v>-1</v>
      </c>
      <c r="CR19" s="155"/>
      <c r="CS19" s="227" t="e">
        <f t="shared" si="15"/>
        <v>#VALUE!</v>
      </c>
    </row>
    <row r="20" spans="1:97" ht="16" customHeight="1" x14ac:dyDescent="0.2">
      <c r="A20" s="223" t="s">
        <v>44</v>
      </c>
      <c r="B20" s="30">
        <f t="shared" si="0"/>
        <v>8556490.7761942744</v>
      </c>
      <c r="C20" s="31">
        <f t="shared" si="0"/>
        <v>7504898.059799999</v>
      </c>
      <c r="D20" s="32">
        <f t="shared" si="0"/>
        <v>1051592.7163942764</v>
      </c>
      <c r="E20" s="30">
        <f t="shared" si="16"/>
        <v>4031821.7402571384</v>
      </c>
      <c r="F20" s="33">
        <f t="shared" si="16"/>
        <v>3536310.8483795361</v>
      </c>
      <c r="G20" s="34">
        <f t="shared" si="16"/>
        <v>495510.89187760238</v>
      </c>
      <c r="H20" s="31">
        <f t="shared" si="1"/>
        <v>2389321.6119957687</v>
      </c>
      <c r="I20" s="33">
        <f t="shared" si="1"/>
        <v>281723.22346899996</v>
      </c>
      <c r="J20" s="33">
        <f t="shared" si="1"/>
        <v>2671044.8354647686</v>
      </c>
      <c r="K20" s="224">
        <f t="shared" si="2"/>
        <v>-0.33750919372382349</v>
      </c>
      <c r="L20" s="225">
        <f>+[4]SLP!L20+[4]ROSA!L20+'[4]STA ANA'!L20+[4]BOA!L20+'[4]STA MARIA'!L20+'[4]CB I'!L20+'[4]CB II'!L20+'[4]CB III'!L20+[4]IG!L20+[4]PN!L20+[4]MJ!L20+'[4]RB I'!L20+'[4]SF I'!L20</f>
        <v>0</v>
      </c>
      <c r="M20" s="226">
        <f>+[4]SLP!M20+[4]ROSA!M20+'[4]STA ANA'!M20+[4]BOA!M20+'[4]STA MARIA'!M20+'[4]CB I'!M20+'[4]CB II'!M20+'[4]CB III'!M20+[4]IG!M20+[4]PN!M20+[4]MJ!M20+'[4]RB I'!M20+'[4]SF I'!M20</f>
        <v>0</v>
      </c>
      <c r="N20" s="226">
        <f>+[4]SLP!N20+[4]ROSA!N20+'[4]STA ANA'!N20+[4]BOA!N20+'[4]STA MARIA'!N20+'[4]CB I'!N20+'[4]CB II'!N20+'[4]CB III'!N20+[4]IG!N20+[4]PN!N20+[4]MJ!N20+'[4]RB I'!N20+'[4]SF I'!N20</f>
        <v>0</v>
      </c>
      <c r="O20" s="226">
        <f>+[4]SLP!O20+[4]ROSA!O20+'[4]STA ANA'!O20+[4]BOA!O20+'[4]STA MARIA'!O20+'[4]CB I'!O20+'[4]CB II'!O20+'[4]CB III'!O20+[4]IG!O20+[4]PN!O20+[4]MJ!O20+'[4]RB I'!O20+'[4]SF I'!O20</f>
        <v>47526.389181999999</v>
      </c>
      <c r="P20" s="226">
        <f>+[4]SLP!P20+[4]ROSA!P20+'[4]STA ANA'!P20+[4]BOA!P20+'[4]STA MARIA'!P20+'[4]CB I'!P20+'[4]CB II'!P20+'[4]CB III'!P20+[4]IG!P20+[4]PN!P20+[4]MJ!P20+'[4]RB I'!P20+'[4]SF I'!P20</f>
        <v>7166.4008180000019</v>
      </c>
      <c r="Q20" s="166">
        <f>+[4]SLP!Q20+[4]ROSA!Q20+'[4]STA ANA'!Q20+[4]BOA!Q20+'[4]STA MARIA'!Q20+'[4]CB I'!Q20+'[4]CB II'!Q20+'[4]CB III'!Q20+[4]IG!Q20+[4]PN!Q20+[4]MJ!Q20+'[4]RB I'!Q20+'[4]SF I'!Q20</f>
        <v>54692.79</v>
      </c>
      <c r="R20" s="224" t="str">
        <f t="shared" si="3"/>
        <v/>
      </c>
      <c r="S20" s="225">
        <f>+[4]SLP!S20+[4]ROSA!S20+'[4]STA ANA'!S20+[4]BOA!S20+'[4]STA MARIA'!S20+'[4]CB I'!S20+'[4]CB II'!S20+'[4]CB III'!S20+[4]IG!S20+[4]PN!S20+[4]MJ!S20+'[4]RB I'!S20+'[4]SF I'!S20</f>
        <v>0</v>
      </c>
      <c r="T20" s="226">
        <f>+[4]SLP!T20+[4]ROSA!T20+'[4]STA ANA'!T20+[4]BOA!T20+'[4]STA MARIA'!T20+'[4]CB I'!T20+'[4]CB II'!T20+'[4]CB III'!T20+[4]IG!T20+[4]PN!T20+[4]MJ!T20+'[4]RB I'!T20+'[4]SF I'!T20</f>
        <v>0</v>
      </c>
      <c r="U20" s="226">
        <f>+[4]SLP!U20+[4]ROSA!U20+'[4]STA ANA'!U20+[4]BOA!U20+'[4]STA MARIA'!U20+'[4]CB I'!U20+'[4]CB II'!U20+'[4]CB III'!U20+[4]IG!U20+[4]PN!U20+[4]MJ!U20+'[4]RB I'!U20+'[4]SF I'!U20</f>
        <v>0</v>
      </c>
      <c r="V20" s="226">
        <f>+[4]SLP!V20+[4]ROSA!V20+'[4]STA ANA'!V20+[4]BOA!V20+'[4]STA MARIA'!V20+'[4]CB I'!V20+'[4]CB II'!V20+'[4]CB III'!V20+[4]IG!V20+[4]PN!V20+[4]MJ!V20+'[4]RB I'!V20+'[4]SF I'!V20</f>
        <v>25370.095974999997</v>
      </c>
      <c r="W20" s="226">
        <f>+[4]SLP!W20+[4]ROSA!W20+'[4]STA ANA'!W20+[4]BOA!W20+'[4]STA MARIA'!W20+'[4]CB I'!W20+'[4]CB II'!W20+'[4]CB III'!W20+[4]IG!W20+[4]PN!W20+[4]MJ!W20+'[4]RB I'!W20+'[4]SF I'!W20</f>
        <v>4496.2940250000001</v>
      </c>
      <c r="X20" s="166">
        <f>[4]SLP!X20+[4]ROSA!X20+'[4]STA ANA'!X20+[4]BOA!X20+'[4]STA MARIA'!X20+'[4]CB I'!X20+'[4]CB II'!X20+'[4]CB III'!X20+[4]IG!X20+[4]PN!X20+[4]MJ!X20+'[4]RB I'!X20+'[4]SF I'!X20</f>
        <v>29866.389999999992</v>
      </c>
      <c r="Y20" s="224" t="str">
        <f t="shared" si="4"/>
        <v/>
      </c>
      <c r="Z20" s="225">
        <f>+[4]SLP!Z20+[4]ROSA!Z20+'[4]STA ANA'!Z20+[4]BOA!Z20+'[4]STA MARIA'!Z20+'[4]CB I'!Z20+'[4]CB II'!Z20+'[4]CB III'!Z20+[4]IG!Z20+[4]PN!Z20+[4]MJ!Z20+'[4]RB I'!Z20+'[4]SF I'!Z20</f>
        <v>4031821.7402571384</v>
      </c>
      <c r="AA20" s="226">
        <f>+[4]SLP!AA20+[4]ROSA!AA20+'[4]STA ANA'!AA20+[4]BOA!AA20+'[4]STA MARIA'!AA20+'[4]CB I'!AA20+'[4]CB II'!AA20+'[4]CB III'!AA20+[4]IG!AA20+[4]PN!AA20+[4]MJ!AA20+'[4]RB I'!AA20+'[4]SF I'!AA20</f>
        <v>3536310.8483795361</v>
      </c>
      <c r="AB20" s="226">
        <f>+[4]SLP!AB20+[4]ROSA!AB20+'[4]STA ANA'!AB20+[4]BOA!AB20+'[4]STA MARIA'!AB20+'[4]CB I'!AB20+'[4]CB II'!AB20+'[4]CB III'!AB20+[4]IG!AB20+[4]PN!AB20+[4]MJ!AB20+'[4]RB I'!AB20+'[4]SF I'!AB20</f>
        <v>495510.89187760238</v>
      </c>
      <c r="AC20" s="226">
        <f>+[4]SLP!AC20+[4]ROSA!AC20+'[4]STA ANA'!AC20+[4]BOA!AC20+'[4]STA MARIA'!AC20+'[4]CB I'!AC20+'[4]CB II'!AC20+'[4]CB III'!AC20+[4]IG!AC20+[4]PN!AC20+[4]MJ!AC20+'[4]RB I'!AC20+'[4]SF I'!AC20</f>
        <v>1353861.9101389998</v>
      </c>
      <c r="AD20" s="226">
        <f>+[4]SLP!AD20+[4]ROSA!AD20+'[4]STA ANA'!AD20+[4]BOA!AD20+'[4]STA MARIA'!AD20+'[4]CB I'!AD20+'[4]CB II'!AD20+'[4]CB III'!AD20+[4]IG!AD20+[4]PN!AD20+[4]MJ!AD20+'[4]RB I'!AD20+'[4]SF I'!AD20</f>
        <v>135937.68986099999</v>
      </c>
      <c r="AE20" s="166">
        <f>+[4]SLP!AE20+[4]ROSA!AE20+'[4]STA ANA'!AE20+[4]BOA!AE20+'[4]STA MARIA'!AE20+'[4]CB I'!AE20+'[4]CB II'!AE20+'[4]CB III'!AE20+[4]IG!AE20+[4]PN!AE20+[4]MJ!AE20+'[4]RB I'!AE20+'[4]SF I'!AE20</f>
        <v>1489799.5999999999</v>
      </c>
      <c r="AF20" s="224">
        <f t="shared" si="5"/>
        <v>-0.6304897150772879</v>
      </c>
      <c r="AG20" s="225">
        <f>+[4]SLP!AG20+[4]ROSA!AG20+'[4]STA ANA'!AG20+[4]BOA!AG20+'[4]STA MARIA'!AG20+'[4]CB I'!AG20+'[4]CB II'!AG20+'[4]CB III'!AG20+[4]IG!AG20+[4]PN!AG20+[4]MJ!AG20+'[4]RB I'!AG20+'[4]SF I'!AG20</f>
        <v>0</v>
      </c>
      <c r="AH20" s="226">
        <f>+[4]SLP!AH20+[4]ROSA!AH20+'[4]STA ANA'!AH20+[4]BOA!AH20+'[4]STA MARIA'!AH20+'[4]CB I'!AH20+'[4]CB II'!AH20+'[4]CB III'!AH20+[4]IG!AH20+[4]PN!AH20+[4]MJ!AH20+'[4]RB I'!AH20+'[4]SF I'!AH20</f>
        <v>0</v>
      </c>
      <c r="AI20" s="226">
        <f>+[4]SLP!AI20+[4]ROSA!AI20+'[4]STA ANA'!AI20+[4]BOA!AI20+'[4]STA MARIA'!AI20+'[4]CB I'!AI20+'[4]CB II'!AI20+'[4]CB III'!AI20+[4]IG!AI20+[4]PN!AI20+[4]MJ!AI20+'[4]RB I'!AI20+'[4]SF I'!AI20</f>
        <v>0</v>
      </c>
      <c r="AJ20" s="226">
        <f>+[4]SLP!AJ20+[4]ROSA!AJ20+'[4]STA ANA'!AJ20+[4]BOA!AJ20+'[4]STA MARIA'!AJ20+'[4]CB I'!AJ20+'[4]CB II'!AJ20+'[4]CB III'!AJ20+[4]IG!AJ20+[4]PN!AJ20+[4]MJ!AJ20+'[4]RB I'!AJ20+'[4]SF I'!AJ20</f>
        <v>962563.21669976891</v>
      </c>
      <c r="AK20" s="226">
        <f>+[4]SLP!AK20+[4]ROSA!AK20+'[4]STA ANA'!AK20+[4]BOA!AK20+'[4]STA MARIA'!AK20+'[4]CB I'!AK20+'[4]CB II'!AK20+'[4]CB III'!AK20+[4]IG!AK20+[4]PN!AK20+[4]MJ!AK20+'[4]RB I'!AK20+'[4]SF I'!AK20</f>
        <v>134122.83876499999</v>
      </c>
      <c r="AL20" s="166">
        <f>+[4]SLP!AL20+[4]ROSA!AL20+'[4]STA ANA'!AL20+[4]BOA!AL20+'[4]STA MARIA'!AL20+'[4]CB I'!AL20+'[4]CB II'!AL20+'[4]CB III'!AL20+[4]IG!AL20+[4]PN!AL20+[4]MJ!AL20+'[4]RB I'!AL20+'[4]SF I'!AL20</f>
        <v>1096686.0554647688</v>
      </c>
      <c r="AM20" s="224" t="str">
        <f t="shared" si="6"/>
        <v/>
      </c>
      <c r="AN20" s="225">
        <f>+[4]SLP!AN20+[4]ROSA!AN20+'[4]STA ANA'!AN20+[4]BOA!AN20+'[4]STA MARIA'!AN20+'[4]CB I'!AN20+'[4]CB II'!AN20+'[4]CB III'!AN20+[4]IG!AN20+[4]PN!AN20+[4]MJ!AN20+'[4]RB I'!AN20+'[4]SF I'!AN20</f>
        <v>101307.66195999998</v>
      </c>
      <c r="AO20" s="226">
        <f>+[4]SLP!AO20+[4]ROSA!AO20+'[4]STA ANA'!AO20+[4]BOA!AO20+'[4]STA MARIA'!AO20+'[4]CB I'!AO20+'[4]CB II'!AO20+'[4]CB III'!AO20+[4]IG!AO20+[4]PN!AO20+[4]MJ!AO20+'[4]RB I'!AO20+'[4]SF I'!AO20</f>
        <v>88856.950305115985</v>
      </c>
      <c r="AP20" s="226">
        <f>+[4]SLP!AP20+[4]ROSA!AP20+'[4]STA ANA'!AP20+[4]BOA!AP20+'[4]STA MARIA'!AP20+'[4]CB I'!AP20+'[4]CB II'!AP20+'[4]CB III'!AP20+[4]IG!AP20+[4]PN!AP20+[4]MJ!AP20+'[4]RB I'!AP20+'[4]SF I'!AP20</f>
        <v>12450.711654883999</v>
      </c>
      <c r="AQ20" s="226">
        <f>+[4]SLP!AQ20+[4]ROSA!AQ20+'[4]STA ANA'!AQ20+[4]BOA!AQ20+'[4]STA MARIA'!AQ20+'[4]CB I'!AQ20+'[4]CB II'!AQ20+'[4]CB III'!AQ20+[4]IG!AQ20+[4]PN!AQ20+[4]MJ!AQ20+'[4]RB I'!AQ20+'[4]SF I'!AQ20</f>
        <v>0</v>
      </c>
      <c r="AR20" s="226">
        <f>+[4]SLP!AR20+[4]ROSA!AR20+'[4]STA ANA'!AR20+[4]BOA!AR20+'[4]STA MARIA'!AR20+'[4]CB I'!AR20+'[4]CB II'!AR20+'[4]CB III'!AR20+[4]IG!AR20+[4]PN!AR20+[4]MJ!AR20+'[4]RB I'!AR20+'[4]SF I'!AR20</f>
        <v>0</v>
      </c>
      <c r="AS20" s="166">
        <f>+[4]SLP!AS20+[4]ROSA!AS20+'[4]STA ANA'!AS20+[4]BOA!AS20+'[4]STA MARIA'!AS20+'[4]CB I'!AS20+'[4]CB II'!AS20+'[4]CB III'!AS20+[4]IG!AS20+[4]PN!AS20+[4]MJ!AS20+'[4]RB I'!AS20+'[4]SÃO FRANCISCO'!AS20</f>
        <v>0</v>
      </c>
      <c r="AT20" s="224">
        <f t="shared" si="7"/>
        <v>-1</v>
      </c>
      <c r="AU20" s="225">
        <f>+[4]SLP!AU20+[4]ROSA!AU20+'[4]STA ANA'!AU20+[4]BOA!AU20+'[4]STA MARIA'!AU20+'[4]CB I'!AU20+'[4]CB II'!AU20+'[4]CB III'!AU20+[4]IG!AU20+[4]PN!AU20+[4]MJ!AU20+'[4]RB I'!AU20+'[4]SF I'!AU20</f>
        <v>101307.66195999998</v>
      </c>
      <c r="AV20" s="226">
        <f>+[4]SLP!AV20+[4]ROSA!AV20+'[4]STA ANA'!AV20+[4]BOA!AV20+'[4]STA MARIA'!AV20+'[4]CB I'!AV20+'[4]CB II'!AV20+'[4]CB III'!AV20+[4]IG!AV20+[4]PN!AV20+[4]MJ!AV20+'[4]RB I'!AV20+'[4]SF I'!AV20</f>
        <v>88856.950305115985</v>
      </c>
      <c r="AW20" s="226">
        <f>+[4]SLP!AW20+[4]ROSA!AW20+'[4]STA ANA'!AW20+[4]BOA!AW20+'[4]STA MARIA'!AW20+'[4]CB I'!AW20+'[4]CB II'!AW20+'[4]CB III'!AW20+[4]IG!AW20+[4]PN!AW20+[4]MJ!AW20+'[4]RB I'!AW20+'[4]SF I'!AW20</f>
        <v>12450.711654883999</v>
      </c>
      <c r="AX20" s="226">
        <f>+[4]SLP!AX20+[4]ROSA!AX20+'[4]STA ANA'!AX20+[4]BOA!AX20+'[4]STA MARIA'!AX20+'[4]CB I'!AX20+'[4]CB II'!AX20+'[4]CB III'!AX20+[4]IG!AX20+[4]PN!AX20+[4]MJ!AX20+'[4]RB I'!AX20+'[4]SF I'!AX20</f>
        <v>0</v>
      </c>
      <c r="AY20" s="226">
        <f>+[4]SLP!AY20+[4]ROSA!AY20+'[4]STA ANA'!AY20+[4]BOA!AY20+'[4]STA MARIA'!AY20+'[4]CB I'!AY20+'[4]CB II'!AY20+'[4]CB III'!AY20+[4]IG!AY20+[4]PN!AY20+[4]MJ!AY20+'[4]RB I'!AY20+'[4]SF I'!AY20</f>
        <v>0</v>
      </c>
      <c r="AZ20" s="166">
        <f>+[4]SLP!AZ20+[4]ROSA!AZ20+'[4]STA ANA'!AZ20+[4]BOA!AZ20+'[4]STA MARIA'!AZ20+'[4]CB I'!AZ20+'[4]CB II'!AZ20+[4]IG!AZ20+[4]PN!AZ20+[4]MJ!AZ20+'[4]RB I'!AZ20+'[4]SÃO FRANCISCO'!AZ20</f>
        <v>0</v>
      </c>
      <c r="BA20" s="224">
        <f t="shared" si="8"/>
        <v>-1</v>
      </c>
      <c r="BB20" s="225">
        <f>+[4]SLP!BB20+[4]ROSA!BB20+'[4]STA ANA'!BB20+[4]BOA!BB20+'[4]STA MARIA'!BB20+'[4]CB I'!BB20+'[4]CB II'!BB20+'[4]CB III'!BB20+[4]IG!BB20+[4]PN!BB20+[4]MJ!BB20+'[4]RB I'!BB20+'[4]SF I'!BB20</f>
        <v>1915823.6619599969</v>
      </c>
      <c r="BC20" s="226">
        <f>+[4]SLP!BC20+[4]ROSA!BC20+'[4]STA ANA'!BC20+[4]BOA!BC20+'[4]STA MARIA'!BC20+'[4]CB I'!BC20+'[4]CB II'!BC20+'[4]CB III'!BC20+[4]IG!BC20+[4]PN!BC20+[4]MJ!BC20+'[4]RB I'!BC20+'[4]SF I'!BC20</f>
        <v>1680368.9339051133</v>
      </c>
      <c r="BD20" s="226">
        <f>+[4]SLP!BD20+[4]ROSA!BD20+'[4]STA ANA'!BD20+[4]BOA!BD20+'[4]STA MARIA'!BD20+'[4]CB I'!BD20+'[4]CB II'!BD20+'[4]CB III'!BD20+[4]IG!BD20+[4]PN!BD20+[4]MJ!BD20+'[4]RB I'!BD20+'[4]SF I'!BD20</f>
        <v>235454.7280548836</v>
      </c>
      <c r="BE20" s="226">
        <f>+[4]SLP!BE20+[4]ROSA!BE20+'[4]STA ANA'!BE20+[4]BOA!BE20+'[4]STA MARIA'!BE20+'[4]CB I'!BE20+'[4]CB II'!BE20+'[4]CB III'!BE20+[4]IG!BE20+[4]PN!BE20+[4]MJ!BE20+'[4]RB I'!BE20+'[4]SF I'!BE20</f>
        <v>0</v>
      </c>
      <c r="BF20" s="226">
        <f>+[4]SLP!BF20+[4]ROSA!BF20+'[4]STA ANA'!BF20+[4]BOA!BF20+'[4]STA MARIA'!BF20+'[4]CB I'!BF20+'[4]CB II'!BF20+'[4]CB III'!BF20+[4]IG!BF20+[4]PN!BF20+[4]MJ!BF20+'[4]RB I'!BF20+'[4]SF I'!BF20</f>
        <v>0</v>
      </c>
      <c r="BG20" s="166">
        <f>+[4]SLP!BG20+[4]ROSA!BG20+'[4]STA ANA'!BG20+[4]BOA!BG20+'[4]STA MARIA'!BG20+'[4]CB I'!BG20+'[4]CB II'!BG20+'[4]CB III'!BG20+[4]IG!BG20+[4]PN!BG20+[4]MJ!BG20+'[4]RB I'!BG20+'[4]SÃO FRANCISCO'!BG20</f>
        <v>0</v>
      </c>
      <c r="BH20" s="224">
        <f t="shared" si="9"/>
        <v>-1</v>
      </c>
      <c r="BI20" s="225">
        <f>+[4]SLP!BI20+[4]ROSA!BI20+'[4]STA ANA'!BI20+[4]BOA!BI20+'[4]STA MARIA'!BI20+'[4]CB I'!BI20+'[4]CB II'!BI20+'[4]CB III'!BI20+[4]IG!BI20+[4]PN!BI20+[4]MJ!BI20+'[4]RB I'!BI20+'[4]SF I'!BI20</f>
        <v>270479.40221714252</v>
      </c>
      <c r="BJ20" s="226">
        <f>+[4]SLP!BJ20+[4]ROSA!BJ20+'[4]STA ANA'!BJ20+[4]BOA!BJ20+'[4]STA MARIA'!BJ20+'[4]CB I'!BJ20+'[4]CB II'!BJ20+'[4]CB III'!BJ20+[4]IG!BJ20+[4]PN!BJ20+[4]MJ!BJ20+'[4]RB I'!BJ20+'[4]SF I'!BJ20</f>
        <v>237237.48368465566</v>
      </c>
      <c r="BK20" s="226">
        <f>+[4]SLP!BK20+[4]ROSA!BK20+'[4]STA ANA'!BK20+[4]BOA!BK20+'[4]STA MARIA'!BK20+'[4]CB I'!BK20+'[4]CB II'!BK20+'[4]CB III'!BK20+[4]IG!BK20+[4]PN!BK20+[4]MJ!BK20+'[4]RB I'!BK20+'[4]SF I'!BK20</f>
        <v>33241.918532486809</v>
      </c>
      <c r="BL20" s="226">
        <f>+[4]SLP!BL20+[4]ROSA!BL20+'[4]STA ANA'!BL20+[4]BOA!BL20+'[4]STA MARIA'!BL20+'[4]CB I'!BL20+'[4]CB II'!BL20+'[4]CB III'!BL20+[4]IG!BL20+[4]PN!BL20+[4]MJ!BL20+'[4]RB I'!BL20+'[4]SF I'!BL20</f>
        <v>0</v>
      </c>
      <c r="BM20" s="226">
        <f>+[4]SLP!BM20+[4]ROSA!BM20+'[4]STA ANA'!BM20+[4]BOA!BM20+'[4]STA MARIA'!BM20+'[4]CB I'!BM20+'[4]CB II'!BM20+'[4]CB III'!BM20+[4]IG!BM20+[4]PN!BM20+[4]MJ!BM20+'[4]RB I'!BM20+'[4]SF I'!BM20</f>
        <v>0</v>
      </c>
      <c r="BN20" s="166">
        <f>+[4]SLP!BN20+[4]ROSA!BN20+'[4]STA ANA'!BN20+[4]BOA!BN20+'[4]STA MARIA'!BN20+'[4]CB I'!BN20+'[4]CB II'!BN20+'[4]CB III'!BN20+[4]IG!BN20+[4]PN!BN20+[4]MJ!BN20+'[4]RB I'!BN20+'[4]SÃO FRANCISCO'!BN20</f>
        <v>0</v>
      </c>
      <c r="BO20" s="224">
        <f t="shared" si="10"/>
        <v>-1</v>
      </c>
      <c r="BP20" s="225">
        <f>+[4]SLP!BP20+[4]ROSA!BP20+'[4]STA ANA'!BP20+[4]BOA!BP20+'[4]STA MARIA'!BP20+'[4]CB I'!BP20+'[4]CB II'!BP20+'[4]CB III'!BP20+[4]IG!BP20+[4]PN!BP20+[4]MJ!BP20+'[4]RB I'!BP20+'[4]SF I'!BP20</f>
        <v>1831827.6619599969</v>
      </c>
      <c r="BQ20" s="226">
        <f>+[4]SLP!BQ20+[4]ROSA!BQ20+'[4]STA ANA'!BQ20+[4]BOA!BQ20+'[4]STA MARIA'!BQ20+'[4]CB I'!BQ20+'[4]CB II'!BQ20+'[4]CB III'!BQ20+[4]IG!BQ20+[4]PN!BQ20+[4]MJ!BQ20+'[4]RB I'!BQ20+'[4]SF I'!BQ20</f>
        <v>1606696.0423051135</v>
      </c>
      <c r="BR20" s="226">
        <f>+[4]SLP!BR20+[4]ROSA!BR20+'[4]STA ANA'!BR20+[4]BOA!BR20+'[4]STA MARIA'!BR20+'[4]CB I'!BR20+'[4]CB II'!BR20+'[4]CB III'!BR20+[4]IG!BR20+[4]PN!BR20+[4]MJ!BR20+'[4]RB I'!BR20+'[4]SF I'!BR20</f>
        <v>225131.61965488357</v>
      </c>
      <c r="BS20" s="226">
        <f>+[4]SLP!BS20+[4]ROSA!BS20+'[4]STA ANA'!BS20+[4]BOA!BS20+'[4]STA MARIA'!BS20+'[4]CB I'!BS20+'[4]CB II'!BS20+'[4]CB III'!BS20+[4]IG!BS20+[4]PN!BS20+[4]MJ!BS20+'[4]RB I'!BS20+'[4]SF I'!BS20</f>
        <v>0</v>
      </c>
      <c r="BT20" s="226">
        <f>+[4]SLP!BT20+[4]ROSA!BT20+'[4]STA ANA'!BT20+[4]BOA!BT20+'[4]STA MARIA'!BT20+'[4]CB I'!BT20+'[4]CB II'!BT20+'[4]CB III'!BT20+[4]IG!BT20+[4]PN!BT20+[4]MJ!BT20+'[4]RB I'!BT20+'[4]SF I'!BT20</f>
        <v>0</v>
      </c>
      <c r="BU20" s="166">
        <f>+[4]SLP!BU20+[4]ROSA!BU20+'[4]STA ANA'!BU20+[4]BOA!BU20+'[4]STA MARIA'!BU20+'[4]CB I'!BU20+'[4]CB II'!BU20+'[4]CB III'!BU20+[4]IG!BU20+[4]PN!BU20+[4]MJ!BU20+'[4]RB I'!BU20+'[4]SÃO FRANCISCO'!BU20</f>
        <v>0</v>
      </c>
      <c r="BV20" s="224">
        <f t="shared" si="11"/>
        <v>-1</v>
      </c>
      <c r="BW20" s="225">
        <f>+[4]SLP!BW20+[4]ROSA!BW20+'[4]STA ANA'!BW20+[4]BOA!BW20+'[4]STA MARIA'!BW20+'[4]CB I'!BW20+'[4]CB II'!BW20+'[4]CB III'!BW20+[4]IG!BW20+[4]PN!BW20+[4]MJ!BW20+'[4]RB I'!BW20+'[4]SF I'!BW20</f>
        <v>101307.66195999998</v>
      </c>
      <c r="BX20" s="226">
        <f>+[4]SLP!BX20+[4]ROSA!BX20+'[4]STA ANA'!BX20+[4]BOA!BX20+'[4]STA MARIA'!BX20+'[4]CB I'!BX20+'[4]CB II'!BX20+'[4]CB III'!BX20+[4]IG!BX20+[4]PN!BX20+[4]MJ!BX20+'[4]RB I'!BX20+'[4]SF I'!BX20</f>
        <v>88856.950305115985</v>
      </c>
      <c r="BY20" s="226">
        <f>+[4]SLP!BY20+[4]ROSA!BY20+'[4]STA ANA'!BY20+[4]BOA!BY20+'[4]STA MARIA'!BY20+'[4]CB I'!BY20+'[4]CB II'!BY20+'[4]CB III'!BY20+[4]IG!BY20+[4]PN!BY20+[4]MJ!BY20+'[4]RB I'!BY20+'[4]SF I'!BY20</f>
        <v>12450.711654883999</v>
      </c>
      <c r="BZ20" s="226">
        <f>+[4]SLP!BZ20+[4]ROSA!BZ20+'[4]STA ANA'!BZ20+[4]BOA!BZ20+'[4]STA MARIA'!BZ20+'[4]CB I'!BZ20+'[4]CB II'!BZ20+'[4]CB III'!BZ20+[4]IG!BZ20+[4]PN!BZ20+[4]MJ!BZ20+'[4]RB I'!BZ20+'[4]SF I'!BZ20</f>
        <v>0</v>
      </c>
      <c r="CA20" s="226">
        <f>+[4]SLP!CA20+[4]ROSA!CA20+'[4]STA ANA'!CA20+[4]BOA!CA20+'[4]STA MARIA'!CA20+'[4]CB I'!CA20+'[4]CB II'!CA20+'[4]CB III'!CA20+[4]IG!CA20+[4]PN!CA20+[4]MJ!CA20+'[4]RB I'!CA20+'[4]SF I'!CA20</f>
        <v>0</v>
      </c>
      <c r="CB20" s="166">
        <f>+[4]SLP!CB20+[4]ROSA!CB20+'[4]STA ANA'!CB20+[4]BOA!CB20+'[4]STA MARIA'!CB20+'[4]CB I'!CB20+'[4]CB II'!CB20+'[4]CB III'!CB20+[4]IG!CB20+[4]PN!CB20+[4]MJ!CB20+'[4]RB I'!CB20+'[4]SÃO FRANCISCO'!CB20</f>
        <v>0</v>
      </c>
      <c r="CC20" s="224">
        <f t="shared" si="12"/>
        <v>-1</v>
      </c>
      <c r="CD20" s="225">
        <f>+[4]SLP!CD20+[4]ROSA!CD20+'[4]STA ANA'!CD20+[4]BOA!CD20+'[4]STA MARIA'!CD20+'[4]CB I'!CD20+'[4]CB II'!CD20+'[4]CB III'!CD20+[4]IG!CD20+[4]PN!CD20+[4]MJ!CD20+'[4]RB I'!CD20+'[4]SF I'!CD20</f>
        <v>101307.66195999998</v>
      </c>
      <c r="CE20" s="226">
        <f>+[4]SLP!CE20+[4]ROSA!CE20+'[4]STA ANA'!CE20+[4]BOA!CE20+'[4]STA MARIA'!CE20+'[4]CB I'!CE20+'[4]CB II'!CE20+'[4]CB III'!CE20+[4]IG!CE20+[4]PN!CE20+[4]MJ!CE20+'[4]RB I'!CE20+'[4]SF I'!CE20</f>
        <v>88856.950305115985</v>
      </c>
      <c r="CF20" s="226">
        <f>+[4]SLP!CF20+[4]ROSA!CF20+'[4]STA ANA'!CF20+[4]BOA!CF20+'[4]STA MARIA'!CF20+'[4]CB I'!CF20+'[4]CB II'!CF20+'[4]CB III'!CF20+[4]IG!CF20+[4]PN!CF20+[4]MJ!CF20+'[4]RB I'!CF20+'[4]SF I'!CF20</f>
        <v>12450.711654883999</v>
      </c>
      <c r="CG20" s="226">
        <f>+[4]SLP!CG20+[4]ROSA!CG20+'[4]STA ANA'!CG20+[4]BOA!CG20+'[4]STA MARIA'!CG20+'[4]CB I'!CG20+'[4]CB II'!CG20+'[4]CB III'!CG20+[4]IG!CG20+[4]PN!CG20+[4]MJ!CG20+'[4]RB I'!CG20+'[4]SF I'!CG20</f>
        <v>0</v>
      </c>
      <c r="CH20" s="226">
        <f>+[4]SLP!CH20+[4]ROSA!CH20+'[4]STA ANA'!CH20+[4]BOA!CH20+'[4]STA MARIA'!CH20+'[4]CB I'!CH20+'[4]CB II'!CH20+'[4]CB III'!CH20+[4]IG!CH20+[4]PN!CH20+[4]MJ!CH20+'[4]RB I'!CH20+'[4]SF I'!CH20</f>
        <v>0</v>
      </c>
      <c r="CI20" s="166">
        <f>+[4]SLP!CI20+[4]ROSA!CI20+'[4]STA ANA'!CI20+[4]BOA!CI20+'[4]STA MARIA'!CI20+'[4]CB I'!CI20+'[4]CB II'!CI20+'[4]CB III'!CI20+[4]IG!CI20+[4]PN!CI20+[4]MJ!CI20+'[4]RB I'!CI20+'[4]SÃO FRANCISCO'!CI20</f>
        <v>0</v>
      </c>
      <c r="CJ20" s="224">
        <f t="shared" si="13"/>
        <v>-1</v>
      </c>
      <c r="CK20" s="225">
        <f>+[4]SLP!CK20+[4]ROSA!CK20+'[4]STA ANA'!CK20+[4]BOA!CK20+'[4]STA MARIA'!CK20+'[4]CB I'!CK20+'[4]CB II'!CK20+'[4]CB III'!CK20+[4]IG!CK20+[4]PN!CK20+[4]MJ!CK20+'[4]RB I'!CK20+'[4]SF I'!CK20</f>
        <v>101307.66195999998</v>
      </c>
      <c r="CL20" s="226">
        <f>+[4]SLP!CL20+[4]ROSA!CL20+'[4]STA ANA'!CL20+[4]BOA!CL20+'[4]STA MARIA'!CL20+'[4]CB I'!CL20+'[4]CB II'!CL20+'[4]CB III'!CL20+[4]IG!CL20+[4]PN!CL20+[4]MJ!CL20+'[4]RB I'!CL20+'[4]SF I'!CL20</f>
        <v>88856.950305115985</v>
      </c>
      <c r="CM20" s="226">
        <f>+[4]SLP!CM20+[4]ROSA!CM20+'[4]STA ANA'!CM20+[4]BOA!CM20+'[4]STA MARIA'!CM20+'[4]CB I'!CM20+'[4]CB II'!CM20+'[4]CB III'!CM20+[4]IG!CM20+[4]PN!CM20+[4]MJ!CM20+'[4]RB I'!CM20+'[4]SF I'!CM20</f>
        <v>12450.711654883999</v>
      </c>
      <c r="CN20" s="226">
        <f>+[4]SLP!CN20+[4]ROSA!CN20+'[4]STA ANA'!CN20+[4]BOA!CN20+'[4]STA MARIA'!CN20+'[4]CB I'!CN20+'[4]CB II'!CN20+'[4]CB III'!CN20+[4]IG!CN20+[4]PN!CN20+[4]MJ!CN20+'[4]RB I'!CN20+'[4]SF I'!CN20</f>
        <v>0</v>
      </c>
      <c r="CO20" s="226">
        <f>+[4]SLP!CO20+[4]ROSA!CO20+'[4]STA ANA'!CO20+[4]BOA!CO20+'[4]STA MARIA'!CO20+'[4]CB I'!CO20+'[4]CB II'!CO20+'[4]CB III'!CO20+[4]IG!CO20+[4]PN!CO20+[4]MJ!CO20+'[4]RB I'!CO20+'[4]SF I'!CO20</f>
        <v>0</v>
      </c>
      <c r="CP20" s="166">
        <f>+[4]SLP!CP20+[4]ROSA!CP20+'[4]STA ANA'!CP20+[4]BOA!CP20+'[4]STA MARIA'!CP20+'[4]CB I'!CP20+'[4]CB II'!CP20+'[4]CB III'!CP20+[4]IG!CP20+[4]PN!CP20+[4]MJ!CP20+'[4]RB I'!CP20+'[4]SÃO FRANCISCO'!CP20</f>
        <v>0</v>
      </c>
      <c r="CQ20" s="224">
        <f t="shared" si="14"/>
        <v>-1</v>
      </c>
      <c r="CR20" s="155"/>
      <c r="CS20" s="227" t="e">
        <f t="shared" si="15"/>
        <v>#VALUE!</v>
      </c>
    </row>
    <row r="21" spans="1:97" ht="16" customHeight="1" x14ac:dyDescent="0.2">
      <c r="A21" s="228" t="s">
        <v>45</v>
      </c>
      <c r="B21" s="30">
        <f t="shared" si="0"/>
        <v>754101.61319999909</v>
      </c>
      <c r="C21" s="31">
        <f t="shared" si="0"/>
        <v>661422.52493771899</v>
      </c>
      <c r="D21" s="32">
        <f t="shared" si="0"/>
        <v>92679.088262279867</v>
      </c>
      <c r="E21" s="30">
        <f t="shared" si="16"/>
        <v>754101.61319999909</v>
      </c>
      <c r="F21" s="33">
        <f t="shared" si="16"/>
        <v>661422.52493771899</v>
      </c>
      <c r="G21" s="34">
        <f t="shared" si="16"/>
        <v>92679.088262279867</v>
      </c>
      <c r="H21" s="31">
        <f t="shared" si="1"/>
        <v>407981.27018105728</v>
      </c>
      <c r="I21" s="33">
        <f t="shared" si="1"/>
        <v>27434.998916341276</v>
      </c>
      <c r="J21" s="33">
        <f t="shared" si="1"/>
        <v>435416.26909739862</v>
      </c>
      <c r="K21" s="224">
        <f t="shared" si="2"/>
        <v>-0.42260265529770236</v>
      </c>
      <c r="L21" s="225">
        <f>+[4]SLP!L21+[4]ROSA!L21+'[4]STA ANA'!L21+[4]BOA!L21+'[4]STA MARIA'!L21+'[4]CB I'!L21+'[4]CB II'!L21+'[4]CB III'!L21+[4]IG!L21+[4]PN!L21+[4]MJ!L21+'[4]RB I'!L21+'[4]SF I'!L21</f>
        <v>754101.61319999909</v>
      </c>
      <c r="M21" s="226">
        <f>+[4]SLP!M21+[4]ROSA!M21+'[4]STA ANA'!M21+[4]BOA!M21+'[4]STA MARIA'!M21+'[4]CB I'!M21+'[4]CB II'!M21+'[4]CB III'!M21+[4]IG!M21+[4]PN!M21+[4]MJ!M21+'[4]RB I'!M21+'[4]SF I'!M21</f>
        <v>661422.52493771899</v>
      </c>
      <c r="N21" s="226">
        <f>+[4]SLP!N21+[4]ROSA!N21+'[4]STA ANA'!N21+[4]BOA!N21+'[4]STA MARIA'!N21+'[4]CB I'!N21+'[4]CB II'!N21+'[4]CB III'!N21+[4]IG!N21+[4]PN!N21+[4]MJ!N21+'[4]RB I'!N21+'[4]SF I'!N21</f>
        <v>92679.088262279867</v>
      </c>
      <c r="O21" s="226">
        <f>+[4]SLP!O21+[4]ROSA!O21+'[4]STA ANA'!O21+[4]BOA!O21+'[4]STA MARIA'!O21+'[4]CB I'!O21+'[4]CB II'!O21+'[4]CB III'!O21+[4]IG!O21+[4]PN!O21+[4]MJ!O21+'[4]RB I'!O21+'[4]SF I'!O21</f>
        <v>145095.46440299999</v>
      </c>
      <c r="P21" s="226">
        <f>+[4]SLP!P21+[4]ROSA!P21+'[4]STA ANA'!P21+[4]BOA!P21+'[4]STA MARIA'!P21+'[4]CB I'!P21+'[4]CB II'!P21+'[4]CB III'!P21+[4]IG!P21+[4]PN!P21+[4]MJ!P21+'[4]RB I'!P21+'[4]SF I'!P21</f>
        <v>10530.635596999999</v>
      </c>
      <c r="Q21" s="166">
        <f>+[4]SLP!Q21+[4]ROSA!Q21+'[4]STA ANA'!Q21+[4]BOA!Q21+'[4]STA MARIA'!Q21+'[4]CB I'!Q21+'[4]CB II'!Q21+'[4]CB III'!Q21+[4]IG!Q21+[4]PN!Q21+[4]MJ!Q21+'[4]RB I'!Q21+'[4]SF I'!Q21</f>
        <v>155626.1</v>
      </c>
      <c r="R21" s="224">
        <f t="shared" si="3"/>
        <v>-0.79362714881406093</v>
      </c>
      <c r="S21" s="225">
        <f>+[4]SLP!S21+[4]ROSA!S21+'[4]STA ANA'!S21+[4]BOA!S21+'[4]STA MARIA'!S21+'[4]CB I'!S21+'[4]CB II'!S21+'[4]CB III'!S21+[4]IG!S21+[4]PN!S21+[4]MJ!S21+'[4]RB I'!S21+'[4]SF I'!S21</f>
        <v>0</v>
      </c>
      <c r="T21" s="226">
        <f>+[4]SLP!T21+[4]ROSA!T21+'[4]STA ANA'!T21+[4]BOA!T21+'[4]STA MARIA'!T21+'[4]CB I'!T21+'[4]CB II'!T21+'[4]CB III'!T21+[4]IG!T21+[4]PN!T21+[4]MJ!T21+'[4]RB I'!T21+'[4]SF I'!T21</f>
        <v>0</v>
      </c>
      <c r="U21" s="226">
        <f>+[4]SLP!U21+[4]ROSA!U21+'[4]STA ANA'!U21+[4]BOA!U21+'[4]STA MARIA'!U21+'[4]CB I'!U21+'[4]CB II'!U21+'[4]CB III'!U21+[4]IG!U21+[4]PN!U21+[4]MJ!U21+'[4]RB I'!U21+'[4]SF I'!U21</f>
        <v>0</v>
      </c>
      <c r="V21" s="226">
        <f>+[4]SLP!V21+[4]ROSA!V21+'[4]STA ANA'!V21+[4]BOA!V21+'[4]STA MARIA'!V21+'[4]CB I'!V21+'[4]CB II'!V21+'[4]CB III'!V21+[4]IG!V21+[4]PN!V21+[4]MJ!V21+'[4]RB I'!V21+'[4]SF I'!V21</f>
        <v>166540.67078999997</v>
      </c>
      <c r="W21" s="226">
        <f>+[4]SLP!W21+[4]ROSA!W21+'[4]STA ANA'!W21+[4]BOA!W21+'[4]STA MARIA'!W21+'[4]CB I'!W21+'[4]CB II'!W21+'[4]CB III'!W21+[4]IG!W21+[4]PN!W21+[4]MJ!W21+'[4]RB I'!W21+'[4]SF I'!W21</f>
        <v>10457.72921</v>
      </c>
      <c r="X21" s="166">
        <f>[4]SLP!X21+[4]ROSA!X21+'[4]STA ANA'!X21+[4]BOA!X21+'[4]STA MARIA'!X21+'[4]CB I'!X21+'[4]CB II'!X21+'[4]CB III'!X21+[4]IG!X21+[4]PN!X21+[4]MJ!X21+'[4]RB I'!X21+'[4]SF I'!X21</f>
        <v>176998.39999999999</v>
      </c>
      <c r="Y21" s="224" t="str">
        <f t="shared" si="4"/>
        <v/>
      </c>
      <c r="Z21" s="225">
        <f>+[4]SLP!Z21+[4]ROSA!Z21+'[4]STA ANA'!Z21+[4]BOA!Z21+'[4]STA MARIA'!Z21+'[4]CB I'!Z21+'[4]CB II'!Z21+'[4]CB III'!Z21+[4]IG!Z21+[4]PN!Z21+[4]MJ!Z21+'[4]RB I'!Z21+'[4]SF I'!Z21</f>
        <v>0</v>
      </c>
      <c r="AA21" s="226">
        <f>+[4]SLP!AA21+[4]ROSA!AA21+'[4]STA ANA'!AA21+[4]BOA!AA21+'[4]STA MARIA'!AA21+'[4]CB I'!AA21+'[4]CB II'!AA21+'[4]CB III'!AA21+[4]IG!AA21+[4]PN!AA21+[4]MJ!AA21+'[4]RB I'!AA21+'[4]SF I'!AA21</f>
        <v>0</v>
      </c>
      <c r="AB21" s="226">
        <f>+[4]SLP!AB21+[4]ROSA!AB21+'[4]STA ANA'!AB21+[4]BOA!AB21+'[4]STA MARIA'!AB21+'[4]CB I'!AB21+'[4]CB II'!AB21+'[4]CB III'!AB21+[4]IG!AB21+[4]PN!AB21+[4]MJ!AB21+'[4]RB I'!AB21+'[4]SF I'!AB21</f>
        <v>0</v>
      </c>
      <c r="AC21" s="226">
        <f>+[4]SLP!AC21+[4]ROSA!AC21+'[4]STA ANA'!AC21+[4]BOA!AC21+'[4]STA MARIA'!AC21+'[4]CB I'!AC21+'[4]CB II'!AC21+'[4]CB III'!AC21+[4]IG!AC21+[4]PN!AC21+[4]MJ!AC21+'[4]RB I'!AC21+'[4]SF I'!AC21</f>
        <v>38647.395684000003</v>
      </c>
      <c r="AD21" s="226">
        <f>+[4]SLP!AD21+[4]ROSA!AD21+'[4]STA ANA'!AD21+[4]BOA!AD21+'[4]STA MARIA'!AD21+'[4]CB I'!AD21+'[4]CB II'!AD21+'[4]CB III'!AD21+[4]IG!AD21+[4]PN!AD21+[4]MJ!AD21+'[4]RB I'!AD21+'[4]SF I'!AD21</f>
        <v>2187.4243160000001</v>
      </c>
      <c r="AE21" s="166">
        <f>+[4]SLP!AE21+[4]ROSA!AE21+'[4]STA ANA'!AE21+[4]BOA!AE21+'[4]STA MARIA'!AE21+'[4]CB I'!AE21+'[4]CB II'!AE21+'[4]CB III'!AE21+[4]IG!AE21+[4]PN!AE21+[4]MJ!AE21+'[4]RB I'!AE21+'[4]SF I'!AE21</f>
        <v>40834.82</v>
      </c>
      <c r="AF21" s="224" t="str">
        <f t="shared" si="5"/>
        <v/>
      </c>
      <c r="AG21" s="225">
        <f>+[4]SLP!AG21+[4]ROSA!AG21+'[4]STA ANA'!AG21+[4]BOA!AG21+'[4]STA MARIA'!AG21+'[4]CB I'!AG21+'[4]CB II'!AG21+'[4]CB III'!AG21+[4]IG!AG21+[4]PN!AG21+[4]MJ!AG21+'[4]RB I'!AG21+'[4]SF I'!AG21</f>
        <v>0</v>
      </c>
      <c r="AH21" s="226">
        <f>+[4]SLP!AH21+[4]ROSA!AH21+'[4]STA ANA'!AH21+[4]BOA!AH21+'[4]STA MARIA'!AH21+'[4]CB I'!AH21+'[4]CB II'!AH21+'[4]CB III'!AH21+[4]IG!AH21+[4]PN!AH21+[4]MJ!AH21+'[4]RB I'!AH21+'[4]SF I'!AH21</f>
        <v>0</v>
      </c>
      <c r="AI21" s="226">
        <f>+[4]SLP!AI21+[4]ROSA!AI21+'[4]STA ANA'!AI21+[4]BOA!AI21+'[4]STA MARIA'!AI21+'[4]CB I'!AI21+'[4]CB II'!AI21+'[4]CB III'!AI21+[4]IG!AI21+[4]PN!AI21+[4]MJ!AI21+'[4]RB I'!AI21+'[4]SF I'!AI21</f>
        <v>0</v>
      </c>
      <c r="AJ21" s="226">
        <f>+[4]SLP!AJ21+[4]ROSA!AJ21+'[4]STA ANA'!AJ21+[4]BOA!AJ21+'[4]STA MARIA'!AJ21+'[4]CB I'!AJ21+'[4]CB II'!AJ21+'[4]CB III'!AJ21+[4]IG!AJ21+[4]PN!AJ21+[4]MJ!AJ21+'[4]RB I'!AJ21+'[4]SF I'!AJ21</f>
        <v>57697.739304057308</v>
      </c>
      <c r="AK21" s="226">
        <f>+[4]SLP!AK21+[4]ROSA!AK21+'[4]STA ANA'!AK21+[4]BOA!AK21+'[4]STA MARIA'!AK21+'[4]CB I'!AK21+'[4]CB II'!AK21+'[4]CB III'!AK21+[4]IG!AK21+[4]PN!AK21+[4]MJ!AK21+'[4]RB I'!AK21+'[4]SF I'!AK21</f>
        <v>4259.2097933412761</v>
      </c>
      <c r="AL21" s="166">
        <f>+[4]SLP!AL21+[4]ROSA!AL21+'[4]STA ANA'!AL21+[4]BOA!AL21+'[4]STA MARIA'!AL21+'[4]CB I'!AL21+'[4]CB II'!AL21+'[4]CB III'!AL21+[4]IG!AL21+[4]PN!AL21+[4]MJ!AL21+'[4]RB I'!AL21+'[4]SF I'!AL21</f>
        <v>61956.949097398581</v>
      </c>
      <c r="AM21" s="224" t="str">
        <f t="shared" si="6"/>
        <v/>
      </c>
      <c r="AN21" s="225">
        <f>+[4]SLP!AN21+[4]ROSA!AN21+'[4]STA ANA'!AN21+[4]BOA!AN21+'[4]STA MARIA'!AN21+'[4]CB I'!AN21+'[4]CB II'!AN21+'[4]CB III'!AN21+[4]IG!AN21+[4]PN!AN21+[4]MJ!AN21+'[4]RB I'!AN21+'[4]SF I'!AN21</f>
        <v>0</v>
      </c>
      <c r="AO21" s="226">
        <f>+[4]SLP!AO21+[4]ROSA!AO21+'[4]STA ANA'!AO21+[4]BOA!AO21+'[4]STA MARIA'!AO21+'[4]CB I'!AO21+'[4]CB II'!AO21+'[4]CB III'!AO21+[4]IG!AO21+[4]PN!AO21+[4]MJ!AO21+'[4]RB I'!AO21+'[4]SF I'!AO21</f>
        <v>0</v>
      </c>
      <c r="AP21" s="226">
        <f>+[4]SLP!AP21+[4]ROSA!AP21+'[4]STA ANA'!AP21+[4]BOA!AP21+'[4]STA MARIA'!AP21+'[4]CB I'!AP21+'[4]CB II'!AP21+'[4]CB III'!AP21+[4]IG!AP21+[4]PN!AP21+[4]MJ!AP21+'[4]RB I'!AP21+'[4]SF I'!AP21</f>
        <v>0</v>
      </c>
      <c r="AQ21" s="226">
        <f>+[4]SLP!AQ21+[4]ROSA!AQ21+'[4]STA ANA'!AQ21+[4]BOA!AQ21+'[4]STA MARIA'!AQ21+'[4]CB I'!AQ21+'[4]CB II'!AQ21+'[4]CB III'!AQ21+[4]IG!AQ21+[4]PN!AQ21+[4]MJ!AQ21+'[4]RB I'!AQ21+'[4]SF I'!AQ21</f>
        <v>0</v>
      </c>
      <c r="AR21" s="226">
        <f>+[4]SLP!AR21+[4]ROSA!AR21+'[4]STA ANA'!AR21+[4]BOA!AR21+'[4]STA MARIA'!AR21+'[4]CB I'!AR21+'[4]CB II'!AR21+'[4]CB III'!AR21+[4]IG!AR21+[4]PN!AR21+[4]MJ!AR21+'[4]RB I'!AR21+'[4]SF I'!AR21</f>
        <v>0</v>
      </c>
      <c r="AS21" s="166">
        <f>+[4]SLP!AS21+[4]ROSA!AS21+'[4]STA ANA'!AS21+[4]BOA!AS21+'[4]STA MARIA'!AS21+'[4]CB I'!AS21+'[4]CB II'!AS21+'[4]CB III'!AS21+[4]IG!AS21+[4]PN!AS21+[4]MJ!AS21+'[4]RB I'!AS21+'[4]SÃO FRANCISCO'!AS21</f>
        <v>0</v>
      </c>
      <c r="AT21" s="224" t="str">
        <f t="shared" si="7"/>
        <v/>
      </c>
      <c r="AU21" s="225">
        <f>+[4]SLP!AU21+[4]ROSA!AU21+'[4]STA ANA'!AU21+[4]BOA!AU21+'[4]STA MARIA'!AU21+'[4]CB I'!AU21+'[4]CB II'!AU21+'[4]CB III'!AU21+[4]IG!AU21+[4]PN!AU21+[4]MJ!AU21+'[4]RB I'!AU21+'[4]SF I'!AU21</f>
        <v>0</v>
      </c>
      <c r="AV21" s="226">
        <f>+[4]SLP!AV21+[4]ROSA!AV21+'[4]STA ANA'!AV21+[4]BOA!AV21+'[4]STA MARIA'!AV21+'[4]CB I'!AV21+'[4]CB II'!AV21+'[4]CB III'!AV21+[4]IG!AV21+[4]PN!AV21+[4]MJ!AV21+'[4]RB I'!AV21+'[4]SF I'!AV21</f>
        <v>0</v>
      </c>
      <c r="AW21" s="226">
        <f>+[4]SLP!AW21+[4]ROSA!AW21+'[4]STA ANA'!AW21+[4]BOA!AW21+'[4]STA MARIA'!AW21+'[4]CB I'!AW21+'[4]CB II'!AW21+'[4]CB III'!AW21+[4]IG!AW21+[4]PN!AW21+[4]MJ!AW21+'[4]RB I'!AW21+'[4]SF I'!AW21</f>
        <v>0</v>
      </c>
      <c r="AX21" s="226">
        <f>+[4]SLP!AX21+[4]ROSA!AX21+'[4]STA ANA'!AX21+[4]BOA!AX21+'[4]STA MARIA'!AX21+'[4]CB I'!AX21+'[4]CB II'!AX21+'[4]CB III'!AX21+[4]IG!AX21+[4]PN!AX21+[4]MJ!AX21+'[4]RB I'!AX21+'[4]SF I'!AX21</f>
        <v>0</v>
      </c>
      <c r="AY21" s="226">
        <f>+[4]SLP!AY21+[4]ROSA!AY21+'[4]STA ANA'!AY21+[4]BOA!AY21+'[4]STA MARIA'!AY21+'[4]CB I'!AY21+'[4]CB II'!AY21+'[4]CB III'!AY21+[4]IG!AY21+[4]PN!AY21+[4]MJ!AY21+'[4]RB I'!AY21+'[4]SF I'!AY21</f>
        <v>0</v>
      </c>
      <c r="AZ21" s="166">
        <f>+[4]SLP!AZ21+[4]ROSA!AZ21+'[4]STA ANA'!AZ21+[4]BOA!AZ21+'[4]STA MARIA'!AZ21+'[4]CB I'!AZ21+'[4]CB II'!AZ21+[4]IG!AZ21+[4]PN!AZ21+[4]MJ!AZ21+'[4]RB I'!AZ21+'[4]SÃO FRANCISCO'!AZ21</f>
        <v>0</v>
      </c>
      <c r="BA21" s="224" t="str">
        <f t="shared" si="8"/>
        <v/>
      </c>
      <c r="BB21" s="225">
        <f>+[4]SLP!BB21+[4]ROSA!BB21+'[4]STA ANA'!BB21+[4]BOA!BB21+'[4]STA MARIA'!BB21+'[4]CB I'!BB21+'[4]CB II'!BB21+'[4]CB III'!BB21+[4]IG!BB21+[4]PN!BB21+[4]MJ!BB21+'[4]RB I'!BB21+'[4]SF I'!BB21</f>
        <v>0</v>
      </c>
      <c r="BC21" s="226">
        <f>+[4]SLP!BC21+[4]ROSA!BC21+'[4]STA ANA'!BC21+[4]BOA!BC21+'[4]STA MARIA'!BC21+'[4]CB I'!BC21+'[4]CB II'!BC21+'[4]CB III'!BC21+[4]IG!BC21+[4]PN!BC21+[4]MJ!BC21+'[4]RB I'!BC21+'[4]SF I'!BC21</f>
        <v>0</v>
      </c>
      <c r="BD21" s="226">
        <f>+[4]SLP!BD21+[4]ROSA!BD21+'[4]STA ANA'!BD21+[4]BOA!BD21+'[4]STA MARIA'!BD21+'[4]CB I'!BD21+'[4]CB II'!BD21+'[4]CB III'!BD21+[4]IG!BD21+[4]PN!BD21+[4]MJ!BD21+'[4]RB I'!BD21+'[4]SF I'!BD21</f>
        <v>0</v>
      </c>
      <c r="BE21" s="226">
        <f>+[4]SLP!BE21+[4]ROSA!BE21+'[4]STA ANA'!BE21+[4]BOA!BE21+'[4]STA MARIA'!BE21+'[4]CB I'!BE21+'[4]CB II'!BE21+'[4]CB III'!BE21+[4]IG!BE21+[4]PN!BE21+[4]MJ!BE21+'[4]RB I'!BE21+'[4]SF I'!BE21</f>
        <v>0</v>
      </c>
      <c r="BF21" s="226">
        <f>+[4]SLP!BF21+[4]ROSA!BF21+'[4]STA ANA'!BF21+[4]BOA!BF21+'[4]STA MARIA'!BF21+'[4]CB I'!BF21+'[4]CB II'!BF21+'[4]CB III'!BF21+[4]IG!BF21+[4]PN!BF21+[4]MJ!BF21+'[4]RB I'!BF21+'[4]SF I'!BF21</f>
        <v>0</v>
      </c>
      <c r="BG21" s="166">
        <f>+[4]SLP!BG21+[4]ROSA!BG21+'[4]STA ANA'!BG21+[4]BOA!BG21+'[4]STA MARIA'!BG21+'[4]CB I'!BG21+'[4]CB II'!BG21+'[4]CB III'!BG21+[4]IG!BG21+[4]PN!BG21+[4]MJ!BG21+'[4]RB I'!BG21+'[4]SÃO FRANCISCO'!BG21</f>
        <v>0</v>
      </c>
      <c r="BH21" s="224" t="str">
        <f t="shared" si="9"/>
        <v/>
      </c>
      <c r="BI21" s="225">
        <f>+[4]SLP!BI21+[4]ROSA!BI21+'[4]STA ANA'!BI21+[4]BOA!BI21+'[4]STA MARIA'!BI21+'[4]CB I'!BI21+'[4]CB II'!BI21+'[4]CB III'!BI21+[4]IG!BI21+[4]PN!BI21+[4]MJ!BI21+'[4]RB I'!BI21+'[4]SF I'!BI21</f>
        <v>0</v>
      </c>
      <c r="BJ21" s="226">
        <f>+[4]SLP!BJ21+[4]ROSA!BJ21+'[4]STA ANA'!BJ21+[4]BOA!BJ21+'[4]STA MARIA'!BJ21+'[4]CB I'!BJ21+'[4]CB II'!BJ21+'[4]CB III'!BJ21+[4]IG!BJ21+[4]PN!BJ21+[4]MJ!BJ21+'[4]RB I'!BJ21+'[4]SF I'!BJ21</f>
        <v>0</v>
      </c>
      <c r="BK21" s="226">
        <f>+[4]SLP!BK21+[4]ROSA!BK21+'[4]STA ANA'!BK21+[4]BOA!BK21+'[4]STA MARIA'!BK21+'[4]CB I'!BK21+'[4]CB II'!BK21+'[4]CB III'!BK21+[4]IG!BK21+[4]PN!BK21+[4]MJ!BK21+'[4]RB I'!BK21+'[4]SF I'!BK21</f>
        <v>0</v>
      </c>
      <c r="BL21" s="226">
        <f>+[4]SLP!BL21+[4]ROSA!BL21+'[4]STA ANA'!BL21+[4]BOA!BL21+'[4]STA MARIA'!BL21+'[4]CB I'!BL21+'[4]CB II'!BL21+'[4]CB III'!BL21+[4]IG!BL21+[4]PN!BL21+[4]MJ!BL21+'[4]RB I'!BL21+'[4]SF I'!BL21</f>
        <v>0</v>
      </c>
      <c r="BM21" s="226">
        <f>+[4]SLP!BM21+[4]ROSA!BM21+'[4]STA ANA'!BM21+[4]BOA!BM21+'[4]STA MARIA'!BM21+'[4]CB I'!BM21+'[4]CB II'!BM21+'[4]CB III'!BM21+[4]IG!BM21+[4]PN!BM21+[4]MJ!BM21+'[4]RB I'!BM21+'[4]SF I'!BM21</f>
        <v>0</v>
      </c>
      <c r="BN21" s="166">
        <f>+[4]SLP!BN21+[4]ROSA!BN21+'[4]STA ANA'!BN21+[4]BOA!BN21+'[4]STA MARIA'!BN21+'[4]CB I'!BN21+'[4]CB II'!BN21+'[4]CB III'!BN21+[4]IG!BN21+[4]PN!BN21+[4]MJ!BN21+'[4]RB I'!BN21+'[4]SÃO FRANCISCO'!BN21</f>
        <v>0</v>
      </c>
      <c r="BO21" s="224" t="str">
        <f t="shared" si="10"/>
        <v/>
      </c>
      <c r="BP21" s="225">
        <f>+[4]SLP!BP21+[4]ROSA!BP21+'[4]STA ANA'!BP21+[4]BOA!BP21+'[4]STA MARIA'!BP21+'[4]CB I'!BP21+'[4]CB II'!BP21+'[4]CB III'!BP21+[4]IG!BP21+[4]PN!BP21+[4]MJ!BP21+'[4]RB I'!BP21+'[4]SF I'!BP21</f>
        <v>0</v>
      </c>
      <c r="BQ21" s="226">
        <f>+[4]SLP!BQ21+[4]ROSA!BQ21+'[4]STA ANA'!BQ21+[4]BOA!BQ21+'[4]STA MARIA'!BQ21+'[4]CB I'!BQ21+'[4]CB II'!BQ21+'[4]CB III'!BQ21+[4]IG!BQ21+[4]PN!BQ21+[4]MJ!BQ21+'[4]RB I'!BQ21+'[4]SF I'!BQ21</f>
        <v>0</v>
      </c>
      <c r="BR21" s="226">
        <f>+[4]SLP!BR21+[4]ROSA!BR21+'[4]STA ANA'!BR21+[4]BOA!BR21+'[4]STA MARIA'!BR21+'[4]CB I'!BR21+'[4]CB II'!BR21+'[4]CB III'!BR21+[4]IG!BR21+[4]PN!BR21+[4]MJ!BR21+'[4]RB I'!BR21+'[4]SF I'!BR21</f>
        <v>0</v>
      </c>
      <c r="BS21" s="226">
        <f>+[4]SLP!BS21+[4]ROSA!BS21+'[4]STA ANA'!BS21+[4]BOA!BS21+'[4]STA MARIA'!BS21+'[4]CB I'!BS21+'[4]CB II'!BS21+'[4]CB III'!BS21+[4]IG!BS21+[4]PN!BS21+[4]MJ!BS21+'[4]RB I'!BS21+'[4]SF I'!BS21</f>
        <v>0</v>
      </c>
      <c r="BT21" s="226">
        <f>+[4]SLP!BT21+[4]ROSA!BT21+'[4]STA ANA'!BT21+[4]BOA!BT21+'[4]STA MARIA'!BT21+'[4]CB I'!BT21+'[4]CB II'!BT21+'[4]CB III'!BT21+[4]IG!BT21+[4]PN!BT21+[4]MJ!BT21+'[4]RB I'!BT21+'[4]SF I'!BT21</f>
        <v>0</v>
      </c>
      <c r="BU21" s="166">
        <f>+[4]SLP!BU21+[4]ROSA!BU21+'[4]STA ANA'!BU21+[4]BOA!BU21+'[4]STA MARIA'!BU21+'[4]CB I'!BU21+'[4]CB II'!BU21+'[4]CB III'!BU21+[4]IG!BU21+[4]PN!BU21+[4]MJ!BU21+'[4]RB I'!BU21+'[4]SÃO FRANCISCO'!BU21</f>
        <v>0</v>
      </c>
      <c r="BV21" s="224" t="str">
        <f t="shared" si="11"/>
        <v/>
      </c>
      <c r="BW21" s="225">
        <f>+[4]SLP!BW21+[4]ROSA!BW21+'[4]STA ANA'!BW21+[4]BOA!BW21+'[4]STA MARIA'!BW21+'[4]CB I'!BW21+'[4]CB II'!BW21+'[4]CB III'!BW21+[4]IG!BW21+[4]PN!BW21+[4]MJ!BW21+'[4]RB I'!BW21+'[4]SF I'!BW21</f>
        <v>0</v>
      </c>
      <c r="BX21" s="226">
        <f>+[4]SLP!BX21+[4]ROSA!BX21+'[4]STA ANA'!BX21+[4]BOA!BX21+'[4]STA MARIA'!BX21+'[4]CB I'!BX21+'[4]CB II'!BX21+'[4]CB III'!BX21+[4]IG!BX21+[4]PN!BX21+[4]MJ!BX21+'[4]RB I'!BX21+'[4]SF I'!BX21</f>
        <v>0</v>
      </c>
      <c r="BY21" s="226">
        <f>+[4]SLP!BY21+[4]ROSA!BY21+'[4]STA ANA'!BY21+[4]BOA!BY21+'[4]STA MARIA'!BY21+'[4]CB I'!BY21+'[4]CB II'!BY21+'[4]CB III'!BY21+[4]IG!BY21+[4]PN!BY21+[4]MJ!BY21+'[4]RB I'!BY21+'[4]SF I'!BY21</f>
        <v>0</v>
      </c>
      <c r="BZ21" s="226">
        <f>+[4]SLP!BZ21+[4]ROSA!BZ21+'[4]STA ANA'!BZ21+[4]BOA!BZ21+'[4]STA MARIA'!BZ21+'[4]CB I'!BZ21+'[4]CB II'!BZ21+'[4]CB III'!BZ21+[4]IG!BZ21+[4]PN!BZ21+[4]MJ!BZ21+'[4]RB I'!BZ21+'[4]SF I'!BZ21</f>
        <v>0</v>
      </c>
      <c r="CA21" s="226">
        <f>+[4]SLP!CA21+[4]ROSA!CA21+'[4]STA ANA'!CA21+[4]BOA!CA21+'[4]STA MARIA'!CA21+'[4]CB I'!CA21+'[4]CB II'!CA21+'[4]CB III'!CA21+[4]IG!CA21+[4]PN!CA21+[4]MJ!CA21+'[4]RB I'!CA21+'[4]SF I'!CA21</f>
        <v>0</v>
      </c>
      <c r="CB21" s="166">
        <f>+[4]SLP!CB21+[4]ROSA!CB21+'[4]STA ANA'!CB21+[4]BOA!CB21+'[4]STA MARIA'!CB21+'[4]CB I'!CB21+'[4]CB II'!CB21+'[4]CB III'!CB21+[4]IG!CB21+[4]PN!CB21+[4]MJ!CB21+'[4]RB I'!CB21+'[4]SÃO FRANCISCO'!CB21</f>
        <v>0</v>
      </c>
      <c r="CC21" s="224" t="str">
        <f t="shared" si="12"/>
        <v/>
      </c>
      <c r="CD21" s="225">
        <f>+[4]SLP!CD21+[4]ROSA!CD21+'[4]STA ANA'!CD21+[4]BOA!CD21+'[4]STA MARIA'!CD21+'[4]CB I'!CD21+'[4]CB II'!CD21+'[4]CB III'!CD21+[4]IG!CD21+[4]PN!CD21+[4]MJ!CD21+'[4]RB I'!CD21+'[4]SF I'!CD21</f>
        <v>0</v>
      </c>
      <c r="CE21" s="226">
        <f>+[4]SLP!CE21+[4]ROSA!CE21+'[4]STA ANA'!CE21+[4]BOA!CE21+'[4]STA MARIA'!CE21+'[4]CB I'!CE21+'[4]CB II'!CE21+'[4]CB III'!CE21+[4]IG!CE21+[4]PN!CE21+[4]MJ!CE21+'[4]RB I'!CE21+'[4]SF I'!CE21</f>
        <v>0</v>
      </c>
      <c r="CF21" s="226">
        <f>+[4]SLP!CF21+[4]ROSA!CF21+'[4]STA ANA'!CF21+[4]BOA!CF21+'[4]STA MARIA'!CF21+'[4]CB I'!CF21+'[4]CB II'!CF21+'[4]CB III'!CF21+[4]IG!CF21+[4]PN!CF21+[4]MJ!CF21+'[4]RB I'!CF21+'[4]SF I'!CF21</f>
        <v>0</v>
      </c>
      <c r="CG21" s="226">
        <f>+[4]SLP!CG21+[4]ROSA!CG21+'[4]STA ANA'!CG21+[4]BOA!CG21+'[4]STA MARIA'!CG21+'[4]CB I'!CG21+'[4]CB II'!CG21+'[4]CB III'!CG21+[4]IG!CG21+[4]PN!CG21+[4]MJ!CG21+'[4]RB I'!CG21+'[4]SF I'!CG21</f>
        <v>0</v>
      </c>
      <c r="CH21" s="226">
        <f>+[4]SLP!CH21+[4]ROSA!CH21+'[4]STA ANA'!CH21+[4]BOA!CH21+'[4]STA MARIA'!CH21+'[4]CB I'!CH21+'[4]CB II'!CH21+'[4]CB III'!CH21+[4]IG!CH21+[4]PN!CH21+[4]MJ!CH21+'[4]RB I'!CH21+'[4]SF I'!CH21</f>
        <v>0</v>
      </c>
      <c r="CI21" s="166">
        <f>+[4]SLP!CI21+[4]ROSA!CI21+'[4]STA ANA'!CI21+[4]BOA!CI21+'[4]STA MARIA'!CI21+'[4]CB I'!CI21+'[4]CB II'!CI21+'[4]CB III'!CI21+[4]IG!CI21+[4]PN!CI21+[4]MJ!CI21+'[4]RB I'!CI21+'[4]SÃO FRANCISCO'!CI21</f>
        <v>0</v>
      </c>
      <c r="CJ21" s="224" t="str">
        <f t="shared" si="13"/>
        <v/>
      </c>
      <c r="CK21" s="225">
        <f>+[4]SLP!CK21+[4]ROSA!CK21+'[4]STA ANA'!CK21+[4]BOA!CK21+'[4]STA MARIA'!CK21+'[4]CB I'!CK21+'[4]CB II'!CK21+'[4]CB III'!CK21+[4]IG!CK21+[4]PN!CK21+[4]MJ!CK21+'[4]RB I'!CK21+'[4]SF I'!CK21</f>
        <v>0</v>
      </c>
      <c r="CL21" s="226">
        <f>+[4]SLP!CL21+[4]ROSA!CL21+'[4]STA ANA'!CL21+[4]BOA!CL21+'[4]STA MARIA'!CL21+'[4]CB I'!CL21+'[4]CB II'!CL21+'[4]CB III'!CL21+[4]IG!CL21+[4]PN!CL21+[4]MJ!CL21+'[4]RB I'!CL21+'[4]SF I'!CL21</f>
        <v>0</v>
      </c>
      <c r="CM21" s="226">
        <f>+[4]SLP!CM21+[4]ROSA!CM21+'[4]STA ANA'!CM21+[4]BOA!CM21+'[4]STA MARIA'!CM21+'[4]CB I'!CM21+'[4]CB II'!CM21+'[4]CB III'!CM21+[4]IG!CM21+[4]PN!CM21+[4]MJ!CM21+'[4]RB I'!CM21+'[4]SF I'!CM21</f>
        <v>0</v>
      </c>
      <c r="CN21" s="226">
        <f>+[4]SLP!CN21+[4]ROSA!CN21+'[4]STA ANA'!CN21+[4]BOA!CN21+'[4]STA MARIA'!CN21+'[4]CB I'!CN21+'[4]CB II'!CN21+'[4]CB III'!CN21+[4]IG!CN21+[4]PN!CN21+[4]MJ!CN21+'[4]RB I'!CN21+'[4]SF I'!CN21</f>
        <v>0</v>
      </c>
      <c r="CO21" s="226">
        <f>+[4]SLP!CO21+[4]ROSA!CO21+'[4]STA ANA'!CO21+[4]BOA!CO21+'[4]STA MARIA'!CO21+'[4]CB I'!CO21+'[4]CB II'!CO21+'[4]CB III'!CO21+[4]IG!CO21+[4]PN!CO21+[4]MJ!CO21+'[4]RB I'!CO21+'[4]SF I'!CO21</f>
        <v>0</v>
      </c>
      <c r="CP21" s="166">
        <f>+[4]SLP!CP21+[4]ROSA!CP21+'[4]STA ANA'!CP21+[4]BOA!CP21+'[4]STA MARIA'!CP21+'[4]CB I'!CP21+'[4]CB II'!CP21+'[4]CB III'!CP21+[4]IG!CP21+[4]PN!CP21+[4]MJ!CP21+'[4]RB I'!CP21+'[4]SÃO FRANCISCO'!CP21</f>
        <v>0</v>
      </c>
      <c r="CQ21" s="224" t="str">
        <f t="shared" si="14"/>
        <v/>
      </c>
      <c r="CR21" s="155"/>
      <c r="CS21" s="227" t="e">
        <f t="shared" si="15"/>
        <v>#VALUE!</v>
      </c>
    </row>
    <row r="22" spans="1:97" ht="16" customHeight="1" x14ac:dyDescent="0.2">
      <c r="A22" s="228" t="s">
        <v>46</v>
      </c>
      <c r="B22" s="30">
        <f t="shared" si="0"/>
        <v>2577840.7359999917</v>
      </c>
      <c r="C22" s="31">
        <f t="shared" si="0"/>
        <v>2261024.1095455931</v>
      </c>
      <c r="D22" s="32">
        <f t="shared" si="0"/>
        <v>316816.62645439897</v>
      </c>
      <c r="E22" s="30">
        <f t="shared" si="16"/>
        <v>859280.24533333059</v>
      </c>
      <c r="F22" s="33">
        <f t="shared" si="16"/>
        <v>753674.70318186423</v>
      </c>
      <c r="G22" s="34">
        <f t="shared" si="16"/>
        <v>105605.54215146632</v>
      </c>
      <c r="H22" s="31">
        <f t="shared" si="1"/>
        <v>1382030.7921036556</v>
      </c>
      <c r="I22" s="33">
        <f t="shared" si="1"/>
        <v>146999.49387407221</v>
      </c>
      <c r="J22" s="33">
        <f t="shared" si="1"/>
        <v>1529030.285977728</v>
      </c>
      <c r="K22" s="224">
        <f t="shared" si="2"/>
        <v>0.77943144193264802</v>
      </c>
      <c r="L22" s="225">
        <f>+[4]SLP!L22+[4]ROSA!L22+'[4]STA ANA'!L22+[4]BOA!L22+'[4]STA MARIA'!L22+'[4]CB I'!L22+'[4]CB II'!L22+'[4]CB III'!L22+[4]IG!L22+[4]PN!L22+[4]MJ!L22+'[4]RB I'!L22+'[4]SF I'!L22</f>
        <v>214820.06133333265</v>
      </c>
      <c r="M22" s="226">
        <f>+[4]SLP!M22+[4]ROSA!M22+'[4]STA ANA'!M22+[4]BOA!M22+'[4]STA MARIA'!M22+'[4]CB I'!M22+'[4]CB II'!M22+'[4]CB III'!M22+[4]IG!M22+[4]PN!M22+[4]MJ!M22+'[4]RB I'!M22+'[4]SF I'!M22</f>
        <v>188418.67579546606</v>
      </c>
      <c r="N22" s="226">
        <f>+[4]SLP!N22+[4]ROSA!N22+'[4]STA ANA'!N22+[4]BOA!N22+'[4]STA MARIA'!N22+'[4]CB I'!N22+'[4]CB II'!N22+'[4]CB III'!N22+[4]IG!N22+[4]PN!N22+[4]MJ!N22+'[4]RB I'!N22+'[4]SF I'!N22</f>
        <v>26401.385537866579</v>
      </c>
      <c r="O22" s="226">
        <f>+[4]SLP!O22+[4]ROSA!O22+'[4]STA ANA'!O22+[4]BOA!O22+'[4]STA MARIA'!O22+'[4]CB I'!O22+'[4]CB II'!O22+'[4]CB III'!O22+[4]IG!O22+[4]PN!O22+[4]MJ!O22+'[4]RB I'!O22+'[4]SF I'!O22</f>
        <v>679052.0951189152</v>
      </c>
      <c r="P22" s="226">
        <f>+[4]SLP!P22+[4]ROSA!P22+'[4]STA ANA'!P22+[4]BOA!P22+'[4]STA MARIA'!P22+'[4]CB I'!P22+'[4]CB II'!P22+'[4]CB III'!P22+[4]IG!P22+[4]PN!P22+[4]MJ!P22+'[4]RB I'!P22+'[4]SF I'!P22</f>
        <v>87927.760473485061</v>
      </c>
      <c r="Q22" s="166">
        <f>+[4]SLP!Q22+[4]ROSA!Q22+'[4]STA ANA'!Q22+[4]BOA!Q22+'[4]STA MARIA'!Q22+'[4]CB I'!Q22+'[4]CB II'!Q22+'[4]CB III'!Q22+[4]IG!Q22+[4]PN!Q22+[4]MJ!Q22+'[4]RB I'!Q22+'[4]SF I'!Q22</f>
        <v>766979.85559240018</v>
      </c>
      <c r="R22" s="224">
        <f t="shared" si="3"/>
        <v>2.5703362657656563</v>
      </c>
      <c r="S22" s="225">
        <f>+[4]SLP!S22+[4]ROSA!S22+'[4]STA ANA'!S22+[4]BOA!S22+'[4]STA MARIA'!S22+'[4]CB I'!S22+'[4]CB II'!S22+'[4]CB III'!S22+[4]IG!S22+[4]PN!S22+[4]MJ!S22+'[4]RB I'!S22+'[4]SF I'!S22</f>
        <v>214820.06133333265</v>
      </c>
      <c r="T22" s="226">
        <f>+[4]SLP!T22+[4]ROSA!T22+'[4]STA ANA'!T22+[4]BOA!T22+'[4]STA MARIA'!T22+'[4]CB I'!T22+'[4]CB II'!T22+'[4]CB III'!T22+[4]IG!T22+[4]PN!T22+[4]MJ!T22+'[4]RB I'!T22+'[4]SF I'!T22</f>
        <v>188418.67579546606</v>
      </c>
      <c r="U22" s="226">
        <f>+[4]SLP!U22+[4]ROSA!U22+'[4]STA ANA'!U22+[4]BOA!U22+'[4]STA MARIA'!U22+'[4]CB I'!U22+'[4]CB II'!U22+'[4]CB III'!U22+[4]IG!U22+[4]PN!U22+[4]MJ!U22+'[4]RB I'!U22+'[4]SF I'!U22</f>
        <v>26401.385537866579</v>
      </c>
      <c r="V22" s="226">
        <f>+[4]SLP!V22+[4]ROSA!V22+'[4]STA ANA'!V22+[4]BOA!V22+'[4]STA MARIA'!V22+'[4]CB I'!V22+'[4]CB II'!V22+'[4]CB III'!V22+[4]IG!V22+[4]PN!V22+[4]MJ!V22+'[4]RB I'!V22+'[4]SF I'!V22</f>
        <v>527041.31934030843</v>
      </c>
      <c r="W22" s="226">
        <f>+[4]SLP!W22+[4]ROSA!W22+'[4]STA ANA'!W22+[4]BOA!W22+'[4]STA MARIA'!W22+'[4]CB I'!W22+'[4]CB II'!W22+'[4]CB III'!W22+[4]IG!W22+[4]PN!W22+[4]MJ!W22+'[4]RB I'!W22+'[4]SF I'!W22</f>
        <v>43323.246231000172</v>
      </c>
      <c r="X22" s="166">
        <f>[4]SLP!X22+[4]ROSA!X22+'[4]STA ANA'!X22+[4]BOA!X22+'[4]STA MARIA'!X22+'[4]CB I'!X22+'[4]CB II'!X22+'[4]CB III'!X22+[4]IG!X22+[4]PN!X22+[4]MJ!X22+'[4]RB I'!X22+'[4]SF I'!X22</f>
        <v>570364.56557130849</v>
      </c>
      <c r="Y22" s="224">
        <f t="shared" si="4"/>
        <v>1.6550805452302866</v>
      </c>
      <c r="Z22" s="225">
        <f>+[4]SLP!Z22+[4]ROSA!Z22+'[4]STA ANA'!Z22+[4]BOA!Z22+'[4]STA MARIA'!Z22+'[4]CB I'!Z22+'[4]CB II'!Z22+'[4]CB III'!Z22+[4]IG!Z22+[4]PN!Z22+[4]MJ!Z22+'[4]RB I'!Z22+'[4]SF I'!Z22</f>
        <v>214820.06133333265</v>
      </c>
      <c r="AA22" s="226">
        <f>+[4]SLP!AA22+[4]ROSA!AA22+'[4]STA ANA'!AA22+[4]BOA!AA22+'[4]STA MARIA'!AA22+'[4]CB I'!AA22+'[4]CB II'!AA22+'[4]CB III'!AA22+[4]IG!AA22+[4]PN!AA22+[4]MJ!AA22+'[4]RB I'!AA22+'[4]SF I'!AA22</f>
        <v>188418.67579546606</v>
      </c>
      <c r="AB22" s="226">
        <f>+[4]SLP!AB22+[4]ROSA!AB22+'[4]STA ANA'!AB22+[4]BOA!AB22+'[4]STA MARIA'!AB22+'[4]CB I'!AB22+'[4]CB II'!AB22+'[4]CB III'!AB22+[4]IG!AB22+[4]PN!AB22+[4]MJ!AB22+'[4]RB I'!AB22+'[4]SF I'!AB22</f>
        <v>26401.385537866579</v>
      </c>
      <c r="AC22" s="226">
        <f>+[4]SLP!AC22+[4]ROSA!AC22+'[4]STA ANA'!AC22+[4]BOA!AC22+'[4]STA MARIA'!AC22+'[4]CB I'!AC22+'[4]CB II'!AC22+'[4]CB III'!AC22+[4]IG!AC22+[4]PN!AC22+[4]MJ!AC22+'[4]RB I'!AC22+'[4]SF I'!AC22</f>
        <v>119283.51437167291</v>
      </c>
      <c r="AD22" s="226">
        <f>+[4]SLP!AD22+[4]ROSA!AD22+'[4]STA ANA'!AD22+[4]BOA!AD22+'[4]STA MARIA'!AD22+'[4]CB I'!AD22+'[4]CB II'!AD22+'[4]CB III'!AD22+[4]IG!AD22+[4]PN!AD22+[4]MJ!AD22+'[4]RB I'!AD22+'[4]SF I'!AD22</f>
        <v>9401.9778060827794</v>
      </c>
      <c r="AE22" s="166">
        <f>+[4]SLP!AE22+[4]ROSA!AE22+'[4]STA ANA'!AE22+[4]BOA!AE22+'[4]STA MARIA'!AE22+'[4]CB I'!AE22+'[4]CB II'!AE22+'[4]CB III'!AE22+[4]IG!AE22+[4]PN!AE22+[4]MJ!AE22+'[4]RB I'!AE22+'[4]SF I'!AE22</f>
        <v>128685.49217775572</v>
      </c>
      <c r="AF22" s="224">
        <f t="shared" si="5"/>
        <v>-0.4009614773450948</v>
      </c>
      <c r="AG22" s="225">
        <f>+[4]SLP!AG22+[4]ROSA!AG22+'[4]STA ANA'!AG22+[4]BOA!AG22+'[4]STA MARIA'!AG22+'[4]CB I'!AG22+'[4]CB II'!AG22+'[4]CB III'!AG22+[4]IG!AG22+[4]PN!AG22+[4]MJ!AG22+'[4]RB I'!AG22+'[4]SF I'!AG22</f>
        <v>214820.06133333265</v>
      </c>
      <c r="AH22" s="226">
        <f>+[4]SLP!AH22+[4]ROSA!AH22+'[4]STA ANA'!AH22+[4]BOA!AH22+'[4]STA MARIA'!AH22+'[4]CB I'!AH22+'[4]CB II'!AH22+'[4]CB III'!AH22+[4]IG!AH22+[4]PN!AH22+[4]MJ!AH22+'[4]RB I'!AH22+'[4]SF I'!AH22</f>
        <v>188418.67579546606</v>
      </c>
      <c r="AI22" s="226">
        <f>+[4]SLP!AI22+[4]ROSA!AI22+'[4]STA ANA'!AI22+[4]BOA!AI22+'[4]STA MARIA'!AI22+'[4]CB I'!AI22+'[4]CB II'!AI22+'[4]CB III'!AI22+[4]IG!AI22+[4]PN!AI22+[4]MJ!AI22+'[4]RB I'!AI22+'[4]SF I'!AI22</f>
        <v>26401.385537866579</v>
      </c>
      <c r="AJ22" s="226">
        <f>+[4]SLP!AJ22+[4]ROSA!AJ22+'[4]STA ANA'!AJ22+[4]BOA!AJ22+'[4]STA MARIA'!AJ22+'[4]CB I'!AJ22+'[4]CB II'!AJ22+'[4]CB III'!AJ22+[4]IG!AJ22+[4]PN!AJ22+[4]MJ!AJ22+'[4]RB I'!AJ22+'[4]SF I'!AJ22</f>
        <v>56653.863272759205</v>
      </c>
      <c r="AK22" s="226">
        <f>+[4]SLP!AK22+[4]ROSA!AK22+'[4]STA ANA'!AK22+[4]BOA!AK22+'[4]STA MARIA'!AK22+'[4]CB I'!AK22+'[4]CB II'!AK22+'[4]CB III'!AK22+[4]IG!AK22+[4]PN!AK22+[4]MJ!AK22+'[4]RB I'!AK22+'[4]SF I'!AK22</f>
        <v>6346.5093635042058</v>
      </c>
      <c r="AL22" s="166">
        <f>+[4]SLP!AL22+[4]ROSA!AL22+'[4]STA ANA'!AL22+[4]BOA!AL22+'[4]STA MARIA'!AL22+'[4]CB I'!AL22+'[4]CB II'!AL22+'[4]CB III'!AL22+[4]IG!AL22+[4]PN!AL22+[4]MJ!AL22+'[4]RB I'!AL22+'[4]SF I'!AL22</f>
        <v>63000.372636263404</v>
      </c>
      <c r="AM22" s="224">
        <f t="shared" si="6"/>
        <v>-0.70672956592025737</v>
      </c>
      <c r="AN22" s="225">
        <f>+[4]SLP!AN22+[4]ROSA!AN22+'[4]STA ANA'!AN22+[4]BOA!AN22+'[4]STA MARIA'!AN22+'[4]CB I'!AN22+'[4]CB II'!AN22+'[4]CB III'!AN22+[4]IG!AN22+[4]PN!AN22+[4]MJ!AN22+'[4]RB I'!AN22+'[4]SF I'!AN22</f>
        <v>214820.06133333265</v>
      </c>
      <c r="AO22" s="226">
        <f>+[4]SLP!AO22+[4]ROSA!AO22+'[4]STA ANA'!AO22+[4]BOA!AO22+'[4]STA MARIA'!AO22+'[4]CB I'!AO22+'[4]CB II'!AO22+'[4]CB III'!AO22+[4]IG!AO22+[4]PN!AO22+[4]MJ!AO22+'[4]RB I'!AO22+'[4]SF I'!AO22</f>
        <v>188418.67579546606</v>
      </c>
      <c r="AP22" s="226">
        <f>+[4]SLP!AP22+[4]ROSA!AP22+'[4]STA ANA'!AP22+[4]BOA!AP22+'[4]STA MARIA'!AP22+'[4]CB I'!AP22+'[4]CB II'!AP22+'[4]CB III'!AP22+[4]IG!AP22+[4]PN!AP22+[4]MJ!AP22+'[4]RB I'!AP22+'[4]SF I'!AP22</f>
        <v>26401.385537866579</v>
      </c>
      <c r="AQ22" s="226">
        <f>+[4]SLP!AQ22+[4]ROSA!AQ22+'[4]STA ANA'!AQ22+[4]BOA!AQ22+'[4]STA MARIA'!AQ22+'[4]CB I'!AQ22+'[4]CB II'!AQ22+'[4]CB III'!AQ22+[4]IG!AQ22+[4]PN!AQ22+[4]MJ!AQ22+'[4]RB I'!AQ22+'[4]SF I'!AQ22</f>
        <v>0</v>
      </c>
      <c r="AR22" s="226">
        <f>+[4]SLP!AR22+[4]ROSA!AR22+'[4]STA ANA'!AR22+[4]BOA!AR22+'[4]STA MARIA'!AR22+'[4]CB I'!AR22+'[4]CB II'!AR22+'[4]CB III'!AR22+[4]IG!AR22+[4]PN!AR22+[4]MJ!AR22+'[4]RB I'!AR22+'[4]SF I'!AR22</f>
        <v>0</v>
      </c>
      <c r="AS22" s="166">
        <f>+[4]SLP!AS22+[4]ROSA!AS22+'[4]STA ANA'!AS22+[4]BOA!AS22+'[4]STA MARIA'!AS22+'[4]CB I'!AS22+'[4]CB II'!AS22+'[4]CB III'!AS22+[4]IG!AS22+[4]PN!AS22+[4]MJ!AS22+'[4]RB I'!AS22+'[4]SÃO FRANCISCO'!AS22</f>
        <v>0</v>
      </c>
      <c r="AT22" s="224">
        <f t="shared" si="7"/>
        <v>-1</v>
      </c>
      <c r="AU22" s="225">
        <f>+[4]SLP!AU22+[4]ROSA!AU22+'[4]STA ANA'!AU22+[4]BOA!AU22+'[4]STA MARIA'!AU22+'[4]CB I'!AU22+'[4]CB II'!AU22+'[4]CB III'!AU22+[4]IG!AU22+[4]PN!AU22+[4]MJ!AU22+'[4]RB I'!AU22+'[4]SF I'!AU22</f>
        <v>214820.06133333265</v>
      </c>
      <c r="AV22" s="226">
        <f>+[4]SLP!AV22+[4]ROSA!AV22+'[4]STA ANA'!AV22+[4]BOA!AV22+'[4]STA MARIA'!AV22+'[4]CB I'!AV22+'[4]CB II'!AV22+'[4]CB III'!AV22+[4]IG!AV22+[4]PN!AV22+[4]MJ!AV22+'[4]RB I'!AV22+'[4]SF I'!AV22</f>
        <v>188418.67579546606</v>
      </c>
      <c r="AW22" s="226">
        <f>+[4]SLP!AW22+[4]ROSA!AW22+'[4]STA ANA'!AW22+[4]BOA!AW22+'[4]STA MARIA'!AW22+'[4]CB I'!AW22+'[4]CB II'!AW22+'[4]CB III'!AW22+[4]IG!AW22+[4]PN!AW22+[4]MJ!AW22+'[4]RB I'!AW22+'[4]SF I'!AW22</f>
        <v>26401.385537866579</v>
      </c>
      <c r="AX22" s="226">
        <f>+[4]SLP!AX22+[4]ROSA!AX22+'[4]STA ANA'!AX22+[4]BOA!AX22+'[4]STA MARIA'!AX22+'[4]CB I'!AX22+'[4]CB II'!AX22+'[4]CB III'!AX22+[4]IG!AX22+[4]PN!AX22+[4]MJ!AX22+'[4]RB I'!AX22+'[4]SF I'!AX22</f>
        <v>0</v>
      </c>
      <c r="AY22" s="226">
        <f>+[4]SLP!AY22+[4]ROSA!AY22+'[4]STA ANA'!AY22+[4]BOA!AY22+'[4]STA MARIA'!AY22+'[4]CB I'!AY22+'[4]CB II'!AY22+'[4]CB III'!AY22+[4]IG!AY22+[4]PN!AY22+[4]MJ!AY22+'[4]RB I'!AY22+'[4]SF I'!AY22</f>
        <v>0</v>
      </c>
      <c r="AZ22" s="166">
        <f>+[4]SLP!AZ22+[4]ROSA!AZ22+'[4]STA ANA'!AZ22+[4]BOA!AZ22+'[4]STA MARIA'!AZ22+'[4]CB I'!AZ22+'[4]CB II'!AZ22+[4]IG!AZ22+[4]PN!AZ22+[4]MJ!AZ22+'[4]RB I'!AZ22+'[4]SÃO FRANCISCO'!AZ22</f>
        <v>0</v>
      </c>
      <c r="BA22" s="224">
        <f t="shared" si="8"/>
        <v>-1</v>
      </c>
      <c r="BB22" s="225">
        <f>+[4]SLP!BB22+[4]ROSA!BB22+'[4]STA ANA'!BB22+[4]BOA!BB22+'[4]STA MARIA'!BB22+'[4]CB I'!BB22+'[4]CB II'!BB22+'[4]CB III'!BB22+[4]IG!BB22+[4]PN!BB22+[4]MJ!BB22+'[4]RB I'!BB22+'[4]SF I'!BB22</f>
        <v>214820.06133333265</v>
      </c>
      <c r="BC22" s="226">
        <f>+[4]SLP!BC22+[4]ROSA!BC22+'[4]STA ANA'!BC22+[4]BOA!BC22+'[4]STA MARIA'!BC22+'[4]CB I'!BC22+'[4]CB II'!BC22+'[4]CB III'!BC22+[4]IG!BC22+[4]PN!BC22+[4]MJ!BC22+'[4]RB I'!BC22+'[4]SF I'!BC22</f>
        <v>188418.67579546606</v>
      </c>
      <c r="BD22" s="226">
        <f>+[4]SLP!BD22+[4]ROSA!BD22+'[4]STA ANA'!BD22+[4]BOA!BD22+'[4]STA MARIA'!BD22+'[4]CB I'!BD22+'[4]CB II'!BD22+'[4]CB III'!BD22+[4]IG!BD22+[4]PN!BD22+[4]MJ!BD22+'[4]RB I'!BD22+'[4]SF I'!BD22</f>
        <v>26401.385537866579</v>
      </c>
      <c r="BE22" s="226">
        <f>+[4]SLP!BE22+[4]ROSA!BE22+'[4]STA ANA'!BE22+[4]BOA!BE22+'[4]STA MARIA'!BE22+'[4]CB I'!BE22+'[4]CB II'!BE22+'[4]CB III'!BE22+[4]IG!BE22+[4]PN!BE22+[4]MJ!BE22+'[4]RB I'!BE22+'[4]SF I'!BE22</f>
        <v>0</v>
      </c>
      <c r="BF22" s="226">
        <f>+[4]SLP!BF22+[4]ROSA!BF22+'[4]STA ANA'!BF22+[4]BOA!BF22+'[4]STA MARIA'!BF22+'[4]CB I'!BF22+'[4]CB II'!BF22+'[4]CB III'!BF22+[4]IG!BF22+[4]PN!BF22+[4]MJ!BF22+'[4]RB I'!BF22+'[4]SF I'!BF22</f>
        <v>0</v>
      </c>
      <c r="BG22" s="166">
        <f>+[4]SLP!BG22+[4]ROSA!BG22+'[4]STA ANA'!BG22+[4]BOA!BG22+'[4]STA MARIA'!BG22+'[4]CB I'!BG22+'[4]CB II'!BG22+'[4]CB III'!BG22+[4]IG!BG22+[4]PN!BG22+[4]MJ!BG22+'[4]RB I'!BG22+'[4]SÃO FRANCISCO'!BG22</f>
        <v>0</v>
      </c>
      <c r="BH22" s="224">
        <f t="shared" si="9"/>
        <v>-1</v>
      </c>
      <c r="BI22" s="225">
        <f>+[4]SLP!BI22+[4]ROSA!BI22+'[4]STA ANA'!BI22+[4]BOA!BI22+'[4]STA MARIA'!BI22+'[4]CB I'!BI22+'[4]CB II'!BI22+'[4]CB III'!BI22+[4]IG!BI22+[4]PN!BI22+[4]MJ!BI22+'[4]RB I'!BI22+'[4]SF I'!BI22</f>
        <v>214820.06133333265</v>
      </c>
      <c r="BJ22" s="226">
        <f>+[4]SLP!BJ22+[4]ROSA!BJ22+'[4]STA ANA'!BJ22+[4]BOA!BJ22+'[4]STA MARIA'!BJ22+'[4]CB I'!BJ22+'[4]CB II'!BJ22+'[4]CB III'!BJ22+[4]IG!BJ22+[4]PN!BJ22+[4]MJ!BJ22+'[4]RB I'!BJ22+'[4]SF I'!BJ22</f>
        <v>188418.67579546606</v>
      </c>
      <c r="BK22" s="226">
        <f>+[4]SLP!BK22+[4]ROSA!BK22+'[4]STA ANA'!BK22+[4]BOA!BK22+'[4]STA MARIA'!BK22+'[4]CB I'!BK22+'[4]CB II'!BK22+'[4]CB III'!BK22+[4]IG!BK22+[4]PN!BK22+[4]MJ!BK22+'[4]RB I'!BK22+'[4]SF I'!BK22</f>
        <v>26401.385537866579</v>
      </c>
      <c r="BL22" s="226">
        <f>+[4]SLP!BL22+[4]ROSA!BL22+'[4]STA ANA'!BL22+[4]BOA!BL22+'[4]STA MARIA'!BL22+'[4]CB I'!BL22+'[4]CB II'!BL22+'[4]CB III'!BL22+[4]IG!BL22+[4]PN!BL22+[4]MJ!BL22+'[4]RB I'!BL22+'[4]SF I'!BL22</f>
        <v>0</v>
      </c>
      <c r="BM22" s="226">
        <f>+[4]SLP!BM22+[4]ROSA!BM22+'[4]STA ANA'!BM22+[4]BOA!BM22+'[4]STA MARIA'!BM22+'[4]CB I'!BM22+'[4]CB II'!BM22+'[4]CB III'!BM22+[4]IG!BM22+[4]PN!BM22+[4]MJ!BM22+'[4]RB I'!BM22+'[4]SF I'!BM22</f>
        <v>0</v>
      </c>
      <c r="BN22" s="166">
        <f>+[4]SLP!BN22+[4]ROSA!BN22+'[4]STA ANA'!BN22+[4]BOA!BN22+'[4]STA MARIA'!BN22+'[4]CB I'!BN22+'[4]CB II'!BN22+'[4]CB III'!BN22+[4]IG!BN22+[4]PN!BN22+[4]MJ!BN22+'[4]RB I'!BN22+'[4]SÃO FRANCISCO'!BN22</f>
        <v>0</v>
      </c>
      <c r="BO22" s="224">
        <f t="shared" si="10"/>
        <v>-1</v>
      </c>
      <c r="BP22" s="225">
        <f>+[4]SLP!BP22+[4]ROSA!BP22+'[4]STA ANA'!BP22+[4]BOA!BP22+'[4]STA MARIA'!BP22+'[4]CB I'!BP22+'[4]CB II'!BP22+'[4]CB III'!BP22+[4]IG!BP22+[4]PN!BP22+[4]MJ!BP22+'[4]RB I'!BP22+'[4]SF I'!BP22</f>
        <v>214820.06133333265</v>
      </c>
      <c r="BQ22" s="226">
        <f>+[4]SLP!BQ22+[4]ROSA!BQ22+'[4]STA ANA'!BQ22+[4]BOA!BQ22+'[4]STA MARIA'!BQ22+'[4]CB I'!BQ22+'[4]CB II'!BQ22+'[4]CB III'!BQ22+[4]IG!BQ22+[4]PN!BQ22+[4]MJ!BQ22+'[4]RB I'!BQ22+'[4]SF I'!BQ22</f>
        <v>188418.67579546606</v>
      </c>
      <c r="BR22" s="226">
        <f>+[4]SLP!BR22+[4]ROSA!BR22+'[4]STA ANA'!BR22+[4]BOA!BR22+'[4]STA MARIA'!BR22+'[4]CB I'!BR22+'[4]CB II'!BR22+'[4]CB III'!BR22+[4]IG!BR22+[4]PN!BR22+[4]MJ!BR22+'[4]RB I'!BR22+'[4]SF I'!BR22</f>
        <v>26401.385537866579</v>
      </c>
      <c r="BS22" s="226">
        <f>+[4]SLP!BS22+[4]ROSA!BS22+'[4]STA ANA'!BS22+[4]BOA!BS22+'[4]STA MARIA'!BS22+'[4]CB I'!BS22+'[4]CB II'!BS22+'[4]CB III'!BS22+[4]IG!BS22+[4]PN!BS22+[4]MJ!BS22+'[4]RB I'!BS22+'[4]SF I'!BS22</f>
        <v>0</v>
      </c>
      <c r="BT22" s="226">
        <f>+[4]SLP!BT22+[4]ROSA!BT22+'[4]STA ANA'!BT22+[4]BOA!BT22+'[4]STA MARIA'!BT22+'[4]CB I'!BT22+'[4]CB II'!BT22+'[4]CB III'!BT22+[4]IG!BT22+[4]PN!BT22+[4]MJ!BT22+'[4]RB I'!BT22+'[4]SF I'!BT22</f>
        <v>0</v>
      </c>
      <c r="BU22" s="166">
        <f>+[4]SLP!BU22+[4]ROSA!BU22+'[4]STA ANA'!BU22+[4]BOA!BU22+'[4]STA MARIA'!BU22+'[4]CB I'!BU22+'[4]CB II'!BU22+'[4]CB III'!BU22+[4]IG!BU22+[4]PN!BU22+[4]MJ!BU22+'[4]RB I'!BU22+'[4]SÃO FRANCISCO'!BU22</f>
        <v>0</v>
      </c>
      <c r="BV22" s="224">
        <f t="shared" si="11"/>
        <v>-1</v>
      </c>
      <c r="BW22" s="225">
        <f>+[4]SLP!BW22+[4]ROSA!BW22+'[4]STA ANA'!BW22+[4]BOA!BW22+'[4]STA MARIA'!BW22+'[4]CB I'!BW22+'[4]CB II'!BW22+'[4]CB III'!BW22+[4]IG!BW22+[4]PN!BW22+[4]MJ!BW22+'[4]RB I'!BW22+'[4]SF I'!BW22</f>
        <v>214820.06133333265</v>
      </c>
      <c r="BX22" s="226">
        <f>+[4]SLP!BX22+[4]ROSA!BX22+'[4]STA ANA'!BX22+[4]BOA!BX22+'[4]STA MARIA'!BX22+'[4]CB I'!BX22+'[4]CB II'!BX22+'[4]CB III'!BX22+[4]IG!BX22+[4]PN!BX22+[4]MJ!BX22+'[4]RB I'!BX22+'[4]SF I'!BX22</f>
        <v>188418.67579546606</v>
      </c>
      <c r="BY22" s="226">
        <f>+[4]SLP!BY22+[4]ROSA!BY22+'[4]STA ANA'!BY22+[4]BOA!BY22+'[4]STA MARIA'!BY22+'[4]CB I'!BY22+'[4]CB II'!BY22+'[4]CB III'!BY22+[4]IG!BY22+[4]PN!BY22+[4]MJ!BY22+'[4]RB I'!BY22+'[4]SF I'!BY22</f>
        <v>26401.385537866579</v>
      </c>
      <c r="BZ22" s="226">
        <f>+[4]SLP!BZ22+[4]ROSA!BZ22+'[4]STA ANA'!BZ22+[4]BOA!BZ22+'[4]STA MARIA'!BZ22+'[4]CB I'!BZ22+'[4]CB II'!BZ22+'[4]CB III'!BZ22+[4]IG!BZ22+[4]PN!BZ22+[4]MJ!BZ22+'[4]RB I'!BZ22+'[4]SF I'!BZ22</f>
        <v>0</v>
      </c>
      <c r="CA22" s="226">
        <f>+[4]SLP!CA22+[4]ROSA!CA22+'[4]STA ANA'!CA22+[4]BOA!CA22+'[4]STA MARIA'!CA22+'[4]CB I'!CA22+'[4]CB II'!CA22+'[4]CB III'!CA22+[4]IG!CA22+[4]PN!CA22+[4]MJ!CA22+'[4]RB I'!CA22+'[4]SF I'!CA22</f>
        <v>0</v>
      </c>
      <c r="CB22" s="166">
        <f>+[4]SLP!CB22+[4]ROSA!CB22+'[4]STA ANA'!CB22+[4]BOA!CB22+'[4]STA MARIA'!CB22+'[4]CB I'!CB22+'[4]CB II'!CB22+'[4]CB III'!CB22+[4]IG!CB22+[4]PN!CB22+[4]MJ!CB22+'[4]RB I'!CB22+'[4]SÃO FRANCISCO'!CB22</f>
        <v>0</v>
      </c>
      <c r="CC22" s="224">
        <f t="shared" si="12"/>
        <v>-1</v>
      </c>
      <c r="CD22" s="225">
        <f>+[4]SLP!CD22+[4]ROSA!CD22+'[4]STA ANA'!CD22+[4]BOA!CD22+'[4]STA MARIA'!CD22+'[4]CB I'!CD22+'[4]CB II'!CD22+'[4]CB III'!CD22+[4]IG!CD22+[4]PN!CD22+[4]MJ!CD22+'[4]RB I'!CD22+'[4]SF I'!CD22</f>
        <v>214820.06133333265</v>
      </c>
      <c r="CE22" s="226">
        <f>+[4]SLP!CE22+[4]ROSA!CE22+'[4]STA ANA'!CE22+[4]BOA!CE22+'[4]STA MARIA'!CE22+'[4]CB I'!CE22+'[4]CB II'!CE22+'[4]CB III'!CE22+[4]IG!CE22+[4]PN!CE22+[4]MJ!CE22+'[4]RB I'!CE22+'[4]SF I'!CE22</f>
        <v>188418.67579546606</v>
      </c>
      <c r="CF22" s="226">
        <f>+[4]SLP!CF22+[4]ROSA!CF22+'[4]STA ANA'!CF22+[4]BOA!CF22+'[4]STA MARIA'!CF22+'[4]CB I'!CF22+'[4]CB II'!CF22+'[4]CB III'!CF22+[4]IG!CF22+[4]PN!CF22+[4]MJ!CF22+'[4]RB I'!CF22+'[4]SF I'!CF22</f>
        <v>26401.385537866579</v>
      </c>
      <c r="CG22" s="226">
        <f>+[4]SLP!CG22+[4]ROSA!CG22+'[4]STA ANA'!CG22+[4]BOA!CG22+'[4]STA MARIA'!CG22+'[4]CB I'!CG22+'[4]CB II'!CG22+'[4]CB III'!CG22+[4]IG!CG22+[4]PN!CG22+[4]MJ!CG22+'[4]RB I'!CG22+'[4]SF I'!CG22</f>
        <v>0</v>
      </c>
      <c r="CH22" s="226">
        <f>+[4]SLP!CH22+[4]ROSA!CH22+'[4]STA ANA'!CH22+[4]BOA!CH22+'[4]STA MARIA'!CH22+'[4]CB I'!CH22+'[4]CB II'!CH22+'[4]CB III'!CH22+[4]IG!CH22+[4]PN!CH22+[4]MJ!CH22+'[4]RB I'!CH22+'[4]SF I'!CH22</f>
        <v>0</v>
      </c>
      <c r="CI22" s="166">
        <f>+[4]SLP!CI22+[4]ROSA!CI22+'[4]STA ANA'!CI22+[4]BOA!CI22+'[4]STA MARIA'!CI22+'[4]CB I'!CI22+'[4]CB II'!CI22+'[4]CB III'!CI22+[4]IG!CI22+[4]PN!CI22+[4]MJ!CI22+'[4]RB I'!CI22+'[4]SÃO FRANCISCO'!CI22</f>
        <v>0</v>
      </c>
      <c r="CJ22" s="224">
        <f t="shared" si="13"/>
        <v>-1</v>
      </c>
      <c r="CK22" s="225">
        <f>+[4]SLP!CK22+[4]ROSA!CK22+'[4]STA ANA'!CK22+[4]BOA!CK22+'[4]STA MARIA'!CK22+'[4]CB I'!CK22+'[4]CB II'!CK22+'[4]CB III'!CK22+[4]IG!CK22+[4]PN!CK22+[4]MJ!CK22+'[4]RB I'!CK22+'[4]SF I'!CK22</f>
        <v>214820.06133333265</v>
      </c>
      <c r="CL22" s="226">
        <f>+[4]SLP!CL22+[4]ROSA!CL22+'[4]STA ANA'!CL22+[4]BOA!CL22+'[4]STA MARIA'!CL22+'[4]CB I'!CL22+'[4]CB II'!CL22+'[4]CB III'!CL22+[4]IG!CL22+[4]PN!CL22+[4]MJ!CL22+'[4]RB I'!CL22+'[4]SF I'!CL22</f>
        <v>188418.67579546606</v>
      </c>
      <c r="CM22" s="226">
        <f>+[4]SLP!CM22+[4]ROSA!CM22+'[4]STA ANA'!CM22+[4]BOA!CM22+'[4]STA MARIA'!CM22+'[4]CB I'!CM22+'[4]CB II'!CM22+'[4]CB III'!CM22+[4]IG!CM22+[4]PN!CM22+[4]MJ!CM22+'[4]RB I'!CM22+'[4]SF I'!CM22</f>
        <v>26401.385537866579</v>
      </c>
      <c r="CN22" s="226">
        <f>+[4]SLP!CN22+[4]ROSA!CN22+'[4]STA ANA'!CN22+[4]BOA!CN22+'[4]STA MARIA'!CN22+'[4]CB I'!CN22+'[4]CB II'!CN22+'[4]CB III'!CN22+[4]IG!CN22+[4]PN!CN22+[4]MJ!CN22+'[4]RB I'!CN22+'[4]SF I'!CN22</f>
        <v>0</v>
      </c>
      <c r="CO22" s="226">
        <f>+[4]SLP!CO22+[4]ROSA!CO22+'[4]STA ANA'!CO22+[4]BOA!CO22+'[4]STA MARIA'!CO22+'[4]CB I'!CO22+'[4]CB II'!CO22+'[4]CB III'!CO22+[4]IG!CO22+[4]PN!CO22+[4]MJ!CO22+'[4]RB I'!CO22+'[4]SF I'!CO22</f>
        <v>0</v>
      </c>
      <c r="CP22" s="166">
        <f>+[4]SLP!CP22+[4]ROSA!CP22+'[4]STA ANA'!CP22+[4]BOA!CP22+'[4]STA MARIA'!CP22+'[4]CB I'!CP22+'[4]CB II'!CP22+'[4]CB III'!CP22+[4]IG!CP22+[4]PN!CP22+[4]MJ!CP22+'[4]RB I'!CP22+'[4]SÃO FRANCISCO'!CP22</f>
        <v>0</v>
      </c>
      <c r="CQ22" s="224">
        <f t="shared" si="14"/>
        <v>-1</v>
      </c>
      <c r="CR22" s="155"/>
      <c r="CS22" s="227" t="e">
        <f t="shared" si="15"/>
        <v>#VALUE!</v>
      </c>
    </row>
    <row r="23" spans="1:97" ht="16" customHeight="1" x14ac:dyDescent="0.2">
      <c r="A23" s="223" t="s">
        <v>47</v>
      </c>
      <c r="B23" s="30">
        <f t="shared" si="0"/>
        <v>0</v>
      </c>
      <c r="C23" s="31">
        <f t="shared" si="0"/>
        <v>0</v>
      </c>
      <c r="D23" s="32">
        <f t="shared" si="0"/>
        <v>0</v>
      </c>
      <c r="E23" s="30">
        <f t="shared" si="16"/>
        <v>0</v>
      </c>
      <c r="F23" s="33">
        <f t="shared" si="16"/>
        <v>0</v>
      </c>
      <c r="G23" s="34">
        <f t="shared" si="16"/>
        <v>0</v>
      </c>
      <c r="H23" s="31">
        <f t="shared" si="1"/>
        <v>151.82668000000001</v>
      </c>
      <c r="I23" s="33">
        <f t="shared" si="1"/>
        <v>57.013320000000007</v>
      </c>
      <c r="J23" s="33">
        <f t="shared" si="1"/>
        <v>208.84</v>
      </c>
      <c r="K23" s="224" t="str">
        <f t="shared" si="2"/>
        <v/>
      </c>
      <c r="L23" s="225">
        <f>+[4]SLP!L23+[4]ROSA!L23+'[4]STA ANA'!L23+[4]BOA!L23+'[4]STA MARIA'!L23+'[4]CB I'!L23+'[4]CB II'!L23+'[4]CB III'!L23+[4]IG!L23+[4]PN!L23+[4]MJ!L23+'[4]RB I'!L23+'[4]SF I'!L23</f>
        <v>0</v>
      </c>
      <c r="M23" s="226">
        <f>+[4]SLP!M23+[4]ROSA!M23+'[4]STA ANA'!M23+[4]BOA!M23+'[4]STA MARIA'!M23+'[4]CB I'!M23+'[4]CB II'!M23+'[4]CB III'!M23+[4]IG!M23+[4]PN!M23+[4]MJ!M23+'[4]RB I'!M23+'[4]SF I'!M23</f>
        <v>0</v>
      </c>
      <c r="N23" s="226">
        <f>+[4]SLP!N23+[4]ROSA!N23+'[4]STA ANA'!N23+[4]BOA!N23+'[4]STA MARIA'!N23+'[4]CB I'!N23+'[4]CB II'!N23+'[4]CB III'!N23+[4]IG!N23+[4]PN!N23+[4]MJ!N23+'[4]RB I'!N23+'[4]SF I'!N23</f>
        <v>0</v>
      </c>
      <c r="O23" s="226">
        <f>+[4]SLP!O23+[4]ROSA!O23+'[4]STA ANA'!O23+[4]BOA!O23+'[4]STA MARIA'!O23+'[4]CB I'!O23+'[4]CB II'!O23+'[4]CB III'!O23+[4]IG!O23+[4]PN!O23+[4]MJ!O23+'[4]RB I'!O23+'[4]SF I'!O23</f>
        <v>0</v>
      </c>
      <c r="P23" s="226">
        <f>+[4]SLP!P23+[4]ROSA!P23+'[4]STA ANA'!P23+[4]BOA!P23+'[4]STA MARIA'!P23+'[4]CB I'!P23+'[4]CB II'!P23+'[4]CB III'!P23+[4]IG!P23+[4]PN!P23+[4]MJ!P23+'[4]RB I'!P23+'[4]SF I'!P23</f>
        <v>0</v>
      </c>
      <c r="Q23" s="166">
        <f>+[4]SLP!Q23+[4]ROSA!Q23+'[4]STA ANA'!Q23+[4]BOA!Q23+'[4]STA MARIA'!Q23+'[4]CB I'!Q23+'[4]CB II'!Q23+'[4]CB III'!Q23+[4]IG!Q23+[4]PN!Q23+[4]MJ!Q23+'[4]RB I'!Q23+'[4]SF I'!Q23</f>
        <v>0</v>
      </c>
      <c r="R23" s="224" t="str">
        <f t="shared" si="3"/>
        <v/>
      </c>
      <c r="S23" s="225">
        <f>+[4]SLP!S23+[4]ROSA!S23+'[4]STA ANA'!S23+[4]BOA!S23+'[4]STA MARIA'!S23+'[4]CB I'!S23+'[4]CB II'!S23+'[4]CB III'!S23+[4]IG!S23+[4]PN!S23+[4]MJ!S23+'[4]RB I'!S23+'[4]SF I'!S23</f>
        <v>0</v>
      </c>
      <c r="T23" s="226">
        <f>+[4]SLP!T23+[4]ROSA!T23+'[4]STA ANA'!T23+[4]BOA!T23+'[4]STA MARIA'!T23+'[4]CB I'!T23+'[4]CB II'!T23+'[4]CB III'!T23+[4]IG!T23+[4]PN!T23+[4]MJ!T23+'[4]RB I'!T23+'[4]SF I'!T23</f>
        <v>0</v>
      </c>
      <c r="U23" s="226">
        <f>+[4]SLP!U23+[4]ROSA!U23+'[4]STA ANA'!U23+[4]BOA!U23+'[4]STA MARIA'!U23+'[4]CB I'!U23+'[4]CB II'!U23+'[4]CB III'!U23+[4]IG!U23+[4]PN!U23+[4]MJ!U23+'[4]RB I'!U23+'[4]SF I'!U23</f>
        <v>0</v>
      </c>
      <c r="V23" s="226">
        <f>+[4]SLP!V23+[4]ROSA!V23+'[4]STA ANA'!V23+[4]BOA!V23+'[4]STA MARIA'!V23+'[4]CB I'!V23+'[4]CB II'!V23+'[4]CB III'!V23+[4]IG!V23+[4]PN!V23+[4]MJ!V23+'[4]RB I'!V23+'[4]SF I'!V23</f>
        <v>0</v>
      </c>
      <c r="W23" s="226">
        <f>+[4]SLP!W23+[4]ROSA!W23+'[4]STA ANA'!W23+[4]BOA!W23+'[4]STA MARIA'!W23+'[4]CB I'!W23+'[4]CB II'!W23+'[4]CB III'!W23+[4]IG!W23+[4]PN!W23+[4]MJ!W23+'[4]RB I'!W23+'[4]SF I'!W23</f>
        <v>0</v>
      </c>
      <c r="X23" s="166">
        <f>[4]SLP!X23+[4]ROSA!X23+'[4]STA ANA'!X23+[4]BOA!X23+'[4]STA MARIA'!X23+'[4]CB I'!X23+'[4]CB II'!X23+'[4]CB III'!X23+[4]IG!X23+[4]PN!X23+[4]MJ!X23+'[4]RB I'!X23+'[4]SF I'!X23</f>
        <v>0</v>
      </c>
      <c r="Y23" s="224" t="str">
        <f t="shared" si="4"/>
        <v/>
      </c>
      <c r="Z23" s="225">
        <f>+[4]SLP!Z23+[4]ROSA!Z23+'[4]STA ANA'!Z23+[4]BOA!Z23+'[4]STA MARIA'!Z23+'[4]CB I'!Z23+'[4]CB II'!Z23+'[4]CB III'!Z23+[4]IG!Z23+[4]PN!Z23+[4]MJ!Z23+'[4]RB I'!Z23+'[4]SF I'!Z23</f>
        <v>0</v>
      </c>
      <c r="AA23" s="226">
        <f>+[4]SLP!AA23+[4]ROSA!AA23+'[4]STA ANA'!AA23+[4]BOA!AA23+'[4]STA MARIA'!AA23+'[4]CB I'!AA23+'[4]CB II'!AA23+'[4]CB III'!AA23+[4]IG!AA23+[4]PN!AA23+[4]MJ!AA23+'[4]RB I'!AA23+'[4]SF I'!AA23</f>
        <v>0</v>
      </c>
      <c r="AB23" s="226">
        <f>+[4]SLP!AB23+[4]ROSA!AB23+'[4]STA ANA'!AB23+[4]BOA!AB23+'[4]STA MARIA'!AB23+'[4]CB I'!AB23+'[4]CB II'!AB23+'[4]CB III'!AB23+[4]IG!AB23+[4]PN!AB23+[4]MJ!AB23+'[4]RB I'!AB23+'[4]SF I'!AB23</f>
        <v>0</v>
      </c>
      <c r="AC23" s="226">
        <f>+[4]SLP!AC23+[4]ROSA!AC23+'[4]STA ANA'!AC23+[4]BOA!AC23+'[4]STA MARIA'!AC23+'[4]CB I'!AC23+'[4]CB II'!AC23+'[4]CB III'!AC23+[4]IG!AC23+[4]PN!AC23+[4]MJ!AC23+'[4]RB I'!AC23+'[4]SF I'!AC23</f>
        <v>151.82668000000001</v>
      </c>
      <c r="AD23" s="226">
        <f>+[4]SLP!AD23+[4]ROSA!AD23+'[4]STA ANA'!AD23+[4]BOA!AD23+'[4]STA MARIA'!AD23+'[4]CB I'!AD23+'[4]CB II'!AD23+'[4]CB III'!AD23+[4]IG!AD23+[4]PN!AD23+[4]MJ!AD23+'[4]RB I'!AD23+'[4]SF I'!AD23</f>
        <v>57.013320000000007</v>
      </c>
      <c r="AE23" s="166">
        <f>+[4]SLP!AE23+[4]ROSA!AE23+'[4]STA ANA'!AE23+[4]BOA!AE23+'[4]STA MARIA'!AE23+'[4]CB I'!AE23+'[4]CB II'!AE23+'[4]CB III'!AE23+[4]IG!AE23+[4]PN!AE23+[4]MJ!AE23+'[4]RB I'!AE23+'[4]SF I'!AE23</f>
        <v>208.84</v>
      </c>
      <c r="AF23" s="224" t="str">
        <f t="shared" si="5"/>
        <v/>
      </c>
      <c r="AG23" s="225">
        <f>+[4]SLP!AG23+[4]ROSA!AG23+'[4]STA ANA'!AG23+[4]BOA!AG23+'[4]STA MARIA'!AG23+'[4]CB I'!AG23+'[4]CB II'!AG23+'[4]CB III'!AG23+[4]IG!AG23+[4]PN!AG23+[4]MJ!AG23+'[4]RB I'!AG23+'[4]SF I'!AG23</f>
        <v>0</v>
      </c>
      <c r="AH23" s="226">
        <f>+[4]SLP!AH23+[4]ROSA!AH23+'[4]STA ANA'!AH23+[4]BOA!AH23+'[4]STA MARIA'!AH23+'[4]CB I'!AH23+'[4]CB II'!AH23+'[4]CB III'!AH23+[4]IG!AH23+[4]PN!AH23+[4]MJ!AH23+'[4]RB I'!AH23+'[4]SF I'!AH23</f>
        <v>0</v>
      </c>
      <c r="AI23" s="226">
        <f>+[4]SLP!AI23+[4]ROSA!AI23+'[4]STA ANA'!AI23+[4]BOA!AI23+'[4]STA MARIA'!AI23+'[4]CB I'!AI23+'[4]CB II'!AI23+'[4]CB III'!AI23+[4]IG!AI23+[4]PN!AI23+[4]MJ!AI23+'[4]RB I'!AI23+'[4]SF I'!AI23</f>
        <v>0</v>
      </c>
      <c r="AJ23" s="226">
        <f>+[4]SLP!AJ23+[4]ROSA!AJ23+'[4]STA ANA'!AJ23+[4]BOA!AJ23+'[4]STA MARIA'!AJ23+'[4]CB I'!AJ23+'[4]CB II'!AJ23+'[4]CB III'!AJ23+[4]IG!AJ23+[4]PN!AJ23+[4]MJ!AJ23+'[4]RB I'!AJ23+'[4]SF I'!AJ23</f>
        <v>0</v>
      </c>
      <c r="AK23" s="226">
        <f>+[4]SLP!AK23+[4]ROSA!AK23+'[4]STA ANA'!AK23+[4]BOA!AK23+'[4]STA MARIA'!AK23+'[4]CB I'!AK23+'[4]CB II'!AK23+'[4]CB III'!AK23+[4]IG!AK23+[4]PN!AK23+[4]MJ!AK23+'[4]RB I'!AK23+'[4]SF I'!AK23</f>
        <v>0</v>
      </c>
      <c r="AL23" s="166">
        <f>+[4]SLP!AL23+[4]ROSA!AL23+'[4]STA ANA'!AL23+[4]BOA!AL23+'[4]STA MARIA'!AL23+'[4]CB I'!AL23+'[4]CB II'!AL23+'[4]CB III'!AL23+[4]IG!AL23+[4]PN!AL23+[4]MJ!AL23+'[4]RB I'!AL23+'[4]SF I'!AL23</f>
        <v>0</v>
      </c>
      <c r="AM23" s="224" t="str">
        <f t="shared" si="6"/>
        <v/>
      </c>
      <c r="AN23" s="225">
        <f>+[4]SLP!AN23+[4]ROSA!AN23+'[4]STA ANA'!AN23+[4]BOA!AN23+'[4]STA MARIA'!AN23+'[4]CB I'!AN23+'[4]CB II'!AN23+'[4]CB III'!AN23+[4]IG!AN23+[4]PN!AN23+[4]MJ!AN23+'[4]RB I'!AN23+'[4]SF I'!AN23</f>
        <v>0</v>
      </c>
      <c r="AO23" s="226">
        <f>+[4]SLP!AO23+[4]ROSA!AO23+'[4]STA ANA'!AO23+[4]BOA!AO23+'[4]STA MARIA'!AO23+'[4]CB I'!AO23+'[4]CB II'!AO23+'[4]CB III'!AO23+[4]IG!AO23+[4]PN!AO23+[4]MJ!AO23+'[4]RB I'!AO23+'[4]SF I'!AO23</f>
        <v>0</v>
      </c>
      <c r="AP23" s="226">
        <f>+[4]SLP!AP23+[4]ROSA!AP23+'[4]STA ANA'!AP23+[4]BOA!AP23+'[4]STA MARIA'!AP23+'[4]CB I'!AP23+'[4]CB II'!AP23+'[4]CB III'!AP23+[4]IG!AP23+[4]PN!AP23+[4]MJ!AP23+'[4]RB I'!AP23+'[4]SF I'!AP23</f>
        <v>0</v>
      </c>
      <c r="AQ23" s="226">
        <f>+[4]SLP!AQ23+[4]ROSA!AQ23+'[4]STA ANA'!AQ23+[4]BOA!AQ23+'[4]STA MARIA'!AQ23+'[4]CB I'!AQ23+'[4]CB II'!AQ23+'[4]CB III'!AQ23+[4]IG!AQ23+[4]PN!AQ23+[4]MJ!AQ23+'[4]RB I'!AQ23+'[4]SF I'!AQ23</f>
        <v>0</v>
      </c>
      <c r="AR23" s="226">
        <f>+[4]SLP!AR23+[4]ROSA!AR23+'[4]STA ANA'!AR23+[4]BOA!AR23+'[4]STA MARIA'!AR23+'[4]CB I'!AR23+'[4]CB II'!AR23+'[4]CB III'!AR23+[4]IG!AR23+[4]PN!AR23+[4]MJ!AR23+'[4]RB I'!AR23+'[4]SF I'!AR23</f>
        <v>0</v>
      </c>
      <c r="AS23" s="166">
        <f>+[4]SLP!AS23+[4]ROSA!AS23+'[4]STA ANA'!AS23+[4]BOA!AS23+'[4]STA MARIA'!AS23+'[4]CB I'!AS23+'[4]CB II'!AS23+'[4]CB III'!AS23+[4]IG!AS23+[4]PN!AS23+[4]MJ!AS23+'[4]RB I'!AS23+'[4]SÃO FRANCISCO'!AS23</f>
        <v>0</v>
      </c>
      <c r="AT23" s="224" t="str">
        <f t="shared" si="7"/>
        <v/>
      </c>
      <c r="AU23" s="225">
        <f>+[4]SLP!AU23+[4]ROSA!AU23+'[4]STA ANA'!AU23+[4]BOA!AU23+'[4]STA MARIA'!AU23+'[4]CB I'!AU23+'[4]CB II'!AU23+'[4]CB III'!AU23+[4]IG!AU23+[4]PN!AU23+[4]MJ!AU23+'[4]RB I'!AU23+'[4]SF I'!AU23</f>
        <v>0</v>
      </c>
      <c r="AV23" s="226">
        <f>+[4]SLP!AV23+[4]ROSA!AV23+'[4]STA ANA'!AV23+[4]BOA!AV23+'[4]STA MARIA'!AV23+'[4]CB I'!AV23+'[4]CB II'!AV23+'[4]CB III'!AV23+[4]IG!AV23+[4]PN!AV23+[4]MJ!AV23+'[4]RB I'!AV23+'[4]SF I'!AV23</f>
        <v>0</v>
      </c>
      <c r="AW23" s="226">
        <f>+[4]SLP!AW23+[4]ROSA!AW23+'[4]STA ANA'!AW23+[4]BOA!AW23+'[4]STA MARIA'!AW23+'[4]CB I'!AW23+'[4]CB II'!AW23+'[4]CB III'!AW23+[4]IG!AW23+[4]PN!AW23+[4]MJ!AW23+'[4]RB I'!AW23+'[4]SF I'!AW23</f>
        <v>0</v>
      </c>
      <c r="AX23" s="226">
        <f>+[4]SLP!AX23+[4]ROSA!AX23+'[4]STA ANA'!AX23+[4]BOA!AX23+'[4]STA MARIA'!AX23+'[4]CB I'!AX23+'[4]CB II'!AX23+'[4]CB III'!AX23+[4]IG!AX23+[4]PN!AX23+[4]MJ!AX23+'[4]RB I'!AX23+'[4]SF I'!AX23</f>
        <v>0</v>
      </c>
      <c r="AY23" s="226">
        <f>+[4]SLP!AY23+[4]ROSA!AY23+'[4]STA ANA'!AY23+[4]BOA!AY23+'[4]STA MARIA'!AY23+'[4]CB I'!AY23+'[4]CB II'!AY23+'[4]CB III'!AY23+[4]IG!AY23+[4]PN!AY23+[4]MJ!AY23+'[4]RB I'!AY23+'[4]SF I'!AY23</f>
        <v>0</v>
      </c>
      <c r="AZ23" s="166">
        <f>+[4]SLP!AZ23+[4]ROSA!AZ23+'[4]STA ANA'!AZ23+[4]BOA!AZ23+'[4]STA MARIA'!AZ23+'[4]CB I'!AZ23+'[4]CB II'!AZ23+[4]IG!AZ23+[4]PN!AZ23+[4]MJ!AZ23+'[4]RB I'!AZ23+'[4]SÃO FRANCISCO'!AZ23</f>
        <v>0</v>
      </c>
      <c r="BA23" s="224" t="str">
        <f t="shared" si="8"/>
        <v/>
      </c>
      <c r="BB23" s="225">
        <f>+[4]SLP!BB23+[4]ROSA!BB23+'[4]STA ANA'!BB23+[4]BOA!BB23+'[4]STA MARIA'!BB23+'[4]CB I'!BB23+'[4]CB II'!BB23+'[4]CB III'!BB23+[4]IG!BB23+[4]PN!BB23+[4]MJ!BB23+'[4]RB I'!BB23+'[4]SF I'!BB23</f>
        <v>0</v>
      </c>
      <c r="BC23" s="226">
        <f>+[4]SLP!BC23+[4]ROSA!BC23+'[4]STA ANA'!BC23+[4]BOA!BC23+'[4]STA MARIA'!BC23+'[4]CB I'!BC23+'[4]CB II'!BC23+'[4]CB III'!BC23+[4]IG!BC23+[4]PN!BC23+[4]MJ!BC23+'[4]RB I'!BC23+'[4]SF I'!BC23</f>
        <v>0</v>
      </c>
      <c r="BD23" s="226">
        <f>+[4]SLP!BD23+[4]ROSA!BD23+'[4]STA ANA'!BD23+[4]BOA!BD23+'[4]STA MARIA'!BD23+'[4]CB I'!BD23+'[4]CB II'!BD23+'[4]CB III'!BD23+[4]IG!BD23+[4]PN!BD23+[4]MJ!BD23+'[4]RB I'!BD23+'[4]SF I'!BD23</f>
        <v>0</v>
      </c>
      <c r="BE23" s="226">
        <f>+[4]SLP!BE23+[4]ROSA!BE23+'[4]STA ANA'!BE23+[4]BOA!BE23+'[4]STA MARIA'!BE23+'[4]CB I'!BE23+'[4]CB II'!BE23+'[4]CB III'!BE23+[4]IG!BE23+[4]PN!BE23+[4]MJ!BE23+'[4]RB I'!BE23+'[4]SF I'!BE23</f>
        <v>0</v>
      </c>
      <c r="BF23" s="226">
        <f>+[4]SLP!BF23+[4]ROSA!BF23+'[4]STA ANA'!BF23+[4]BOA!BF23+'[4]STA MARIA'!BF23+'[4]CB I'!BF23+'[4]CB II'!BF23+'[4]CB III'!BF23+[4]IG!BF23+[4]PN!BF23+[4]MJ!BF23+'[4]RB I'!BF23+'[4]SF I'!BF23</f>
        <v>0</v>
      </c>
      <c r="BG23" s="166">
        <f>+[4]SLP!BG23+[4]ROSA!BG23+'[4]STA ANA'!BG23+[4]BOA!BG23+'[4]STA MARIA'!BG23+'[4]CB I'!BG23+'[4]CB II'!BG23+'[4]CB III'!BG23+[4]IG!BG23+[4]PN!BG23+[4]MJ!BG23+'[4]RB I'!BG23+'[4]SÃO FRANCISCO'!BG23</f>
        <v>0</v>
      </c>
      <c r="BH23" s="224" t="str">
        <f t="shared" si="9"/>
        <v/>
      </c>
      <c r="BI23" s="225">
        <f>+[4]SLP!BI23+[4]ROSA!BI23+'[4]STA ANA'!BI23+[4]BOA!BI23+'[4]STA MARIA'!BI23+'[4]CB I'!BI23+'[4]CB II'!BI23+'[4]CB III'!BI23+[4]IG!BI23+[4]PN!BI23+[4]MJ!BI23+'[4]RB I'!BI23+'[4]SF I'!BI23</f>
        <v>0</v>
      </c>
      <c r="BJ23" s="226">
        <f>+[4]SLP!BJ23+[4]ROSA!BJ23+'[4]STA ANA'!BJ23+[4]BOA!BJ23+'[4]STA MARIA'!BJ23+'[4]CB I'!BJ23+'[4]CB II'!BJ23+'[4]CB III'!BJ23+[4]IG!BJ23+[4]PN!BJ23+[4]MJ!BJ23+'[4]RB I'!BJ23+'[4]SF I'!BJ23</f>
        <v>0</v>
      </c>
      <c r="BK23" s="226">
        <f>+[4]SLP!BK23+[4]ROSA!BK23+'[4]STA ANA'!BK23+[4]BOA!BK23+'[4]STA MARIA'!BK23+'[4]CB I'!BK23+'[4]CB II'!BK23+'[4]CB III'!BK23+[4]IG!BK23+[4]PN!BK23+[4]MJ!BK23+'[4]RB I'!BK23+'[4]SF I'!BK23</f>
        <v>0</v>
      </c>
      <c r="BL23" s="226">
        <f>+[4]SLP!BL23+[4]ROSA!BL23+'[4]STA ANA'!BL23+[4]BOA!BL23+'[4]STA MARIA'!BL23+'[4]CB I'!BL23+'[4]CB II'!BL23+'[4]CB III'!BL23+[4]IG!BL23+[4]PN!BL23+[4]MJ!BL23+'[4]RB I'!BL23+'[4]SF I'!BL23</f>
        <v>0</v>
      </c>
      <c r="BM23" s="226">
        <f>+[4]SLP!BM23+[4]ROSA!BM23+'[4]STA ANA'!BM23+[4]BOA!BM23+'[4]STA MARIA'!BM23+'[4]CB I'!BM23+'[4]CB II'!BM23+'[4]CB III'!BM23+[4]IG!BM23+[4]PN!BM23+[4]MJ!BM23+'[4]RB I'!BM23+'[4]SF I'!BM23</f>
        <v>0</v>
      </c>
      <c r="BN23" s="166">
        <f>+[4]SLP!BN23+[4]ROSA!BN23+'[4]STA ANA'!BN23+[4]BOA!BN23+'[4]STA MARIA'!BN23+'[4]CB I'!BN23+'[4]CB II'!BN23+'[4]CB III'!BN23+[4]IG!BN23+[4]PN!BN23+[4]MJ!BN23+'[4]RB I'!BN23+'[4]SÃO FRANCISCO'!BN23</f>
        <v>0</v>
      </c>
      <c r="BO23" s="224" t="str">
        <f t="shared" si="10"/>
        <v/>
      </c>
      <c r="BP23" s="225">
        <f>+[4]SLP!BP23+[4]ROSA!BP23+'[4]STA ANA'!BP23+[4]BOA!BP23+'[4]STA MARIA'!BP23+'[4]CB I'!BP23+'[4]CB II'!BP23+'[4]CB III'!BP23+[4]IG!BP23+[4]PN!BP23+[4]MJ!BP23+'[4]RB I'!BP23+'[4]SF I'!BP23</f>
        <v>0</v>
      </c>
      <c r="BQ23" s="226">
        <f>+[4]SLP!BQ23+[4]ROSA!BQ23+'[4]STA ANA'!BQ23+[4]BOA!BQ23+'[4]STA MARIA'!BQ23+'[4]CB I'!BQ23+'[4]CB II'!BQ23+'[4]CB III'!BQ23+[4]IG!BQ23+[4]PN!BQ23+[4]MJ!BQ23+'[4]RB I'!BQ23+'[4]SF I'!BQ23</f>
        <v>0</v>
      </c>
      <c r="BR23" s="226">
        <f>+[4]SLP!BR23+[4]ROSA!BR23+'[4]STA ANA'!BR23+[4]BOA!BR23+'[4]STA MARIA'!BR23+'[4]CB I'!BR23+'[4]CB II'!BR23+'[4]CB III'!BR23+[4]IG!BR23+[4]PN!BR23+[4]MJ!BR23+'[4]RB I'!BR23+'[4]SF I'!BR23</f>
        <v>0</v>
      </c>
      <c r="BS23" s="226">
        <f>+[4]SLP!BS23+[4]ROSA!BS23+'[4]STA ANA'!BS23+[4]BOA!BS23+'[4]STA MARIA'!BS23+'[4]CB I'!BS23+'[4]CB II'!BS23+'[4]CB III'!BS23+[4]IG!BS23+[4]PN!BS23+[4]MJ!BS23+'[4]RB I'!BS23+'[4]SF I'!BS23</f>
        <v>0</v>
      </c>
      <c r="BT23" s="226">
        <f>+[4]SLP!BT23+[4]ROSA!BT23+'[4]STA ANA'!BT23+[4]BOA!BT23+'[4]STA MARIA'!BT23+'[4]CB I'!BT23+'[4]CB II'!BT23+'[4]CB III'!BT23+[4]IG!BT23+[4]PN!BT23+[4]MJ!BT23+'[4]RB I'!BT23+'[4]SF I'!BT23</f>
        <v>0</v>
      </c>
      <c r="BU23" s="166">
        <f>+[4]SLP!BU23+[4]ROSA!BU23+'[4]STA ANA'!BU23+[4]BOA!BU23+'[4]STA MARIA'!BU23+'[4]CB I'!BU23+'[4]CB II'!BU23+'[4]CB III'!BU23+[4]IG!BU23+[4]PN!BU23+[4]MJ!BU23+'[4]RB I'!BU23+'[4]SÃO FRANCISCO'!BU23</f>
        <v>0</v>
      </c>
      <c r="BV23" s="224" t="str">
        <f t="shared" si="11"/>
        <v/>
      </c>
      <c r="BW23" s="225">
        <f>+[4]SLP!BW23+[4]ROSA!BW23+'[4]STA ANA'!BW23+[4]BOA!BW23+'[4]STA MARIA'!BW23+'[4]CB I'!BW23+'[4]CB II'!BW23+'[4]CB III'!BW23+[4]IG!BW23+[4]PN!BW23+[4]MJ!BW23+'[4]RB I'!BW23+'[4]SF I'!BW23</f>
        <v>0</v>
      </c>
      <c r="BX23" s="226">
        <f>+[4]SLP!BX23+[4]ROSA!BX23+'[4]STA ANA'!BX23+[4]BOA!BX23+'[4]STA MARIA'!BX23+'[4]CB I'!BX23+'[4]CB II'!BX23+'[4]CB III'!BX23+[4]IG!BX23+[4]PN!BX23+[4]MJ!BX23+'[4]RB I'!BX23+'[4]SF I'!BX23</f>
        <v>0</v>
      </c>
      <c r="BY23" s="226">
        <f>+[4]SLP!BY23+[4]ROSA!BY23+'[4]STA ANA'!BY23+[4]BOA!BY23+'[4]STA MARIA'!BY23+'[4]CB I'!BY23+'[4]CB II'!BY23+'[4]CB III'!BY23+[4]IG!BY23+[4]PN!BY23+[4]MJ!BY23+'[4]RB I'!BY23+'[4]SF I'!BY23</f>
        <v>0</v>
      </c>
      <c r="BZ23" s="226">
        <f>+[4]SLP!BZ23+[4]ROSA!BZ23+'[4]STA ANA'!BZ23+[4]BOA!BZ23+'[4]STA MARIA'!BZ23+'[4]CB I'!BZ23+'[4]CB II'!BZ23+'[4]CB III'!BZ23+[4]IG!BZ23+[4]PN!BZ23+[4]MJ!BZ23+'[4]RB I'!BZ23+'[4]SF I'!BZ23</f>
        <v>0</v>
      </c>
      <c r="CA23" s="226">
        <f>+[4]SLP!CA23+[4]ROSA!CA23+'[4]STA ANA'!CA23+[4]BOA!CA23+'[4]STA MARIA'!CA23+'[4]CB I'!CA23+'[4]CB II'!CA23+'[4]CB III'!CA23+[4]IG!CA23+[4]PN!CA23+[4]MJ!CA23+'[4]RB I'!CA23+'[4]SF I'!CA23</f>
        <v>0</v>
      </c>
      <c r="CB23" s="166">
        <f>+[4]SLP!CB23+[4]ROSA!CB23+'[4]STA ANA'!CB23+[4]BOA!CB23+'[4]STA MARIA'!CB23+'[4]CB I'!CB23+'[4]CB II'!CB23+'[4]CB III'!CB23+[4]IG!CB23+[4]PN!CB23+[4]MJ!CB23+'[4]RB I'!CB23+'[4]SÃO FRANCISCO'!CB23</f>
        <v>0</v>
      </c>
      <c r="CC23" s="224" t="str">
        <f t="shared" si="12"/>
        <v/>
      </c>
      <c r="CD23" s="225">
        <f>+[4]SLP!CD23+[4]ROSA!CD23+'[4]STA ANA'!CD23+[4]BOA!CD23+'[4]STA MARIA'!CD23+'[4]CB I'!CD23+'[4]CB II'!CD23+'[4]CB III'!CD23+[4]IG!CD23+[4]PN!CD23+[4]MJ!CD23+'[4]RB I'!CD23+'[4]SF I'!CD23</f>
        <v>0</v>
      </c>
      <c r="CE23" s="226">
        <f>+[4]SLP!CE23+[4]ROSA!CE23+'[4]STA ANA'!CE23+[4]BOA!CE23+'[4]STA MARIA'!CE23+'[4]CB I'!CE23+'[4]CB II'!CE23+'[4]CB III'!CE23+[4]IG!CE23+[4]PN!CE23+[4]MJ!CE23+'[4]RB I'!CE23+'[4]SF I'!CE23</f>
        <v>0</v>
      </c>
      <c r="CF23" s="226">
        <f>+[4]SLP!CF23+[4]ROSA!CF23+'[4]STA ANA'!CF23+[4]BOA!CF23+'[4]STA MARIA'!CF23+'[4]CB I'!CF23+'[4]CB II'!CF23+'[4]CB III'!CF23+[4]IG!CF23+[4]PN!CF23+[4]MJ!CF23+'[4]RB I'!CF23+'[4]SF I'!CF23</f>
        <v>0</v>
      </c>
      <c r="CG23" s="226">
        <f>+[4]SLP!CG23+[4]ROSA!CG23+'[4]STA ANA'!CG23+[4]BOA!CG23+'[4]STA MARIA'!CG23+'[4]CB I'!CG23+'[4]CB II'!CG23+'[4]CB III'!CG23+[4]IG!CG23+[4]PN!CG23+[4]MJ!CG23+'[4]RB I'!CG23+'[4]SF I'!CG23</f>
        <v>0</v>
      </c>
      <c r="CH23" s="226">
        <f>+[4]SLP!CH23+[4]ROSA!CH23+'[4]STA ANA'!CH23+[4]BOA!CH23+'[4]STA MARIA'!CH23+'[4]CB I'!CH23+'[4]CB II'!CH23+'[4]CB III'!CH23+[4]IG!CH23+[4]PN!CH23+[4]MJ!CH23+'[4]RB I'!CH23+'[4]SF I'!CH23</f>
        <v>0</v>
      </c>
      <c r="CI23" s="166">
        <f>+[4]SLP!CI23+[4]ROSA!CI23+'[4]STA ANA'!CI23+[4]BOA!CI23+'[4]STA MARIA'!CI23+'[4]CB I'!CI23+'[4]CB II'!CI23+'[4]CB III'!CI23+[4]IG!CI23+[4]PN!CI23+[4]MJ!CI23+'[4]RB I'!CI23+'[4]SÃO FRANCISCO'!CI23</f>
        <v>0</v>
      </c>
      <c r="CJ23" s="224" t="str">
        <f t="shared" si="13"/>
        <v/>
      </c>
      <c r="CK23" s="225">
        <f>+[4]SLP!CK23+[4]ROSA!CK23+'[4]STA ANA'!CK23+[4]BOA!CK23+'[4]STA MARIA'!CK23+'[4]CB I'!CK23+'[4]CB II'!CK23+'[4]CB III'!CK23+[4]IG!CK23+[4]PN!CK23+[4]MJ!CK23+'[4]RB I'!CK23+'[4]SF I'!CK23</f>
        <v>0</v>
      </c>
      <c r="CL23" s="226">
        <f>+[4]SLP!CL23+[4]ROSA!CL23+'[4]STA ANA'!CL23+[4]BOA!CL23+'[4]STA MARIA'!CL23+'[4]CB I'!CL23+'[4]CB II'!CL23+'[4]CB III'!CL23+[4]IG!CL23+[4]PN!CL23+[4]MJ!CL23+'[4]RB I'!CL23+'[4]SF I'!CL23</f>
        <v>0</v>
      </c>
      <c r="CM23" s="226">
        <f>+[4]SLP!CM23+[4]ROSA!CM23+'[4]STA ANA'!CM23+[4]BOA!CM23+'[4]STA MARIA'!CM23+'[4]CB I'!CM23+'[4]CB II'!CM23+'[4]CB III'!CM23+[4]IG!CM23+[4]PN!CM23+[4]MJ!CM23+'[4]RB I'!CM23+'[4]SF I'!CM23</f>
        <v>0</v>
      </c>
      <c r="CN23" s="226">
        <f>+[4]SLP!CN23+[4]ROSA!CN23+'[4]STA ANA'!CN23+[4]BOA!CN23+'[4]STA MARIA'!CN23+'[4]CB I'!CN23+'[4]CB II'!CN23+'[4]CB III'!CN23+[4]IG!CN23+[4]PN!CN23+[4]MJ!CN23+'[4]RB I'!CN23+'[4]SF I'!CN23</f>
        <v>0</v>
      </c>
      <c r="CO23" s="226">
        <f>+[4]SLP!CO23+[4]ROSA!CO23+'[4]STA ANA'!CO23+[4]BOA!CO23+'[4]STA MARIA'!CO23+'[4]CB I'!CO23+'[4]CB II'!CO23+'[4]CB III'!CO23+[4]IG!CO23+[4]PN!CO23+[4]MJ!CO23+'[4]RB I'!CO23+'[4]SF I'!CO23</f>
        <v>0</v>
      </c>
      <c r="CP23" s="166">
        <f>+[4]SLP!CP23+[4]ROSA!CP23+'[4]STA ANA'!CP23+[4]BOA!CP23+'[4]STA MARIA'!CP23+'[4]CB I'!CP23+'[4]CB II'!CP23+'[4]CB III'!CP23+[4]IG!CP23+[4]PN!CP23+[4]MJ!CP23+'[4]RB I'!CP23+'[4]SÃO FRANCISCO'!CP23</f>
        <v>0</v>
      </c>
      <c r="CQ23" s="224" t="str">
        <f t="shared" si="14"/>
        <v/>
      </c>
      <c r="CR23" s="155"/>
      <c r="CS23" s="227" t="e">
        <f t="shared" si="15"/>
        <v>#VALUE!</v>
      </c>
    </row>
    <row r="24" spans="1:97" ht="16" customHeight="1" x14ac:dyDescent="0.2">
      <c r="A24" s="223" t="s">
        <v>48</v>
      </c>
      <c r="B24" s="30">
        <f t="shared" si="0"/>
        <v>2288704.7731933007</v>
      </c>
      <c r="C24" s="31">
        <f t="shared" si="0"/>
        <v>2007422.9565678434</v>
      </c>
      <c r="D24" s="32">
        <f t="shared" si="0"/>
        <v>281281.81662545662</v>
      </c>
      <c r="E24" s="30">
        <f t="shared" si="16"/>
        <v>773995.04984523356</v>
      </c>
      <c r="F24" s="33">
        <f t="shared" si="16"/>
        <v>678871.05821925425</v>
      </c>
      <c r="G24" s="34">
        <f t="shared" si="16"/>
        <v>95123.991625979193</v>
      </c>
      <c r="H24" s="31">
        <f t="shared" si="1"/>
        <v>590559.50777799997</v>
      </c>
      <c r="I24" s="33">
        <f t="shared" si="1"/>
        <v>87616.802221999998</v>
      </c>
      <c r="J24" s="33">
        <f t="shared" si="1"/>
        <v>678176.30999999982</v>
      </c>
      <c r="K24" s="224">
        <f t="shared" si="2"/>
        <v>-0.12379761325914607</v>
      </c>
      <c r="L24" s="225">
        <f>+[4]SLP!L24+[4]ROSA!L24+'[4]STA ANA'!L24+[4]BOA!L24+'[4]STA MARIA'!L24+'[4]CB I'!L24+'[4]CB II'!L24+'[4]CB III'!L24+[4]IG!L24+[4]PN!L24+[4]MJ!L24+'[4]RB I'!L24+'[4]SF I'!L24</f>
        <v>193498.76246130839</v>
      </c>
      <c r="M24" s="226">
        <f>+[4]SLP!M24+[4]ROSA!M24+'[4]STA ANA'!M24+[4]BOA!M24+'[4]STA MARIA'!M24+'[4]CB I'!M24+'[4]CB II'!M24+'[4]CB III'!M24+[4]IG!M24+[4]PN!M24+[4]MJ!M24+'[4]RB I'!M24+'[4]SF I'!M24</f>
        <v>169717.76455481356</v>
      </c>
      <c r="N24" s="226">
        <f>+[4]SLP!N24+[4]ROSA!N24+'[4]STA ANA'!N24+[4]BOA!N24+'[4]STA MARIA'!N24+'[4]CB I'!N24+'[4]CB II'!N24+'[4]CB III'!N24+[4]IG!N24+[4]PN!N24+[4]MJ!N24+'[4]RB I'!N24+'[4]SF I'!N24</f>
        <v>23780.997906494798</v>
      </c>
      <c r="O24" s="226">
        <f>+[4]SLP!O24+[4]ROSA!O24+'[4]STA ANA'!O24+[4]BOA!O24+'[4]STA MARIA'!O24+'[4]CB I'!O24+'[4]CB II'!O24+'[4]CB III'!O24+[4]IG!O24+[4]PN!O24+[4]MJ!O24+'[4]RB I'!O24+'[4]SF I'!O24</f>
        <v>184879.86880199995</v>
      </c>
      <c r="P24" s="226">
        <f>+[4]SLP!P24+[4]ROSA!P24+'[4]STA ANA'!P24+[4]BOA!P24+'[4]STA MARIA'!P24+'[4]CB I'!P24+'[4]CB II'!P24+'[4]CB III'!P24+[4]IG!P24+[4]PN!P24+[4]MJ!P24+'[4]RB I'!P24+'[4]SF I'!P24</f>
        <v>29730.821198000001</v>
      </c>
      <c r="Q24" s="166">
        <f>+[4]SLP!Q24+[4]ROSA!Q24+'[4]STA ANA'!Q24+[4]BOA!Q24+'[4]STA MARIA'!Q24+'[4]CB I'!Q24+'[4]CB II'!Q24+'[4]CB III'!Q24+[4]IG!Q24+[4]PN!Q24+[4]MJ!Q24+'[4]RB I'!Q24+'[4]SF I'!Q24</f>
        <v>214610.68999999997</v>
      </c>
      <c r="R24" s="224">
        <f t="shared" si="3"/>
        <v>0.10910626646985966</v>
      </c>
      <c r="S24" s="225">
        <f>+[4]SLP!S24+[4]ROSA!S24+'[4]STA ANA'!S24+[4]BOA!S24+'[4]STA MARIA'!S24+'[4]CB I'!S24+'[4]CB II'!S24+'[4]CB III'!S24+[4]IG!S24+[4]PN!S24+[4]MJ!S24+'[4]RB I'!S24+'[4]SF I'!S24</f>
        <v>193498.76246130839</v>
      </c>
      <c r="T24" s="226">
        <f>+[4]SLP!T24+[4]ROSA!T24+'[4]STA ANA'!T24+[4]BOA!T24+'[4]STA MARIA'!T24+'[4]CB I'!T24+'[4]CB II'!T24+'[4]CB III'!T24+[4]IG!T24+[4]PN!T24+[4]MJ!T24+'[4]RB I'!T24+'[4]SF I'!T24</f>
        <v>169717.76455481356</v>
      </c>
      <c r="U24" s="226">
        <f>+[4]SLP!U24+[4]ROSA!U24+'[4]STA ANA'!U24+[4]BOA!U24+'[4]STA MARIA'!U24+'[4]CB I'!U24+'[4]CB II'!U24+'[4]CB III'!U24+[4]IG!U24+[4]PN!U24+[4]MJ!U24+'[4]RB I'!U24+'[4]SF I'!U24</f>
        <v>23780.997906494798</v>
      </c>
      <c r="V24" s="226">
        <f>+[4]SLP!V24+[4]ROSA!V24+'[4]STA ANA'!V24+[4]BOA!V24+'[4]STA MARIA'!V24+'[4]CB I'!V24+'[4]CB II'!V24+'[4]CB III'!V24+[4]IG!V24+[4]PN!V24+[4]MJ!V24+'[4]RB I'!V24+'[4]SF I'!V24</f>
        <v>143285.10654800001</v>
      </c>
      <c r="W24" s="226">
        <f>+[4]SLP!W24+[4]ROSA!W24+'[4]STA ANA'!W24+[4]BOA!W24+'[4]STA MARIA'!W24+'[4]CB I'!W24+'[4]CB II'!W24+'[4]CB III'!W24+[4]IG!W24+[4]PN!W24+[4]MJ!W24+'[4]RB I'!W24+'[4]SF I'!W24</f>
        <v>22699.113451999998</v>
      </c>
      <c r="X24" s="166">
        <f>[4]SLP!X24+[4]ROSA!X24+'[4]STA ANA'!X24+[4]BOA!X24+'[4]STA MARIA'!X24+'[4]CB I'!X24+'[4]CB II'!X24+'[4]CB III'!X24+[4]IG!X24+[4]PN!X24+[4]MJ!X24+'[4]RB I'!X24+'[4]SF I'!X24</f>
        <v>165984.21999999997</v>
      </c>
      <c r="Y24" s="224">
        <f t="shared" si="4"/>
        <v>-0.14219492730249461</v>
      </c>
      <c r="Z24" s="225">
        <f>+[4]SLP!Z24+[4]ROSA!Z24+'[4]STA ANA'!Z24+[4]BOA!Z24+'[4]STA MARIA'!Z24+'[4]CB I'!Z24+'[4]CB II'!Z24+'[4]CB III'!Z24+[4]IG!Z24+[4]PN!Z24+[4]MJ!Z24+'[4]RB I'!Z24+'[4]SF I'!Z24</f>
        <v>193498.76246130839</v>
      </c>
      <c r="AA24" s="226">
        <f>+[4]SLP!AA24+[4]ROSA!AA24+'[4]STA ANA'!AA24+[4]BOA!AA24+'[4]STA MARIA'!AA24+'[4]CB I'!AA24+'[4]CB II'!AA24+'[4]CB III'!AA24+[4]IG!AA24+[4]PN!AA24+[4]MJ!AA24+'[4]RB I'!AA24+'[4]SF I'!AA24</f>
        <v>169717.76455481356</v>
      </c>
      <c r="AB24" s="226">
        <f>+[4]SLP!AB24+[4]ROSA!AB24+'[4]STA ANA'!AB24+[4]BOA!AB24+'[4]STA MARIA'!AB24+'[4]CB I'!AB24+'[4]CB II'!AB24+'[4]CB III'!AB24+[4]IG!AB24+[4]PN!AB24+[4]MJ!AB24+'[4]RB I'!AB24+'[4]SF I'!AB24</f>
        <v>23780.997906494798</v>
      </c>
      <c r="AC24" s="226">
        <f>+[4]SLP!AC24+[4]ROSA!AC24+'[4]STA ANA'!AC24+[4]BOA!AC24+'[4]STA MARIA'!AC24+'[4]CB I'!AC24+'[4]CB II'!AC24+'[4]CB III'!AC24+[4]IG!AC24+[4]PN!AC24+[4]MJ!AC24+'[4]RB I'!AC24+'[4]SF I'!AC24</f>
        <v>156140.96685600001</v>
      </c>
      <c r="AD24" s="226">
        <f>+[4]SLP!AD24+[4]ROSA!AD24+'[4]STA ANA'!AD24+[4]BOA!AD24+'[4]STA MARIA'!AD24+'[4]CB I'!AD24+'[4]CB II'!AD24+'[4]CB III'!AD24+[4]IG!AD24+[4]PN!AD24+[4]MJ!AD24+'[4]RB I'!AD24+'[4]SF I'!AD24</f>
        <v>17811.483144000002</v>
      </c>
      <c r="AE24" s="166">
        <f>+[4]SLP!AE24+[4]ROSA!AE24+'[4]STA ANA'!AE24+[4]BOA!AE24+'[4]STA MARIA'!AE24+'[4]CB I'!AE24+'[4]CB II'!AE24+'[4]CB III'!AE24+[4]IG!AE24+[4]PN!AE24+[4]MJ!AE24+'[4]RB I'!AE24+'[4]SF I'!AE24</f>
        <v>173952.45</v>
      </c>
      <c r="AF24" s="224">
        <f t="shared" si="5"/>
        <v>-0.10101518073128146</v>
      </c>
      <c r="AG24" s="225">
        <f>+[4]SLP!AG24+[4]ROSA!AG24+'[4]STA ANA'!AG24+[4]BOA!AG24+'[4]STA MARIA'!AG24+'[4]CB I'!AG24+'[4]CB II'!AG24+'[4]CB III'!AG24+[4]IG!AG24+[4]PN!AG24+[4]MJ!AG24+'[4]RB I'!AG24+'[4]SF I'!AG24</f>
        <v>193498.76246130839</v>
      </c>
      <c r="AH24" s="226">
        <f>+[4]SLP!AH24+[4]ROSA!AH24+'[4]STA ANA'!AH24+[4]BOA!AH24+'[4]STA MARIA'!AH24+'[4]CB I'!AH24+'[4]CB II'!AH24+'[4]CB III'!AH24+[4]IG!AH24+[4]PN!AH24+[4]MJ!AH24+'[4]RB I'!AH24+'[4]SF I'!AH24</f>
        <v>169717.76455481356</v>
      </c>
      <c r="AI24" s="226">
        <f>+[4]SLP!AI24+[4]ROSA!AI24+'[4]STA ANA'!AI24+[4]BOA!AI24+'[4]STA MARIA'!AI24+'[4]CB I'!AI24+'[4]CB II'!AI24+'[4]CB III'!AI24+[4]IG!AI24+[4]PN!AI24+[4]MJ!AI24+'[4]RB I'!AI24+'[4]SF I'!AI24</f>
        <v>23780.997906494798</v>
      </c>
      <c r="AJ24" s="226">
        <f>+[4]SLP!AJ24+[4]ROSA!AJ24+'[4]STA ANA'!AJ24+[4]BOA!AJ24+'[4]STA MARIA'!AJ24+'[4]CB I'!AJ24+'[4]CB II'!AJ24+'[4]CB III'!AJ24+[4]IG!AJ24+[4]PN!AJ24+[4]MJ!AJ24+'[4]RB I'!AJ24+'[4]SF I'!AJ24</f>
        <v>106253.56557200001</v>
      </c>
      <c r="AK24" s="226">
        <f>+[4]SLP!AK24+[4]ROSA!AK24+'[4]STA ANA'!AK24+[4]BOA!AK24+'[4]STA MARIA'!AK24+'[4]CB I'!AK24+'[4]CB II'!AK24+'[4]CB III'!AK24+[4]IG!AK24+[4]PN!AK24+[4]MJ!AK24+'[4]RB I'!AK24+'[4]SF I'!AK24</f>
        <v>17375.384428000001</v>
      </c>
      <c r="AL24" s="166">
        <f>+[4]SLP!AL24+[4]ROSA!AL24+'[4]STA ANA'!AL24+[4]BOA!AL24+'[4]STA MARIA'!AL24+'[4]CB I'!AL24+'[4]CB II'!AL24+'[4]CB III'!AL24+[4]IG!AL24+[4]PN!AL24+[4]MJ!AL24+'[4]RB I'!AL24+'[4]SF I'!AL24</f>
        <v>123628.95000000001</v>
      </c>
      <c r="AM24" s="224">
        <f t="shared" si="6"/>
        <v>-0.36108661147266718</v>
      </c>
      <c r="AN24" s="225">
        <f>+[4]SLP!AN24+[4]ROSA!AN24+'[4]STA ANA'!AN24+[4]BOA!AN24+'[4]STA MARIA'!AN24+'[4]CB I'!AN24+'[4]CB II'!AN24+'[4]CB III'!AN24+[4]IG!AN24+[4]PN!AN24+[4]MJ!AN24+'[4]RB I'!AN24+'[4]SF I'!AN24</f>
        <v>193498.76246130839</v>
      </c>
      <c r="AO24" s="226">
        <f>+[4]SLP!AO24+[4]ROSA!AO24+'[4]STA ANA'!AO24+[4]BOA!AO24+'[4]STA MARIA'!AO24+'[4]CB I'!AO24+'[4]CB II'!AO24+'[4]CB III'!AO24+[4]IG!AO24+[4]PN!AO24+[4]MJ!AO24+'[4]RB I'!AO24+'[4]SF I'!AO24</f>
        <v>169717.76455481356</v>
      </c>
      <c r="AP24" s="226">
        <f>+[4]SLP!AP24+[4]ROSA!AP24+'[4]STA ANA'!AP24+[4]BOA!AP24+'[4]STA MARIA'!AP24+'[4]CB I'!AP24+'[4]CB II'!AP24+'[4]CB III'!AP24+[4]IG!AP24+[4]PN!AP24+[4]MJ!AP24+'[4]RB I'!AP24+'[4]SF I'!AP24</f>
        <v>23780.997906494798</v>
      </c>
      <c r="AQ24" s="226">
        <f>+[4]SLP!AQ24+[4]ROSA!AQ24+'[4]STA ANA'!AQ24+[4]BOA!AQ24+'[4]STA MARIA'!AQ24+'[4]CB I'!AQ24+'[4]CB II'!AQ24+'[4]CB III'!AQ24+[4]IG!AQ24+[4]PN!AQ24+[4]MJ!AQ24+'[4]RB I'!AQ24+'[4]SF I'!AQ24</f>
        <v>0</v>
      </c>
      <c r="AR24" s="226">
        <f>+[4]SLP!AR24+[4]ROSA!AR24+'[4]STA ANA'!AR24+[4]BOA!AR24+'[4]STA MARIA'!AR24+'[4]CB I'!AR24+'[4]CB II'!AR24+'[4]CB III'!AR24+[4]IG!AR24+[4]PN!AR24+[4]MJ!AR24+'[4]RB I'!AR24+'[4]SF I'!AR24</f>
        <v>0</v>
      </c>
      <c r="AS24" s="166">
        <f>+[4]SLP!AS24+[4]ROSA!AS24+'[4]STA ANA'!AS24+[4]BOA!AS24+'[4]STA MARIA'!AS24+'[4]CB I'!AS24+'[4]CB II'!AS24+'[4]CB III'!AS24+[4]IG!AS24+[4]PN!AS24+[4]MJ!AS24+'[4]RB I'!AS24+'[4]SÃO FRANCISCO'!AS24</f>
        <v>0</v>
      </c>
      <c r="AT24" s="224">
        <f t="shared" si="7"/>
        <v>-1</v>
      </c>
      <c r="AU24" s="225">
        <f>+[4]SLP!AU24+[4]ROSA!AU24+'[4]STA ANA'!AU24+[4]BOA!AU24+'[4]STA MARIA'!AU24+'[4]CB I'!AU24+'[4]CB II'!AU24+'[4]CB III'!AU24+[4]IG!AU24+[4]PN!AU24+[4]MJ!AU24+'[4]RB I'!AU24+'[4]SF I'!AU24</f>
        <v>193498.76246130839</v>
      </c>
      <c r="AV24" s="226">
        <f>+[4]SLP!AV24+[4]ROSA!AV24+'[4]STA ANA'!AV24+[4]BOA!AV24+'[4]STA MARIA'!AV24+'[4]CB I'!AV24+'[4]CB II'!AV24+'[4]CB III'!AV24+[4]IG!AV24+[4]PN!AV24+[4]MJ!AV24+'[4]RB I'!AV24+'[4]SF I'!AV24</f>
        <v>169717.76455481356</v>
      </c>
      <c r="AW24" s="226">
        <f>+[4]SLP!AW24+[4]ROSA!AW24+'[4]STA ANA'!AW24+[4]BOA!AW24+'[4]STA MARIA'!AW24+'[4]CB I'!AW24+'[4]CB II'!AW24+'[4]CB III'!AW24+[4]IG!AW24+[4]PN!AW24+[4]MJ!AW24+'[4]RB I'!AW24+'[4]SF I'!AW24</f>
        <v>23780.997906494798</v>
      </c>
      <c r="AX24" s="226">
        <f>+[4]SLP!AX24+[4]ROSA!AX24+'[4]STA ANA'!AX24+[4]BOA!AX24+'[4]STA MARIA'!AX24+'[4]CB I'!AX24+'[4]CB II'!AX24+'[4]CB III'!AX24+[4]IG!AX24+[4]PN!AX24+[4]MJ!AX24+'[4]RB I'!AX24+'[4]SF I'!AX24</f>
        <v>0</v>
      </c>
      <c r="AY24" s="226">
        <f>+[4]SLP!AY24+[4]ROSA!AY24+'[4]STA ANA'!AY24+[4]BOA!AY24+'[4]STA MARIA'!AY24+'[4]CB I'!AY24+'[4]CB II'!AY24+'[4]CB III'!AY24+[4]IG!AY24+[4]PN!AY24+[4]MJ!AY24+'[4]RB I'!AY24+'[4]SF I'!AY24</f>
        <v>0</v>
      </c>
      <c r="AZ24" s="166">
        <f>+[4]SLP!AZ24+[4]ROSA!AZ24+'[4]STA ANA'!AZ24+[4]BOA!AZ24+'[4]STA MARIA'!AZ24+'[4]CB I'!AZ24+'[4]CB II'!AZ24+[4]IG!AZ24+[4]PN!AZ24+[4]MJ!AZ24+'[4]RB I'!AZ24+'[4]SÃO FRANCISCO'!AZ24</f>
        <v>0</v>
      </c>
      <c r="BA24" s="224">
        <f t="shared" si="8"/>
        <v>-1</v>
      </c>
      <c r="BB24" s="225">
        <f>+[4]SLP!BB24+[4]ROSA!BB24+'[4]STA ANA'!BB24+[4]BOA!BB24+'[4]STA MARIA'!BB24+'[4]CB I'!BB24+'[4]CB II'!BB24+'[4]CB III'!BB24+[4]IG!BB24+[4]PN!BB24+[4]MJ!BB24+'[4]RB I'!BB24+'[4]SF I'!BB24</f>
        <v>160218.38611890841</v>
      </c>
      <c r="BC24" s="226">
        <f>+[4]SLP!BC24+[4]ROSA!BC24+'[4]STA ANA'!BC24+[4]BOA!BC24+'[4]STA MARIA'!BC24+'[4]CB I'!BC24+'[4]CB II'!BC24+'[4]CB III'!BC24+[4]IG!BC24+[4]PN!BC24+[4]MJ!BC24+'[4]RB I'!BC24+'[4]SF I'!BC24</f>
        <v>140527.54646489455</v>
      </c>
      <c r="BD24" s="226">
        <f>+[4]SLP!BD24+[4]ROSA!BD24+'[4]STA ANA'!BD24+[4]BOA!BD24+'[4]STA MARIA'!BD24+'[4]CB I'!BD24+'[4]CB II'!BD24+'[4]CB III'!BD24+[4]IG!BD24+[4]PN!BD24+[4]MJ!BD24+'[4]RB I'!BD24+'[4]SF I'!BD24</f>
        <v>19690.839654013838</v>
      </c>
      <c r="BE24" s="226">
        <f>+[4]SLP!BE24+[4]ROSA!BE24+'[4]STA ANA'!BE24+[4]BOA!BE24+'[4]STA MARIA'!BE24+'[4]CB I'!BE24+'[4]CB II'!BE24+'[4]CB III'!BE24+[4]IG!BE24+[4]PN!BE24+[4]MJ!BE24+'[4]RB I'!BE24+'[4]SF I'!BE24</f>
        <v>0</v>
      </c>
      <c r="BF24" s="226">
        <f>+[4]SLP!BF24+[4]ROSA!BF24+'[4]STA ANA'!BF24+[4]BOA!BF24+'[4]STA MARIA'!BF24+'[4]CB I'!BF24+'[4]CB II'!BF24+'[4]CB III'!BF24+[4]IG!BF24+[4]PN!BF24+[4]MJ!BF24+'[4]RB I'!BF24+'[4]SF I'!BF24</f>
        <v>0</v>
      </c>
      <c r="BG24" s="166">
        <f>+[4]SLP!BG24+[4]ROSA!BG24+'[4]STA ANA'!BG24+[4]BOA!BG24+'[4]STA MARIA'!BG24+'[4]CB I'!BG24+'[4]CB II'!BG24+'[4]CB III'!BG24+[4]IG!BG24+[4]PN!BG24+[4]MJ!BG24+'[4]RB I'!BG24+'[4]SÃO FRANCISCO'!BG24</f>
        <v>0</v>
      </c>
      <c r="BH24" s="224">
        <f t="shared" si="9"/>
        <v>-1</v>
      </c>
      <c r="BI24" s="225">
        <f>+[4]SLP!BI24+[4]ROSA!BI24+'[4]STA ANA'!BI24+[4]BOA!BI24+'[4]STA MARIA'!BI24+'[4]CB I'!BI24+'[4]CB II'!BI24+'[4]CB III'!BI24+[4]IG!BI24+[4]PN!BI24+[4]MJ!BI24+'[4]RB I'!BI24+'[4]SF I'!BI24</f>
        <v>193498.76246130839</v>
      </c>
      <c r="BJ24" s="226">
        <f>+[4]SLP!BJ24+[4]ROSA!BJ24+'[4]STA ANA'!BJ24+[4]BOA!BJ24+'[4]STA MARIA'!BJ24+'[4]CB I'!BJ24+'[4]CB II'!BJ24+'[4]CB III'!BJ24+[4]IG!BJ24+[4]PN!BJ24+[4]MJ!BJ24+'[4]RB I'!BJ24+'[4]SF I'!BJ24</f>
        <v>169717.76455481356</v>
      </c>
      <c r="BK24" s="226">
        <f>+[4]SLP!BK24+[4]ROSA!BK24+'[4]STA ANA'!BK24+[4]BOA!BK24+'[4]STA MARIA'!BK24+'[4]CB I'!BK24+'[4]CB II'!BK24+'[4]CB III'!BK24+[4]IG!BK24+[4]PN!BK24+[4]MJ!BK24+'[4]RB I'!BK24+'[4]SF I'!BK24</f>
        <v>23780.997906494798</v>
      </c>
      <c r="BL24" s="226">
        <f>+[4]SLP!BL24+[4]ROSA!BL24+'[4]STA ANA'!BL24+[4]BOA!BL24+'[4]STA MARIA'!BL24+'[4]CB I'!BL24+'[4]CB II'!BL24+'[4]CB III'!BL24+[4]IG!BL24+[4]PN!BL24+[4]MJ!BL24+'[4]RB I'!BL24+'[4]SF I'!BL24</f>
        <v>0</v>
      </c>
      <c r="BM24" s="226">
        <f>+[4]SLP!BM24+[4]ROSA!BM24+'[4]STA ANA'!BM24+[4]BOA!BM24+'[4]STA MARIA'!BM24+'[4]CB I'!BM24+'[4]CB II'!BM24+'[4]CB III'!BM24+[4]IG!BM24+[4]PN!BM24+[4]MJ!BM24+'[4]RB I'!BM24+'[4]SF I'!BM24</f>
        <v>0</v>
      </c>
      <c r="BN24" s="166">
        <f>+[4]SLP!BN24+[4]ROSA!BN24+'[4]STA ANA'!BN24+[4]BOA!BN24+'[4]STA MARIA'!BN24+'[4]CB I'!BN24+'[4]CB II'!BN24+'[4]CB III'!BN24+[4]IG!BN24+[4]PN!BN24+[4]MJ!BN24+'[4]RB I'!BN24+'[4]SÃO FRANCISCO'!BN24</f>
        <v>0</v>
      </c>
      <c r="BO24" s="224">
        <f t="shared" si="10"/>
        <v>-1</v>
      </c>
      <c r="BP24" s="225">
        <f>+[4]SLP!BP24+[4]ROSA!BP24+'[4]STA ANA'!BP24+[4]BOA!BP24+'[4]STA MARIA'!BP24+'[4]CB I'!BP24+'[4]CB II'!BP24+'[4]CB III'!BP24+[4]IG!BP24+[4]PN!BP24+[4]MJ!BP24+'[4]RB I'!BP24+'[4]SF I'!BP24</f>
        <v>193498.76246130839</v>
      </c>
      <c r="BQ24" s="226">
        <f>+[4]SLP!BQ24+[4]ROSA!BQ24+'[4]STA ANA'!BQ24+[4]BOA!BQ24+'[4]STA MARIA'!BQ24+'[4]CB I'!BQ24+'[4]CB II'!BQ24+'[4]CB III'!BQ24+[4]IG!BQ24+[4]PN!BQ24+[4]MJ!BQ24+'[4]RB I'!BQ24+'[4]SF I'!BQ24</f>
        <v>169717.76455481356</v>
      </c>
      <c r="BR24" s="226">
        <f>+[4]SLP!BR24+[4]ROSA!BR24+'[4]STA ANA'!BR24+[4]BOA!BR24+'[4]STA MARIA'!BR24+'[4]CB I'!BR24+'[4]CB II'!BR24+'[4]CB III'!BR24+[4]IG!BR24+[4]PN!BR24+[4]MJ!BR24+'[4]RB I'!BR24+'[4]SF I'!BR24</f>
        <v>23780.997906494798</v>
      </c>
      <c r="BS24" s="226">
        <f>+[4]SLP!BS24+[4]ROSA!BS24+'[4]STA ANA'!BS24+[4]BOA!BS24+'[4]STA MARIA'!BS24+'[4]CB I'!BS24+'[4]CB II'!BS24+'[4]CB III'!BS24+[4]IG!BS24+[4]PN!BS24+[4]MJ!BS24+'[4]RB I'!BS24+'[4]SF I'!BS24</f>
        <v>0</v>
      </c>
      <c r="BT24" s="226">
        <f>+[4]SLP!BT24+[4]ROSA!BT24+'[4]STA ANA'!BT24+[4]BOA!BT24+'[4]STA MARIA'!BT24+'[4]CB I'!BT24+'[4]CB II'!BT24+'[4]CB III'!BT24+[4]IG!BT24+[4]PN!BT24+[4]MJ!BT24+'[4]RB I'!BT24+'[4]SF I'!BT24</f>
        <v>0</v>
      </c>
      <c r="BU24" s="166">
        <f>+[4]SLP!BU24+[4]ROSA!BU24+'[4]STA ANA'!BU24+[4]BOA!BU24+'[4]STA MARIA'!BU24+'[4]CB I'!BU24+'[4]CB II'!BU24+'[4]CB III'!BU24+[4]IG!BU24+[4]PN!BU24+[4]MJ!BU24+'[4]RB I'!BU24+'[4]SÃO FRANCISCO'!BU24</f>
        <v>0</v>
      </c>
      <c r="BV24" s="224">
        <f t="shared" si="11"/>
        <v>-1</v>
      </c>
      <c r="BW24" s="225">
        <f>+[4]SLP!BW24+[4]ROSA!BW24+'[4]STA ANA'!BW24+[4]BOA!BW24+'[4]STA MARIA'!BW24+'[4]CB I'!BW24+'[4]CB II'!BW24+'[4]CB III'!BW24+[4]IG!BW24+[4]PN!BW24+[4]MJ!BW24+'[4]RB I'!BW24+'[4]SF I'!BW24</f>
        <v>193498.76246130839</v>
      </c>
      <c r="BX24" s="226">
        <f>+[4]SLP!BX24+[4]ROSA!BX24+'[4]STA ANA'!BX24+[4]BOA!BX24+'[4]STA MARIA'!BX24+'[4]CB I'!BX24+'[4]CB II'!BX24+'[4]CB III'!BX24+[4]IG!BX24+[4]PN!BX24+[4]MJ!BX24+'[4]RB I'!BX24+'[4]SF I'!BX24</f>
        <v>169717.76455481356</v>
      </c>
      <c r="BY24" s="226">
        <f>+[4]SLP!BY24+[4]ROSA!BY24+'[4]STA ANA'!BY24+[4]BOA!BY24+'[4]STA MARIA'!BY24+'[4]CB I'!BY24+'[4]CB II'!BY24+'[4]CB III'!BY24+[4]IG!BY24+[4]PN!BY24+[4]MJ!BY24+'[4]RB I'!BY24+'[4]SF I'!BY24</f>
        <v>23780.997906494798</v>
      </c>
      <c r="BZ24" s="226">
        <f>+[4]SLP!BZ24+[4]ROSA!BZ24+'[4]STA ANA'!BZ24+[4]BOA!BZ24+'[4]STA MARIA'!BZ24+'[4]CB I'!BZ24+'[4]CB II'!BZ24+'[4]CB III'!BZ24+[4]IG!BZ24+[4]PN!BZ24+[4]MJ!BZ24+'[4]RB I'!BZ24+'[4]SF I'!BZ24</f>
        <v>0</v>
      </c>
      <c r="CA24" s="226">
        <f>+[4]SLP!CA24+[4]ROSA!CA24+'[4]STA ANA'!CA24+[4]BOA!CA24+'[4]STA MARIA'!CA24+'[4]CB I'!CA24+'[4]CB II'!CA24+'[4]CB III'!CA24+[4]IG!CA24+[4]PN!CA24+[4]MJ!CA24+'[4]RB I'!CA24+'[4]SF I'!CA24</f>
        <v>0</v>
      </c>
      <c r="CB24" s="166">
        <f>+[4]SLP!CB24+[4]ROSA!CB24+'[4]STA ANA'!CB24+[4]BOA!CB24+'[4]STA MARIA'!CB24+'[4]CB I'!CB24+'[4]CB II'!CB24+'[4]CB III'!CB24+[4]IG!CB24+[4]PN!CB24+[4]MJ!CB24+'[4]RB I'!CB24+'[4]SÃO FRANCISCO'!CB24</f>
        <v>0</v>
      </c>
      <c r="CC24" s="224">
        <f t="shared" si="12"/>
        <v>-1</v>
      </c>
      <c r="CD24" s="225">
        <f>+[4]SLP!CD24+[4]ROSA!CD24+'[4]STA ANA'!CD24+[4]BOA!CD24+'[4]STA MARIA'!CD24+'[4]CB I'!CD24+'[4]CB II'!CD24+'[4]CB III'!CD24+[4]IG!CD24+[4]PN!CD24+[4]MJ!CD24+'[4]RB I'!CD24+'[4]SF I'!CD24</f>
        <v>193498.76246130839</v>
      </c>
      <c r="CE24" s="226">
        <f>+[4]SLP!CE24+[4]ROSA!CE24+'[4]STA ANA'!CE24+[4]BOA!CE24+'[4]STA MARIA'!CE24+'[4]CB I'!CE24+'[4]CB II'!CE24+'[4]CB III'!CE24+[4]IG!CE24+[4]PN!CE24+[4]MJ!CE24+'[4]RB I'!CE24+'[4]SF I'!CE24</f>
        <v>169717.76455481356</v>
      </c>
      <c r="CF24" s="226">
        <f>+[4]SLP!CF24+[4]ROSA!CF24+'[4]STA ANA'!CF24+[4]BOA!CF24+'[4]STA MARIA'!CF24+'[4]CB I'!CF24+'[4]CB II'!CF24+'[4]CB III'!CF24+[4]IG!CF24+[4]PN!CF24+[4]MJ!CF24+'[4]RB I'!CF24+'[4]SF I'!CF24</f>
        <v>23780.997906494798</v>
      </c>
      <c r="CG24" s="226">
        <f>+[4]SLP!CG24+[4]ROSA!CG24+'[4]STA ANA'!CG24+[4]BOA!CG24+'[4]STA MARIA'!CG24+'[4]CB I'!CG24+'[4]CB II'!CG24+'[4]CB III'!CG24+[4]IG!CG24+[4]PN!CG24+[4]MJ!CG24+'[4]RB I'!CG24+'[4]SF I'!CG24</f>
        <v>0</v>
      </c>
      <c r="CH24" s="226">
        <f>+[4]SLP!CH24+[4]ROSA!CH24+'[4]STA ANA'!CH24+[4]BOA!CH24+'[4]STA MARIA'!CH24+'[4]CB I'!CH24+'[4]CB II'!CH24+'[4]CB III'!CH24+[4]IG!CH24+[4]PN!CH24+[4]MJ!CH24+'[4]RB I'!CH24+'[4]SF I'!CH24</f>
        <v>0</v>
      </c>
      <c r="CI24" s="166">
        <f>+[4]SLP!CI24+[4]ROSA!CI24+'[4]STA ANA'!CI24+[4]BOA!CI24+'[4]STA MARIA'!CI24+'[4]CB I'!CI24+'[4]CB II'!CI24+'[4]CB III'!CI24+[4]IG!CI24+[4]PN!CI24+[4]MJ!CI24+'[4]RB I'!CI24+'[4]SÃO FRANCISCO'!CI24</f>
        <v>0</v>
      </c>
      <c r="CJ24" s="224">
        <f t="shared" si="13"/>
        <v>-1</v>
      </c>
      <c r="CK24" s="225">
        <f>+[4]SLP!CK24+[4]ROSA!CK24+'[4]STA ANA'!CK24+[4]BOA!CK24+'[4]STA MARIA'!CK24+'[4]CB I'!CK24+'[4]CB II'!CK24+'[4]CB III'!CK24+[4]IG!CK24+[4]PN!CK24+[4]MJ!CK24+'[4]RB I'!CK24+'[4]SF I'!CK24</f>
        <v>193498.76246130839</v>
      </c>
      <c r="CL24" s="226">
        <f>+[4]SLP!CL24+[4]ROSA!CL24+'[4]STA ANA'!CL24+[4]BOA!CL24+'[4]STA MARIA'!CL24+'[4]CB I'!CL24+'[4]CB II'!CL24+'[4]CB III'!CL24+[4]IG!CL24+[4]PN!CL24+[4]MJ!CL24+'[4]RB I'!CL24+'[4]SF I'!CL24</f>
        <v>169717.76455481356</v>
      </c>
      <c r="CM24" s="226">
        <f>+[4]SLP!CM24+[4]ROSA!CM24+'[4]STA ANA'!CM24+[4]BOA!CM24+'[4]STA MARIA'!CM24+'[4]CB I'!CM24+'[4]CB II'!CM24+'[4]CB III'!CM24+[4]IG!CM24+[4]PN!CM24+[4]MJ!CM24+'[4]RB I'!CM24+'[4]SF I'!CM24</f>
        <v>23780.997906494798</v>
      </c>
      <c r="CN24" s="226">
        <f>+[4]SLP!CN24+[4]ROSA!CN24+'[4]STA ANA'!CN24+[4]BOA!CN24+'[4]STA MARIA'!CN24+'[4]CB I'!CN24+'[4]CB II'!CN24+'[4]CB III'!CN24+[4]IG!CN24+[4]PN!CN24+[4]MJ!CN24+'[4]RB I'!CN24+'[4]SF I'!CN24</f>
        <v>0</v>
      </c>
      <c r="CO24" s="226">
        <f>+[4]SLP!CO24+[4]ROSA!CO24+'[4]STA ANA'!CO24+[4]BOA!CO24+'[4]STA MARIA'!CO24+'[4]CB I'!CO24+'[4]CB II'!CO24+'[4]CB III'!CO24+[4]IG!CO24+[4]PN!CO24+[4]MJ!CO24+'[4]RB I'!CO24+'[4]SF I'!CO24</f>
        <v>0</v>
      </c>
      <c r="CP24" s="166">
        <f>+[4]SLP!CP24+[4]ROSA!CP24+'[4]STA ANA'!CP24+[4]BOA!CP24+'[4]STA MARIA'!CP24+'[4]CB I'!CP24+'[4]CB II'!CP24+'[4]CB III'!CP24+[4]IG!CP24+[4]PN!CP24+[4]MJ!CP24+'[4]RB I'!CP24+'[4]SÃO FRANCISCO'!CP24</f>
        <v>0</v>
      </c>
      <c r="CQ24" s="224">
        <f t="shared" si="14"/>
        <v>-1</v>
      </c>
      <c r="CR24" s="155"/>
      <c r="CS24" s="227" t="e">
        <f t="shared" si="15"/>
        <v>#VALUE!</v>
      </c>
    </row>
    <row r="25" spans="1:97" ht="16" customHeight="1" x14ac:dyDescent="0.2">
      <c r="A25" s="223" t="s">
        <v>49</v>
      </c>
      <c r="B25" s="30">
        <f t="shared" si="0"/>
        <v>5072322.9666879876</v>
      </c>
      <c r="C25" s="31">
        <f t="shared" si="0"/>
        <v>4448934.474082035</v>
      </c>
      <c r="D25" s="32">
        <f t="shared" si="0"/>
        <v>623388.49260595359</v>
      </c>
      <c r="E25" s="30">
        <f t="shared" si="16"/>
        <v>1623134.9672289954</v>
      </c>
      <c r="F25" s="33">
        <f t="shared" si="16"/>
        <v>1423651.679756552</v>
      </c>
      <c r="G25" s="34">
        <f t="shared" si="16"/>
        <v>199483.28747244354</v>
      </c>
      <c r="H25" s="31">
        <f t="shared" si="1"/>
        <v>1601957.6401590854</v>
      </c>
      <c r="I25" s="33">
        <f t="shared" si="1"/>
        <v>176173.23984091484</v>
      </c>
      <c r="J25" s="33">
        <f t="shared" si="1"/>
        <v>1778130.8800000001</v>
      </c>
      <c r="K25" s="224">
        <f t="shared" si="2"/>
        <v>9.5491697178831991E-2</v>
      </c>
      <c r="L25" s="225">
        <f>+[4]SLP!L25+[4]ROSA!L25+'[4]STA ANA'!L25+[4]BOA!L25+'[4]STA MARIA'!L25+'[4]CB I'!L25+'[4]CB II'!L25+'[4]CB III'!L25+[4]IG!L25+[4]PN!L25+[4]MJ!L25+'[4]RB I'!L25+'[4]SF I'!L25</f>
        <v>0</v>
      </c>
      <c r="M25" s="226">
        <f>+[4]SLP!M25+[4]ROSA!M25+'[4]STA ANA'!M25+[4]BOA!M25+'[4]STA MARIA'!M25+'[4]CB I'!M25+'[4]CB II'!M25+'[4]CB III'!M25+[4]IG!M25+[4]PN!M25+[4]MJ!M25+'[4]RB I'!M25+'[4]SF I'!M25</f>
        <v>0</v>
      </c>
      <c r="N25" s="226">
        <f>+[4]SLP!N25+[4]ROSA!N25+'[4]STA ANA'!N25+[4]BOA!N25+'[4]STA MARIA'!N25+'[4]CB I'!N25+'[4]CB II'!N25+'[4]CB III'!N25+[4]IG!N25+[4]PN!N25+[4]MJ!N25+'[4]RB I'!N25+'[4]SF I'!N25</f>
        <v>0</v>
      </c>
      <c r="O25" s="226">
        <f>+[4]SLP!O25+[4]ROSA!O25+'[4]STA ANA'!O25+[4]BOA!O25+'[4]STA MARIA'!O25+'[4]CB I'!O25+'[4]CB II'!O25+'[4]CB III'!O25+[4]IG!O25+[4]PN!O25+[4]MJ!O25+'[4]RB I'!O25+'[4]SF I'!O25</f>
        <v>80053.961452999982</v>
      </c>
      <c r="P25" s="226">
        <f>+[4]SLP!P25+[4]ROSA!P25+'[4]STA ANA'!P25+[4]BOA!P25+'[4]STA MARIA'!P25+'[4]CB I'!P25+'[4]CB II'!P25+'[4]CB III'!P25+[4]IG!P25+[4]PN!P25+[4]MJ!P25+'[4]RB I'!P25+'[4]SF I'!P25</f>
        <v>11550.458547</v>
      </c>
      <c r="Q25" s="166">
        <f>+[4]SLP!Q25+[4]ROSA!Q25+'[4]STA ANA'!Q25+[4]BOA!Q25+'[4]STA MARIA'!Q25+'[4]CB I'!Q25+'[4]CB II'!Q25+'[4]CB III'!Q25+[4]IG!Q25+[4]PN!Q25+[4]MJ!Q25+'[4]RB I'!Q25+'[4]SF I'!Q25</f>
        <v>91604.42</v>
      </c>
      <c r="R25" s="224" t="str">
        <f t="shared" si="3"/>
        <v/>
      </c>
      <c r="S25" s="225">
        <f>+[4]SLP!S25+[4]ROSA!S25+'[4]STA ANA'!S25+[4]BOA!S25+'[4]STA MARIA'!S25+'[4]CB I'!S25+'[4]CB II'!S25+'[4]CB III'!S25+[4]IG!S25+[4]PN!S25+[4]MJ!S25+'[4]RB I'!S25+'[4]SF I'!S25</f>
        <v>0</v>
      </c>
      <c r="T25" s="226">
        <f>+[4]SLP!T25+[4]ROSA!T25+'[4]STA ANA'!T25+[4]BOA!T25+'[4]STA MARIA'!T25+'[4]CB I'!T25+'[4]CB II'!T25+'[4]CB III'!T25+[4]IG!T25+[4]PN!T25+[4]MJ!T25+'[4]RB I'!T25+'[4]SF I'!T25</f>
        <v>0</v>
      </c>
      <c r="U25" s="226">
        <f>+[4]SLP!U25+[4]ROSA!U25+'[4]STA ANA'!U25+[4]BOA!U25+'[4]STA MARIA'!U25+'[4]CB I'!U25+'[4]CB II'!U25+'[4]CB III'!U25+[4]IG!U25+[4]PN!U25+[4]MJ!U25+'[4]RB I'!U25+'[4]SF I'!U25</f>
        <v>0</v>
      </c>
      <c r="V25" s="226">
        <f>+[4]SLP!V25+[4]ROSA!V25+'[4]STA ANA'!V25+[4]BOA!V25+'[4]STA MARIA'!V25+'[4]CB I'!V25+'[4]CB II'!V25+'[4]CB III'!V25+[4]IG!V25+[4]PN!V25+[4]MJ!V25+'[4]RB I'!V25+'[4]SF I'!V25</f>
        <v>162296.50904608518</v>
      </c>
      <c r="W25" s="226">
        <f>+[4]SLP!W25+[4]ROSA!W25+'[4]STA ANA'!W25+[4]BOA!W25+'[4]STA MARIA'!W25+'[4]CB I'!W25+'[4]CB II'!W25+'[4]CB III'!W25+[4]IG!W25+[4]PN!W25+[4]MJ!W25+'[4]RB I'!W25+'[4]SF I'!W25</f>
        <v>17037.350953914847</v>
      </c>
      <c r="X25" s="166">
        <f>[4]SLP!X25+[4]ROSA!X25+'[4]STA ANA'!X25+[4]BOA!X25+'[4]STA MARIA'!X25+'[4]CB I'!X25+'[4]CB II'!X25+'[4]CB III'!X25+[4]IG!X25+[4]PN!X25+[4]MJ!X25+'[4]RB I'!X25+'[4]SF I'!X25</f>
        <v>179333.86000000002</v>
      </c>
      <c r="Y25" s="224" t="str">
        <f t="shared" si="4"/>
        <v/>
      </c>
      <c r="Z25" s="225">
        <f>+[4]SLP!Z25+[4]ROSA!Z25+'[4]STA ANA'!Z25+[4]BOA!Z25+'[4]STA MARIA'!Z25+'[4]CB I'!Z25+'[4]CB II'!Z25+'[4]CB III'!Z25+[4]IG!Z25+[4]PN!Z25+[4]MJ!Z25+'[4]RB I'!Z25+'[4]SF I'!Z25</f>
        <v>700436.25091999746</v>
      </c>
      <c r="AA25" s="226">
        <f>+[4]SLP!AA25+[4]ROSA!AA25+'[4]STA ANA'!AA25+[4]BOA!AA25+'[4]STA MARIA'!AA25+'[4]CB I'!AA25+'[4]CB II'!AA25+'[4]CB III'!AA25+[4]IG!AA25+[4]PN!AA25+[4]MJ!AA25+'[4]RB I'!AA25+'[4]SF I'!AA25</f>
        <v>614352.63568192988</v>
      </c>
      <c r="AB25" s="226">
        <f>+[4]SLP!AB25+[4]ROSA!AB25+'[4]STA ANA'!AB25+[4]BOA!AB25+'[4]STA MARIA'!AB25+'[4]CB I'!AB25+'[4]CB II'!AB25+'[4]CB III'!AB25+[4]IG!AB25+[4]PN!AB25+[4]MJ!AB25+'[4]RB I'!AB25+'[4]SF I'!AB25</f>
        <v>86083.615238067709</v>
      </c>
      <c r="AC25" s="226">
        <f>+[4]SLP!AC25+[4]ROSA!AC25+'[4]STA ANA'!AC25+[4]BOA!AC25+'[4]STA MARIA'!AC25+'[4]CB I'!AC25+'[4]CB II'!AC25+'[4]CB III'!AC25+[4]IG!AC25+[4]PN!AC25+[4]MJ!AC25+'[4]RB I'!AC25+'[4]SF I'!AC25</f>
        <v>345524.03378500004</v>
      </c>
      <c r="AD25" s="226">
        <f>+[4]SLP!AD25+[4]ROSA!AD25+'[4]STA ANA'!AD25+[4]BOA!AD25+'[4]STA MARIA'!AD25+'[4]CB I'!AD25+'[4]CB II'!AD25+'[4]CB III'!AD25+[4]IG!AD25+[4]PN!AD25+[4]MJ!AD25+'[4]RB I'!AD25+'[4]SF I'!AD25</f>
        <v>29866.666215000005</v>
      </c>
      <c r="AE25" s="166">
        <f>+[4]SLP!AE25+[4]ROSA!AE25+'[4]STA ANA'!AE25+[4]BOA!AE25+'[4]STA MARIA'!AE25+'[4]CB I'!AE25+'[4]CB II'!AE25+'[4]CB III'!AE25+[4]IG!AE25+[4]PN!AE25+[4]MJ!AE25+'[4]RB I'!AE25+'[4]SF I'!AE25</f>
        <v>375390.7</v>
      </c>
      <c r="AF25" s="224">
        <f t="shared" si="5"/>
        <v>-0.46406157661466263</v>
      </c>
      <c r="AG25" s="225">
        <f>+[4]SLP!AG25+[4]ROSA!AG25+'[4]STA ANA'!AG25+[4]BOA!AG25+'[4]STA MARIA'!AG25+'[4]CB I'!AG25+'[4]CB II'!AG25+'[4]CB III'!AG25+[4]IG!AG25+[4]PN!AG25+[4]MJ!AG25+'[4]RB I'!AG25+'[4]SF I'!AG25</f>
        <v>922698.71630899794</v>
      </c>
      <c r="AH25" s="226">
        <f>+[4]SLP!AH25+[4]ROSA!AH25+'[4]STA ANA'!AH25+[4]BOA!AH25+'[4]STA MARIA'!AH25+'[4]CB I'!AH25+'[4]CB II'!AH25+'[4]CB III'!AH25+[4]IG!AH25+[4]PN!AH25+[4]MJ!AH25+'[4]RB I'!AH25+'[4]SF I'!AH25</f>
        <v>809299.04407462198</v>
      </c>
      <c r="AI25" s="226">
        <f>+[4]SLP!AI25+[4]ROSA!AI25+'[4]STA ANA'!AI25+[4]BOA!AI25+'[4]STA MARIA'!AI25+'[4]CB I'!AI25+'[4]CB II'!AI25+'[4]CB III'!AI25+[4]IG!AI25+[4]PN!AI25+[4]MJ!AI25+'[4]RB I'!AI25+'[4]SF I'!AI25</f>
        <v>113399.67223437582</v>
      </c>
      <c r="AJ25" s="226">
        <f>+[4]SLP!AJ25+[4]ROSA!AJ25+'[4]STA ANA'!AJ25+[4]BOA!AJ25+'[4]STA MARIA'!AJ25+'[4]CB I'!AJ25+'[4]CB II'!AJ25+'[4]CB III'!AJ25+[4]IG!AJ25+[4]PN!AJ25+[4]MJ!AJ25+'[4]RB I'!AJ25+'[4]SF I'!AJ25</f>
        <v>1014083.1358750002</v>
      </c>
      <c r="AK25" s="226">
        <f>+[4]SLP!AK25+[4]ROSA!AK25+'[4]STA ANA'!AK25+[4]BOA!AK25+'[4]STA MARIA'!AK25+'[4]CB I'!AK25+'[4]CB II'!AK25+'[4]CB III'!AK25+[4]IG!AK25+[4]PN!AK25+[4]MJ!AK25+'[4]RB I'!AK25+'[4]SF I'!AK25</f>
        <v>117718.764125</v>
      </c>
      <c r="AL25" s="166">
        <f>+[4]SLP!AL25+[4]ROSA!AL25+'[4]STA ANA'!AL25+[4]BOA!AL25+'[4]STA MARIA'!AL25+'[4]CB I'!AL25+'[4]CB II'!AL25+'[4]CB III'!AL25+[4]IG!AL25+[4]PN!AL25+[4]MJ!AL25+'[4]RB I'!AL25+'[4]SF I'!AL25</f>
        <v>1131801.9000000001</v>
      </c>
      <c r="AM25" s="224">
        <f t="shared" si="6"/>
        <v>0.22662130118427148</v>
      </c>
      <c r="AN25" s="225">
        <f>+[4]SLP!AN25+[4]ROSA!AN25+'[4]STA ANA'!AN25+[4]BOA!AN25+'[4]STA MARIA'!AN25+'[4]CB I'!AN25+'[4]CB II'!AN25+'[4]CB III'!AN25+[4]IG!AN25+[4]PN!AN25+[4]MJ!AN25+'[4]RB I'!AN25+'[4]SF I'!AN25</f>
        <v>892751.44447199698</v>
      </c>
      <c r="AO25" s="226">
        <f>+[4]SLP!AO25+[4]ROSA!AO25+'[4]STA ANA'!AO25+[4]BOA!AO25+'[4]STA MARIA'!AO25+'[4]CB I'!AO25+'[4]CB II'!AO25+'[4]CB III'!AO25+[4]IG!AO25+[4]PN!AO25+[4]MJ!AO25+'[4]RB I'!AO25+'[4]SF I'!AO25</f>
        <v>783032.29194638843</v>
      </c>
      <c r="AP25" s="226">
        <f>+[4]SLP!AP25+[4]ROSA!AP25+'[4]STA ANA'!AP25+[4]BOA!AP25+'[4]STA MARIA'!AP25+'[4]CB I'!AP25+'[4]CB II'!AP25+'[4]CB III'!AP25+[4]IG!AP25+[4]PN!AP25+[4]MJ!AP25+'[4]RB I'!AP25+'[4]SF I'!AP25</f>
        <v>109719.15252560841</v>
      </c>
      <c r="AQ25" s="226">
        <f>+[4]SLP!AQ25+[4]ROSA!AQ25+'[4]STA ANA'!AQ25+[4]BOA!AQ25+'[4]STA MARIA'!AQ25+'[4]CB I'!AQ25+'[4]CB II'!AQ25+'[4]CB III'!AQ25+[4]IG!AQ25+[4]PN!AQ25+[4]MJ!AQ25+'[4]RB I'!AQ25+'[4]SF I'!AQ25</f>
        <v>0</v>
      </c>
      <c r="AR25" s="226">
        <f>+[4]SLP!AR25+[4]ROSA!AR25+'[4]STA ANA'!AR25+[4]BOA!AR25+'[4]STA MARIA'!AR25+'[4]CB I'!AR25+'[4]CB II'!AR25+'[4]CB III'!AR25+[4]IG!AR25+[4]PN!AR25+[4]MJ!AR25+'[4]RB I'!AR25+'[4]SF I'!AR25</f>
        <v>0</v>
      </c>
      <c r="AS25" s="166">
        <f>+[4]SLP!AS25+[4]ROSA!AS25+'[4]STA ANA'!AS25+[4]BOA!AS25+'[4]STA MARIA'!AS25+'[4]CB I'!AS25+'[4]CB II'!AS25+'[4]CB III'!AS25+[4]IG!AS25+[4]PN!AS25+[4]MJ!AS25+'[4]RB I'!AS25+'[4]SÃO FRANCISCO'!AS25</f>
        <v>0</v>
      </c>
      <c r="AT25" s="224">
        <f t="shared" si="7"/>
        <v>-1</v>
      </c>
      <c r="AU25" s="225">
        <f>+[4]SLP!AU25+[4]ROSA!AU25+'[4]STA ANA'!AU25+[4]BOA!AU25+'[4]STA MARIA'!AU25+'[4]CB I'!AU25+'[4]CB II'!AU25+'[4]CB III'!AU25+[4]IG!AU25+[4]PN!AU25+[4]MJ!AU25+'[4]RB I'!AU25+'[4]SF I'!AU25</f>
        <v>928201.83969599754</v>
      </c>
      <c r="AV25" s="226">
        <f>+[4]SLP!AV25+[4]ROSA!AV25+'[4]STA ANA'!AV25+[4]BOA!AV25+'[4]STA MARIA'!AV25+'[4]CB I'!AV25+'[4]CB II'!AV25+'[4]CB III'!AV25+[4]IG!AV25+[4]PN!AV25+[4]MJ!AV25+'[4]RB I'!AV25+'[4]SF I'!AV25</f>
        <v>814125.83359735948</v>
      </c>
      <c r="AW25" s="226">
        <f>+[4]SLP!AW25+[4]ROSA!AW25+'[4]STA ANA'!AW25+[4]BOA!AW25+'[4]STA MARIA'!AW25+'[4]CB I'!AW25+'[4]CB II'!AW25+'[4]CB III'!AW25+[4]IG!AW25+[4]PN!AW25+[4]MJ!AW25+'[4]RB I'!AW25+'[4]SF I'!AW25</f>
        <v>114076.00609863811</v>
      </c>
      <c r="AX25" s="226">
        <f>+[4]SLP!AX25+[4]ROSA!AX25+'[4]STA ANA'!AX25+[4]BOA!AX25+'[4]STA MARIA'!AX25+'[4]CB I'!AX25+'[4]CB II'!AX25+'[4]CB III'!AX25+[4]IG!AX25+[4]PN!AX25+[4]MJ!AX25+'[4]RB I'!AX25+'[4]SF I'!AX25</f>
        <v>0</v>
      </c>
      <c r="AY25" s="226">
        <f>+[4]SLP!AY25+[4]ROSA!AY25+'[4]STA ANA'!AY25+[4]BOA!AY25+'[4]STA MARIA'!AY25+'[4]CB I'!AY25+'[4]CB II'!AY25+'[4]CB III'!AY25+[4]IG!AY25+[4]PN!AY25+[4]MJ!AY25+'[4]RB I'!AY25+'[4]SF I'!AY25</f>
        <v>0</v>
      </c>
      <c r="AZ25" s="166">
        <f>+[4]SLP!AZ25+[4]ROSA!AZ25+'[4]STA ANA'!AZ25+[4]BOA!AZ25+'[4]STA MARIA'!AZ25+'[4]CB I'!AZ25+'[4]CB II'!AZ25+[4]IG!AZ25+[4]PN!AZ25+[4]MJ!AZ25+'[4]RB I'!AZ25+'[4]SÃO FRANCISCO'!AZ25</f>
        <v>0</v>
      </c>
      <c r="BA25" s="224">
        <f t="shared" si="8"/>
        <v>-1</v>
      </c>
      <c r="BB25" s="225">
        <f>+[4]SLP!BB25+[4]ROSA!BB25+'[4]STA ANA'!BB25+[4]BOA!BB25+'[4]STA MARIA'!BB25+'[4]CB I'!BB25+'[4]CB II'!BB25+'[4]CB III'!BB25+[4]IG!BB25+[4]PN!BB25+[4]MJ!BB25+'[4]RB I'!BB25+'[4]SF I'!BB25</f>
        <v>343313.56089599954</v>
      </c>
      <c r="BC25" s="226">
        <f>+[4]SLP!BC25+[4]ROSA!BC25+'[4]STA ANA'!BC25+[4]BOA!BC25+'[4]STA MARIA'!BC25+'[4]CB I'!BC25+'[4]CB II'!BC25+'[4]CB III'!BC25+[4]IG!BC25+[4]PN!BC25+[4]MJ!BC25+'[4]RB I'!BC25+'[4]SF I'!BC25</f>
        <v>301120.32426188124</v>
      </c>
      <c r="BD25" s="226">
        <f>+[4]SLP!BD25+[4]ROSA!BD25+'[4]STA ANA'!BD25+[4]BOA!BD25+'[4]STA MARIA'!BD25+'[4]CB I'!BD25+'[4]CB II'!BD25+'[4]CB III'!BD25+[4]IG!BD25+[4]PN!BD25+[4]MJ!BD25+'[4]RB I'!BD25+'[4]SF I'!BD25</f>
        <v>42193.236634118352</v>
      </c>
      <c r="BE25" s="226">
        <f>+[4]SLP!BE25+[4]ROSA!BE25+'[4]STA ANA'!BE25+[4]BOA!BE25+'[4]STA MARIA'!BE25+'[4]CB I'!BE25+'[4]CB II'!BE25+'[4]CB III'!BE25+[4]IG!BE25+[4]PN!BE25+[4]MJ!BE25+'[4]RB I'!BE25+'[4]SF I'!BE25</f>
        <v>0</v>
      </c>
      <c r="BF25" s="226">
        <f>+[4]SLP!BF25+[4]ROSA!BF25+'[4]STA ANA'!BF25+[4]BOA!BF25+'[4]STA MARIA'!BF25+'[4]CB I'!BF25+'[4]CB II'!BF25+'[4]CB III'!BF25+[4]IG!BF25+[4]PN!BF25+[4]MJ!BF25+'[4]RB I'!BF25+'[4]SF I'!BF25</f>
        <v>0</v>
      </c>
      <c r="BG25" s="166">
        <f>+[4]SLP!BG25+[4]ROSA!BG25+'[4]STA ANA'!BG25+[4]BOA!BG25+'[4]STA MARIA'!BG25+'[4]CB I'!BG25+'[4]CB II'!BG25+'[4]CB III'!BG25+[4]IG!BG25+[4]PN!BG25+[4]MJ!BG25+'[4]RB I'!BG25+'[4]SÃO FRANCISCO'!BG25</f>
        <v>0</v>
      </c>
      <c r="BH25" s="224">
        <f t="shared" si="9"/>
        <v>-1</v>
      </c>
      <c r="BI25" s="225">
        <f>+[4]SLP!BI25+[4]ROSA!BI25+'[4]STA ANA'!BI25+[4]BOA!BI25+'[4]STA MARIA'!BI25+'[4]CB I'!BI25+'[4]CB II'!BI25+'[4]CB III'!BI25+[4]IG!BI25+[4]PN!BI25+[4]MJ!BI25+'[4]RB I'!BI25+'[4]SF I'!BI25</f>
        <v>343313.56089599954</v>
      </c>
      <c r="BJ25" s="226">
        <f>+[4]SLP!BJ25+[4]ROSA!BJ25+'[4]STA ANA'!BJ25+[4]BOA!BJ25+'[4]STA MARIA'!BJ25+'[4]CB I'!BJ25+'[4]CB II'!BJ25+'[4]CB III'!BJ25+[4]IG!BJ25+[4]PN!BJ25+[4]MJ!BJ25+'[4]RB I'!BJ25+'[4]SF I'!BJ25</f>
        <v>301120.32426188124</v>
      </c>
      <c r="BK25" s="226">
        <f>+[4]SLP!BK25+[4]ROSA!BK25+'[4]STA ANA'!BK25+[4]BOA!BK25+'[4]STA MARIA'!BK25+'[4]CB I'!BK25+'[4]CB II'!BK25+'[4]CB III'!BK25+[4]IG!BK25+[4]PN!BK25+[4]MJ!BK25+'[4]RB I'!BK25+'[4]SF I'!BK25</f>
        <v>42193.236634118352</v>
      </c>
      <c r="BL25" s="226">
        <f>+[4]SLP!BL25+[4]ROSA!BL25+'[4]STA ANA'!BL25+[4]BOA!BL25+'[4]STA MARIA'!BL25+'[4]CB I'!BL25+'[4]CB II'!BL25+'[4]CB III'!BL25+[4]IG!BL25+[4]PN!BL25+[4]MJ!BL25+'[4]RB I'!BL25+'[4]SF I'!BL25</f>
        <v>0</v>
      </c>
      <c r="BM25" s="226">
        <f>+[4]SLP!BM25+[4]ROSA!BM25+'[4]STA ANA'!BM25+[4]BOA!BM25+'[4]STA MARIA'!BM25+'[4]CB I'!BM25+'[4]CB II'!BM25+'[4]CB III'!BM25+[4]IG!BM25+[4]PN!BM25+[4]MJ!BM25+'[4]RB I'!BM25+'[4]SF I'!BM25</f>
        <v>0</v>
      </c>
      <c r="BN25" s="166">
        <f>+[4]SLP!BN25+[4]ROSA!BN25+'[4]STA ANA'!BN25+[4]BOA!BN25+'[4]STA MARIA'!BN25+'[4]CB I'!BN25+'[4]CB II'!BN25+'[4]CB III'!BN25+[4]IG!BN25+[4]PN!BN25+[4]MJ!BN25+'[4]RB I'!BN25+'[4]SÃO FRANCISCO'!BN25</f>
        <v>0</v>
      </c>
      <c r="BO25" s="224">
        <f t="shared" si="10"/>
        <v>-1</v>
      </c>
      <c r="BP25" s="225">
        <f>+[4]SLP!BP25+[4]ROSA!BP25+'[4]STA ANA'!BP25+[4]BOA!BP25+'[4]STA MARIA'!BP25+'[4]CB I'!BP25+'[4]CB II'!BP25+'[4]CB III'!BP25+[4]IG!BP25+[4]PN!BP25+[4]MJ!BP25+'[4]RB I'!BP25+'[4]SF I'!BP25</f>
        <v>343313.56089599954</v>
      </c>
      <c r="BQ25" s="226">
        <f>+[4]SLP!BQ25+[4]ROSA!BQ25+'[4]STA ANA'!BQ25+[4]BOA!BQ25+'[4]STA MARIA'!BQ25+'[4]CB I'!BQ25+'[4]CB II'!BQ25+'[4]CB III'!BQ25+[4]IG!BQ25+[4]PN!BQ25+[4]MJ!BQ25+'[4]RB I'!BQ25+'[4]SF I'!BQ25</f>
        <v>301120.32426188124</v>
      </c>
      <c r="BR25" s="226">
        <f>+[4]SLP!BR25+[4]ROSA!BR25+'[4]STA ANA'!BR25+[4]BOA!BR25+'[4]STA MARIA'!BR25+'[4]CB I'!BR25+'[4]CB II'!BR25+'[4]CB III'!BR25+[4]IG!BR25+[4]PN!BR25+[4]MJ!BR25+'[4]RB I'!BR25+'[4]SF I'!BR25</f>
        <v>42193.236634118352</v>
      </c>
      <c r="BS25" s="226">
        <f>+[4]SLP!BS25+[4]ROSA!BS25+'[4]STA ANA'!BS25+[4]BOA!BS25+'[4]STA MARIA'!BS25+'[4]CB I'!BS25+'[4]CB II'!BS25+'[4]CB III'!BS25+[4]IG!BS25+[4]PN!BS25+[4]MJ!BS25+'[4]RB I'!BS25+'[4]SF I'!BS25</f>
        <v>0</v>
      </c>
      <c r="BT25" s="226">
        <f>+[4]SLP!BT25+[4]ROSA!BT25+'[4]STA ANA'!BT25+[4]BOA!BT25+'[4]STA MARIA'!BT25+'[4]CB I'!BT25+'[4]CB II'!BT25+'[4]CB III'!BT25+[4]IG!BT25+[4]PN!BT25+[4]MJ!BT25+'[4]RB I'!BT25+'[4]SF I'!BT25</f>
        <v>0</v>
      </c>
      <c r="BU25" s="166">
        <f>+[4]SLP!BU25+[4]ROSA!BU25+'[4]STA ANA'!BU25+[4]BOA!BU25+'[4]STA MARIA'!BU25+'[4]CB I'!BU25+'[4]CB II'!BU25+'[4]CB III'!BU25+[4]IG!BU25+[4]PN!BU25+[4]MJ!BU25+'[4]RB I'!BU25+'[4]SÃO FRANCISCO'!BU25</f>
        <v>0</v>
      </c>
      <c r="BV25" s="224">
        <f t="shared" si="11"/>
        <v>-1</v>
      </c>
      <c r="BW25" s="225">
        <f>+[4]SLP!BW25+[4]ROSA!BW25+'[4]STA ANA'!BW25+[4]BOA!BW25+'[4]STA MARIA'!BW25+'[4]CB I'!BW25+'[4]CB II'!BW25+'[4]CB III'!BW25+[4]IG!BW25+[4]PN!BW25+[4]MJ!BW25+'[4]RB I'!BW25+'[4]SF I'!BW25</f>
        <v>267958.67061299976</v>
      </c>
      <c r="BX25" s="226">
        <f>+[4]SLP!BX25+[4]ROSA!BX25+'[4]STA ANA'!BX25+[4]BOA!BX25+'[4]STA MARIA'!BX25+'[4]CB I'!BX25+'[4]CB II'!BX25+'[4]CB III'!BX25+[4]IG!BX25+[4]PN!BX25+[4]MJ!BX25+'[4]RB I'!BX25+'[4]SF I'!BX25</f>
        <v>235026.54999466211</v>
      </c>
      <c r="BY25" s="226">
        <f>+[4]SLP!BY25+[4]ROSA!BY25+'[4]STA ANA'!BY25+[4]BOA!BY25+'[4]STA MARIA'!BY25+'[4]CB I'!BY25+'[4]CB II'!BY25+'[4]CB III'!BY25+[4]IG!BY25+[4]PN!BY25+[4]MJ!BY25+'[4]RB I'!BY25+'[4]SF I'!BY25</f>
        <v>32932.120618337671</v>
      </c>
      <c r="BZ25" s="226">
        <f>+[4]SLP!BZ25+[4]ROSA!BZ25+'[4]STA ANA'!BZ25+[4]BOA!BZ25+'[4]STA MARIA'!BZ25+'[4]CB I'!BZ25+'[4]CB II'!BZ25+'[4]CB III'!BZ25+[4]IG!BZ25+[4]PN!BZ25+[4]MJ!BZ25+'[4]RB I'!BZ25+'[4]SF I'!BZ25</f>
        <v>0</v>
      </c>
      <c r="CA25" s="226">
        <f>+[4]SLP!CA25+[4]ROSA!CA25+'[4]STA ANA'!CA25+[4]BOA!CA25+'[4]STA MARIA'!CA25+'[4]CB I'!CA25+'[4]CB II'!CA25+'[4]CB III'!CA25+[4]IG!CA25+[4]PN!CA25+[4]MJ!CA25+'[4]RB I'!CA25+'[4]SF I'!CA25</f>
        <v>0</v>
      </c>
      <c r="CB25" s="166">
        <f>+[4]SLP!CB25+[4]ROSA!CB25+'[4]STA ANA'!CB25+[4]BOA!CB25+'[4]STA MARIA'!CB25+'[4]CB I'!CB25+'[4]CB II'!CB25+'[4]CB III'!CB25+[4]IG!CB25+[4]PN!CB25+[4]MJ!CB25+'[4]RB I'!CB25+'[4]SÃO FRANCISCO'!CB25</f>
        <v>0</v>
      </c>
      <c r="CC25" s="224">
        <f t="shared" si="12"/>
        <v>-1</v>
      </c>
      <c r="CD25" s="225">
        <f>+[4]SLP!CD25+[4]ROSA!CD25+'[4]STA ANA'!CD25+[4]BOA!CD25+'[4]STA MARIA'!CD25+'[4]CB I'!CD25+'[4]CB II'!CD25+'[4]CB III'!CD25+[4]IG!CD25+[4]PN!CD25+[4]MJ!CD25+'[4]RB I'!CD25+'[4]SF I'!CD25</f>
        <v>165167.68099499968</v>
      </c>
      <c r="CE25" s="226">
        <f>+[4]SLP!CE25+[4]ROSA!CE25+'[4]STA ANA'!CE25+[4]BOA!CE25+'[4]STA MARIA'!CE25+'[4]CB I'!CE25+'[4]CB II'!CE25+'[4]CB III'!CE25+[4]IG!CE25+[4]PN!CE25+[4]MJ!CE25+'[4]RB I'!CE25+'[4]SF I'!CE25</f>
        <v>144868.57300071421</v>
      </c>
      <c r="CF25" s="226">
        <f>+[4]SLP!CF25+[4]ROSA!CF25+'[4]STA ANA'!CF25+[4]BOA!CF25+'[4]STA MARIA'!CF25+'[4]CB I'!CF25+'[4]CB II'!CF25+'[4]CB III'!CF25+[4]IG!CF25+[4]PN!CF25+[4]MJ!CF25+'[4]RB I'!CF25+'[4]SF I'!CF25</f>
        <v>20299.107994285456</v>
      </c>
      <c r="CG25" s="226">
        <f>+[4]SLP!CG25+[4]ROSA!CG25+'[4]STA ANA'!CG25+[4]BOA!CG25+'[4]STA MARIA'!CG25+'[4]CB I'!CG25+'[4]CB II'!CG25+'[4]CB III'!CG25+[4]IG!CG25+[4]PN!CG25+[4]MJ!CG25+'[4]RB I'!CG25+'[4]SF I'!CG25</f>
        <v>0</v>
      </c>
      <c r="CH25" s="226">
        <f>+[4]SLP!CH25+[4]ROSA!CH25+'[4]STA ANA'!CH25+[4]BOA!CH25+'[4]STA MARIA'!CH25+'[4]CB I'!CH25+'[4]CB II'!CH25+'[4]CB III'!CH25+[4]IG!CH25+[4]PN!CH25+[4]MJ!CH25+'[4]RB I'!CH25+'[4]SF I'!CH25</f>
        <v>0</v>
      </c>
      <c r="CI25" s="166">
        <f>+[4]SLP!CI25+[4]ROSA!CI25+'[4]STA ANA'!CI25+[4]BOA!CI25+'[4]STA MARIA'!CI25+'[4]CB I'!CI25+'[4]CB II'!CI25+'[4]CB III'!CI25+[4]IG!CI25+[4]PN!CI25+[4]MJ!CI25+'[4]RB I'!CI25+'[4]SÃO FRANCISCO'!CI25</f>
        <v>0</v>
      </c>
      <c r="CJ25" s="224">
        <f t="shared" si="13"/>
        <v>-1</v>
      </c>
      <c r="CK25" s="225">
        <f>+[4]SLP!CK25+[4]ROSA!CK25+'[4]STA ANA'!CK25+[4]BOA!CK25+'[4]STA MARIA'!CK25+'[4]CB I'!CK25+'[4]CB II'!CK25+'[4]CB III'!CK25+[4]IG!CK25+[4]PN!CK25+[4]MJ!CK25+'[4]RB I'!CK25+'[4]SF I'!CK25</f>
        <v>165167.68099499968</v>
      </c>
      <c r="CL25" s="226">
        <f>+[4]SLP!CL25+[4]ROSA!CL25+'[4]STA ANA'!CL25+[4]BOA!CL25+'[4]STA MARIA'!CL25+'[4]CB I'!CL25+'[4]CB II'!CL25+'[4]CB III'!CL25+[4]IG!CL25+[4]PN!CL25+[4]MJ!CL25+'[4]RB I'!CL25+'[4]SF I'!CL25</f>
        <v>144868.57300071421</v>
      </c>
      <c r="CM25" s="226">
        <f>+[4]SLP!CM25+[4]ROSA!CM25+'[4]STA ANA'!CM25+[4]BOA!CM25+'[4]STA MARIA'!CM25+'[4]CB I'!CM25+'[4]CB II'!CM25+'[4]CB III'!CM25+[4]IG!CM25+[4]PN!CM25+[4]MJ!CM25+'[4]RB I'!CM25+'[4]SF I'!CM25</f>
        <v>20299.107994285456</v>
      </c>
      <c r="CN25" s="226">
        <f>+[4]SLP!CN25+[4]ROSA!CN25+'[4]STA ANA'!CN25+[4]BOA!CN25+'[4]STA MARIA'!CN25+'[4]CB I'!CN25+'[4]CB II'!CN25+'[4]CB III'!CN25+[4]IG!CN25+[4]PN!CN25+[4]MJ!CN25+'[4]RB I'!CN25+'[4]SF I'!CN25</f>
        <v>0</v>
      </c>
      <c r="CO25" s="226">
        <f>+[4]SLP!CO25+[4]ROSA!CO25+'[4]STA ANA'!CO25+[4]BOA!CO25+'[4]STA MARIA'!CO25+'[4]CB I'!CO25+'[4]CB II'!CO25+'[4]CB III'!CO25+[4]IG!CO25+[4]PN!CO25+[4]MJ!CO25+'[4]RB I'!CO25+'[4]SF I'!CO25</f>
        <v>0</v>
      </c>
      <c r="CP25" s="166">
        <f>+[4]SLP!CP25+[4]ROSA!CP25+'[4]STA ANA'!CP25+[4]BOA!CP25+'[4]STA MARIA'!CP25+'[4]CB I'!CP25+'[4]CB II'!CP25+'[4]CB III'!CP25+[4]IG!CP25+[4]PN!CP25+[4]MJ!CP25+'[4]RB I'!CP25+'[4]SÃO FRANCISCO'!CP25</f>
        <v>0</v>
      </c>
      <c r="CQ25" s="224">
        <f t="shared" si="14"/>
        <v>-1</v>
      </c>
      <c r="CR25" s="155"/>
      <c r="CS25" s="227" t="e">
        <f t="shared" si="15"/>
        <v>#VALUE!</v>
      </c>
    </row>
    <row r="26" spans="1:97" ht="16" customHeight="1" x14ac:dyDescent="0.2">
      <c r="A26" s="223" t="s">
        <v>50</v>
      </c>
      <c r="B26" s="30">
        <f t="shared" si="0"/>
        <v>26776034.233225446</v>
      </c>
      <c r="C26" s="31">
        <f t="shared" si="0"/>
        <v>23485259.625962041</v>
      </c>
      <c r="D26" s="32">
        <f t="shared" si="0"/>
        <v>3290774.6072634077</v>
      </c>
      <c r="E26" s="30">
        <f t="shared" si="16"/>
        <v>7222148.3673927691</v>
      </c>
      <c r="F26" s="33">
        <f t="shared" si="16"/>
        <v>6334546.3330401983</v>
      </c>
      <c r="G26" s="34">
        <f t="shared" si="16"/>
        <v>887602.03435257124</v>
      </c>
      <c r="H26" s="31">
        <f t="shared" si="1"/>
        <v>7279676.9285027115</v>
      </c>
      <c r="I26" s="33">
        <f t="shared" si="1"/>
        <v>785357.86573688907</v>
      </c>
      <c r="J26" s="33">
        <f t="shared" si="1"/>
        <v>8065034.7942396011</v>
      </c>
      <c r="K26" s="224">
        <f t="shared" si="2"/>
        <v>0.11670854487736282</v>
      </c>
      <c r="L26" s="225">
        <f>+[4]SLP!L26+[4]ROSA!L26+'[4]STA ANA'!L26+[4]BOA!L26+'[4]STA MARIA'!L26+'[4]CB I'!L26+'[4]CB II'!L26+'[4]CB III'!L26+[4]IG!L26+[4]PN!L26+[4]MJ!L26+'[4]RB I'!L26+'[4]SF I'!L26</f>
        <v>826759.68415126682</v>
      </c>
      <c r="M26" s="226">
        <f>+[4]SLP!M26+[4]ROSA!M26+'[4]STA ANA'!M26+[4]BOA!M26+'[4]STA MARIA'!M26+'[4]CB I'!M26+'[4]CB II'!M26+'[4]CB III'!M26+[4]IG!M26+[4]PN!M26+[4]MJ!M26+'[4]RB I'!M26+'[4]SF I'!M26</f>
        <v>725150.91896907613</v>
      </c>
      <c r="N26" s="226">
        <f>+[4]SLP!N26+[4]ROSA!N26+'[4]STA ANA'!N26+[4]BOA!N26+'[4]STA MARIA'!N26+'[4]CB I'!N26+'[4]CB II'!N26+'[4]CB III'!N26+[4]IG!N26+[4]PN!N26+[4]MJ!N26+'[4]RB I'!N26+'[4]SF I'!N26</f>
        <v>101608.76518219069</v>
      </c>
      <c r="O26" s="226">
        <f>+[4]SLP!O26+[4]ROSA!O26+'[4]STA ANA'!O26+[4]BOA!O26+'[4]STA MARIA'!O26+'[4]CB I'!O26+'[4]CB II'!O26+'[4]CB III'!O26+[4]IG!O26+[4]PN!O26+[4]MJ!O26+'[4]RB I'!O26+'[4]SF I'!O26</f>
        <v>1143597.7764009058</v>
      </c>
      <c r="P26" s="226">
        <f>+[4]SLP!P26+[4]ROSA!P26+'[4]STA ANA'!P26+[4]BOA!P26+'[4]STA MARIA'!P26+'[4]CB I'!P26+'[4]CB II'!P26+'[4]CB III'!P26+[4]IG!P26+[4]PN!P26+[4]MJ!P26+'[4]RB I'!P26+'[4]SF I'!P26</f>
        <v>138700.26330622312</v>
      </c>
      <c r="Q26" s="166">
        <f>+[4]SLP!Q26+[4]ROSA!Q26+'[4]STA ANA'!Q26+[4]BOA!Q26+'[4]STA MARIA'!Q26+'[4]CB I'!Q26+'[4]CB II'!Q26+'[4]CB III'!Q26+[4]IG!Q26+[4]PN!Q26+[4]MJ!Q26+'[4]RB I'!Q26+'[4]SF I'!Q26</f>
        <v>1282298.0397071289</v>
      </c>
      <c r="R26" s="224">
        <f t="shared" si="3"/>
        <v>0.55099246405986491</v>
      </c>
      <c r="S26" s="225">
        <f>+[4]SLP!S26+[4]ROSA!S26+'[4]STA ANA'!S26+[4]BOA!S26+'[4]STA MARIA'!S26+'[4]CB I'!S26+'[4]CB II'!S26+'[4]CB III'!S26+[4]IG!S26+[4]PN!S26+[4]MJ!S26+'[4]RB I'!S26+'[4]SF I'!S26</f>
        <v>1624909.3527215989</v>
      </c>
      <c r="T26" s="226">
        <f>+[4]SLP!T26+[4]ROSA!T26+'[4]STA ANA'!T26+[4]BOA!T26+'[4]STA MARIA'!T26+'[4]CB I'!T26+'[4]CB II'!T26+'[4]CB III'!T26+[4]IG!T26+[4]PN!T26+[4]MJ!T26+'[4]RB I'!T26+'[4]SF I'!T26</f>
        <v>1425207.9932721145</v>
      </c>
      <c r="U26" s="226">
        <f>+[4]SLP!U26+[4]ROSA!U26+'[4]STA ANA'!U26+[4]BOA!U26+'[4]STA MARIA'!U26+'[4]CB I'!U26+'[4]CB II'!U26+'[4]CB III'!U26+[4]IG!U26+[4]PN!U26+[4]MJ!U26+'[4]RB I'!U26+'[4]SF I'!U26</f>
        <v>199701.35944948453</v>
      </c>
      <c r="V26" s="226">
        <f>+[4]SLP!V26+[4]ROSA!V26+'[4]STA ANA'!V26+[4]BOA!V26+'[4]STA MARIA'!V26+'[4]CB I'!V26+'[4]CB II'!V26+'[4]CB III'!V26+[4]IG!V26+[4]PN!V26+[4]MJ!V26+'[4]RB I'!V26+'[4]SF I'!V26</f>
        <v>1460340.6402360986</v>
      </c>
      <c r="W26" s="226">
        <f>+[4]SLP!W26+[4]ROSA!W26+'[4]STA ANA'!W26+[4]BOA!W26+'[4]STA MARIA'!W26+'[4]CB I'!W26+'[4]CB II'!W26+'[4]CB III'!W26+[4]IG!W26+[4]PN!W26+[4]MJ!W26+'[4]RB I'!W26+'[4]SF I'!W26</f>
        <v>138606.46993545807</v>
      </c>
      <c r="X26" s="166">
        <f>[4]SLP!X26+[4]ROSA!X26+'[4]STA ANA'!X26+[4]BOA!X26+'[4]STA MARIA'!X26+'[4]CB I'!X26+'[4]CB II'!X26+'[4]CB III'!X26+[4]IG!X26+[4]PN!X26+[4]MJ!X26+'[4]RB I'!X26+'[4]SF I'!X26</f>
        <v>1598947.1101715565</v>
      </c>
      <c r="Y26" s="224">
        <f t="shared" si="4"/>
        <v>-1.5977655926810774E-2</v>
      </c>
      <c r="Z26" s="225">
        <f>+[4]SLP!Z26+[4]ROSA!Z26+'[4]STA ANA'!Z26+[4]BOA!Z26+'[4]STA MARIA'!Z26+'[4]CB I'!Z26+'[4]CB II'!Z26+'[4]CB III'!Z26+[4]IG!Z26+[4]PN!Z26+[4]MJ!Z26+'[4]RB I'!Z26+'[4]SF I'!Z26</f>
        <v>2334571.9357546382</v>
      </c>
      <c r="AA26" s="226">
        <f>+[4]SLP!AA26+[4]ROSA!AA26+'[4]STA ANA'!AA26+[4]BOA!AA26+'[4]STA MARIA'!AA26+'[4]CB I'!AA26+'[4]CB II'!AA26+'[4]CB III'!AA26+[4]IG!AA26+[4]PN!AA26+[4]MJ!AA26+'[4]RB I'!AA26+'[4]SF I'!AA26</f>
        <v>2047653.044850393</v>
      </c>
      <c r="AB26" s="226">
        <f>+[4]SLP!AB26+[4]ROSA!AB26+'[4]STA ANA'!AB26+[4]BOA!AB26+'[4]STA MARIA'!AB26+'[4]CB I'!AB26+'[4]CB II'!AB26+'[4]CB III'!AB26+[4]IG!AB26+[4]PN!AB26+[4]MJ!AB26+'[4]RB I'!AB26+'[4]SF I'!AB26</f>
        <v>286918.89090424503</v>
      </c>
      <c r="AC26" s="226">
        <f>+[4]SLP!AC26+[4]ROSA!AC26+'[4]STA ANA'!AC26+[4]BOA!AC26+'[4]STA MARIA'!AC26+'[4]CB I'!AC26+'[4]CB II'!AC26+'[4]CB III'!AC26+[4]IG!AC26+[4]PN!AC26+[4]MJ!AC26+'[4]RB I'!AC26+'[4]SF I'!AC26</f>
        <v>1997348.6947099187</v>
      </c>
      <c r="AD26" s="226">
        <f>+[4]SLP!AD26+[4]ROSA!AD26+'[4]STA ANA'!AD26+[4]BOA!AD26+'[4]STA MARIA'!AD26+'[4]CB I'!AD26+'[4]CB II'!AD26+'[4]CB III'!AD26+[4]IG!AD26+[4]PN!AD26+[4]MJ!AD26+'[4]RB I'!AD26+'[4]SF I'!AD26</f>
        <v>194762.50233570853</v>
      </c>
      <c r="AE26" s="166">
        <f>+[4]SLP!AE26+[4]ROSA!AE26+'[4]STA ANA'!AE26+[4]BOA!AE26+'[4]STA MARIA'!AE26+'[4]CB I'!AE26+'[4]CB II'!AE26+'[4]CB III'!AE26+[4]IG!AE26+[4]PN!AE26+[4]MJ!AE26+'[4]RB I'!AE26+'[4]SF I'!AE26</f>
        <v>2192111.1970456275</v>
      </c>
      <c r="AF26" s="224">
        <f t="shared" si="5"/>
        <v>-6.102220990802798E-2</v>
      </c>
      <c r="AG26" s="225">
        <f>+[4]SLP!AG26+[4]ROSA!AG26+'[4]STA ANA'!AG26+[4]BOA!AG26+'[4]STA MARIA'!AG26+'[4]CB I'!AG26+'[4]CB II'!AG26+'[4]CB III'!AG26+[4]IG!AG26+[4]PN!AG26+[4]MJ!AG26+'[4]RB I'!AG26+'[4]SF I'!AG26</f>
        <v>2435907.3947652648</v>
      </c>
      <c r="AH26" s="226">
        <f>+[4]SLP!AH26+[4]ROSA!AH26+'[4]STA ANA'!AH26+[4]BOA!AH26+'[4]STA MARIA'!AH26+'[4]CB I'!AH26+'[4]CB II'!AH26+'[4]CB III'!AH26+[4]IG!AH26+[4]PN!AH26+[4]MJ!AH26+'[4]RB I'!AH26+'[4]SF I'!AH26</f>
        <v>2136534.375948614</v>
      </c>
      <c r="AI26" s="226">
        <f>+[4]SLP!AI26+[4]ROSA!AI26+'[4]STA ANA'!AI26+[4]BOA!AI26+'[4]STA MARIA'!AI26+'[4]CB I'!AI26+'[4]CB II'!AI26+'[4]CB III'!AI26+[4]IG!AI26+[4]PN!AI26+[4]MJ!AI26+'[4]RB I'!AI26+'[4]SF I'!AI26</f>
        <v>299373.01881665102</v>
      </c>
      <c r="AJ26" s="226">
        <f>+[4]SLP!AJ26+[4]ROSA!AJ26+'[4]STA ANA'!AJ26+[4]BOA!AJ26+'[4]STA MARIA'!AJ26+'[4]CB I'!AJ26+'[4]CB II'!AJ26+'[4]CB III'!AJ26+[4]IG!AJ26+[4]PN!AJ26+[4]MJ!AJ26+'[4]RB I'!AJ26+'[4]SF I'!AJ26</f>
        <v>2678389.8171557887</v>
      </c>
      <c r="AK26" s="226">
        <f>+[4]SLP!AK26+[4]ROSA!AK26+'[4]STA ANA'!AK26+[4]BOA!AK26+'[4]STA MARIA'!AK26+'[4]CB I'!AK26+'[4]CB II'!AK26+'[4]CB III'!AK26+[4]IG!AK26+[4]PN!AK26+[4]MJ!AK26+'[4]RB I'!AK26+'[4]SF I'!AK26</f>
        <v>313288.63015949936</v>
      </c>
      <c r="AL26" s="166">
        <f>+[4]SLP!AL26+[4]ROSA!AL26+'[4]STA ANA'!AL26+[4]BOA!AL26+'[4]STA MARIA'!AL26+'[4]CB I'!AL26+'[4]CB II'!AL26+'[4]CB III'!AL26+[4]IG!AL26+[4]PN!AL26+[4]MJ!AL26+'[4]RB I'!AL26+'[4]SF I'!AL26</f>
        <v>2991678.4473152882</v>
      </c>
      <c r="AM26" s="224">
        <f t="shared" si="6"/>
        <v>0.22815770983099304</v>
      </c>
      <c r="AN26" s="225">
        <f>+[4]SLP!AN26+[4]ROSA!AN26+'[4]STA ANA'!AN26+[4]BOA!AN26+'[4]STA MARIA'!AN26+'[4]CB I'!AN26+'[4]CB II'!AN26+'[4]CB III'!AN26+[4]IG!AN26+[4]PN!AN26+[4]MJ!AN26+'[4]RB I'!AN26+'[4]SF I'!AN26</f>
        <v>2759064.6330496343</v>
      </c>
      <c r="AO26" s="226">
        <f>+[4]SLP!AO26+[4]ROSA!AO26+'[4]STA ANA'!AO26+[4]BOA!AO26+'[4]STA MARIA'!AO26+'[4]CB I'!AO26+'[4]CB II'!AO26+'[4]CB III'!AO26+[4]IG!AO26+[4]PN!AO26+[4]MJ!AO26+'[4]RB I'!AO26+'[4]SF I'!AO26</f>
        <v>2419975.5896478342</v>
      </c>
      <c r="AP26" s="226">
        <f>+[4]SLP!AP26+[4]ROSA!AP26+'[4]STA ANA'!AP26+[4]BOA!AP26+'[4]STA MARIA'!AP26+'[4]CB I'!AP26+'[4]CB II'!AP26+'[4]CB III'!AP26+[4]IG!AP26+[4]PN!AP26+[4]MJ!AP26+'[4]RB I'!AP26+'[4]SF I'!AP26</f>
        <v>339089.0434018001</v>
      </c>
      <c r="AQ26" s="226">
        <f>+[4]SLP!AQ26+[4]ROSA!AQ26+'[4]STA ANA'!AQ26+[4]BOA!AQ26+'[4]STA MARIA'!AQ26+'[4]CB I'!AQ26+'[4]CB II'!AQ26+'[4]CB III'!AQ26+[4]IG!AQ26+[4]PN!AQ26+[4]MJ!AQ26+'[4]RB I'!AQ26+'[4]SF I'!AQ26</f>
        <v>0</v>
      </c>
      <c r="AR26" s="226">
        <f>+[4]SLP!AR26+[4]ROSA!AR26+'[4]STA ANA'!AR26+[4]BOA!AR26+'[4]STA MARIA'!AR26+'[4]CB I'!AR26+'[4]CB II'!AR26+'[4]CB III'!AR26+[4]IG!AR26+[4]PN!AR26+[4]MJ!AR26+'[4]RB I'!AR26+'[4]SF I'!AR26</f>
        <v>0</v>
      </c>
      <c r="AS26" s="166">
        <f>+[4]SLP!AS26+[4]ROSA!AS26+'[4]STA ANA'!AS26+[4]BOA!AS26+'[4]STA MARIA'!AS26+'[4]CB I'!AS26+'[4]CB II'!AS26+'[4]CB III'!AS26+[4]IG!AS26+[4]PN!AS26+[4]MJ!AS26+'[4]RB I'!AS26+'[4]SÃO FRANCISCO'!AS26</f>
        <v>0</v>
      </c>
      <c r="AT26" s="224">
        <f t="shared" si="7"/>
        <v>-1</v>
      </c>
      <c r="AU26" s="225">
        <f>+[4]SLP!AU26+[4]ROSA!AU26+'[4]STA ANA'!AU26+[4]BOA!AU26+'[4]STA MARIA'!AU26+'[4]CB I'!AU26+'[4]CB II'!AU26+'[4]CB III'!AU26+[4]IG!AU26+[4]PN!AU26+[4]MJ!AU26+'[4]RB I'!AU26+'[4]SF I'!AU26</f>
        <v>2151133.8419322418</v>
      </c>
      <c r="AV26" s="226">
        <f>+[4]SLP!AV26+[4]ROSA!AV26+'[4]STA ANA'!AV26+[4]BOA!AV26+'[4]STA MARIA'!AV26+'[4]CB I'!AV26+'[4]CB II'!AV26+'[4]CB III'!AV26+[4]IG!AV26+[4]PN!AV26+[4]MJ!AV26+'[4]RB I'!AV26+'[4]SF I'!AV26</f>
        <v>1886759.4927587693</v>
      </c>
      <c r="AW26" s="226">
        <f>+[4]SLP!AW26+[4]ROSA!AW26+'[4]STA ANA'!AW26+[4]BOA!AW26+'[4]STA MARIA'!AW26+'[4]CB I'!AW26+'[4]CB II'!AW26+'[4]CB III'!AW26+[4]IG!AW26+[4]PN!AW26+[4]MJ!AW26+'[4]RB I'!AW26+'[4]SF I'!AW26</f>
        <v>264374.3491734725</v>
      </c>
      <c r="AX26" s="226">
        <f>+[4]SLP!AX26+[4]ROSA!AX26+'[4]STA ANA'!AX26+[4]BOA!AX26+'[4]STA MARIA'!AX26+'[4]CB I'!AX26+'[4]CB II'!AX26+'[4]CB III'!AX26+[4]IG!AX26+[4]PN!AX26+[4]MJ!AX26+'[4]RB I'!AX26+'[4]SF I'!AX26</f>
        <v>0</v>
      </c>
      <c r="AY26" s="226">
        <f>+[4]SLP!AY26+[4]ROSA!AY26+'[4]STA ANA'!AY26+[4]BOA!AY26+'[4]STA MARIA'!AY26+'[4]CB I'!AY26+'[4]CB II'!AY26+'[4]CB III'!AY26+[4]IG!AY26+[4]PN!AY26+[4]MJ!AY26+'[4]RB I'!AY26+'[4]SF I'!AY26</f>
        <v>0</v>
      </c>
      <c r="AZ26" s="166">
        <f>+[4]SLP!AZ26+[4]ROSA!AZ26+'[4]STA ANA'!AZ26+[4]BOA!AZ26+'[4]STA MARIA'!AZ26+'[4]CB I'!AZ26+'[4]CB II'!AZ26+[4]IG!AZ26+[4]PN!AZ26+[4]MJ!AZ26+'[4]RB I'!AZ26+'[4]SÃO FRANCISCO'!AZ26</f>
        <v>0</v>
      </c>
      <c r="BA26" s="224">
        <f t="shared" si="8"/>
        <v>-1</v>
      </c>
      <c r="BB26" s="225">
        <f>+[4]SLP!BB26+[4]ROSA!BB26+'[4]STA ANA'!BB26+[4]BOA!BB26+'[4]STA MARIA'!BB26+'[4]CB I'!BB26+'[4]CB II'!BB26+'[4]CB III'!BB26+[4]IG!BB26+[4]PN!BB26+[4]MJ!BB26+'[4]RB I'!BB26+'[4]SF I'!BB26</f>
        <v>1837374.8616121421</v>
      </c>
      <c r="BC26" s="226">
        <f>+[4]SLP!BC26+[4]ROSA!BC26+'[4]STA ANA'!BC26+[4]BOA!BC26+'[4]STA MARIA'!BC26+'[4]CB I'!BC26+'[4]CB II'!BC26+'[4]CB III'!BC26+[4]IG!BC26+[4]PN!BC26+[4]MJ!BC26+'[4]RB I'!BC26+'[4]SF I'!BC26</f>
        <v>1611561.4911200099</v>
      </c>
      <c r="BD26" s="226">
        <f>+[4]SLP!BD26+[4]ROSA!BD26+'[4]STA ANA'!BD26+[4]BOA!BD26+'[4]STA MARIA'!BD26+'[4]CB I'!BD26+'[4]CB II'!BD26+'[4]CB III'!BD26+[4]IG!BD26+[4]PN!BD26+[4]MJ!BD26+'[4]RB I'!BD26+'[4]SF I'!BD26</f>
        <v>225813.37049213224</v>
      </c>
      <c r="BE26" s="226">
        <f>+[4]SLP!BE26+[4]ROSA!BE26+'[4]STA ANA'!BE26+[4]BOA!BE26+'[4]STA MARIA'!BE26+'[4]CB I'!BE26+'[4]CB II'!BE26+'[4]CB III'!BE26+[4]IG!BE26+[4]PN!BE26+[4]MJ!BE26+'[4]RB I'!BE26+'[4]SF I'!BE26</f>
        <v>0</v>
      </c>
      <c r="BF26" s="226">
        <f>+[4]SLP!BF26+[4]ROSA!BF26+'[4]STA ANA'!BF26+[4]BOA!BF26+'[4]STA MARIA'!BF26+'[4]CB I'!BF26+'[4]CB II'!BF26+'[4]CB III'!BF26+[4]IG!BF26+[4]PN!BF26+[4]MJ!BF26+'[4]RB I'!BF26+'[4]SF I'!BF26</f>
        <v>0</v>
      </c>
      <c r="BG26" s="166">
        <f>+[4]SLP!BG26+[4]ROSA!BG26+'[4]STA ANA'!BG26+[4]BOA!BG26+'[4]STA MARIA'!BG26+'[4]CB I'!BG26+'[4]CB II'!BG26+'[4]CB III'!BG26+[4]IG!BG26+[4]PN!BG26+[4]MJ!BG26+'[4]RB I'!BG26+'[4]SÃO FRANCISCO'!BG26</f>
        <v>0</v>
      </c>
      <c r="BH26" s="224">
        <f t="shared" si="9"/>
        <v>-1</v>
      </c>
      <c r="BI26" s="225">
        <f>+[4]SLP!BI26+[4]ROSA!BI26+'[4]STA ANA'!BI26+[4]BOA!BI26+'[4]STA MARIA'!BI26+'[4]CB I'!BI26+'[4]CB II'!BI26+'[4]CB III'!BI26+[4]IG!BI26+[4]PN!BI26+[4]MJ!BI26+'[4]RB I'!BI26+'[4]SF I'!BI26</f>
        <v>2465847.2257192493</v>
      </c>
      <c r="BJ26" s="226">
        <f>+[4]SLP!BJ26+[4]ROSA!BJ26+'[4]STA ANA'!BJ26+[4]BOA!BJ26+'[4]STA MARIA'!BJ26+'[4]CB I'!BJ26+'[4]CB II'!BJ26+'[4]CB III'!BJ26+[4]IG!BJ26+[4]PN!BJ26+[4]MJ!BJ26+'[4]RB I'!BJ26+'[4]SF I'!BJ26</f>
        <v>2162794.6016783542</v>
      </c>
      <c r="BK26" s="226">
        <f>+[4]SLP!BK26+[4]ROSA!BK26+'[4]STA ANA'!BK26+[4]BOA!BK26+'[4]STA MARIA'!BK26+'[4]CB I'!BK26+'[4]CB II'!BK26+'[4]CB III'!BK26+[4]IG!BK26+[4]PN!BK26+[4]MJ!BK26+'[4]RB I'!BK26+'[4]SF I'!BK26</f>
        <v>303052.62404089578</v>
      </c>
      <c r="BL26" s="226">
        <f>+[4]SLP!BL26+[4]ROSA!BL26+'[4]STA ANA'!BL26+[4]BOA!BL26+'[4]STA MARIA'!BL26+'[4]CB I'!BL26+'[4]CB II'!BL26+'[4]CB III'!BL26+[4]IG!BL26+[4]PN!BL26+[4]MJ!BL26+'[4]RB I'!BL26+'[4]SF I'!BL26</f>
        <v>0</v>
      </c>
      <c r="BM26" s="226">
        <f>+[4]SLP!BM26+[4]ROSA!BM26+'[4]STA ANA'!BM26+[4]BOA!BM26+'[4]STA MARIA'!BM26+'[4]CB I'!BM26+'[4]CB II'!BM26+'[4]CB III'!BM26+[4]IG!BM26+[4]PN!BM26+[4]MJ!BM26+'[4]RB I'!BM26+'[4]SF I'!BM26</f>
        <v>0</v>
      </c>
      <c r="BN26" s="166">
        <f>+[4]SLP!BN26+[4]ROSA!BN26+'[4]STA ANA'!BN26+[4]BOA!BN26+'[4]STA MARIA'!BN26+'[4]CB I'!BN26+'[4]CB II'!BN26+'[4]CB III'!BN26+[4]IG!BN26+[4]PN!BN26+[4]MJ!BN26+'[4]RB I'!BN26+'[4]SÃO FRANCISCO'!BN26</f>
        <v>0</v>
      </c>
      <c r="BO26" s="224">
        <f t="shared" si="10"/>
        <v>-1</v>
      </c>
      <c r="BP26" s="225">
        <f>+[4]SLP!BP26+[4]ROSA!BP26+'[4]STA ANA'!BP26+[4]BOA!BP26+'[4]STA MARIA'!BP26+'[4]CB I'!BP26+'[4]CB II'!BP26+'[4]CB III'!BP26+[4]IG!BP26+[4]PN!BP26+[4]MJ!BP26+'[4]RB I'!BP26+'[4]SF I'!BP26</f>
        <v>3091148.4230053849</v>
      </c>
      <c r="BQ26" s="226">
        <f>+[4]SLP!BQ26+[4]ROSA!BQ26+'[4]STA ANA'!BQ26+[4]BOA!BQ26+'[4]STA MARIA'!BQ26+'[4]CB I'!BQ26+'[4]CB II'!BQ26+'[4]CB III'!BQ26+[4]IG!BQ26+[4]PN!BQ26+[4]MJ!BQ26+'[4]RB I'!BQ26+'[4]SF I'!BQ26</f>
        <v>2711246.2818180225</v>
      </c>
      <c r="BR26" s="226">
        <f>+[4]SLP!BR26+[4]ROSA!BR26+'[4]STA ANA'!BR26+[4]BOA!BR26+'[4]STA MARIA'!BR26+'[4]CB I'!BR26+'[4]CB II'!BR26+'[4]CB III'!BR26+[4]IG!BR26+[4]PN!BR26+[4]MJ!BR26+'[4]RB I'!BR26+'[4]SF I'!BR26</f>
        <v>379902.14118736179</v>
      </c>
      <c r="BS26" s="226">
        <f>+[4]SLP!BS26+[4]ROSA!BS26+'[4]STA ANA'!BS26+[4]BOA!BS26+'[4]STA MARIA'!BS26+'[4]CB I'!BS26+'[4]CB II'!BS26+'[4]CB III'!BS26+[4]IG!BS26+[4]PN!BS26+[4]MJ!BS26+'[4]RB I'!BS26+'[4]SF I'!BS26</f>
        <v>0</v>
      </c>
      <c r="BT26" s="226">
        <f>+[4]SLP!BT26+[4]ROSA!BT26+'[4]STA ANA'!BT26+[4]BOA!BT26+'[4]STA MARIA'!BT26+'[4]CB I'!BT26+'[4]CB II'!BT26+'[4]CB III'!BT26+[4]IG!BT26+[4]PN!BT26+[4]MJ!BT26+'[4]RB I'!BT26+'[4]SF I'!BT26</f>
        <v>0</v>
      </c>
      <c r="BU26" s="166">
        <f>+[4]SLP!BU26+[4]ROSA!BU26+'[4]STA ANA'!BU26+[4]BOA!BU26+'[4]STA MARIA'!BU26+'[4]CB I'!BU26+'[4]CB II'!BU26+'[4]CB III'!BU26+[4]IG!BU26+[4]PN!BU26+[4]MJ!BU26+'[4]RB I'!BU26+'[4]SÃO FRANCISCO'!BU26</f>
        <v>0</v>
      </c>
      <c r="BV26" s="224">
        <f t="shared" si="11"/>
        <v>-1</v>
      </c>
      <c r="BW26" s="225">
        <f>+[4]SLP!BW26+[4]ROSA!BW26+'[4]STA ANA'!BW26+[4]BOA!BW26+'[4]STA MARIA'!BW26+'[4]CB I'!BW26+'[4]CB II'!BW26+'[4]CB III'!BW26+[4]IG!BW26+[4]PN!BW26+[4]MJ!BW26+'[4]RB I'!BW26+'[4]SF I'!BW26</f>
        <v>2818561.2745100707</v>
      </c>
      <c r="BX26" s="226">
        <f>+[4]SLP!BX26+[4]ROSA!BX26+'[4]STA ANA'!BX26+[4]BOA!BX26+'[4]STA MARIA'!BX26+'[4]CB I'!BX26+'[4]CB II'!BX26+'[4]CB III'!BX26+[4]IG!BX26+[4]PN!BX26+[4]MJ!BX26+'[4]RB I'!BX26+'[4]SF I'!BX26</f>
        <v>2472160.0938727832</v>
      </c>
      <c r="BY26" s="226">
        <f>+[4]SLP!BY26+[4]ROSA!BY26+'[4]STA ANA'!BY26+[4]BOA!BY26+'[4]STA MARIA'!BY26+'[4]CB I'!BY26+'[4]CB II'!BY26+'[4]CB III'!BY26+[4]IG!BY26+[4]PN!BY26+[4]MJ!BY26+'[4]RB I'!BY26+'[4]SF I'!BY26</f>
        <v>346401.18063728773</v>
      </c>
      <c r="BZ26" s="226">
        <f>+[4]SLP!BZ26+[4]ROSA!BZ26+'[4]STA ANA'!BZ26+[4]BOA!BZ26+'[4]STA MARIA'!BZ26+'[4]CB I'!BZ26+'[4]CB II'!BZ26+'[4]CB III'!BZ26+[4]IG!BZ26+[4]PN!BZ26+[4]MJ!BZ26+'[4]RB I'!BZ26+'[4]SF I'!BZ26</f>
        <v>0</v>
      </c>
      <c r="CA26" s="226">
        <f>+[4]SLP!CA26+[4]ROSA!CA26+'[4]STA ANA'!CA26+[4]BOA!CA26+'[4]STA MARIA'!CA26+'[4]CB I'!CA26+'[4]CB II'!CA26+'[4]CB III'!CA26+[4]IG!CA26+[4]PN!CA26+[4]MJ!CA26+'[4]RB I'!CA26+'[4]SF I'!CA26</f>
        <v>0</v>
      </c>
      <c r="CB26" s="166">
        <f>+[4]SLP!CB26+[4]ROSA!CB26+'[4]STA ANA'!CB26+[4]BOA!CB26+'[4]STA MARIA'!CB26+'[4]CB I'!CB26+'[4]CB II'!CB26+'[4]CB III'!CB26+[4]IG!CB26+[4]PN!CB26+[4]MJ!CB26+'[4]RB I'!CB26+'[4]SÃO FRANCISCO'!CB26</f>
        <v>0</v>
      </c>
      <c r="CC26" s="224">
        <f t="shared" si="12"/>
        <v>-1</v>
      </c>
      <c r="CD26" s="225">
        <f>+[4]SLP!CD26+[4]ROSA!CD26+'[4]STA ANA'!CD26+[4]BOA!CD26+'[4]STA MARIA'!CD26+'[4]CB I'!CD26+'[4]CB II'!CD26+'[4]CB III'!CD26+[4]IG!CD26+[4]PN!CD26+[4]MJ!CD26+'[4]RB I'!CD26+'[4]SF I'!CD26</f>
        <v>2332595.1032493864</v>
      </c>
      <c r="CE26" s="226">
        <f>+[4]SLP!CE26+[4]ROSA!CE26+'[4]STA ANA'!CE26+[4]BOA!CE26+'[4]STA MARIA'!CE26+'[4]CB I'!CE26+'[4]CB II'!CE26+'[4]CB III'!CE26+[4]IG!CE26+[4]PN!CE26+[4]MJ!CE26+'[4]RB I'!CE26+'[4]SF I'!CE26</f>
        <v>2045919.1650600368</v>
      </c>
      <c r="CF26" s="226">
        <f>+[4]SLP!CF26+[4]ROSA!CF26+'[4]STA ANA'!CF26+[4]BOA!CF26+'[4]STA MARIA'!CF26+'[4]CB I'!CF26+'[4]CB II'!CF26+'[4]CB III'!CF26+[4]IG!CF26+[4]PN!CF26+[4]MJ!CF26+'[4]RB I'!CF26+'[4]SF I'!CF26</f>
        <v>286675.93818934966</v>
      </c>
      <c r="CG26" s="226">
        <f>+[4]SLP!CG26+[4]ROSA!CG26+'[4]STA ANA'!CG26+[4]BOA!CG26+'[4]STA MARIA'!CG26+'[4]CB I'!CG26+'[4]CB II'!CG26+'[4]CB III'!CG26+[4]IG!CG26+[4]PN!CG26+[4]MJ!CG26+'[4]RB I'!CG26+'[4]SF I'!CG26</f>
        <v>0</v>
      </c>
      <c r="CH26" s="226">
        <f>+[4]SLP!CH26+[4]ROSA!CH26+'[4]STA ANA'!CH26+[4]BOA!CH26+'[4]STA MARIA'!CH26+'[4]CB I'!CH26+'[4]CB II'!CH26+'[4]CB III'!CH26+[4]IG!CH26+[4]PN!CH26+[4]MJ!CH26+'[4]RB I'!CH26+'[4]SF I'!CH26</f>
        <v>0</v>
      </c>
      <c r="CI26" s="166">
        <f>+[4]SLP!CI26+[4]ROSA!CI26+'[4]STA ANA'!CI26+[4]BOA!CI26+'[4]STA MARIA'!CI26+'[4]CB I'!CI26+'[4]CB II'!CI26+'[4]CB III'!CI26+[4]IG!CI26+[4]PN!CI26+[4]MJ!CI26+'[4]RB I'!CI26+'[4]SÃO FRANCISCO'!CI26</f>
        <v>0</v>
      </c>
      <c r="CJ26" s="224">
        <f t="shared" si="13"/>
        <v>-1</v>
      </c>
      <c r="CK26" s="225">
        <f>+[4]SLP!CK26+[4]ROSA!CK26+'[4]STA ANA'!CK26+[4]BOA!CK26+'[4]STA MARIA'!CK26+'[4]CB I'!CK26+'[4]CB II'!CK26+'[4]CB III'!CK26+[4]IG!CK26+[4]PN!CK26+[4]MJ!CK26+'[4]RB I'!CK26+'[4]SF I'!CK26</f>
        <v>2098160.5027545686</v>
      </c>
      <c r="CL26" s="226">
        <f>+[4]SLP!CL26+[4]ROSA!CL26+'[4]STA ANA'!CL26+[4]BOA!CL26+'[4]STA MARIA'!CL26+'[4]CB I'!CL26+'[4]CB II'!CL26+'[4]CB III'!CL26+[4]IG!CL26+[4]PN!CL26+[4]MJ!CL26+'[4]RB I'!CL26+'[4]SF I'!CL26</f>
        <v>1840296.5769660322</v>
      </c>
      <c r="CM26" s="226">
        <f>+[4]SLP!CM26+[4]ROSA!CM26+'[4]STA ANA'!CM26+[4]BOA!CM26+'[4]STA MARIA'!CM26+'[4]CB I'!CM26+'[4]CB II'!CM26+'[4]CB III'!CM26+[4]IG!CM26+[4]PN!CM26+[4]MJ!CM26+'[4]RB I'!CM26+'[4]SF I'!CM26</f>
        <v>257863.92578853649</v>
      </c>
      <c r="CN26" s="226">
        <f>+[4]SLP!CN26+[4]ROSA!CN26+'[4]STA ANA'!CN26+[4]BOA!CN26+'[4]STA MARIA'!CN26+'[4]CB I'!CN26+'[4]CB II'!CN26+'[4]CB III'!CN26+[4]IG!CN26+[4]PN!CN26+[4]MJ!CN26+'[4]RB I'!CN26+'[4]SF I'!CN26</f>
        <v>0</v>
      </c>
      <c r="CO26" s="226">
        <f>+[4]SLP!CO26+[4]ROSA!CO26+'[4]STA ANA'!CO26+[4]BOA!CO26+'[4]STA MARIA'!CO26+'[4]CB I'!CO26+'[4]CB II'!CO26+'[4]CB III'!CO26+[4]IG!CO26+[4]PN!CO26+[4]MJ!CO26+'[4]RB I'!CO26+'[4]SF I'!CO26</f>
        <v>0</v>
      </c>
      <c r="CP26" s="166">
        <f>+[4]SLP!CP26+[4]ROSA!CP26+'[4]STA ANA'!CP26+[4]BOA!CP26+'[4]STA MARIA'!CP26+'[4]CB I'!CP26+'[4]CB II'!CP26+'[4]CB III'!CP26+[4]IG!CP26+[4]PN!CP26+[4]MJ!CP26+'[4]RB I'!CP26+'[4]SÃO FRANCISCO'!CP26</f>
        <v>0</v>
      </c>
      <c r="CQ26" s="224">
        <f t="shared" si="14"/>
        <v>-1</v>
      </c>
      <c r="CR26" s="155"/>
      <c r="CS26" s="227" t="e">
        <f t="shared" si="15"/>
        <v>#VALUE!</v>
      </c>
    </row>
    <row r="27" spans="1:97" ht="16" customHeight="1" x14ac:dyDescent="0.2">
      <c r="A27" s="223" t="s">
        <v>51</v>
      </c>
      <c r="B27" s="30">
        <f t="shared" si="0"/>
        <v>1419502.0676256376</v>
      </c>
      <c r="C27" s="31">
        <f t="shared" si="0"/>
        <v>1245045.2635144468</v>
      </c>
      <c r="D27" s="32">
        <f t="shared" si="0"/>
        <v>174456.8041111909</v>
      </c>
      <c r="E27" s="30">
        <f t="shared" si="16"/>
        <v>429701.99657875922</v>
      </c>
      <c r="F27" s="33">
        <f t="shared" si="16"/>
        <v>376891.62119922973</v>
      </c>
      <c r="G27" s="34">
        <f t="shared" si="16"/>
        <v>52810.375379529505</v>
      </c>
      <c r="H27" s="31">
        <f t="shared" si="1"/>
        <v>612994.81395572901</v>
      </c>
      <c r="I27" s="33">
        <f t="shared" si="1"/>
        <v>73426.640622543462</v>
      </c>
      <c r="J27" s="33">
        <f t="shared" si="1"/>
        <v>686421.45457827253</v>
      </c>
      <c r="K27" s="224">
        <f t="shared" si="2"/>
        <v>0.59743603716874905</v>
      </c>
      <c r="L27" s="225">
        <f>+[4]SLP!L27+[4]ROSA!L27+'[4]STA ANA'!L27+[4]BOA!L27+'[4]STA MARIA'!L27+'[4]CB I'!L27+'[4]CB II'!L27+'[4]CB III'!L27+[4]IG!L27+[4]PN!L27+[4]MJ!L27+'[4]RB I'!L27+'[4]SF I'!L27</f>
        <v>35628.19875127999</v>
      </c>
      <c r="M27" s="226">
        <f>+[4]SLP!M27+[4]ROSA!M27+'[4]STA ANA'!M27+[4]BOA!M27+'[4]STA MARIA'!M27+'[4]CB I'!M27+'[4]CB II'!M27+'[4]CB III'!M27+[4]IG!M27+[4]PN!M27+[4]MJ!M27+'[4]RB I'!M27+'[4]SF I'!M27</f>
        <v>31249.493124747682</v>
      </c>
      <c r="N27" s="226">
        <f>+[4]SLP!N27+[4]ROSA!N27+'[4]STA ANA'!N27+[4]BOA!N27+'[4]STA MARIA'!N27+'[4]CB I'!N27+'[4]CB II'!N27+'[4]CB III'!N27+[4]IG!N27+[4]PN!N27+[4]MJ!N27+'[4]RB I'!N27+'[4]SF I'!N27</f>
        <v>4378.7056265323099</v>
      </c>
      <c r="O27" s="226">
        <f>+[4]SLP!O27+[4]ROSA!O27+'[4]STA ANA'!O27+[4]BOA!O27+'[4]STA MARIA'!O27+'[4]CB I'!O27+'[4]CB II'!O27+'[4]CB III'!O27+[4]IG!O27+[4]PN!O27+[4]MJ!O27+'[4]RB I'!O27+'[4]SF I'!O27</f>
        <v>146115.98331406692</v>
      </c>
      <c r="P27" s="226">
        <f>+[4]SLP!P27+[4]ROSA!P27+'[4]STA ANA'!P27+[4]BOA!P27+'[4]STA MARIA'!P27+'[4]CB I'!P27+'[4]CB II'!P27+'[4]CB III'!P27+[4]IG!P27+[4]PN!P27+[4]MJ!P27+'[4]RB I'!P27+'[4]SF I'!P27</f>
        <v>18550.141800543472</v>
      </c>
      <c r="Q27" s="166">
        <f>+[4]SLP!Q27+[4]ROSA!Q27+'[4]STA ANA'!Q27+[4]BOA!Q27+'[4]STA MARIA'!Q27+'[4]CB I'!Q27+'[4]CB II'!Q27+'[4]CB III'!Q27+[4]IG!Q27+[4]PN!Q27+[4]MJ!Q27+'[4]RB I'!Q27+'[4]SF I'!Q27</f>
        <v>164666.12511461039</v>
      </c>
      <c r="R27" s="224">
        <f t="shared" si="3"/>
        <v>3.621792032320875</v>
      </c>
      <c r="S27" s="225">
        <f>+[4]SLP!S27+[4]ROSA!S27+'[4]STA ANA'!S27+[4]BOA!S27+'[4]STA MARIA'!S27+'[4]CB I'!S27+'[4]CB II'!S27+'[4]CB III'!S27+[4]IG!S27+[4]PN!S27+[4]MJ!S27+'[4]RB I'!S27+'[4]SF I'!S27</f>
        <v>128620.2394362397</v>
      </c>
      <c r="T27" s="226">
        <f>+[4]SLP!T27+[4]ROSA!T27+'[4]STA ANA'!T27+[4]BOA!T27+'[4]STA MARIA'!T27+'[4]CB I'!T27+'[4]CB II'!T27+'[4]CB III'!T27+[4]IG!T27+[4]PN!T27+[4]MJ!T27+'[4]RB I'!T27+'[4]SF I'!T27</f>
        <v>112812.81200952583</v>
      </c>
      <c r="U27" s="226">
        <f>+[4]SLP!U27+[4]ROSA!U27+'[4]STA ANA'!U27+[4]BOA!U27+'[4]STA MARIA'!U27+'[4]CB I'!U27+'[4]CB II'!U27+'[4]CB III'!U27+[4]IG!U27+[4]PN!U27+[4]MJ!U27+'[4]RB I'!U27+'[4]SF I'!U27</f>
        <v>15807.427426713855</v>
      </c>
      <c r="V27" s="226">
        <f>+[4]SLP!V27+[4]ROSA!V27+'[4]STA ANA'!V27+[4]BOA!V27+'[4]STA MARIA'!V27+'[4]CB I'!V27+'[4]CB II'!V27+'[4]CB III'!V27+[4]IG!V27+[4]PN!V27+[4]MJ!V27+'[4]RB I'!V27+'[4]SF I'!V27</f>
        <v>128565.516846</v>
      </c>
      <c r="W27" s="226">
        <f>+[4]SLP!W27+[4]ROSA!W27+'[4]STA ANA'!W27+[4]BOA!W27+'[4]STA MARIA'!W27+'[4]CB I'!W27+'[4]CB II'!W27+'[4]CB III'!W27+[4]IG!W27+[4]PN!W27+[4]MJ!W27+'[4]RB I'!W27+'[4]SF I'!W27</f>
        <v>15272.293154000001</v>
      </c>
      <c r="X27" s="166">
        <f>[4]SLP!X27+[4]ROSA!X27+'[4]STA ANA'!X27+[4]BOA!X27+'[4]STA MARIA'!X27+'[4]CB I'!X27+'[4]CB II'!X27+'[4]CB III'!X27+[4]IG!X27+[4]PN!X27+[4]MJ!X27+'[4]RB I'!X27+'[4]SF I'!X27</f>
        <v>143837.81</v>
      </c>
      <c r="Y27" s="224">
        <f t="shared" si="4"/>
        <v>0.11831396544168338</v>
      </c>
      <c r="Z27" s="225">
        <f>+[4]SLP!Z27+[4]ROSA!Z27+'[4]STA ANA'!Z27+[4]BOA!Z27+'[4]STA MARIA'!Z27+'[4]CB I'!Z27+'[4]CB II'!Z27+'[4]CB III'!Z27+[4]IG!Z27+[4]PN!Z27+[4]MJ!Z27+'[4]RB I'!Z27+'[4]SF I'!Z27</f>
        <v>128620.2394362397</v>
      </c>
      <c r="AA27" s="226">
        <f>+[4]SLP!AA27+[4]ROSA!AA27+'[4]STA ANA'!AA27+[4]BOA!AA27+'[4]STA MARIA'!AA27+'[4]CB I'!AA27+'[4]CB II'!AA27+'[4]CB III'!AA27+[4]IG!AA27+[4]PN!AA27+[4]MJ!AA27+'[4]RB I'!AA27+'[4]SF I'!AA27</f>
        <v>112812.81200952583</v>
      </c>
      <c r="AB27" s="226">
        <f>+[4]SLP!AB27+[4]ROSA!AB27+'[4]STA ANA'!AB27+[4]BOA!AB27+'[4]STA MARIA'!AB27+'[4]CB I'!AB27+'[4]CB II'!AB27+'[4]CB III'!AB27+[4]IG!AB27+[4]PN!AB27+[4]MJ!AB27+'[4]RB I'!AB27+'[4]SF I'!AB27</f>
        <v>15807.427426713855</v>
      </c>
      <c r="AC27" s="226">
        <f>+[4]SLP!AC27+[4]ROSA!AC27+'[4]STA ANA'!AC27+[4]BOA!AC27+'[4]STA MARIA'!AC27+'[4]CB I'!AC27+'[4]CB II'!AC27+'[4]CB III'!AC27+[4]IG!AC27+[4]PN!AC27+[4]MJ!AC27+'[4]RB I'!AC27+'[4]SF I'!AC27</f>
        <v>196229.42439399994</v>
      </c>
      <c r="AD27" s="226">
        <f>+[4]SLP!AD27+[4]ROSA!AD27+'[4]STA ANA'!AD27+[4]BOA!AD27+'[4]STA MARIA'!AD27+'[4]CB I'!AD27+'[4]CB II'!AD27+'[4]CB III'!AD27+[4]IG!AD27+[4]PN!AD27+[4]MJ!AD27+'[4]RB I'!AD27+'[4]SF I'!AD27</f>
        <v>24869.015605999997</v>
      </c>
      <c r="AE27" s="166">
        <f>+[4]SLP!AE27+[4]ROSA!AE27+'[4]STA ANA'!AE27+[4]BOA!AE27+'[4]STA MARIA'!AE27+'[4]CB I'!AE27+'[4]CB II'!AE27+'[4]CB III'!AE27+[4]IG!AE27+[4]PN!AE27+[4]MJ!AE27+'[4]RB I'!AE27+'[4]SF I'!AE27</f>
        <v>221098.43999999997</v>
      </c>
      <c r="AF27" s="224">
        <f t="shared" si="5"/>
        <v>0.71900193133759527</v>
      </c>
      <c r="AG27" s="225">
        <f>+[4]SLP!AG27+[4]ROSA!AG27+'[4]STA ANA'!AG27+[4]BOA!AG27+'[4]STA MARIA'!AG27+'[4]CB I'!AG27+'[4]CB II'!AG27+'[4]CB III'!AG27+[4]IG!AG27+[4]PN!AG27+[4]MJ!AG27+'[4]RB I'!AG27+'[4]SF I'!AG27</f>
        <v>136833.31895499985</v>
      </c>
      <c r="AH27" s="226">
        <f>+[4]SLP!AH27+[4]ROSA!AH27+'[4]STA ANA'!AH27+[4]BOA!AH27+'[4]STA MARIA'!AH27+'[4]CB I'!AH27+'[4]CB II'!AH27+'[4]CB III'!AH27+[4]IG!AH27+[4]PN!AH27+[4]MJ!AH27+'[4]RB I'!AH27+'[4]SF I'!AH27</f>
        <v>120016.5040554304</v>
      </c>
      <c r="AI27" s="226">
        <f>+[4]SLP!AI27+[4]ROSA!AI27+'[4]STA ANA'!AI27+[4]BOA!AI27+'[4]STA MARIA'!AI27+'[4]CB I'!AI27+'[4]CB II'!AI27+'[4]CB III'!AI27+[4]IG!AI27+[4]PN!AI27+[4]MJ!AI27+'[4]RB I'!AI27+'[4]SF I'!AI27</f>
        <v>16816.814899569486</v>
      </c>
      <c r="AJ27" s="226">
        <f>+[4]SLP!AJ27+[4]ROSA!AJ27+'[4]STA ANA'!AJ27+[4]BOA!AJ27+'[4]STA MARIA'!AJ27+'[4]CB I'!AJ27+'[4]CB II'!AJ27+'[4]CB III'!AJ27+[4]IG!AJ27+[4]PN!AJ27+[4]MJ!AJ27+'[4]RB I'!AJ27+'[4]SF I'!AJ27</f>
        <v>142083.88940166216</v>
      </c>
      <c r="AK27" s="226">
        <f>+[4]SLP!AK27+[4]ROSA!AK27+'[4]STA ANA'!AK27+[4]BOA!AK27+'[4]STA MARIA'!AK27+'[4]CB I'!AK27+'[4]CB II'!AK27+'[4]CB III'!AK27+[4]IG!AK27+[4]PN!AK27+[4]MJ!AK27+'[4]RB I'!AK27+'[4]SF I'!AK27</f>
        <v>14735.190062</v>
      </c>
      <c r="AL27" s="166">
        <f>+[4]SLP!AL27+[4]ROSA!AL27+'[4]STA ANA'!AL27+[4]BOA!AL27+'[4]STA MARIA'!AL27+'[4]CB I'!AL27+'[4]CB II'!AL27+'[4]CB III'!AL27+[4]IG!AL27+[4]PN!AL27+[4]MJ!AL27+'[4]RB I'!AL27+'[4]SF I'!AL27</f>
        <v>156819.07946366217</v>
      </c>
      <c r="AM27" s="224">
        <f t="shared" si="6"/>
        <v>0.14605916644640482</v>
      </c>
      <c r="AN27" s="225">
        <f>+[4]SLP!AN27+[4]ROSA!AN27+'[4]STA ANA'!AN27+[4]BOA!AN27+'[4]STA MARIA'!AN27+'[4]CB I'!AN27+'[4]CB II'!AN27+'[4]CB III'!AN27+[4]IG!AN27+[4]PN!AN27+[4]MJ!AN27+'[4]RB I'!AN27+'[4]SF I'!AN27</f>
        <v>53600.242754999977</v>
      </c>
      <c r="AO27" s="226">
        <f>+[4]SLP!AO27+[4]ROSA!AO27+'[4]STA ANA'!AO27+[4]BOA!AO27+'[4]STA MARIA'!AO27+'[4]CB I'!AO27+'[4]CB II'!AO27+'[4]CB III'!AO27+[4]IG!AO27+[4]PN!AO27+[4]MJ!AO27+'[4]RB I'!AO27+'[4]SF I'!AO27</f>
        <v>47012.772920410469</v>
      </c>
      <c r="AP27" s="226">
        <f>+[4]SLP!AP27+[4]ROSA!AP27+'[4]STA ANA'!AP27+[4]BOA!AP27+'[4]STA MARIA'!AP27+'[4]CB I'!AP27+'[4]CB II'!AP27+'[4]CB III'!AP27+[4]IG!AP27+[4]PN!AP27+[4]MJ!AP27+'[4]RB I'!AP27+'[4]SF I'!AP27</f>
        <v>6587.4698345894958</v>
      </c>
      <c r="AQ27" s="226">
        <f>+[4]SLP!AQ27+[4]ROSA!AQ27+'[4]STA ANA'!AQ27+[4]BOA!AQ27+'[4]STA MARIA'!AQ27+'[4]CB I'!AQ27+'[4]CB II'!AQ27+'[4]CB III'!AQ27+[4]IG!AQ27+[4]PN!AQ27+[4]MJ!AQ27+'[4]RB I'!AQ27+'[4]SF I'!AQ27</f>
        <v>0</v>
      </c>
      <c r="AR27" s="226">
        <f>+[4]SLP!AR27+[4]ROSA!AR27+'[4]STA ANA'!AR27+[4]BOA!AR27+'[4]STA MARIA'!AR27+'[4]CB I'!AR27+'[4]CB II'!AR27+'[4]CB III'!AR27+[4]IG!AR27+[4]PN!AR27+[4]MJ!AR27+'[4]RB I'!AR27+'[4]SF I'!AR27</f>
        <v>0</v>
      </c>
      <c r="AS27" s="166">
        <f>+[4]SLP!AS27+[4]ROSA!AS27+'[4]STA ANA'!AS27+[4]BOA!AS27+'[4]STA MARIA'!AS27+'[4]CB I'!AS27+'[4]CB II'!AS27+'[4]CB III'!AS27+[4]IG!AS27+[4]PN!AS27+[4]MJ!AS27+'[4]RB I'!AS27+'[4]SÃO FRANCISCO'!AS27</f>
        <v>0</v>
      </c>
      <c r="AT27" s="224">
        <f t="shared" si="7"/>
        <v>-1</v>
      </c>
      <c r="AU27" s="225">
        <f>+[4]SLP!AU27+[4]ROSA!AU27+'[4]STA ANA'!AU27+[4]BOA!AU27+'[4]STA MARIA'!AU27+'[4]CB I'!AU27+'[4]CB II'!AU27+'[4]CB III'!AU27+[4]IG!AU27+[4]PN!AU27+[4]MJ!AU27+'[4]RB I'!AU27+'[4]SF I'!AU27</f>
        <v>172461.51770627979</v>
      </c>
      <c r="AV27" s="226">
        <f>+[4]SLP!AV27+[4]ROSA!AV27+'[4]STA ANA'!AV27+[4]BOA!AV27+'[4]STA MARIA'!AV27+'[4]CB I'!AV27+'[4]CB II'!AV27+'[4]CB III'!AV27+[4]IG!AV27+[4]PN!AV27+[4]MJ!AV27+'[4]RB I'!AV27+'[4]SF I'!AV27</f>
        <v>151265.997180178</v>
      </c>
      <c r="AW27" s="226">
        <f>+[4]SLP!AW27+[4]ROSA!AW27+'[4]STA ANA'!AW27+[4]BOA!AW27+'[4]STA MARIA'!AW27+'[4]CB I'!AW27+'[4]CB II'!AW27+'[4]CB III'!AW27+[4]IG!AW27+[4]PN!AW27+[4]MJ!AW27+'[4]RB I'!AW27+'[4]SF I'!AW27</f>
        <v>21195.520526101787</v>
      </c>
      <c r="AX27" s="226">
        <f>+[4]SLP!AX27+[4]ROSA!AX27+'[4]STA ANA'!AX27+[4]BOA!AX27+'[4]STA MARIA'!AX27+'[4]CB I'!AX27+'[4]CB II'!AX27+'[4]CB III'!AX27+[4]IG!AX27+[4]PN!AX27+[4]MJ!AX27+'[4]RB I'!AX27+'[4]SF I'!AX27</f>
        <v>0</v>
      </c>
      <c r="AY27" s="226">
        <f>+[4]SLP!AY27+[4]ROSA!AY27+'[4]STA ANA'!AY27+[4]BOA!AY27+'[4]STA MARIA'!AY27+'[4]CB I'!AY27+'[4]CB II'!AY27+'[4]CB III'!AY27+[4]IG!AY27+[4]PN!AY27+[4]MJ!AY27+'[4]RB I'!AY27+'[4]SF I'!AY27</f>
        <v>0</v>
      </c>
      <c r="AZ27" s="166">
        <f>+[4]SLP!AZ27+[4]ROSA!AZ27+'[4]STA ANA'!AZ27+[4]BOA!AZ27+'[4]STA MARIA'!AZ27+'[4]CB I'!AZ27+'[4]CB II'!AZ27+[4]IG!AZ27+[4]PN!AZ27+[4]MJ!AZ27+'[4]RB I'!AZ27+'[4]SÃO FRANCISCO'!AZ27</f>
        <v>0</v>
      </c>
      <c r="BA27" s="224">
        <f t="shared" si="8"/>
        <v>-1</v>
      </c>
      <c r="BB27" s="225">
        <f>+[4]SLP!BB27+[4]ROSA!BB27+'[4]STA ANA'!BB27+[4]BOA!BB27+'[4]STA MARIA'!BB27+'[4]CB I'!BB27+'[4]CB II'!BB27+'[4]CB III'!BB27+[4]IG!BB27+[4]PN!BB27+[4]MJ!BB27+'[4]RB I'!BB27+'[4]SF I'!BB27</f>
        <v>89228.44150627988</v>
      </c>
      <c r="BC27" s="226">
        <f>+[4]SLP!BC27+[4]ROSA!BC27+'[4]STA ANA'!BC27+[4]BOA!BC27+'[4]STA MARIA'!BC27+'[4]CB I'!BC27+'[4]CB II'!BC27+'[4]CB III'!BC27+[4]IG!BC27+[4]PN!BC27+[4]MJ!BC27+'[4]RB I'!BC27+'[4]SF I'!BC27</f>
        <v>78262.266045158089</v>
      </c>
      <c r="BD27" s="226">
        <f>+[4]SLP!BD27+[4]ROSA!BD27+'[4]STA ANA'!BD27+[4]BOA!BD27+'[4]STA MARIA'!BD27+'[4]CB I'!BD27+'[4]CB II'!BD27+'[4]CB III'!BD27+[4]IG!BD27+[4]PN!BD27+[4]MJ!BD27+'[4]RB I'!BD27+'[4]SF I'!BD27</f>
        <v>10966.175461121798</v>
      </c>
      <c r="BE27" s="226">
        <f>+[4]SLP!BE27+[4]ROSA!BE27+'[4]STA ANA'!BE27+[4]BOA!BE27+'[4]STA MARIA'!BE27+'[4]CB I'!BE27+'[4]CB II'!BE27+'[4]CB III'!BE27+[4]IG!BE27+[4]PN!BE27+[4]MJ!BE27+'[4]RB I'!BE27+'[4]SF I'!BE27</f>
        <v>0</v>
      </c>
      <c r="BF27" s="226">
        <f>+[4]SLP!BF27+[4]ROSA!BF27+'[4]STA ANA'!BF27+[4]BOA!BF27+'[4]STA MARIA'!BF27+'[4]CB I'!BF27+'[4]CB II'!BF27+'[4]CB III'!BF27+[4]IG!BF27+[4]PN!BF27+[4]MJ!BF27+'[4]RB I'!BF27+'[4]SF I'!BF27</f>
        <v>0</v>
      </c>
      <c r="BG27" s="166">
        <f>+[4]SLP!BG27+[4]ROSA!BG27+'[4]STA ANA'!BG27+[4]BOA!BG27+'[4]STA MARIA'!BG27+'[4]CB I'!BG27+'[4]CB II'!BG27+'[4]CB III'!BG27+[4]IG!BG27+[4]PN!BG27+[4]MJ!BG27+'[4]RB I'!BG27+'[4]SÃO FRANCISCO'!BG27</f>
        <v>0</v>
      </c>
      <c r="BH27" s="224">
        <f t="shared" si="9"/>
        <v>-1</v>
      </c>
      <c r="BI27" s="225">
        <f>+[4]SLP!BI27+[4]ROSA!BI27+'[4]STA ANA'!BI27+[4]BOA!BI27+'[4]STA MARIA'!BI27+'[4]CB I'!BI27+'[4]CB II'!BI27+'[4]CB III'!BI27+[4]IG!BI27+[4]PN!BI27+[4]MJ!BI27+'[4]RB I'!BI27+'[4]SF I'!BI27</f>
        <v>172461.51770627979</v>
      </c>
      <c r="BJ27" s="226">
        <f>+[4]SLP!BJ27+[4]ROSA!BJ27+'[4]STA ANA'!BJ27+[4]BOA!BJ27+'[4]STA MARIA'!BJ27+'[4]CB I'!BJ27+'[4]CB II'!BJ27+'[4]CB III'!BJ27+[4]IG!BJ27+[4]PN!BJ27+[4]MJ!BJ27+'[4]RB I'!BJ27+'[4]SF I'!BJ27</f>
        <v>151265.997180178</v>
      </c>
      <c r="BK27" s="226">
        <f>+[4]SLP!BK27+[4]ROSA!BK27+'[4]STA ANA'!BK27+[4]BOA!BK27+'[4]STA MARIA'!BK27+'[4]CB I'!BK27+'[4]CB II'!BK27+'[4]CB III'!BK27+[4]IG!BK27+[4]PN!BK27+[4]MJ!BK27+'[4]RB I'!BK27+'[4]SF I'!BK27</f>
        <v>21195.520526101787</v>
      </c>
      <c r="BL27" s="226">
        <f>+[4]SLP!BL27+[4]ROSA!BL27+'[4]STA ANA'!BL27+[4]BOA!BL27+'[4]STA MARIA'!BL27+'[4]CB I'!BL27+'[4]CB II'!BL27+'[4]CB III'!BL27+[4]IG!BL27+[4]PN!BL27+[4]MJ!BL27+'[4]RB I'!BL27+'[4]SF I'!BL27</f>
        <v>0</v>
      </c>
      <c r="BM27" s="226">
        <f>+[4]SLP!BM27+[4]ROSA!BM27+'[4]STA ANA'!BM27+[4]BOA!BM27+'[4]STA MARIA'!BM27+'[4]CB I'!BM27+'[4]CB II'!BM27+'[4]CB III'!BM27+[4]IG!BM27+[4]PN!BM27+[4]MJ!BM27+'[4]RB I'!BM27+'[4]SF I'!BM27</f>
        <v>0</v>
      </c>
      <c r="BN27" s="166">
        <f>+[4]SLP!BN27+[4]ROSA!BN27+'[4]STA ANA'!BN27+[4]BOA!BN27+'[4]STA MARIA'!BN27+'[4]CB I'!BN27+'[4]CB II'!BN27+'[4]CB III'!BN27+[4]IG!BN27+[4]PN!BN27+[4]MJ!BN27+'[4]RB I'!BN27+'[4]SÃO FRANCISCO'!BN27</f>
        <v>0</v>
      </c>
      <c r="BO27" s="224">
        <f t="shared" si="10"/>
        <v>-1</v>
      </c>
      <c r="BP27" s="225">
        <f>+[4]SLP!BP27+[4]ROSA!BP27+'[4]STA ANA'!BP27+[4]BOA!BP27+'[4]STA MARIA'!BP27+'[4]CB I'!BP27+'[4]CB II'!BP27+'[4]CB III'!BP27+[4]IG!BP27+[4]PN!BP27+[4]MJ!BP27+'[4]RB I'!BP27+'[4]SF I'!BP27</f>
        <v>172461.51770627979</v>
      </c>
      <c r="BQ27" s="226">
        <f>+[4]SLP!BQ27+[4]ROSA!BQ27+'[4]STA ANA'!BQ27+[4]BOA!BQ27+'[4]STA MARIA'!BQ27+'[4]CB I'!BQ27+'[4]CB II'!BQ27+'[4]CB III'!BQ27+[4]IG!BQ27+[4]PN!BQ27+[4]MJ!BQ27+'[4]RB I'!BQ27+'[4]SF I'!BQ27</f>
        <v>151265.997180178</v>
      </c>
      <c r="BR27" s="226">
        <f>+[4]SLP!BR27+[4]ROSA!BR27+'[4]STA ANA'!BR27+[4]BOA!BR27+'[4]STA MARIA'!BR27+'[4]CB I'!BR27+'[4]CB II'!BR27+'[4]CB III'!BR27+[4]IG!BR27+[4]PN!BR27+[4]MJ!BR27+'[4]RB I'!BR27+'[4]SF I'!BR27</f>
        <v>21195.520526101787</v>
      </c>
      <c r="BS27" s="226">
        <f>+[4]SLP!BS27+[4]ROSA!BS27+'[4]STA ANA'!BS27+[4]BOA!BS27+'[4]STA MARIA'!BS27+'[4]CB I'!BS27+'[4]CB II'!BS27+'[4]CB III'!BS27+[4]IG!BS27+[4]PN!BS27+[4]MJ!BS27+'[4]RB I'!BS27+'[4]SF I'!BS27</f>
        <v>0</v>
      </c>
      <c r="BT27" s="226">
        <f>+[4]SLP!BT27+[4]ROSA!BT27+'[4]STA ANA'!BT27+[4]BOA!BT27+'[4]STA MARIA'!BT27+'[4]CB I'!BT27+'[4]CB II'!BT27+'[4]CB III'!BT27+[4]IG!BT27+[4]PN!BT27+[4]MJ!BT27+'[4]RB I'!BT27+'[4]SF I'!BT27</f>
        <v>0</v>
      </c>
      <c r="BU27" s="166">
        <f>+[4]SLP!BU27+[4]ROSA!BU27+'[4]STA ANA'!BU27+[4]BOA!BU27+'[4]STA MARIA'!BU27+'[4]CB I'!BU27+'[4]CB II'!BU27+'[4]CB III'!BU27+[4]IG!BU27+[4]PN!BU27+[4]MJ!BU27+'[4]RB I'!BU27+'[4]SÃO FRANCISCO'!BU27</f>
        <v>0</v>
      </c>
      <c r="BV27" s="224">
        <f t="shared" si="11"/>
        <v>-1</v>
      </c>
      <c r="BW27" s="225">
        <f>+[4]SLP!BW27+[4]ROSA!BW27+'[4]STA ANA'!BW27+[4]BOA!BW27+'[4]STA MARIA'!BW27+'[4]CB I'!BW27+'[4]CB II'!BW27+'[4]CB III'!BW27+[4]IG!BW27+[4]PN!BW27+[4]MJ!BW27+'[4]RB I'!BW27+'[4]SF I'!BW27</f>
        <v>132266.66883675969</v>
      </c>
      <c r="BX27" s="226">
        <f>+[4]SLP!BX27+[4]ROSA!BX27+'[4]STA ANA'!BX27+[4]BOA!BX27+'[4]STA MARIA'!BX27+'[4]CB I'!BX27+'[4]CB II'!BX27+'[4]CB III'!BX27+[4]IG!BX27+[4]PN!BX27+[4]MJ!BX27+'[4]RB I'!BX27+'[4]SF I'!BX27</f>
        <v>116011.09523672193</v>
      </c>
      <c r="BY27" s="226">
        <f>+[4]SLP!BY27+[4]ROSA!BY27+'[4]STA ANA'!BY27+[4]BOA!BY27+'[4]STA MARIA'!BY27+'[4]CB I'!BY27+'[4]CB II'!BY27+'[4]CB III'!BY27+[4]IG!BY27+[4]PN!BY27+[4]MJ!BY27+'[4]RB I'!BY27+'[4]SF I'!BY27</f>
        <v>16255.573600037766</v>
      </c>
      <c r="BZ27" s="226">
        <f>+[4]SLP!BZ27+[4]ROSA!BZ27+'[4]STA ANA'!BZ27+[4]BOA!BZ27+'[4]STA MARIA'!BZ27+'[4]CB I'!BZ27+'[4]CB II'!BZ27+'[4]CB III'!BZ27+[4]IG!BZ27+[4]PN!BZ27+[4]MJ!BZ27+'[4]RB I'!BZ27+'[4]SF I'!BZ27</f>
        <v>0</v>
      </c>
      <c r="CA27" s="226">
        <f>+[4]SLP!CA27+[4]ROSA!CA27+'[4]STA ANA'!CA27+[4]BOA!CA27+'[4]STA MARIA'!CA27+'[4]CB I'!CA27+'[4]CB II'!CA27+'[4]CB III'!CA27+[4]IG!CA27+[4]PN!CA27+[4]MJ!CA27+'[4]RB I'!CA27+'[4]SF I'!CA27</f>
        <v>0</v>
      </c>
      <c r="CB27" s="166">
        <f>+[4]SLP!CB27+[4]ROSA!CB27+'[4]STA ANA'!CB27+[4]BOA!CB27+'[4]STA MARIA'!CB27+'[4]CB I'!CB27+'[4]CB II'!CB27+'[4]CB III'!CB27+[4]IG!CB27+[4]PN!CB27+[4]MJ!CB27+'[4]RB I'!CB27+'[4]SÃO FRANCISCO'!CB27</f>
        <v>0</v>
      </c>
      <c r="CC27" s="224">
        <f t="shared" si="12"/>
        <v>-1</v>
      </c>
      <c r="CD27" s="225">
        <f>+[4]SLP!CD27+[4]ROSA!CD27+'[4]STA ANA'!CD27+[4]BOA!CD27+'[4]STA MARIA'!CD27+'[4]CB I'!CD27+'[4]CB II'!CD27+'[4]CB III'!CD27+[4]IG!CD27+[4]PN!CD27+[4]MJ!CD27+'[4]RB I'!CD27+'[4]SF I'!CD27</f>
        <v>98660.082414999779</v>
      </c>
      <c r="CE27" s="226">
        <f>+[4]SLP!CE27+[4]ROSA!CE27+'[4]STA ANA'!CE27+[4]BOA!CE27+'[4]STA MARIA'!CE27+'[4]CB I'!CE27+'[4]CB II'!CE27+'[4]CB III'!CE27+[4]IG!CE27+[4]PN!CE27+[4]MJ!CE27+'[4]RB I'!CE27+'[4]SF I'!CE27</f>
        <v>86534.758286196302</v>
      </c>
      <c r="CF27" s="226">
        <f>+[4]SLP!CF27+[4]ROSA!CF27+'[4]STA ANA'!CF27+[4]BOA!CF27+'[4]STA MARIA'!CF27+'[4]CB I'!CF27+'[4]CB II'!CF27+'[4]CB III'!CF27+[4]IG!CF27+[4]PN!CF27+[4]MJ!CF27+'[4]RB I'!CF27+'[4]SF I'!CF27</f>
        <v>12125.324128803471</v>
      </c>
      <c r="CG27" s="226">
        <f>+[4]SLP!CG27+[4]ROSA!CG27+'[4]STA ANA'!CG27+[4]BOA!CG27+'[4]STA MARIA'!CG27+'[4]CB I'!CG27+'[4]CB II'!CG27+'[4]CB III'!CG27+[4]IG!CG27+[4]PN!CG27+[4]MJ!CG27+'[4]RB I'!CG27+'[4]SF I'!CG27</f>
        <v>0</v>
      </c>
      <c r="CH27" s="226">
        <f>+[4]SLP!CH27+[4]ROSA!CH27+'[4]STA ANA'!CH27+[4]BOA!CH27+'[4]STA MARIA'!CH27+'[4]CB I'!CH27+'[4]CB II'!CH27+'[4]CB III'!CH27+[4]IG!CH27+[4]PN!CH27+[4]MJ!CH27+'[4]RB I'!CH27+'[4]SF I'!CH27</f>
        <v>0</v>
      </c>
      <c r="CI27" s="166">
        <f>+[4]SLP!CI27+[4]ROSA!CI27+'[4]STA ANA'!CI27+[4]BOA!CI27+'[4]STA MARIA'!CI27+'[4]CB I'!CI27+'[4]CB II'!CI27+'[4]CB III'!CI27+[4]IG!CI27+[4]PN!CI27+[4]MJ!CI27+'[4]RB I'!CI27+'[4]SÃO FRANCISCO'!CI27</f>
        <v>0</v>
      </c>
      <c r="CJ27" s="224">
        <f t="shared" si="13"/>
        <v>-1</v>
      </c>
      <c r="CK27" s="225">
        <f>+[4]SLP!CK27+[4]ROSA!CK27+'[4]STA ANA'!CK27+[4]BOA!CK27+'[4]STA MARIA'!CK27+'[4]CB I'!CK27+'[4]CB II'!CK27+'[4]CB III'!CK27+[4]IG!CK27+[4]PN!CK27+[4]MJ!CK27+'[4]RB I'!CK27+'[4]SF I'!CK27</f>
        <v>98660.082414999779</v>
      </c>
      <c r="CL27" s="226">
        <f>+[4]SLP!CL27+[4]ROSA!CL27+'[4]STA ANA'!CL27+[4]BOA!CL27+'[4]STA MARIA'!CL27+'[4]CB I'!CL27+'[4]CB II'!CL27+'[4]CB III'!CL27+[4]IG!CL27+[4]PN!CL27+[4]MJ!CL27+'[4]RB I'!CL27+'[4]SF I'!CL27</f>
        <v>86534.758286196302</v>
      </c>
      <c r="CM27" s="226">
        <f>+[4]SLP!CM27+[4]ROSA!CM27+'[4]STA ANA'!CM27+[4]BOA!CM27+'[4]STA MARIA'!CM27+'[4]CB I'!CM27+'[4]CB II'!CM27+'[4]CB III'!CM27+[4]IG!CM27+[4]PN!CM27+[4]MJ!CM27+'[4]RB I'!CM27+'[4]SF I'!CM27</f>
        <v>12125.324128803471</v>
      </c>
      <c r="CN27" s="226">
        <f>+[4]SLP!CN27+[4]ROSA!CN27+'[4]STA ANA'!CN27+[4]BOA!CN27+'[4]STA MARIA'!CN27+'[4]CB I'!CN27+'[4]CB II'!CN27+'[4]CB III'!CN27+[4]IG!CN27+[4]PN!CN27+[4]MJ!CN27+'[4]RB I'!CN27+'[4]SF I'!CN27</f>
        <v>0</v>
      </c>
      <c r="CO27" s="226">
        <f>+[4]SLP!CO27+[4]ROSA!CO27+'[4]STA ANA'!CO27+[4]BOA!CO27+'[4]STA MARIA'!CO27+'[4]CB I'!CO27+'[4]CB II'!CO27+'[4]CB III'!CO27+[4]IG!CO27+[4]PN!CO27+[4]MJ!CO27+'[4]RB I'!CO27+'[4]SF I'!CO27</f>
        <v>0</v>
      </c>
      <c r="CP27" s="166">
        <f>+[4]SLP!CP27+[4]ROSA!CP27+'[4]STA ANA'!CP27+[4]BOA!CP27+'[4]STA MARIA'!CP27+'[4]CB I'!CP27+'[4]CB II'!CP27+'[4]CB III'!CP27+[4]IG!CP27+[4]PN!CP27+[4]MJ!CP27+'[4]RB I'!CP27+'[4]SÃO FRANCISCO'!CP27</f>
        <v>0</v>
      </c>
      <c r="CQ27" s="224">
        <f t="shared" si="14"/>
        <v>-1</v>
      </c>
      <c r="CR27" s="155"/>
      <c r="CS27" s="227" t="e">
        <f t="shared" si="15"/>
        <v>#VALUE!</v>
      </c>
    </row>
    <row r="28" spans="1:97" ht="16" customHeight="1" x14ac:dyDescent="0.2">
      <c r="A28" s="223" t="s">
        <v>52</v>
      </c>
      <c r="B28" s="30">
        <f t="shared" si="0"/>
        <v>1470729.7998449986</v>
      </c>
      <c r="C28" s="31">
        <f t="shared" si="0"/>
        <v>1289977.1074440484</v>
      </c>
      <c r="D28" s="32">
        <f t="shared" si="0"/>
        <v>180752.6924009503</v>
      </c>
      <c r="E28" s="30">
        <f t="shared" si="16"/>
        <v>506326.90145499981</v>
      </c>
      <c r="F28" s="33">
        <f t="shared" si="16"/>
        <v>444099.32526618027</v>
      </c>
      <c r="G28" s="34">
        <f t="shared" si="16"/>
        <v>62227.576188819454</v>
      </c>
      <c r="H28" s="31">
        <f t="shared" si="1"/>
        <v>430878.41581912781</v>
      </c>
      <c r="I28" s="33">
        <f t="shared" si="1"/>
        <v>48491.597290408303</v>
      </c>
      <c r="J28" s="33">
        <f t="shared" si="1"/>
        <v>479370.01310953614</v>
      </c>
      <c r="K28" s="224">
        <f t="shared" si="2"/>
        <v>-5.3240087121579682E-2</v>
      </c>
      <c r="L28" s="225">
        <f>+[4]SLP!L28+[4]ROSA!L28+'[4]STA ANA'!L28+[4]BOA!L28+'[4]STA MARIA'!L28+'[4]CB I'!L28+'[4]CB II'!L28+'[4]CB III'!L28+[4]IG!L28+[4]PN!L28+[4]MJ!L28+'[4]RB I'!L28+'[4]SF I'!L28</f>
        <v>107366.68451999998</v>
      </c>
      <c r="M28" s="226">
        <f>+[4]SLP!M28+[4]ROSA!M28+'[4]STA ANA'!M28+[4]BOA!M28+'[4]STA MARIA'!M28+'[4]CB I'!M28+'[4]CB II'!M28+'[4]CB III'!M28+[4]IG!M28+[4]PN!M28+[4]MJ!M28+'[4]RB I'!M28+'[4]SF I'!M28</f>
        <v>94171.318992491986</v>
      </c>
      <c r="N28" s="226">
        <f>+[4]SLP!N28+[4]ROSA!N28+'[4]STA ANA'!N28+[4]BOA!N28+'[4]STA MARIA'!N28+'[4]CB I'!N28+'[4]CB II'!N28+'[4]CB III'!N28+[4]IG!N28+[4]PN!N28+[4]MJ!N28+'[4]RB I'!N28+'[4]SF I'!N28</f>
        <v>13195.365527507995</v>
      </c>
      <c r="O28" s="226">
        <f>+[4]SLP!O28+[4]ROSA!O28+'[4]STA ANA'!O28+[4]BOA!O28+'[4]STA MARIA'!O28+'[4]CB I'!O28+'[4]CB II'!O28+'[4]CB III'!O28+[4]IG!O28+[4]PN!O28+[4]MJ!O28+'[4]RB I'!O28+'[4]SF I'!O28</f>
        <v>136792.60749559168</v>
      </c>
      <c r="P28" s="226">
        <f>+[4]SLP!P28+[4]ROSA!P28+'[4]STA ANA'!P28+[4]BOA!P28+'[4]STA MARIA'!P28+'[4]CB I'!P28+'[4]CB II'!P28+'[4]CB III'!P28+[4]IG!P28+[4]PN!P28+[4]MJ!P28+'[4]RB I'!P28+'[4]SF I'!P28</f>
        <v>17073.862504408306</v>
      </c>
      <c r="Q28" s="166">
        <f>+[4]SLP!Q28+[4]ROSA!Q28+'[4]STA ANA'!Q28+[4]BOA!Q28+'[4]STA MARIA'!Q28+'[4]CB I'!Q28+'[4]CB II'!Q28+'[4]CB III'!Q28+[4]IG!Q28+[4]PN!Q28+[4]MJ!Q28+'[4]RB I'!Q28+'[4]SF I'!Q28</f>
        <v>153866.47000000003</v>
      </c>
      <c r="R28" s="224">
        <f t="shared" si="3"/>
        <v>0.43309324198548937</v>
      </c>
      <c r="S28" s="225">
        <f>+[4]SLP!S28+[4]ROSA!S28+'[4]STA ANA'!S28+[4]BOA!S28+'[4]STA MARIA'!S28+'[4]CB I'!S28+'[4]CB II'!S28+'[4]CB III'!S28+[4]IG!S28+[4]PN!S28+[4]MJ!S28+'[4]RB I'!S28+'[4]SF I'!S28</f>
        <v>107366.68451999998</v>
      </c>
      <c r="T28" s="226">
        <f>+[4]SLP!T28+[4]ROSA!T28+'[4]STA ANA'!T28+[4]BOA!T28+'[4]STA MARIA'!T28+'[4]CB I'!T28+'[4]CB II'!T28+'[4]CB III'!T28+[4]IG!T28+[4]PN!T28+[4]MJ!T28+'[4]RB I'!T28+'[4]SF I'!T28</f>
        <v>94171.318992491986</v>
      </c>
      <c r="U28" s="226">
        <f>+[4]SLP!U28+[4]ROSA!U28+'[4]STA ANA'!U28+[4]BOA!U28+'[4]STA MARIA'!U28+'[4]CB I'!U28+'[4]CB II'!U28+'[4]CB III'!U28+[4]IG!U28+[4]PN!U28+[4]MJ!U28+'[4]RB I'!U28+'[4]SF I'!U28</f>
        <v>13195.365527507995</v>
      </c>
      <c r="V28" s="226">
        <f>+[4]SLP!V28+[4]ROSA!V28+'[4]STA ANA'!V28+[4]BOA!V28+'[4]STA MARIA'!V28+'[4]CB I'!V28+'[4]CB II'!V28+'[4]CB III'!V28+[4]IG!V28+[4]PN!V28+[4]MJ!V28+'[4]RB I'!V28+'[4]SF I'!V28</f>
        <v>125490.18630624394</v>
      </c>
      <c r="W28" s="226">
        <f>+[4]SLP!W28+[4]ROSA!W28+'[4]STA ANA'!W28+[4]BOA!W28+'[4]STA MARIA'!W28+'[4]CB I'!W28+'[4]CB II'!W28+'[4]CB III'!W28+[4]IG!W28+[4]PN!W28+[4]MJ!W28+'[4]RB I'!W28+'[4]SF I'!W28</f>
        <v>13775.197312000002</v>
      </c>
      <c r="X28" s="166">
        <f>[4]SLP!X28+[4]ROSA!X28+'[4]STA ANA'!X28+[4]BOA!X28+'[4]STA MARIA'!X28+'[4]CB I'!X28+'[4]CB II'!X28+'[4]CB III'!X28+[4]IG!X28+[4]PN!X28+[4]MJ!X28+'[4]RB I'!X28+'[4]SF I'!X28</f>
        <v>139265.38361824391</v>
      </c>
      <c r="Y28" s="224">
        <f t="shared" si="4"/>
        <v>0.29710053207707943</v>
      </c>
      <c r="Z28" s="225">
        <f>+[4]SLP!Z28+[4]ROSA!Z28+'[4]STA ANA'!Z28+[4]BOA!Z28+'[4]STA MARIA'!Z28+'[4]CB I'!Z28+'[4]CB II'!Z28+'[4]CB III'!Z28+[4]IG!Z28+[4]PN!Z28+[4]MJ!Z28+'[4]RB I'!Z28+'[4]SF I'!Z28</f>
        <v>143155.57935999989</v>
      </c>
      <c r="AA28" s="226">
        <f>+[4]SLP!AA28+[4]ROSA!AA28+'[4]STA ANA'!AA28+[4]BOA!AA28+'[4]STA MARIA'!AA28+'[4]CB I'!AA28+'[4]CB II'!AA28+'[4]CB III'!AA28+[4]IG!AA28+[4]PN!AA28+[4]MJ!AA28+'[4]RB I'!AA28+'[4]SF I'!AA28</f>
        <v>125561.75865665592</v>
      </c>
      <c r="AB28" s="226">
        <f>+[4]SLP!AB28+[4]ROSA!AB28+'[4]STA ANA'!AB28+[4]BOA!AB28+'[4]STA MARIA'!AB28+'[4]CB I'!AB28+'[4]CB II'!AB28+'[4]CB III'!AB28+[4]IG!AB28+[4]PN!AB28+[4]MJ!AB28+'[4]RB I'!AB28+'[4]SF I'!AB28</f>
        <v>17593.820703343987</v>
      </c>
      <c r="AC28" s="226">
        <f>+[4]SLP!AC28+[4]ROSA!AC28+'[4]STA ANA'!AC28+[4]BOA!AC28+'[4]STA MARIA'!AC28+'[4]CB I'!AC28+'[4]CB II'!AC28+'[4]CB III'!AC28+[4]IG!AC28+[4]PN!AC28+[4]MJ!AC28+'[4]RB I'!AC28+'[4]SF I'!AC28</f>
        <v>93271.44183299999</v>
      </c>
      <c r="AD28" s="226">
        <f>+[4]SLP!AD28+[4]ROSA!AD28+'[4]STA ANA'!AD28+[4]BOA!AD28+'[4]STA MARIA'!AD28+'[4]CB I'!AD28+'[4]CB II'!AD28+'[4]CB III'!AD28+[4]IG!AD28+[4]PN!AD28+[4]MJ!AD28+'[4]RB I'!AD28+'[4]SF I'!AD28</f>
        <v>8905.7881670000006</v>
      </c>
      <c r="AE28" s="166">
        <f>+[4]SLP!AE28+[4]ROSA!AE28+'[4]STA ANA'!AE28+[4]BOA!AE28+'[4]STA MARIA'!AE28+'[4]CB I'!AE28+'[4]CB II'!AE28+'[4]CB III'!AE28+[4]IG!AE28+[4]PN!AE28+[4]MJ!AE28+'[4]RB I'!AE28+'[4]SF I'!AE28</f>
        <v>102177.23000000001</v>
      </c>
      <c r="AF28" s="224">
        <f t="shared" si="5"/>
        <v>-0.28625045243224334</v>
      </c>
      <c r="AG28" s="225">
        <f>+[4]SLP!AG28+[4]ROSA!AG28+'[4]STA ANA'!AG28+[4]BOA!AG28+'[4]STA MARIA'!AG28+'[4]CB I'!AG28+'[4]CB II'!AG28+'[4]CB III'!AG28+[4]IG!AG28+[4]PN!AG28+[4]MJ!AG28+'[4]RB I'!AG28+'[4]SF I'!AG28</f>
        <v>148437.9530549999</v>
      </c>
      <c r="AH28" s="226">
        <f>+[4]SLP!AH28+[4]ROSA!AH28+'[4]STA ANA'!AH28+[4]BOA!AH28+'[4]STA MARIA'!AH28+'[4]CB I'!AH28+'[4]CB II'!AH28+'[4]CB III'!AH28+[4]IG!AH28+[4]PN!AH28+[4]MJ!AH28+'[4]RB I'!AH28+'[4]SF I'!AH28</f>
        <v>130194.92862454039</v>
      </c>
      <c r="AI28" s="226">
        <f>+[4]SLP!AI28+[4]ROSA!AI28+'[4]STA ANA'!AI28+[4]BOA!AI28+'[4]STA MARIA'!AI28+'[4]CB I'!AI28+'[4]CB II'!AI28+'[4]CB III'!AI28+[4]IG!AI28+[4]PN!AI28+[4]MJ!AI28+'[4]RB I'!AI28+'[4]SF I'!AI28</f>
        <v>18243.024430459485</v>
      </c>
      <c r="AJ28" s="226">
        <f>+[4]SLP!AJ28+[4]ROSA!AJ28+'[4]STA ANA'!AJ28+[4]BOA!AJ28+'[4]STA MARIA'!AJ28+'[4]CB I'!AJ28+'[4]CB II'!AJ28+'[4]CB III'!AJ28+[4]IG!AJ28+[4]PN!AJ28+[4]MJ!AJ28+'[4]RB I'!AJ28+'[4]SF I'!AJ28</f>
        <v>75324.1801842922</v>
      </c>
      <c r="AK28" s="226">
        <f>+[4]SLP!AK28+[4]ROSA!AK28+'[4]STA ANA'!AK28+[4]BOA!AK28+'[4]STA MARIA'!AK28+'[4]CB I'!AK28+'[4]CB II'!AK28+'[4]CB III'!AK28+[4]IG!AK28+[4]PN!AK28+[4]MJ!AK28+'[4]RB I'!AK28+'[4]SF I'!AK28</f>
        <v>8736.7493069999982</v>
      </c>
      <c r="AL28" s="166">
        <f>+[4]SLP!AL28+[4]ROSA!AL28+'[4]STA ANA'!AL28+[4]BOA!AL28+'[4]STA MARIA'!AL28+'[4]CB I'!AL28+'[4]CB II'!AL28+'[4]CB III'!AL28+[4]IG!AL28+[4]PN!AL28+[4]MJ!AL28+'[4]RB I'!AL28+'[4]SF I'!AL28</f>
        <v>84060.929491292205</v>
      </c>
      <c r="AM28" s="224">
        <f t="shared" si="6"/>
        <v>-0.43369651924433661</v>
      </c>
      <c r="AN28" s="225">
        <f>+[4]SLP!AN28+[4]ROSA!AN28+'[4]STA ANA'!AN28+[4]BOA!AN28+'[4]STA MARIA'!AN28+'[4]CB I'!AN28+'[4]CB II'!AN28+'[4]CB III'!AN28+[4]IG!AN28+[4]PN!AN28+[4]MJ!AN28+'[4]RB I'!AN28+'[4]SF I'!AN28</f>
        <v>125724.08724749979</v>
      </c>
      <c r="AO28" s="226">
        <f>+[4]SLP!AO28+[4]ROSA!AO28+'[4]STA ANA'!AO28+[4]BOA!AO28+'[4]STA MARIA'!AO28+'[4]CB I'!AO28+'[4]CB II'!AO28+'[4]CB III'!AO28+[4]IG!AO28+[4]PN!AO28+[4]MJ!AO28+'[4]RB I'!AO28+'[4]SF I'!AO28</f>
        <v>110272.59692478205</v>
      </c>
      <c r="AP28" s="226">
        <f>+[4]SLP!AP28+[4]ROSA!AP28+'[4]STA ANA'!AP28+[4]BOA!AP28+'[4]STA MARIA'!AP28+'[4]CB I'!AP28+'[4]CB II'!AP28+'[4]CB III'!AP28+[4]IG!AP28+[4]PN!AP28+[4]MJ!AP28+'[4]RB I'!AP28+'[4]SF I'!AP28</f>
        <v>15451.49032271772</v>
      </c>
      <c r="AQ28" s="226">
        <f>+[4]SLP!AQ28+[4]ROSA!AQ28+'[4]STA ANA'!AQ28+[4]BOA!AQ28+'[4]STA MARIA'!AQ28+'[4]CB I'!AQ28+'[4]CB II'!AQ28+'[4]CB III'!AQ28+[4]IG!AQ28+[4]PN!AQ28+[4]MJ!AQ28+'[4]RB I'!AQ28+'[4]SF I'!AQ28</f>
        <v>0</v>
      </c>
      <c r="AR28" s="226">
        <f>+[4]SLP!AR28+[4]ROSA!AR28+'[4]STA ANA'!AR28+[4]BOA!AR28+'[4]STA MARIA'!AR28+'[4]CB I'!AR28+'[4]CB II'!AR28+'[4]CB III'!AR28+[4]IG!AR28+[4]PN!AR28+[4]MJ!AR28+'[4]RB I'!AR28+'[4]SF I'!AR28</f>
        <v>0</v>
      </c>
      <c r="AS28" s="166">
        <f>+[4]SLP!AS28+[4]ROSA!AS28+'[4]STA ANA'!AS28+[4]BOA!AS28+'[4]STA MARIA'!AS28+'[4]CB I'!AS28+'[4]CB II'!AS28+'[4]CB III'!AS28+[4]IG!AS28+[4]PN!AS28+[4]MJ!AS28+'[4]RB I'!AS28+'[4]SÃO FRANCISCO'!AS28</f>
        <v>0</v>
      </c>
      <c r="AT28" s="224">
        <f t="shared" si="7"/>
        <v>-1</v>
      </c>
      <c r="AU28" s="225">
        <f>+[4]SLP!AU28+[4]ROSA!AU28+'[4]STA ANA'!AU28+[4]BOA!AU28+'[4]STA MARIA'!AU28+'[4]CB I'!AU28+'[4]CB II'!AU28+'[4]CB III'!AU28+[4]IG!AU28+[4]PN!AU28+[4]MJ!AU28+'[4]RB I'!AU28+'[4]SF I'!AU28</f>
        <v>112649.05821499976</v>
      </c>
      <c r="AV28" s="226">
        <f>+[4]SLP!AV28+[4]ROSA!AV28+'[4]STA ANA'!AV28+[4]BOA!AV28+'[4]STA MARIA'!AV28+'[4]CB I'!AV28+'[4]CB II'!AV28+'[4]CB III'!AV28+[4]IG!AV28+[4]PN!AV28+[4]MJ!AV28+'[4]RB I'!AV28+'[4]SF I'!AV28</f>
        <v>98804.4889603763</v>
      </c>
      <c r="AW28" s="226">
        <f>+[4]SLP!AW28+[4]ROSA!AW28+'[4]STA ANA'!AW28+[4]BOA!AW28+'[4]STA MARIA'!AW28+'[4]CB I'!AW28+'[4]CB II'!AW28+'[4]CB III'!AW28+[4]IG!AW28+[4]PN!AW28+[4]MJ!AW28+'[4]RB I'!AW28+'[4]SF I'!AW28</f>
        <v>13844.569254623473</v>
      </c>
      <c r="AX28" s="226">
        <f>+[4]SLP!AX28+[4]ROSA!AX28+'[4]STA ANA'!AX28+[4]BOA!AX28+'[4]STA MARIA'!AX28+'[4]CB I'!AX28+'[4]CB II'!AX28+'[4]CB III'!AX28+[4]IG!AX28+[4]PN!AX28+[4]MJ!AX28+'[4]RB I'!AX28+'[4]SF I'!AX28</f>
        <v>0</v>
      </c>
      <c r="AY28" s="226">
        <f>+[4]SLP!AY28+[4]ROSA!AY28+'[4]STA ANA'!AY28+[4]BOA!AY28+'[4]STA MARIA'!AY28+'[4]CB I'!AY28+'[4]CB II'!AY28+'[4]CB III'!AY28+[4]IG!AY28+[4]PN!AY28+[4]MJ!AY28+'[4]RB I'!AY28+'[4]SF I'!AY28</f>
        <v>0</v>
      </c>
      <c r="AZ28" s="166">
        <f>+[4]SLP!AZ28+[4]ROSA!AZ28+'[4]STA ANA'!AZ28+[4]BOA!AZ28+'[4]STA MARIA'!AZ28+'[4]CB I'!AZ28+'[4]CB II'!AZ28+[4]IG!AZ28+[4]PN!AZ28+[4]MJ!AZ28+'[4]RB I'!AZ28+'[4]SÃO FRANCISCO'!AZ28</f>
        <v>0</v>
      </c>
      <c r="BA28" s="224">
        <f t="shared" si="8"/>
        <v>-1</v>
      </c>
      <c r="BB28" s="225">
        <f>+[4]SLP!BB28+[4]ROSA!BB28+'[4]STA ANA'!BB28+[4]BOA!BB28+'[4]STA MARIA'!BB28+'[4]CB I'!BB28+'[4]CB II'!BB28+'[4]CB III'!BB28+[4]IG!BB28+[4]PN!BB28+[4]MJ!BB28+'[4]RB I'!BB28+'[4]SF I'!BB28</f>
        <v>91955.787522499973</v>
      </c>
      <c r="BC28" s="226">
        <f>+[4]SLP!BC28+[4]ROSA!BC28+'[4]STA ANA'!BC28+[4]BOA!BC28+'[4]STA MARIA'!BC28+'[4]CB I'!BC28+'[4]CB II'!BC28+'[4]CB III'!BC28+[4]IG!BC28+[4]PN!BC28+[4]MJ!BC28+'[4]RB I'!BC28+'[4]SF I'!BC28</f>
        <v>80654.421235984715</v>
      </c>
      <c r="BD28" s="226">
        <f>+[4]SLP!BD28+[4]ROSA!BD28+'[4]STA ANA'!BD28+[4]BOA!BD28+'[4]STA MARIA'!BD28+'[4]CB I'!BD28+'[4]CB II'!BD28+'[4]CB III'!BD28+[4]IG!BD28+[4]PN!BD28+[4]MJ!BD28+'[4]RB I'!BD28+'[4]SF I'!BD28</f>
        <v>11301.366286515247</v>
      </c>
      <c r="BE28" s="226">
        <f>+[4]SLP!BE28+[4]ROSA!BE28+'[4]STA ANA'!BE28+[4]BOA!BE28+'[4]STA MARIA'!BE28+'[4]CB I'!BE28+'[4]CB II'!BE28+'[4]CB III'!BE28+[4]IG!BE28+[4]PN!BE28+[4]MJ!BE28+'[4]RB I'!BE28+'[4]SF I'!BE28</f>
        <v>0</v>
      </c>
      <c r="BF28" s="226">
        <f>+[4]SLP!BF28+[4]ROSA!BF28+'[4]STA ANA'!BF28+[4]BOA!BF28+'[4]STA MARIA'!BF28+'[4]CB I'!BF28+'[4]CB II'!BF28+'[4]CB III'!BF28+[4]IG!BF28+[4]PN!BF28+[4]MJ!BF28+'[4]RB I'!BF28+'[4]SF I'!BF28</f>
        <v>0</v>
      </c>
      <c r="BG28" s="166">
        <f>+[4]SLP!BG28+[4]ROSA!BG28+'[4]STA ANA'!BG28+[4]BOA!BG28+'[4]STA MARIA'!BG28+'[4]CB I'!BG28+'[4]CB II'!BG28+'[4]CB III'!BG28+[4]IG!BG28+[4]PN!BG28+[4]MJ!BG28+'[4]RB I'!BG28+'[4]SÃO FRANCISCO'!BG28</f>
        <v>0</v>
      </c>
      <c r="BH28" s="224">
        <f t="shared" si="9"/>
        <v>-1</v>
      </c>
      <c r="BI28" s="225">
        <f>+[4]SLP!BI28+[4]ROSA!BI28+'[4]STA ANA'!BI28+[4]BOA!BI28+'[4]STA MARIA'!BI28+'[4]CB I'!BI28+'[4]CB II'!BI28+'[4]CB III'!BI28+[4]IG!BI28+[4]PN!BI28+[4]MJ!BI28+'[4]RB I'!BI28+'[4]SF I'!BI28</f>
        <v>148437.9530549999</v>
      </c>
      <c r="BJ28" s="226">
        <f>+[4]SLP!BJ28+[4]ROSA!BJ28+'[4]STA ANA'!BJ28+[4]BOA!BJ28+'[4]STA MARIA'!BJ28+'[4]CB I'!BJ28+'[4]CB II'!BJ28+'[4]CB III'!BJ28+[4]IG!BJ28+[4]PN!BJ28+[4]MJ!BJ28+'[4]RB I'!BJ28+'[4]SF I'!BJ28</f>
        <v>130194.92862454039</v>
      </c>
      <c r="BK28" s="226">
        <f>+[4]SLP!BK28+[4]ROSA!BK28+'[4]STA ANA'!BK28+[4]BOA!BK28+'[4]STA MARIA'!BK28+'[4]CB I'!BK28+'[4]CB II'!BK28+'[4]CB III'!BK28+[4]IG!BK28+[4]PN!BK28+[4]MJ!BK28+'[4]RB I'!BK28+'[4]SF I'!BK28</f>
        <v>18243.024430459485</v>
      </c>
      <c r="BL28" s="226">
        <f>+[4]SLP!BL28+[4]ROSA!BL28+'[4]STA ANA'!BL28+[4]BOA!BL28+'[4]STA MARIA'!BL28+'[4]CB I'!BL28+'[4]CB II'!BL28+'[4]CB III'!BL28+[4]IG!BL28+[4]PN!BL28+[4]MJ!BL28+'[4]RB I'!BL28+'[4]SF I'!BL28</f>
        <v>0</v>
      </c>
      <c r="BM28" s="226">
        <f>+[4]SLP!BM28+[4]ROSA!BM28+'[4]STA ANA'!BM28+[4]BOA!BM28+'[4]STA MARIA'!BM28+'[4]CB I'!BM28+'[4]CB II'!BM28+'[4]CB III'!BM28+[4]IG!BM28+[4]PN!BM28+[4]MJ!BM28+'[4]RB I'!BM28+'[4]SF I'!BM28</f>
        <v>0</v>
      </c>
      <c r="BN28" s="166">
        <f>+[4]SLP!BN28+[4]ROSA!BN28+'[4]STA ANA'!BN28+[4]BOA!BN28+'[4]STA MARIA'!BN28+'[4]CB I'!BN28+'[4]CB II'!BN28+'[4]CB III'!BN28+[4]IG!BN28+[4]PN!BN28+[4]MJ!BN28+'[4]RB I'!BN28+'[4]SÃO FRANCISCO'!BN28</f>
        <v>0</v>
      </c>
      <c r="BO28" s="224">
        <f t="shared" si="10"/>
        <v>-1</v>
      </c>
      <c r="BP28" s="225">
        <f>+[4]SLP!BP28+[4]ROSA!BP28+'[4]STA ANA'!BP28+[4]BOA!BP28+'[4]STA MARIA'!BP28+'[4]CB I'!BP28+'[4]CB II'!BP28+'[4]CB III'!BP28+[4]IG!BP28+[4]PN!BP28+[4]MJ!BP28+'[4]RB I'!BP28+'[4]SF I'!BP28</f>
        <v>148437.9530549999</v>
      </c>
      <c r="BQ28" s="226">
        <f>+[4]SLP!BQ28+[4]ROSA!BQ28+'[4]STA ANA'!BQ28+[4]BOA!BQ28+'[4]STA MARIA'!BQ28+'[4]CB I'!BQ28+'[4]CB II'!BQ28+'[4]CB III'!BQ28+[4]IG!BQ28+[4]PN!BQ28+[4]MJ!BQ28+'[4]RB I'!BQ28+'[4]SF I'!BQ28</f>
        <v>130194.92862454039</v>
      </c>
      <c r="BR28" s="226">
        <f>+[4]SLP!BR28+[4]ROSA!BR28+'[4]STA ANA'!BR28+[4]BOA!BR28+'[4]STA MARIA'!BR28+'[4]CB I'!BR28+'[4]CB II'!BR28+'[4]CB III'!BR28+[4]IG!BR28+[4]PN!BR28+[4]MJ!BR28+'[4]RB I'!BR28+'[4]SF I'!BR28</f>
        <v>18243.024430459485</v>
      </c>
      <c r="BS28" s="226">
        <f>+[4]SLP!BS28+[4]ROSA!BS28+'[4]STA ANA'!BS28+[4]BOA!BS28+'[4]STA MARIA'!BS28+'[4]CB I'!BS28+'[4]CB II'!BS28+'[4]CB III'!BS28+[4]IG!BS28+[4]PN!BS28+[4]MJ!BS28+'[4]RB I'!BS28+'[4]SF I'!BS28</f>
        <v>0</v>
      </c>
      <c r="BT28" s="226">
        <f>+[4]SLP!BT28+[4]ROSA!BT28+'[4]STA ANA'!BT28+[4]BOA!BT28+'[4]STA MARIA'!BT28+'[4]CB I'!BT28+'[4]CB II'!BT28+'[4]CB III'!BT28+[4]IG!BT28+[4]PN!BT28+[4]MJ!BT28+'[4]RB I'!BT28+'[4]SF I'!BT28</f>
        <v>0</v>
      </c>
      <c r="BU28" s="166">
        <f>+[4]SLP!BU28+[4]ROSA!BU28+'[4]STA ANA'!BU28+[4]BOA!BU28+'[4]STA MARIA'!BU28+'[4]CB I'!BU28+'[4]CB II'!BU28+'[4]CB III'!BU28+[4]IG!BU28+[4]PN!BU28+[4]MJ!BU28+'[4]RB I'!BU28+'[4]SÃO FRANCISCO'!BU28</f>
        <v>0</v>
      </c>
      <c r="BV28" s="224">
        <f t="shared" si="11"/>
        <v>-1</v>
      </c>
      <c r="BW28" s="225">
        <f>+[4]SLP!BW28+[4]ROSA!BW28+'[4]STA ANA'!BW28+[4]BOA!BW28+'[4]STA MARIA'!BW28+'[4]CB I'!BW28+'[4]CB II'!BW28+'[4]CB III'!BW28+[4]IG!BW28+[4]PN!BW28+[4]MJ!BW28+'[4]RB I'!BW28+'[4]SF I'!BW28</f>
        <v>136258.61632499989</v>
      </c>
      <c r="BX28" s="226">
        <f>+[4]SLP!BX28+[4]ROSA!BX28+'[4]STA ANA'!BX28+[4]BOA!BX28+'[4]STA MARIA'!BX28+'[4]CB I'!BX28+'[4]CB II'!BX28+'[4]CB III'!BX28+[4]IG!BX28+[4]PN!BX28+[4]MJ!BX28+'[4]RB I'!BX28+'[4]SF I'!BX28</f>
        <v>119512.43237865741</v>
      </c>
      <c r="BY28" s="226">
        <f>+[4]SLP!BY28+[4]ROSA!BY28+'[4]STA ANA'!BY28+[4]BOA!BY28+'[4]STA MARIA'!BY28+'[4]CB I'!BY28+'[4]CB II'!BY28+'[4]CB III'!BY28+[4]IG!BY28+[4]PN!BY28+[4]MJ!BY28+'[4]RB I'!BY28+'[4]SF I'!BY28</f>
        <v>16746.183946342484</v>
      </c>
      <c r="BZ28" s="226">
        <f>+[4]SLP!BZ28+[4]ROSA!BZ28+'[4]STA ANA'!BZ28+[4]BOA!BZ28+'[4]STA MARIA'!BZ28+'[4]CB I'!BZ28+'[4]CB II'!BZ28+'[4]CB III'!BZ28+[4]IG!BZ28+[4]PN!BZ28+[4]MJ!BZ28+'[4]RB I'!BZ28+'[4]SF I'!BZ28</f>
        <v>0</v>
      </c>
      <c r="CA28" s="226">
        <f>+[4]SLP!CA28+[4]ROSA!CA28+'[4]STA ANA'!CA28+[4]BOA!CA28+'[4]STA MARIA'!CA28+'[4]CB I'!CA28+'[4]CB II'!CA28+'[4]CB III'!CA28+[4]IG!CA28+[4]PN!CA28+[4]MJ!CA28+'[4]RB I'!CA28+'[4]SF I'!CA28</f>
        <v>0</v>
      </c>
      <c r="CB28" s="166">
        <f>+[4]SLP!CB28+[4]ROSA!CB28+'[4]STA ANA'!CB28+[4]BOA!CB28+'[4]STA MARIA'!CB28+'[4]CB I'!CB28+'[4]CB II'!CB28+'[4]CB III'!CB28+[4]IG!CB28+[4]PN!CB28+[4]MJ!CB28+'[4]RB I'!CB28+'[4]SÃO FRANCISCO'!CB28</f>
        <v>0</v>
      </c>
      <c r="CC28" s="224">
        <f t="shared" si="12"/>
        <v>-1</v>
      </c>
      <c r="CD28" s="225">
        <f>+[4]SLP!CD28+[4]ROSA!CD28+'[4]STA ANA'!CD28+[4]BOA!CD28+'[4]STA MARIA'!CD28+'[4]CB I'!CD28+'[4]CB II'!CD28+'[4]CB III'!CD28+[4]IG!CD28+[4]PN!CD28+[4]MJ!CD28+'[4]RB I'!CD28+'[4]SF I'!CD28</f>
        <v>100469.7214849999</v>
      </c>
      <c r="CE28" s="226">
        <f>+[4]SLP!CE28+[4]ROSA!CE28+'[4]STA ANA'!CE28+[4]BOA!CE28+'[4]STA MARIA'!CE28+'[4]CB I'!CE28+'[4]CB II'!CE28+'[4]CB III'!CE28+[4]IG!CE28+[4]PN!CE28+[4]MJ!CE28+'[4]RB I'!CE28+'[4]SF I'!CE28</f>
        <v>88121.992714493419</v>
      </c>
      <c r="CF28" s="226">
        <f>+[4]SLP!CF28+[4]ROSA!CF28+'[4]STA ANA'!CF28+[4]BOA!CF28+'[4]STA MARIA'!CF28+'[4]CB I'!CF28+'[4]CB II'!CF28+'[4]CB III'!CF28+[4]IG!CF28+[4]PN!CF28+[4]MJ!CF28+'[4]RB I'!CF28+'[4]SF I'!CF28</f>
        <v>12347.728770506488</v>
      </c>
      <c r="CG28" s="226">
        <f>+[4]SLP!CG28+[4]ROSA!CG28+'[4]STA ANA'!CG28+[4]BOA!CG28+'[4]STA MARIA'!CG28+'[4]CB I'!CG28+'[4]CB II'!CG28+'[4]CB III'!CG28+[4]IG!CG28+[4]PN!CG28+[4]MJ!CG28+'[4]RB I'!CG28+'[4]SF I'!CG28</f>
        <v>0</v>
      </c>
      <c r="CH28" s="226">
        <f>+[4]SLP!CH28+[4]ROSA!CH28+'[4]STA ANA'!CH28+[4]BOA!CH28+'[4]STA MARIA'!CH28+'[4]CB I'!CH28+'[4]CB II'!CH28+'[4]CB III'!CH28+[4]IG!CH28+[4]PN!CH28+[4]MJ!CH28+'[4]RB I'!CH28+'[4]SF I'!CH28</f>
        <v>0</v>
      </c>
      <c r="CI28" s="166">
        <f>+[4]SLP!CI28+[4]ROSA!CI28+'[4]STA ANA'!CI28+[4]BOA!CI28+'[4]STA MARIA'!CI28+'[4]CB I'!CI28+'[4]CB II'!CI28+'[4]CB III'!CI28+[4]IG!CI28+[4]PN!CI28+[4]MJ!CI28+'[4]RB I'!CI28+'[4]SÃO FRANCISCO'!CI28</f>
        <v>0</v>
      </c>
      <c r="CJ28" s="224">
        <f t="shared" si="13"/>
        <v>-1</v>
      </c>
      <c r="CK28" s="225">
        <f>+[4]SLP!CK28+[4]ROSA!CK28+'[4]STA ANA'!CK28+[4]BOA!CK28+'[4]STA MARIA'!CK28+'[4]CB I'!CK28+'[4]CB II'!CK28+'[4]CB III'!CK28+[4]IG!CK28+[4]PN!CK28+[4]MJ!CK28+'[4]RB I'!CK28+'[4]SF I'!CK28</f>
        <v>100469.7214849999</v>
      </c>
      <c r="CL28" s="226">
        <f>+[4]SLP!CL28+[4]ROSA!CL28+'[4]STA ANA'!CL28+[4]BOA!CL28+'[4]STA MARIA'!CL28+'[4]CB I'!CL28+'[4]CB II'!CL28+'[4]CB III'!CL28+[4]IG!CL28+[4]PN!CL28+[4]MJ!CL28+'[4]RB I'!CL28+'[4]SF I'!CL28</f>
        <v>88121.992714493419</v>
      </c>
      <c r="CM28" s="226">
        <f>+[4]SLP!CM28+[4]ROSA!CM28+'[4]STA ANA'!CM28+[4]BOA!CM28+'[4]STA MARIA'!CM28+'[4]CB I'!CM28+'[4]CB II'!CM28+'[4]CB III'!CM28+[4]IG!CM28+[4]PN!CM28+[4]MJ!CM28+'[4]RB I'!CM28+'[4]SF I'!CM28</f>
        <v>12347.728770506488</v>
      </c>
      <c r="CN28" s="226">
        <f>+[4]SLP!CN28+[4]ROSA!CN28+'[4]STA ANA'!CN28+[4]BOA!CN28+'[4]STA MARIA'!CN28+'[4]CB I'!CN28+'[4]CB II'!CN28+'[4]CB III'!CN28+[4]IG!CN28+[4]PN!CN28+[4]MJ!CN28+'[4]RB I'!CN28+'[4]SF I'!CN28</f>
        <v>0</v>
      </c>
      <c r="CO28" s="226">
        <f>+[4]SLP!CO28+[4]ROSA!CO28+'[4]STA ANA'!CO28+[4]BOA!CO28+'[4]STA MARIA'!CO28+'[4]CB I'!CO28+'[4]CB II'!CO28+'[4]CB III'!CO28+[4]IG!CO28+[4]PN!CO28+[4]MJ!CO28+'[4]RB I'!CO28+'[4]SF I'!CO28</f>
        <v>0</v>
      </c>
      <c r="CP28" s="166">
        <f>+[4]SLP!CP28+[4]ROSA!CP28+'[4]STA ANA'!CP28+[4]BOA!CP28+'[4]STA MARIA'!CP28+'[4]CB I'!CP28+'[4]CB II'!CP28+'[4]CB III'!CP28+[4]IG!CP28+[4]PN!CP28+[4]MJ!CP28+'[4]RB I'!CP28+'[4]SÃO FRANCISCO'!CP28</f>
        <v>0</v>
      </c>
      <c r="CQ28" s="224">
        <f t="shared" si="14"/>
        <v>-1</v>
      </c>
      <c r="CR28" s="155"/>
      <c r="CS28" s="227" t="e">
        <f t="shared" si="15"/>
        <v>#VALUE!</v>
      </c>
    </row>
    <row r="29" spans="1:97" ht="16" customHeight="1" x14ac:dyDescent="0.2">
      <c r="A29" s="223" t="s">
        <v>53</v>
      </c>
      <c r="B29" s="30">
        <f t="shared" si="0"/>
        <v>2900555.3979999968</v>
      </c>
      <c r="C29" s="31">
        <f t="shared" si="0"/>
        <v>2544077.1395857981</v>
      </c>
      <c r="D29" s="32">
        <f t="shared" si="0"/>
        <v>356478.25841419963</v>
      </c>
      <c r="E29" s="30">
        <f t="shared" si="16"/>
        <v>966851.79933333234</v>
      </c>
      <c r="F29" s="33">
        <f t="shared" si="16"/>
        <v>848025.71319526585</v>
      </c>
      <c r="G29" s="34">
        <f t="shared" si="16"/>
        <v>118826.08613806654</v>
      </c>
      <c r="H29" s="31">
        <f t="shared" si="1"/>
        <v>0</v>
      </c>
      <c r="I29" s="33">
        <f t="shared" si="1"/>
        <v>0</v>
      </c>
      <c r="J29" s="33">
        <f t="shared" si="1"/>
        <v>0</v>
      </c>
      <c r="K29" s="224">
        <f t="shared" si="2"/>
        <v>-1</v>
      </c>
      <c r="L29" s="225">
        <f>+[4]SLP!L29+[4]ROSA!L29+'[4]STA ANA'!L29+[4]BOA!L29+'[4]STA MARIA'!L29+'[4]CB I'!L29+'[4]CB II'!L29+'[4]CB III'!L29+[4]IG!L29+[4]PN!L29+[4]MJ!L29+'[4]RB I'!L29+'[4]SF I'!L29</f>
        <v>203530.81333333309</v>
      </c>
      <c r="M29" s="226">
        <f>+[4]SLP!M29+[4]ROSA!M29+'[4]STA ANA'!M29+[4]BOA!M29+'[4]STA MARIA'!M29+'[4]CB I'!M29+'[4]CB II'!M29+'[4]CB III'!M29+[4]IG!M29+[4]PN!M29+[4]MJ!M29+'[4]RB I'!M29+'[4]SF I'!M29</f>
        <v>178516.87637466649</v>
      </c>
      <c r="N29" s="226">
        <f>+[4]SLP!N29+[4]ROSA!N29+'[4]STA ANA'!N29+[4]BOA!N29+'[4]STA MARIA'!N29+'[4]CB I'!N29+'[4]CB II'!N29+'[4]CB III'!N29+[4]IG!N29+[4]PN!N29+[4]MJ!N29+'[4]RB I'!N29+'[4]SF I'!N29</f>
        <v>25013.93695866664</v>
      </c>
      <c r="O29" s="226">
        <f>+[4]SLP!O29+[4]ROSA!O29+'[4]STA ANA'!O29+[4]BOA!O29+'[4]STA MARIA'!O29+'[4]CB I'!O29+'[4]CB II'!O29+'[4]CB III'!O29+[4]IG!O29+[4]PN!O29+[4]MJ!O29+'[4]RB I'!O29+'[4]SF I'!O29</f>
        <v>0</v>
      </c>
      <c r="P29" s="226">
        <f>+[4]SLP!P29+[4]ROSA!P29+'[4]STA ANA'!P29+[4]BOA!P29+'[4]STA MARIA'!P29+'[4]CB I'!P29+'[4]CB II'!P29+'[4]CB III'!P29+[4]IG!P29+[4]PN!P29+[4]MJ!P29+'[4]RB I'!P29+'[4]SF I'!P29</f>
        <v>0</v>
      </c>
      <c r="Q29" s="166">
        <f>+[4]SLP!Q29+[4]ROSA!Q29+'[4]STA ANA'!Q29+[4]BOA!Q29+'[4]STA MARIA'!Q29+'[4]CB I'!Q29+'[4]CB II'!Q29+'[4]CB III'!Q29+[4]IG!Q29+[4]PN!Q29+[4]MJ!Q29+'[4]RB I'!Q29+'[4]SF I'!Q29</f>
        <v>0</v>
      </c>
      <c r="R29" s="224">
        <f t="shared" si="3"/>
        <v>-1</v>
      </c>
      <c r="S29" s="225">
        <f>+[4]SLP!S29+[4]ROSA!S29+'[4]STA ANA'!S29+[4]BOA!S29+'[4]STA MARIA'!S29+'[4]CB I'!S29+'[4]CB II'!S29+'[4]CB III'!S29+[4]IG!S29+[4]PN!S29+[4]MJ!S29+'[4]RB I'!S29+'[4]SF I'!S29</f>
        <v>279895.08633333305</v>
      </c>
      <c r="T29" s="226">
        <f>+[4]SLP!T29+[4]ROSA!T29+'[4]STA ANA'!T29+[4]BOA!T29+'[4]STA MARIA'!T29+'[4]CB I'!T29+'[4]CB II'!T29+'[4]CB III'!T29+[4]IG!T29+[4]PN!T29+[4]MJ!T29+'[4]RB I'!T29+'[4]SF I'!T29</f>
        <v>245495.98022296643</v>
      </c>
      <c r="U29" s="226">
        <f>+[4]SLP!U29+[4]ROSA!U29+'[4]STA ANA'!U29+[4]BOA!U29+'[4]STA MARIA'!U29+'[4]CB I'!U29+'[4]CB II'!U29+'[4]CB III'!U29+[4]IG!U29+[4]PN!U29+[4]MJ!U29+'[4]RB I'!U29+'[4]SF I'!U29</f>
        <v>34399.106110366629</v>
      </c>
      <c r="V29" s="226">
        <f>+[4]SLP!V29+[4]ROSA!V29+'[4]STA ANA'!V29+[4]BOA!V29+'[4]STA MARIA'!V29+'[4]CB I'!V29+'[4]CB II'!V29+'[4]CB III'!V29+[4]IG!V29+[4]PN!V29+[4]MJ!V29+'[4]RB I'!V29+'[4]SF I'!V29</f>
        <v>0</v>
      </c>
      <c r="W29" s="226">
        <f>+[4]SLP!W29+[4]ROSA!W29+'[4]STA ANA'!W29+[4]BOA!W29+'[4]STA MARIA'!W29+'[4]CB I'!W29+'[4]CB II'!W29+'[4]CB III'!W29+[4]IG!W29+[4]PN!W29+[4]MJ!W29+'[4]RB I'!W29+'[4]SF I'!W29</f>
        <v>0</v>
      </c>
      <c r="X29" s="166">
        <f>[4]SLP!X29+[4]ROSA!X29+'[4]STA ANA'!X29+[4]BOA!X29+'[4]STA MARIA'!X29+'[4]CB I'!X29+'[4]CB II'!X29+'[4]CB III'!X29+[4]IG!X29+[4]PN!X29+[4]MJ!X29+'[4]RB I'!X29+'[4]SF I'!X29</f>
        <v>0</v>
      </c>
      <c r="Y29" s="224">
        <f t="shared" si="4"/>
        <v>-1</v>
      </c>
      <c r="Z29" s="225">
        <f>+[4]SLP!Z29+[4]ROSA!Z29+'[4]STA ANA'!Z29+[4]BOA!Z29+'[4]STA MARIA'!Z29+'[4]CB I'!Z29+'[4]CB II'!Z29+'[4]CB III'!Z29+[4]IG!Z29+[4]PN!Z29+[4]MJ!Z29+'[4]RB I'!Z29+'[4]SF I'!Z29</f>
        <v>203530.81333333309</v>
      </c>
      <c r="AA29" s="226">
        <f>+[4]SLP!AA29+[4]ROSA!AA29+'[4]STA ANA'!AA29+[4]BOA!AA29+'[4]STA MARIA'!AA29+'[4]CB I'!AA29+'[4]CB II'!AA29+'[4]CB III'!AA29+[4]IG!AA29+[4]PN!AA29+[4]MJ!AA29+'[4]RB I'!AA29+'[4]SF I'!AA29</f>
        <v>178516.87637466649</v>
      </c>
      <c r="AB29" s="226">
        <f>+[4]SLP!AB29+[4]ROSA!AB29+'[4]STA ANA'!AB29+[4]BOA!AB29+'[4]STA MARIA'!AB29+'[4]CB I'!AB29+'[4]CB II'!AB29+'[4]CB III'!AB29+[4]IG!AB29+[4]PN!AB29+[4]MJ!AB29+'[4]RB I'!AB29+'[4]SF I'!AB29</f>
        <v>25013.93695866664</v>
      </c>
      <c r="AC29" s="226">
        <f>+[4]SLP!AC29+[4]ROSA!AC29+'[4]STA ANA'!AC29+[4]BOA!AC29+'[4]STA MARIA'!AC29+'[4]CB I'!AC29+'[4]CB II'!AC29+'[4]CB III'!AC29+[4]IG!AC29+[4]PN!AC29+[4]MJ!AC29+'[4]RB I'!AC29+'[4]SF I'!AC29</f>
        <v>0</v>
      </c>
      <c r="AD29" s="226">
        <f>+[4]SLP!AD29+[4]ROSA!AD29+'[4]STA ANA'!AD29+[4]BOA!AD29+'[4]STA MARIA'!AD29+'[4]CB I'!AD29+'[4]CB II'!AD29+'[4]CB III'!AD29+[4]IG!AD29+[4]PN!AD29+[4]MJ!AD29+'[4]RB I'!AD29+'[4]SF I'!AD29</f>
        <v>0</v>
      </c>
      <c r="AE29" s="166">
        <f>+[4]SLP!AE29+[4]ROSA!AE29+'[4]STA ANA'!AE29+[4]BOA!AE29+'[4]STA MARIA'!AE29+'[4]CB I'!AE29+'[4]CB II'!AE29+'[4]CB III'!AE29+[4]IG!AE29+[4]PN!AE29+[4]MJ!AE29+'[4]RB I'!AE29+'[4]SF I'!AE29</f>
        <v>0</v>
      </c>
      <c r="AF29" s="224">
        <f t="shared" si="5"/>
        <v>-1</v>
      </c>
      <c r="AG29" s="225">
        <f>+[4]SLP!AG29+[4]ROSA!AG29+'[4]STA ANA'!AG29+[4]BOA!AG29+'[4]STA MARIA'!AG29+'[4]CB I'!AG29+'[4]CB II'!AG29+'[4]CB III'!AG29+[4]IG!AG29+[4]PN!AG29+[4]MJ!AG29+'[4]RB I'!AG29+'[4]SF I'!AG29</f>
        <v>279895.08633333305</v>
      </c>
      <c r="AH29" s="226">
        <f>+[4]SLP!AH29+[4]ROSA!AH29+'[4]STA ANA'!AH29+[4]BOA!AH29+'[4]STA MARIA'!AH29+'[4]CB I'!AH29+'[4]CB II'!AH29+'[4]CB III'!AH29+[4]IG!AH29+[4]PN!AH29+[4]MJ!AH29+'[4]RB I'!AH29+'[4]SF I'!AH29</f>
        <v>245495.98022296643</v>
      </c>
      <c r="AI29" s="226">
        <f>+[4]SLP!AI29+[4]ROSA!AI29+'[4]STA ANA'!AI29+[4]BOA!AI29+'[4]STA MARIA'!AI29+'[4]CB I'!AI29+'[4]CB II'!AI29+'[4]CB III'!AI29+[4]IG!AI29+[4]PN!AI29+[4]MJ!AI29+'[4]RB I'!AI29+'[4]SF I'!AI29</f>
        <v>34399.106110366629</v>
      </c>
      <c r="AJ29" s="226">
        <f>+[4]SLP!AJ29+[4]ROSA!AJ29+'[4]STA ANA'!AJ29+[4]BOA!AJ29+'[4]STA MARIA'!AJ29+'[4]CB I'!AJ29+'[4]CB II'!AJ29+'[4]CB III'!AJ29+[4]IG!AJ29+[4]PN!AJ29+[4]MJ!AJ29+'[4]RB I'!AJ29+'[4]SF I'!AJ29</f>
        <v>0</v>
      </c>
      <c r="AK29" s="226">
        <f>+[4]SLP!AK29+[4]ROSA!AK29+'[4]STA ANA'!AK29+[4]BOA!AK29+'[4]STA MARIA'!AK29+'[4]CB I'!AK29+'[4]CB II'!AK29+'[4]CB III'!AK29+[4]IG!AK29+[4]PN!AK29+[4]MJ!AK29+'[4]RB I'!AK29+'[4]SF I'!AK29</f>
        <v>0</v>
      </c>
      <c r="AL29" s="166">
        <f>+[4]SLP!AL29+[4]ROSA!AL29+'[4]STA ANA'!AL29+[4]BOA!AL29+'[4]STA MARIA'!AL29+'[4]CB I'!AL29+'[4]CB II'!AL29+'[4]CB III'!AL29+[4]IG!AL29+[4]PN!AL29+[4]MJ!AL29+'[4]RB I'!AL29+'[4]SF I'!AL29</f>
        <v>0</v>
      </c>
      <c r="AM29" s="224">
        <f t="shared" si="6"/>
        <v>-1</v>
      </c>
      <c r="AN29" s="225">
        <f>+[4]SLP!AN29+[4]ROSA!AN29+'[4]STA ANA'!AN29+[4]BOA!AN29+'[4]STA MARIA'!AN29+'[4]CB I'!AN29+'[4]CB II'!AN29+'[4]CB III'!AN29+[4]IG!AN29+[4]PN!AN29+[4]MJ!AN29+'[4]RB I'!AN29+'[4]SF I'!AN29</f>
        <v>203530.81333333309</v>
      </c>
      <c r="AO29" s="226">
        <f>+[4]SLP!AO29+[4]ROSA!AO29+'[4]STA ANA'!AO29+[4]BOA!AO29+'[4]STA MARIA'!AO29+'[4]CB I'!AO29+'[4]CB II'!AO29+'[4]CB III'!AO29+[4]IG!AO29+[4]PN!AO29+[4]MJ!AO29+'[4]RB I'!AO29+'[4]SF I'!AO29</f>
        <v>178516.87637466649</v>
      </c>
      <c r="AP29" s="226">
        <f>+[4]SLP!AP29+[4]ROSA!AP29+'[4]STA ANA'!AP29+[4]BOA!AP29+'[4]STA MARIA'!AP29+'[4]CB I'!AP29+'[4]CB II'!AP29+'[4]CB III'!AP29+[4]IG!AP29+[4]PN!AP29+[4]MJ!AP29+'[4]RB I'!AP29+'[4]SF I'!AP29</f>
        <v>25013.93695866664</v>
      </c>
      <c r="AQ29" s="226">
        <f>+[4]SLP!AQ29+[4]ROSA!AQ29+'[4]STA ANA'!AQ29+[4]BOA!AQ29+'[4]STA MARIA'!AQ29+'[4]CB I'!AQ29+'[4]CB II'!AQ29+'[4]CB III'!AQ29+[4]IG!AQ29+[4]PN!AQ29+[4]MJ!AQ29+'[4]RB I'!AQ29+'[4]SF I'!AQ29</f>
        <v>0</v>
      </c>
      <c r="AR29" s="226">
        <f>+[4]SLP!AR29+[4]ROSA!AR29+'[4]STA ANA'!AR29+[4]BOA!AR29+'[4]STA MARIA'!AR29+'[4]CB I'!AR29+'[4]CB II'!AR29+'[4]CB III'!AR29+[4]IG!AR29+[4]PN!AR29+[4]MJ!AR29+'[4]RB I'!AR29+'[4]SF I'!AR29</f>
        <v>0</v>
      </c>
      <c r="AS29" s="166">
        <f>+[4]SLP!AS29+[4]ROSA!AS29+'[4]STA ANA'!AS29+[4]BOA!AS29+'[4]STA MARIA'!AS29+'[4]CB I'!AS29+'[4]CB II'!AS29+'[4]CB III'!AS29+[4]IG!AS29+[4]PN!AS29+[4]MJ!AS29+'[4]RB I'!AS29+'[4]SÃO FRANCISCO'!AS29</f>
        <v>0</v>
      </c>
      <c r="AT29" s="224">
        <f t="shared" si="7"/>
        <v>-1</v>
      </c>
      <c r="AU29" s="225">
        <f>+[4]SLP!AU29+[4]ROSA!AU29+'[4]STA ANA'!AU29+[4]BOA!AU29+'[4]STA MARIA'!AU29+'[4]CB I'!AU29+'[4]CB II'!AU29+'[4]CB III'!AU29+[4]IG!AU29+[4]PN!AU29+[4]MJ!AU29+'[4]RB I'!AU29+'[4]SF I'!AU29</f>
        <v>279895.08633333305</v>
      </c>
      <c r="AV29" s="226">
        <f>+[4]SLP!AV29+[4]ROSA!AV29+'[4]STA ANA'!AV29+[4]BOA!AV29+'[4]STA MARIA'!AV29+'[4]CB I'!AV29+'[4]CB II'!AV29+'[4]CB III'!AV29+[4]IG!AV29+[4]PN!AV29+[4]MJ!AV29+'[4]RB I'!AV29+'[4]SF I'!AV29</f>
        <v>245495.98022296643</v>
      </c>
      <c r="AW29" s="226">
        <f>+[4]SLP!AW29+[4]ROSA!AW29+'[4]STA ANA'!AW29+[4]BOA!AW29+'[4]STA MARIA'!AW29+'[4]CB I'!AW29+'[4]CB II'!AW29+'[4]CB III'!AW29+[4]IG!AW29+[4]PN!AW29+[4]MJ!AW29+'[4]RB I'!AW29+'[4]SF I'!AW29</f>
        <v>34399.106110366629</v>
      </c>
      <c r="AX29" s="226">
        <f>+[4]SLP!AX29+[4]ROSA!AX29+'[4]STA ANA'!AX29+[4]BOA!AX29+'[4]STA MARIA'!AX29+'[4]CB I'!AX29+'[4]CB II'!AX29+'[4]CB III'!AX29+[4]IG!AX29+[4]PN!AX29+[4]MJ!AX29+'[4]RB I'!AX29+'[4]SF I'!AX29</f>
        <v>0</v>
      </c>
      <c r="AY29" s="226">
        <f>+[4]SLP!AY29+[4]ROSA!AY29+'[4]STA ANA'!AY29+[4]BOA!AY29+'[4]STA MARIA'!AY29+'[4]CB I'!AY29+'[4]CB II'!AY29+'[4]CB III'!AY29+[4]IG!AY29+[4]PN!AY29+[4]MJ!AY29+'[4]RB I'!AY29+'[4]SF I'!AY29</f>
        <v>0</v>
      </c>
      <c r="AZ29" s="166">
        <f>+[4]SLP!AZ29+[4]ROSA!AZ29+'[4]STA ANA'!AZ29+[4]BOA!AZ29+'[4]STA MARIA'!AZ29+'[4]CB I'!AZ29+'[4]CB II'!AZ29+[4]IG!AZ29+[4]PN!AZ29+[4]MJ!AZ29+'[4]RB I'!AZ29+'[4]SÃO FRANCISCO'!AZ29</f>
        <v>0</v>
      </c>
      <c r="BA29" s="224">
        <f t="shared" si="8"/>
        <v>-1</v>
      </c>
      <c r="BB29" s="225">
        <f>+[4]SLP!BB29+[4]ROSA!BB29+'[4]STA ANA'!BB29+[4]BOA!BB29+'[4]STA MARIA'!BB29+'[4]CB I'!BB29+'[4]CB II'!BB29+'[4]CB III'!BB29+[4]IG!BB29+[4]PN!BB29+[4]MJ!BB29+'[4]RB I'!BB29+'[4]SF I'!BB29</f>
        <v>203530.81333333309</v>
      </c>
      <c r="BC29" s="226">
        <f>+[4]SLP!BC29+[4]ROSA!BC29+'[4]STA ANA'!BC29+[4]BOA!BC29+'[4]STA MARIA'!BC29+'[4]CB I'!BC29+'[4]CB II'!BC29+'[4]CB III'!BC29+[4]IG!BC29+[4]PN!BC29+[4]MJ!BC29+'[4]RB I'!BC29+'[4]SF I'!BC29</f>
        <v>178516.87637466649</v>
      </c>
      <c r="BD29" s="226">
        <f>+[4]SLP!BD29+[4]ROSA!BD29+'[4]STA ANA'!BD29+[4]BOA!BD29+'[4]STA MARIA'!BD29+'[4]CB I'!BD29+'[4]CB II'!BD29+'[4]CB III'!BD29+[4]IG!BD29+[4]PN!BD29+[4]MJ!BD29+'[4]RB I'!BD29+'[4]SF I'!BD29</f>
        <v>25013.93695866664</v>
      </c>
      <c r="BE29" s="226">
        <f>+[4]SLP!BE29+[4]ROSA!BE29+'[4]STA ANA'!BE29+[4]BOA!BE29+'[4]STA MARIA'!BE29+'[4]CB I'!BE29+'[4]CB II'!BE29+'[4]CB III'!BE29+[4]IG!BE29+[4]PN!BE29+[4]MJ!BE29+'[4]RB I'!BE29+'[4]SF I'!BE29</f>
        <v>0</v>
      </c>
      <c r="BF29" s="226">
        <f>+[4]SLP!BF29+[4]ROSA!BF29+'[4]STA ANA'!BF29+[4]BOA!BF29+'[4]STA MARIA'!BF29+'[4]CB I'!BF29+'[4]CB II'!BF29+'[4]CB III'!BF29+[4]IG!BF29+[4]PN!BF29+[4]MJ!BF29+'[4]RB I'!BF29+'[4]SF I'!BF29</f>
        <v>0</v>
      </c>
      <c r="BG29" s="166">
        <f>+[4]SLP!BG29+[4]ROSA!BG29+'[4]STA ANA'!BG29+[4]BOA!BG29+'[4]STA MARIA'!BG29+'[4]CB I'!BG29+'[4]CB II'!BG29+'[4]CB III'!BG29+[4]IG!BG29+[4]PN!BG29+[4]MJ!BG29+'[4]RB I'!BG29+'[4]SÃO FRANCISCO'!BG29</f>
        <v>0</v>
      </c>
      <c r="BH29" s="224">
        <f t="shared" si="9"/>
        <v>-1</v>
      </c>
      <c r="BI29" s="225">
        <f>+[4]SLP!BI29+[4]ROSA!BI29+'[4]STA ANA'!BI29+[4]BOA!BI29+'[4]STA MARIA'!BI29+'[4]CB I'!BI29+'[4]CB II'!BI29+'[4]CB III'!BI29+[4]IG!BI29+[4]PN!BI29+[4]MJ!BI29+'[4]RB I'!BI29+'[4]SF I'!BI29</f>
        <v>279895.08633333305</v>
      </c>
      <c r="BJ29" s="226">
        <f>+[4]SLP!BJ29+[4]ROSA!BJ29+'[4]STA ANA'!BJ29+[4]BOA!BJ29+'[4]STA MARIA'!BJ29+'[4]CB I'!BJ29+'[4]CB II'!BJ29+'[4]CB III'!BJ29+[4]IG!BJ29+[4]PN!BJ29+[4]MJ!BJ29+'[4]RB I'!BJ29+'[4]SF I'!BJ29</f>
        <v>245495.98022296643</v>
      </c>
      <c r="BK29" s="226">
        <f>+[4]SLP!BK29+[4]ROSA!BK29+'[4]STA ANA'!BK29+[4]BOA!BK29+'[4]STA MARIA'!BK29+'[4]CB I'!BK29+'[4]CB II'!BK29+'[4]CB III'!BK29+[4]IG!BK29+[4]PN!BK29+[4]MJ!BK29+'[4]RB I'!BK29+'[4]SF I'!BK29</f>
        <v>34399.106110366629</v>
      </c>
      <c r="BL29" s="226">
        <f>+[4]SLP!BL29+[4]ROSA!BL29+'[4]STA ANA'!BL29+[4]BOA!BL29+'[4]STA MARIA'!BL29+'[4]CB I'!BL29+'[4]CB II'!BL29+'[4]CB III'!BL29+[4]IG!BL29+[4]PN!BL29+[4]MJ!BL29+'[4]RB I'!BL29+'[4]SF I'!BL29</f>
        <v>0</v>
      </c>
      <c r="BM29" s="226">
        <f>+[4]SLP!BM29+[4]ROSA!BM29+'[4]STA ANA'!BM29+[4]BOA!BM29+'[4]STA MARIA'!BM29+'[4]CB I'!BM29+'[4]CB II'!BM29+'[4]CB III'!BM29+[4]IG!BM29+[4]PN!BM29+[4]MJ!BM29+'[4]RB I'!BM29+'[4]SF I'!BM29</f>
        <v>0</v>
      </c>
      <c r="BN29" s="166">
        <f>+[4]SLP!BN29+[4]ROSA!BN29+'[4]STA ANA'!BN29+[4]BOA!BN29+'[4]STA MARIA'!BN29+'[4]CB I'!BN29+'[4]CB II'!BN29+'[4]CB III'!BN29+[4]IG!BN29+[4]PN!BN29+[4]MJ!BN29+'[4]RB I'!BN29+'[4]SÃO FRANCISCO'!BN29</f>
        <v>0</v>
      </c>
      <c r="BO29" s="224">
        <f t="shared" si="10"/>
        <v>-1</v>
      </c>
      <c r="BP29" s="225">
        <f>+[4]SLP!BP29+[4]ROSA!BP29+'[4]STA ANA'!BP29+[4]BOA!BP29+'[4]STA MARIA'!BP29+'[4]CB I'!BP29+'[4]CB II'!BP29+'[4]CB III'!BP29+[4]IG!BP29+[4]PN!BP29+[4]MJ!BP29+'[4]RB I'!BP29+'[4]SF I'!BP29</f>
        <v>203530.81333333309</v>
      </c>
      <c r="BQ29" s="226">
        <f>+[4]SLP!BQ29+[4]ROSA!BQ29+'[4]STA ANA'!BQ29+[4]BOA!BQ29+'[4]STA MARIA'!BQ29+'[4]CB I'!BQ29+'[4]CB II'!BQ29+'[4]CB III'!BQ29+[4]IG!BQ29+[4]PN!BQ29+[4]MJ!BQ29+'[4]RB I'!BQ29+'[4]SF I'!BQ29</f>
        <v>178516.87637466649</v>
      </c>
      <c r="BR29" s="226">
        <f>+[4]SLP!BR29+[4]ROSA!BR29+'[4]STA ANA'!BR29+[4]BOA!BR29+'[4]STA MARIA'!BR29+'[4]CB I'!BR29+'[4]CB II'!BR29+'[4]CB III'!BR29+[4]IG!BR29+[4]PN!BR29+[4]MJ!BR29+'[4]RB I'!BR29+'[4]SF I'!BR29</f>
        <v>25013.93695866664</v>
      </c>
      <c r="BS29" s="226">
        <f>+[4]SLP!BS29+[4]ROSA!BS29+'[4]STA ANA'!BS29+[4]BOA!BS29+'[4]STA MARIA'!BS29+'[4]CB I'!BS29+'[4]CB II'!BS29+'[4]CB III'!BS29+[4]IG!BS29+[4]PN!BS29+[4]MJ!BS29+'[4]RB I'!BS29+'[4]SF I'!BS29</f>
        <v>0</v>
      </c>
      <c r="BT29" s="226">
        <f>+[4]SLP!BT29+[4]ROSA!BT29+'[4]STA ANA'!BT29+[4]BOA!BT29+'[4]STA MARIA'!BT29+'[4]CB I'!BT29+'[4]CB II'!BT29+'[4]CB III'!BT29+[4]IG!BT29+[4]PN!BT29+[4]MJ!BT29+'[4]RB I'!BT29+'[4]SF I'!BT29</f>
        <v>0</v>
      </c>
      <c r="BU29" s="166">
        <f>+[4]SLP!BU29+[4]ROSA!BU29+'[4]STA ANA'!BU29+[4]BOA!BU29+'[4]STA MARIA'!BU29+'[4]CB I'!BU29+'[4]CB II'!BU29+'[4]CB III'!BU29+[4]IG!BU29+[4]PN!BU29+[4]MJ!BU29+'[4]RB I'!BU29+'[4]SÃO FRANCISCO'!BU29</f>
        <v>0</v>
      </c>
      <c r="BV29" s="224">
        <f t="shared" si="11"/>
        <v>-1</v>
      </c>
      <c r="BW29" s="225">
        <f>+[4]SLP!BW29+[4]ROSA!BW29+'[4]STA ANA'!BW29+[4]BOA!BW29+'[4]STA MARIA'!BW29+'[4]CB I'!BW29+'[4]CB II'!BW29+'[4]CB III'!BW29+[4]IG!BW29+[4]PN!BW29+[4]MJ!BW29+'[4]RB I'!BW29+'[4]SF I'!BW29</f>
        <v>279895.08633333305</v>
      </c>
      <c r="BX29" s="226">
        <f>+[4]SLP!BX29+[4]ROSA!BX29+'[4]STA ANA'!BX29+[4]BOA!BX29+'[4]STA MARIA'!BX29+'[4]CB I'!BX29+'[4]CB II'!BX29+'[4]CB III'!BX29+[4]IG!BX29+[4]PN!BX29+[4]MJ!BX29+'[4]RB I'!BX29+'[4]SF I'!BX29</f>
        <v>245495.98022296643</v>
      </c>
      <c r="BY29" s="226">
        <f>+[4]SLP!BY29+[4]ROSA!BY29+'[4]STA ANA'!BY29+[4]BOA!BY29+'[4]STA MARIA'!BY29+'[4]CB I'!BY29+'[4]CB II'!BY29+'[4]CB III'!BY29+[4]IG!BY29+[4]PN!BY29+[4]MJ!BY29+'[4]RB I'!BY29+'[4]SF I'!BY29</f>
        <v>34399.106110366629</v>
      </c>
      <c r="BZ29" s="226">
        <f>+[4]SLP!BZ29+[4]ROSA!BZ29+'[4]STA ANA'!BZ29+[4]BOA!BZ29+'[4]STA MARIA'!BZ29+'[4]CB I'!BZ29+'[4]CB II'!BZ29+'[4]CB III'!BZ29+[4]IG!BZ29+[4]PN!BZ29+[4]MJ!BZ29+'[4]RB I'!BZ29+'[4]SF I'!BZ29</f>
        <v>0</v>
      </c>
      <c r="CA29" s="226">
        <f>+[4]SLP!CA29+[4]ROSA!CA29+'[4]STA ANA'!CA29+[4]BOA!CA29+'[4]STA MARIA'!CA29+'[4]CB I'!CA29+'[4]CB II'!CA29+'[4]CB III'!CA29+[4]IG!CA29+[4]PN!CA29+[4]MJ!CA29+'[4]RB I'!CA29+'[4]SF I'!CA29</f>
        <v>0</v>
      </c>
      <c r="CB29" s="166">
        <f>+[4]SLP!CB29+[4]ROSA!CB29+'[4]STA ANA'!CB29+[4]BOA!CB29+'[4]STA MARIA'!CB29+'[4]CB I'!CB29+'[4]CB II'!CB29+'[4]CB III'!CB29+[4]IG!CB29+[4]PN!CB29+[4]MJ!CB29+'[4]RB I'!CB29+'[4]SÃO FRANCISCO'!CB29</f>
        <v>0</v>
      </c>
      <c r="CC29" s="224">
        <f t="shared" si="12"/>
        <v>-1</v>
      </c>
      <c r="CD29" s="225">
        <f>+[4]SLP!CD29+[4]ROSA!CD29+'[4]STA ANA'!CD29+[4]BOA!CD29+'[4]STA MARIA'!CD29+'[4]CB I'!CD29+'[4]CB II'!CD29+'[4]CB III'!CD29+[4]IG!CD29+[4]PN!CD29+[4]MJ!CD29+'[4]RB I'!CD29+'[4]SF I'!CD29</f>
        <v>203530.81333333309</v>
      </c>
      <c r="CE29" s="226">
        <f>+[4]SLP!CE29+[4]ROSA!CE29+'[4]STA ANA'!CE29+[4]BOA!CE29+'[4]STA MARIA'!CE29+'[4]CB I'!CE29+'[4]CB II'!CE29+'[4]CB III'!CE29+[4]IG!CE29+[4]PN!CE29+[4]MJ!CE29+'[4]RB I'!CE29+'[4]SF I'!CE29</f>
        <v>178516.87637466649</v>
      </c>
      <c r="CF29" s="226">
        <f>+[4]SLP!CF29+[4]ROSA!CF29+'[4]STA ANA'!CF29+[4]BOA!CF29+'[4]STA MARIA'!CF29+'[4]CB I'!CF29+'[4]CB II'!CF29+'[4]CB III'!CF29+[4]IG!CF29+[4]PN!CF29+[4]MJ!CF29+'[4]RB I'!CF29+'[4]SF I'!CF29</f>
        <v>25013.93695866664</v>
      </c>
      <c r="CG29" s="226">
        <f>+[4]SLP!CG29+[4]ROSA!CG29+'[4]STA ANA'!CG29+[4]BOA!CG29+'[4]STA MARIA'!CG29+'[4]CB I'!CG29+'[4]CB II'!CG29+'[4]CB III'!CG29+[4]IG!CG29+[4]PN!CG29+[4]MJ!CG29+'[4]RB I'!CG29+'[4]SF I'!CG29</f>
        <v>0</v>
      </c>
      <c r="CH29" s="226">
        <f>+[4]SLP!CH29+[4]ROSA!CH29+'[4]STA ANA'!CH29+[4]BOA!CH29+'[4]STA MARIA'!CH29+'[4]CB I'!CH29+'[4]CB II'!CH29+'[4]CB III'!CH29+[4]IG!CH29+[4]PN!CH29+[4]MJ!CH29+'[4]RB I'!CH29+'[4]SF I'!CH29</f>
        <v>0</v>
      </c>
      <c r="CI29" s="166">
        <f>+[4]SLP!CI29+[4]ROSA!CI29+'[4]STA ANA'!CI29+[4]BOA!CI29+'[4]STA MARIA'!CI29+'[4]CB I'!CI29+'[4]CB II'!CI29+'[4]CB III'!CI29+[4]IG!CI29+[4]PN!CI29+[4]MJ!CI29+'[4]RB I'!CI29+'[4]SÃO FRANCISCO'!CI29</f>
        <v>0</v>
      </c>
      <c r="CJ29" s="224">
        <f t="shared" si="13"/>
        <v>-1</v>
      </c>
      <c r="CK29" s="225">
        <f>+[4]SLP!CK29+[4]ROSA!CK29+'[4]STA ANA'!CK29+[4]BOA!CK29+'[4]STA MARIA'!CK29+'[4]CB I'!CK29+'[4]CB II'!CK29+'[4]CB III'!CK29+[4]IG!CK29+[4]PN!CK29+[4]MJ!CK29+'[4]RB I'!CK29+'[4]SF I'!CK29</f>
        <v>279895.08633333305</v>
      </c>
      <c r="CL29" s="226">
        <f>+[4]SLP!CL29+[4]ROSA!CL29+'[4]STA ANA'!CL29+[4]BOA!CL29+'[4]STA MARIA'!CL29+'[4]CB I'!CL29+'[4]CB II'!CL29+'[4]CB III'!CL29+[4]IG!CL29+[4]PN!CL29+[4]MJ!CL29+'[4]RB I'!CL29+'[4]SF I'!CL29</f>
        <v>245495.98022296643</v>
      </c>
      <c r="CM29" s="226">
        <f>+[4]SLP!CM29+[4]ROSA!CM29+'[4]STA ANA'!CM29+[4]BOA!CM29+'[4]STA MARIA'!CM29+'[4]CB I'!CM29+'[4]CB II'!CM29+'[4]CB III'!CM29+[4]IG!CM29+[4]PN!CM29+[4]MJ!CM29+'[4]RB I'!CM29+'[4]SF I'!CM29</f>
        <v>34399.106110366629</v>
      </c>
      <c r="CN29" s="226">
        <f>+[4]SLP!CN29+[4]ROSA!CN29+'[4]STA ANA'!CN29+[4]BOA!CN29+'[4]STA MARIA'!CN29+'[4]CB I'!CN29+'[4]CB II'!CN29+'[4]CB III'!CN29+[4]IG!CN29+[4]PN!CN29+[4]MJ!CN29+'[4]RB I'!CN29+'[4]SF I'!CN29</f>
        <v>0</v>
      </c>
      <c r="CO29" s="226">
        <f>+[4]SLP!CO29+[4]ROSA!CO29+'[4]STA ANA'!CO29+[4]BOA!CO29+'[4]STA MARIA'!CO29+'[4]CB I'!CO29+'[4]CB II'!CO29+'[4]CB III'!CO29+[4]IG!CO29+[4]PN!CO29+[4]MJ!CO29+'[4]RB I'!CO29+'[4]SF I'!CO29</f>
        <v>0</v>
      </c>
      <c r="CP29" s="166">
        <f>+[4]SLP!CP29+[4]ROSA!CP29+'[4]STA ANA'!CP29+[4]BOA!CP29+'[4]STA MARIA'!CP29+'[4]CB I'!CP29+'[4]CB II'!CP29+'[4]CB III'!CP29+[4]IG!CP29+[4]PN!CP29+[4]MJ!CP29+'[4]RB I'!CP29+'[4]SÃO FRANCISCO'!CP29</f>
        <v>0</v>
      </c>
      <c r="CQ29" s="224">
        <f t="shared" si="14"/>
        <v>-1</v>
      </c>
      <c r="CR29" s="155"/>
      <c r="CS29" s="227" t="e">
        <f t="shared" si="15"/>
        <v>#VALUE!</v>
      </c>
    </row>
    <row r="30" spans="1:97" ht="16" customHeight="1" x14ac:dyDescent="0.2">
      <c r="A30" s="223" t="s">
        <v>54</v>
      </c>
      <c r="B30" s="30">
        <f t="shared" si="0"/>
        <v>1280109.8371065073</v>
      </c>
      <c r="C30" s="31">
        <f t="shared" si="0"/>
        <v>1122784.3381261171</v>
      </c>
      <c r="D30" s="32">
        <f t="shared" si="0"/>
        <v>157325.49898038976</v>
      </c>
      <c r="E30" s="30">
        <f t="shared" si="16"/>
        <v>426703.27903550246</v>
      </c>
      <c r="F30" s="33">
        <f t="shared" si="16"/>
        <v>374261.44604203914</v>
      </c>
      <c r="G30" s="34">
        <f t="shared" si="16"/>
        <v>52441.832993463249</v>
      </c>
      <c r="H30" s="31">
        <f t="shared" si="1"/>
        <v>44558.627148246793</v>
      </c>
      <c r="I30" s="33">
        <f t="shared" si="1"/>
        <v>10328.313520000002</v>
      </c>
      <c r="J30" s="33">
        <f t="shared" si="1"/>
        <v>54886.940668246796</v>
      </c>
      <c r="K30" s="224">
        <f t="shared" si="2"/>
        <v>-0.87136977059958309</v>
      </c>
      <c r="L30" s="225">
        <f>+[4]SLP!L30+[4]ROSA!L30+'[4]STA ANA'!L30+[4]BOA!L30+'[4]STA MARIA'!L30+'[4]CB I'!L30+'[4]CB II'!L30+'[4]CB III'!L30+[4]IG!L30+[4]PN!L30+[4]MJ!L30+'[4]RB I'!L30+'[4]SF I'!L30</f>
        <v>106675.81975887562</v>
      </c>
      <c r="M30" s="226">
        <f>+[4]SLP!M30+[4]ROSA!M30+'[4]STA ANA'!M30+[4]BOA!M30+'[4]STA MARIA'!M30+'[4]CB I'!M30+'[4]CB II'!M30+'[4]CB III'!M30+[4]IG!M30+[4]PN!M30+[4]MJ!M30+'[4]RB I'!M30+'[4]SF I'!M30</f>
        <v>93565.361510509785</v>
      </c>
      <c r="N30" s="226">
        <f>+[4]SLP!N30+[4]ROSA!N30+'[4]STA ANA'!N30+[4]BOA!N30+'[4]STA MARIA'!N30+'[4]CB I'!N30+'[4]CB II'!N30+'[4]CB III'!N30+[4]IG!N30+[4]PN!N30+[4]MJ!N30+'[4]RB I'!N30+'[4]SF I'!N30</f>
        <v>13110.458248365812</v>
      </c>
      <c r="O30" s="226">
        <f>+[4]SLP!O30+[4]ROSA!O30+'[4]STA ANA'!O30+[4]BOA!O30+'[4]STA MARIA'!O30+'[4]CB I'!O30+'[4]CB II'!O30+'[4]CB III'!O30+[4]IG!O30+[4]PN!O30+[4]MJ!O30+'[4]RB I'!O30+'[4]SF I'!O30</f>
        <v>29693.036640768962</v>
      </c>
      <c r="P30" s="226">
        <f>+[4]SLP!P30+[4]ROSA!P30+'[4]STA ANA'!P30+[4]BOA!P30+'[4]STA MARIA'!P30+'[4]CB I'!P30+'[4]CB II'!P30+'[4]CB III'!P30+[4]IG!P30+[4]PN!P30+[4]MJ!P30+'[4]RB I'!P30+'[4]SF I'!P30</f>
        <v>9351.85232</v>
      </c>
      <c r="Q30" s="166">
        <f>+[4]SLP!Q30+[4]ROSA!Q30+'[4]STA ANA'!Q30+[4]BOA!Q30+'[4]STA MARIA'!Q30+'[4]CB I'!Q30+'[4]CB II'!Q30+'[4]CB III'!Q30+[4]IG!Q30+[4]PN!Q30+[4]MJ!Q30+'[4]RB I'!Q30+'[4]SF I'!Q30</f>
        <v>39044.888960768963</v>
      </c>
      <c r="R30" s="224">
        <f t="shared" si="3"/>
        <v>-0.63398557377835041</v>
      </c>
      <c r="S30" s="225">
        <f>+[4]SLP!S30+[4]ROSA!S30+'[4]STA ANA'!S30+[4]BOA!S30+'[4]STA MARIA'!S30+'[4]CB I'!S30+'[4]CB II'!S30+'[4]CB III'!S30+[4]IG!S30+[4]PN!S30+[4]MJ!S30+'[4]RB I'!S30+'[4]SF I'!S30</f>
        <v>106675.81975887562</v>
      </c>
      <c r="T30" s="226">
        <f>+[4]SLP!T30+[4]ROSA!T30+'[4]STA ANA'!T30+[4]BOA!T30+'[4]STA MARIA'!T30+'[4]CB I'!T30+'[4]CB II'!T30+'[4]CB III'!T30+[4]IG!T30+[4]PN!T30+[4]MJ!T30+'[4]RB I'!T30+'[4]SF I'!T30</f>
        <v>93565.361510509785</v>
      </c>
      <c r="U30" s="226">
        <f>+[4]SLP!U30+[4]ROSA!U30+'[4]STA ANA'!U30+[4]BOA!U30+'[4]STA MARIA'!U30+'[4]CB I'!U30+'[4]CB II'!U30+'[4]CB III'!U30+[4]IG!U30+[4]PN!U30+[4]MJ!U30+'[4]RB I'!U30+'[4]SF I'!U30</f>
        <v>13110.458248365812</v>
      </c>
      <c r="V30" s="226">
        <f>+[4]SLP!V30+[4]ROSA!V30+'[4]STA ANA'!V30+[4]BOA!V30+'[4]STA MARIA'!V30+'[4]CB I'!V30+'[4]CB II'!V30+'[4]CB III'!V30+[4]IG!V30+[4]PN!V30+[4]MJ!V30+'[4]RB I'!V30+'[4]SF I'!V30</f>
        <v>6058.3637093444595</v>
      </c>
      <c r="W30" s="226">
        <f>+[4]SLP!W30+[4]ROSA!W30+'[4]STA ANA'!W30+[4]BOA!W30+'[4]STA MARIA'!W30+'[4]CB I'!W30+'[4]CB II'!W30+'[4]CB III'!W30+[4]IG!W30+[4]PN!W30+[4]MJ!W30+'[4]RB I'!W30+'[4]SF I'!W30</f>
        <v>236.68820000000002</v>
      </c>
      <c r="X30" s="166">
        <f>[4]SLP!X30+[4]ROSA!X30+'[4]STA ANA'!X30+[4]BOA!X30+'[4]STA MARIA'!X30+'[4]CB I'!X30+'[4]CB II'!X30+'[4]CB III'!X30+[4]IG!X30+[4]PN!X30+[4]MJ!X30+'[4]RB I'!X30+'[4]SF I'!X30</f>
        <v>6295.0519093444591</v>
      </c>
      <c r="Y30" s="224">
        <f t="shared" si="4"/>
        <v>-0.94098895210204658</v>
      </c>
      <c r="Z30" s="225">
        <f>+[4]SLP!Z30+[4]ROSA!Z30+'[4]STA ANA'!Z30+[4]BOA!Z30+'[4]STA MARIA'!Z30+'[4]CB I'!Z30+'[4]CB II'!Z30+'[4]CB III'!Z30+[4]IG!Z30+[4]PN!Z30+[4]MJ!Z30+'[4]RB I'!Z30+'[4]SF I'!Z30</f>
        <v>106675.81975887562</v>
      </c>
      <c r="AA30" s="226">
        <f>+[4]SLP!AA30+[4]ROSA!AA30+'[4]STA ANA'!AA30+[4]BOA!AA30+'[4]STA MARIA'!AA30+'[4]CB I'!AA30+'[4]CB II'!AA30+'[4]CB III'!AA30+[4]IG!AA30+[4]PN!AA30+[4]MJ!AA30+'[4]RB I'!AA30+'[4]SF I'!AA30</f>
        <v>93565.361510509785</v>
      </c>
      <c r="AB30" s="226">
        <f>+[4]SLP!AB30+[4]ROSA!AB30+'[4]STA ANA'!AB30+[4]BOA!AB30+'[4]STA MARIA'!AB30+'[4]CB I'!AB30+'[4]CB II'!AB30+'[4]CB III'!AB30+[4]IG!AB30+[4]PN!AB30+[4]MJ!AB30+'[4]RB I'!AB30+'[4]SF I'!AB30</f>
        <v>13110.458248365812</v>
      </c>
      <c r="AC30" s="226">
        <f>+[4]SLP!AC30+[4]ROSA!AC30+'[4]STA ANA'!AC30+[4]BOA!AC30+'[4]STA MARIA'!AC30+'[4]CB I'!AC30+'[4]CB II'!AC30+'[4]CB III'!AC30+[4]IG!AC30+[4]PN!AC30+[4]MJ!AC30+'[4]RB I'!AC30+'[4]SF I'!AC30</f>
        <v>4880.0290608107371</v>
      </c>
      <c r="AD30" s="226">
        <f>+[4]SLP!AD30+[4]ROSA!AD30+'[4]STA ANA'!AD30+[4]BOA!AD30+'[4]STA MARIA'!AD30+'[4]CB I'!AD30+'[4]CB II'!AD30+'[4]CB III'!AD30+[4]IG!AD30+[4]PN!AD30+[4]MJ!AD30+'[4]RB I'!AD30+'[4]SF I'!AD30</f>
        <v>487.62900000000002</v>
      </c>
      <c r="AE30" s="166">
        <f>+[4]SLP!AE30+[4]ROSA!AE30+'[4]STA ANA'!AE30+[4]BOA!AE30+'[4]STA MARIA'!AE30+'[4]CB I'!AE30+'[4]CB II'!AE30+'[4]CB III'!AE30+[4]IG!AE30+[4]PN!AE30+[4]MJ!AE30+'[4]RB I'!AE30+'[4]SF I'!AE30</f>
        <v>5367.658060810737</v>
      </c>
      <c r="AF30" s="224">
        <f t="shared" si="5"/>
        <v>-0.94968252343461235</v>
      </c>
      <c r="AG30" s="225">
        <f>+[4]SLP!AG30+[4]ROSA!AG30+'[4]STA ANA'!AG30+[4]BOA!AG30+'[4]STA MARIA'!AG30+'[4]CB I'!AG30+'[4]CB II'!AG30+'[4]CB III'!AG30+[4]IG!AG30+[4]PN!AG30+[4]MJ!AG30+'[4]RB I'!AG30+'[4]SF I'!AG30</f>
        <v>106675.81975887562</v>
      </c>
      <c r="AH30" s="226">
        <f>+[4]SLP!AH30+[4]ROSA!AH30+'[4]STA ANA'!AH30+[4]BOA!AH30+'[4]STA MARIA'!AH30+'[4]CB I'!AH30+'[4]CB II'!AH30+'[4]CB III'!AH30+[4]IG!AH30+[4]PN!AH30+[4]MJ!AH30+'[4]RB I'!AH30+'[4]SF I'!AH30</f>
        <v>93565.361510509785</v>
      </c>
      <c r="AI30" s="226">
        <f>+[4]SLP!AI30+[4]ROSA!AI30+'[4]STA ANA'!AI30+[4]BOA!AI30+'[4]STA MARIA'!AI30+'[4]CB I'!AI30+'[4]CB II'!AI30+'[4]CB III'!AI30+[4]IG!AI30+[4]PN!AI30+[4]MJ!AI30+'[4]RB I'!AI30+'[4]SF I'!AI30</f>
        <v>13110.458248365812</v>
      </c>
      <c r="AJ30" s="226">
        <f>+[4]SLP!AJ30+[4]ROSA!AJ30+'[4]STA ANA'!AJ30+[4]BOA!AJ30+'[4]STA MARIA'!AJ30+'[4]CB I'!AJ30+'[4]CB II'!AJ30+'[4]CB III'!AJ30+[4]IG!AJ30+[4]PN!AJ30+[4]MJ!AJ30+'[4]RB I'!AJ30+'[4]SF I'!AJ30</f>
        <v>3927.1977373226309</v>
      </c>
      <c r="AK30" s="226">
        <f>+[4]SLP!AK30+[4]ROSA!AK30+'[4]STA ANA'!AK30+[4]BOA!AK30+'[4]STA MARIA'!AK30+'[4]CB I'!AK30+'[4]CB II'!AK30+'[4]CB III'!AK30+[4]IG!AK30+[4]PN!AK30+[4]MJ!AK30+'[4]RB I'!AK30+'[4]SF I'!AK30</f>
        <v>252.14400000000003</v>
      </c>
      <c r="AL30" s="166">
        <f>+[4]SLP!AL30+[4]ROSA!AL30+'[4]STA ANA'!AL30+[4]BOA!AL30+'[4]STA MARIA'!AL30+'[4]CB I'!AL30+'[4]CB II'!AL30+'[4]CB III'!AL30+[4]IG!AL30+[4]PN!AL30+[4]MJ!AL30+'[4]RB I'!AL30+'[4]SF I'!AL30</f>
        <v>4179.3417373226312</v>
      </c>
      <c r="AM30" s="224">
        <f t="shared" si="6"/>
        <v>-0.96082203308332292</v>
      </c>
      <c r="AN30" s="225">
        <f>+[4]SLP!AN30+[4]ROSA!AN30+'[4]STA ANA'!AN30+[4]BOA!AN30+'[4]STA MARIA'!AN30+'[4]CB I'!AN30+'[4]CB II'!AN30+'[4]CB III'!AN30+[4]IG!AN30+[4]PN!AN30+[4]MJ!AN30+'[4]RB I'!AN30+'[4]SF I'!AN30</f>
        <v>106675.81975887562</v>
      </c>
      <c r="AO30" s="226">
        <f>+[4]SLP!AO30+[4]ROSA!AO30+'[4]STA ANA'!AO30+[4]BOA!AO30+'[4]STA MARIA'!AO30+'[4]CB I'!AO30+'[4]CB II'!AO30+'[4]CB III'!AO30+[4]IG!AO30+[4]PN!AO30+[4]MJ!AO30+'[4]RB I'!AO30+'[4]SF I'!AO30</f>
        <v>93565.361510509785</v>
      </c>
      <c r="AP30" s="226">
        <f>+[4]SLP!AP30+[4]ROSA!AP30+'[4]STA ANA'!AP30+[4]BOA!AP30+'[4]STA MARIA'!AP30+'[4]CB I'!AP30+'[4]CB II'!AP30+'[4]CB III'!AP30+[4]IG!AP30+[4]PN!AP30+[4]MJ!AP30+'[4]RB I'!AP30+'[4]SF I'!AP30</f>
        <v>13110.458248365812</v>
      </c>
      <c r="AQ30" s="226">
        <f>+[4]SLP!AQ30+[4]ROSA!AQ30+'[4]STA ANA'!AQ30+[4]BOA!AQ30+'[4]STA MARIA'!AQ30+'[4]CB I'!AQ30+'[4]CB II'!AQ30+'[4]CB III'!AQ30+[4]IG!AQ30+[4]PN!AQ30+[4]MJ!AQ30+'[4]RB I'!AQ30+'[4]SF I'!AQ30</f>
        <v>0</v>
      </c>
      <c r="AR30" s="226">
        <f>+[4]SLP!AR30+[4]ROSA!AR30+'[4]STA ANA'!AR30+[4]BOA!AR30+'[4]STA MARIA'!AR30+'[4]CB I'!AR30+'[4]CB II'!AR30+'[4]CB III'!AR30+[4]IG!AR30+[4]PN!AR30+[4]MJ!AR30+'[4]RB I'!AR30+'[4]SF I'!AR30</f>
        <v>0</v>
      </c>
      <c r="AS30" s="166">
        <f>+[4]SLP!AS30+[4]ROSA!AS30+'[4]STA ANA'!AS30+[4]BOA!AS30+'[4]STA MARIA'!AS30+'[4]CB I'!AS30+'[4]CB II'!AS30+'[4]CB III'!AS30+[4]IG!AS30+[4]PN!AS30+[4]MJ!AS30+'[4]RB I'!AS30+'[4]SÃO FRANCISCO'!AS30</f>
        <v>0</v>
      </c>
      <c r="AT30" s="224">
        <f t="shared" si="7"/>
        <v>-1</v>
      </c>
      <c r="AU30" s="225">
        <f>+[4]SLP!AU30+[4]ROSA!AU30+'[4]STA ANA'!AU30+[4]BOA!AU30+'[4]STA MARIA'!AU30+'[4]CB I'!AU30+'[4]CB II'!AU30+'[4]CB III'!AU30+[4]IG!AU30+[4]PN!AU30+[4]MJ!AU30+'[4]RB I'!AU30+'[4]SF I'!AU30</f>
        <v>106675.81975887562</v>
      </c>
      <c r="AV30" s="226">
        <f>+[4]SLP!AV30+[4]ROSA!AV30+'[4]STA ANA'!AV30+[4]BOA!AV30+'[4]STA MARIA'!AV30+'[4]CB I'!AV30+'[4]CB II'!AV30+'[4]CB III'!AV30+[4]IG!AV30+[4]PN!AV30+[4]MJ!AV30+'[4]RB I'!AV30+'[4]SF I'!AV30</f>
        <v>93565.361510509785</v>
      </c>
      <c r="AW30" s="226">
        <f>+[4]SLP!AW30+[4]ROSA!AW30+'[4]STA ANA'!AW30+[4]BOA!AW30+'[4]STA MARIA'!AW30+'[4]CB I'!AW30+'[4]CB II'!AW30+'[4]CB III'!AW30+[4]IG!AW30+[4]PN!AW30+[4]MJ!AW30+'[4]RB I'!AW30+'[4]SF I'!AW30</f>
        <v>13110.458248365812</v>
      </c>
      <c r="AX30" s="226">
        <f>+[4]SLP!AX30+[4]ROSA!AX30+'[4]STA ANA'!AX30+[4]BOA!AX30+'[4]STA MARIA'!AX30+'[4]CB I'!AX30+'[4]CB II'!AX30+'[4]CB III'!AX30+[4]IG!AX30+[4]PN!AX30+[4]MJ!AX30+'[4]RB I'!AX30+'[4]SF I'!AX30</f>
        <v>0</v>
      </c>
      <c r="AY30" s="226">
        <f>+[4]SLP!AY30+[4]ROSA!AY30+'[4]STA ANA'!AY30+[4]BOA!AY30+'[4]STA MARIA'!AY30+'[4]CB I'!AY30+'[4]CB II'!AY30+'[4]CB III'!AY30+[4]IG!AY30+[4]PN!AY30+[4]MJ!AY30+'[4]RB I'!AY30+'[4]SF I'!AY30</f>
        <v>0</v>
      </c>
      <c r="AZ30" s="166">
        <f>+[4]SLP!AZ30+[4]ROSA!AZ30+'[4]STA ANA'!AZ30+[4]BOA!AZ30+'[4]STA MARIA'!AZ30+'[4]CB I'!AZ30+'[4]CB II'!AZ30+[4]IG!AZ30+[4]PN!AZ30+[4]MJ!AZ30+'[4]RB I'!AZ30+'[4]SÃO FRANCISCO'!AZ30</f>
        <v>0</v>
      </c>
      <c r="BA30" s="224">
        <f t="shared" si="8"/>
        <v>-1</v>
      </c>
      <c r="BB30" s="225">
        <f>+[4]SLP!BB30+[4]ROSA!BB30+'[4]STA ANA'!BB30+[4]BOA!BB30+'[4]STA MARIA'!BB30+'[4]CB I'!BB30+'[4]CB II'!BB30+'[4]CB III'!BB30+[4]IG!BB30+[4]PN!BB30+[4]MJ!BB30+'[4]RB I'!BB30+'[4]SF I'!BB30</f>
        <v>106675.81975887562</v>
      </c>
      <c r="BC30" s="226">
        <f>+[4]SLP!BC30+[4]ROSA!BC30+'[4]STA ANA'!BC30+[4]BOA!BC30+'[4]STA MARIA'!BC30+'[4]CB I'!BC30+'[4]CB II'!BC30+'[4]CB III'!BC30+[4]IG!BC30+[4]PN!BC30+[4]MJ!BC30+'[4]RB I'!BC30+'[4]SF I'!BC30</f>
        <v>93565.361510509785</v>
      </c>
      <c r="BD30" s="226">
        <f>+[4]SLP!BD30+[4]ROSA!BD30+'[4]STA ANA'!BD30+[4]BOA!BD30+'[4]STA MARIA'!BD30+'[4]CB I'!BD30+'[4]CB II'!BD30+'[4]CB III'!BD30+[4]IG!BD30+[4]PN!BD30+[4]MJ!BD30+'[4]RB I'!BD30+'[4]SF I'!BD30</f>
        <v>13110.458248365812</v>
      </c>
      <c r="BE30" s="226">
        <f>+[4]SLP!BE30+[4]ROSA!BE30+'[4]STA ANA'!BE30+[4]BOA!BE30+'[4]STA MARIA'!BE30+'[4]CB I'!BE30+'[4]CB II'!BE30+'[4]CB III'!BE30+[4]IG!BE30+[4]PN!BE30+[4]MJ!BE30+'[4]RB I'!BE30+'[4]SF I'!BE30</f>
        <v>0</v>
      </c>
      <c r="BF30" s="226">
        <f>+[4]SLP!BF30+[4]ROSA!BF30+'[4]STA ANA'!BF30+[4]BOA!BF30+'[4]STA MARIA'!BF30+'[4]CB I'!BF30+'[4]CB II'!BF30+'[4]CB III'!BF30+[4]IG!BF30+[4]PN!BF30+[4]MJ!BF30+'[4]RB I'!BF30+'[4]SF I'!BF30</f>
        <v>0</v>
      </c>
      <c r="BG30" s="166">
        <f>+[4]SLP!BG30+[4]ROSA!BG30+'[4]STA ANA'!BG30+[4]BOA!BG30+'[4]STA MARIA'!BG30+'[4]CB I'!BG30+'[4]CB II'!BG30+'[4]CB III'!BG30+[4]IG!BG30+[4]PN!BG30+[4]MJ!BG30+'[4]RB I'!BG30+'[4]SÃO FRANCISCO'!BG30</f>
        <v>0</v>
      </c>
      <c r="BH30" s="224">
        <f t="shared" si="9"/>
        <v>-1</v>
      </c>
      <c r="BI30" s="225">
        <f>+[4]SLP!BI30+[4]ROSA!BI30+'[4]STA ANA'!BI30+[4]BOA!BI30+'[4]STA MARIA'!BI30+'[4]CB I'!BI30+'[4]CB II'!BI30+'[4]CB III'!BI30+[4]IG!BI30+[4]PN!BI30+[4]MJ!BI30+'[4]RB I'!BI30+'[4]SF I'!BI30</f>
        <v>106675.81975887562</v>
      </c>
      <c r="BJ30" s="226">
        <f>+[4]SLP!BJ30+[4]ROSA!BJ30+'[4]STA ANA'!BJ30+[4]BOA!BJ30+'[4]STA MARIA'!BJ30+'[4]CB I'!BJ30+'[4]CB II'!BJ30+'[4]CB III'!BJ30+[4]IG!BJ30+[4]PN!BJ30+[4]MJ!BJ30+'[4]RB I'!BJ30+'[4]SF I'!BJ30</f>
        <v>93565.361510509785</v>
      </c>
      <c r="BK30" s="226">
        <f>+[4]SLP!BK30+[4]ROSA!BK30+'[4]STA ANA'!BK30+[4]BOA!BK30+'[4]STA MARIA'!BK30+'[4]CB I'!BK30+'[4]CB II'!BK30+'[4]CB III'!BK30+[4]IG!BK30+[4]PN!BK30+[4]MJ!BK30+'[4]RB I'!BK30+'[4]SF I'!BK30</f>
        <v>13110.458248365812</v>
      </c>
      <c r="BL30" s="226">
        <f>+[4]SLP!BL30+[4]ROSA!BL30+'[4]STA ANA'!BL30+[4]BOA!BL30+'[4]STA MARIA'!BL30+'[4]CB I'!BL30+'[4]CB II'!BL30+'[4]CB III'!BL30+[4]IG!BL30+[4]PN!BL30+[4]MJ!BL30+'[4]RB I'!BL30+'[4]SF I'!BL30</f>
        <v>0</v>
      </c>
      <c r="BM30" s="226">
        <f>+[4]SLP!BM30+[4]ROSA!BM30+'[4]STA ANA'!BM30+[4]BOA!BM30+'[4]STA MARIA'!BM30+'[4]CB I'!BM30+'[4]CB II'!BM30+'[4]CB III'!BM30+[4]IG!BM30+[4]PN!BM30+[4]MJ!BM30+'[4]RB I'!BM30+'[4]SF I'!BM30</f>
        <v>0</v>
      </c>
      <c r="BN30" s="166">
        <f>+[4]SLP!BN30+[4]ROSA!BN30+'[4]STA ANA'!BN30+[4]BOA!BN30+'[4]STA MARIA'!BN30+'[4]CB I'!BN30+'[4]CB II'!BN30+'[4]CB III'!BN30+[4]IG!BN30+[4]PN!BN30+[4]MJ!BN30+'[4]RB I'!BN30+'[4]SÃO FRANCISCO'!BN30</f>
        <v>0</v>
      </c>
      <c r="BO30" s="224">
        <f t="shared" si="10"/>
        <v>-1</v>
      </c>
      <c r="BP30" s="225">
        <f>+[4]SLP!BP30+[4]ROSA!BP30+'[4]STA ANA'!BP30+[4]BOA!BP30+'[4]STA MARIA'!BP30+'[4]CB I'!BP30+'[4]CB II'!BP30+'[4]CB III'!BP30+[4]IG!BP30+[4]PN!BP30+[4]MJ!BP30+'[4]RB I'!BP30+'[4]SF I'!BP30</f>
        <v>106675.81975887562</v>
      </c>
      <c r="BQ30" s="226">
        <f>+[4]SLP!BQ30+[4]ROSA!BQ30+'[4]STA ANA'!BQ30+[4]BOA!BQ30+'[4]STA MARIA'!BQ30+'[4]CB I'!BQ30+'[4]CB II'!BQ30+'[4]CB III'!BQ30+[4]IG!BQ30+[4]PN!BQ30+[4]MJ!BQ30+'[4]RB I'!BQ30+'[4]SF I'!BQ30</f>
        <v>93565.361510509785</v>
      </c>
      <c r="BR30" s="226">
        <f>+[4]SLP!BR30+[4]ROSA!BR30+'[4]STA ANA'!BR30+[4]BOA!BR30+'[4]STA MARIA'!BR30+'[4]CB I'!BR30+'[4]CB II'!BR30+'[4]CB III'!BR30+[4]IG!BR30+[4]PN!BR30+[4]MJ!BR30+'[4]RB I'!BR30+'[4]SF I'!BR30</f>
        <v>13110.458248365812</v>
      </c>
      <c r="BS30" s="226">
        <f>+[4]SLP!BS30+[4]ROSA!BS30+'[4]STA ANA'!BS30+[4]BOA!BS30+'[4]STA MARIA'!BS30+'[4]CB I'!BS30+'[4]CB II'!BS30+'[4]CB III'!BS30+[4]IG!BS30+[4]PN!BS30+[4]MJ!BS30+'[4]RB I'!BS30+'[4]SF I'!BS30</f>
        <v>0</v>
      </c>
      <c r="BT30" s="226">
        <f>+[4]SLP!BT30+[4]ROSA!BT30+'[4]STA ANA'!BT30+[4]BOA!BT30+'[4]STA MARIA'!BT30+'[4]CB I'!BT30+'[4]CB II'!BT30+'[4]CB III'!BT30+[4]IG!BT30+[4]PN!BT30+[4]MJ!BT30+'[4]RB I'!BT30+'[4]SF I'!BT30</f>
        <v>0</v>
      </c>
      <c r="BU30" s="166">
        <f>+[4]SLP!BU30+[4]ROSA!BU30+'[4]STA ANA'!BU30+[4]BOA!BU30+'[4]STA MARIA'!BU30+'[4]CB I'!BU30+'[4]CB II'!BU30+'[4]CB III'!BU30+[4]IG!BU30+[4]PN!BU30+[4]MJ!BU30+'[4]RB I'!BU30+'[4]SÃO FRANCISCO'!BU30</f>
        <v>0</v>
      </c>
      <c r="BV30" s="224">
        <f t="shared" si="11"/>
        <v>-1</v>
      </c>
      <c r="BW30" s="225">
        <f>+[4]SLP!BW30+[4]ROSA!BW30+'[4]STA ANA'!BW30+[4]BOA!BW30+'[4]STA MARIA'!BW30+'[4]CB I'!BW30+'[4]CB II'!BW30+'[4]CB III'!BW30+[4]IG!BW30+[4]PN!BW30+[4]MJ!BW30+'[4]RB I'!BW30+'[4]SF I'!BW30</f>
        <v>106675.81975887562</v>
      </c>
      <c r="BX30" s="226">
        <f>+[4]SLP!BX30+[4]ROSA!BX30+'[4]STA ANA'!BX30+[4]BOA!BX30+'[4]STA MARIA'!BX30+'[4]CB I'!BX30+'[4]CB II'!BX30+'[4]CB III'!BX30+[4]IG!BX30+[4]PN!BX30+[4]MJ!BX30+'[4]RB I'!BX30+'[4]SF I'!BX30</f>
        <v>93565.361510509785</v>
      </c>
      <c r="BY30" s="226">
        <f>+[4]SLP!BY30+[4]ROSA!BY30+'[4]STA ANA'!BY30+[4]BOA!BY30+'[4]STA MARIA'!BY30+'[4]CB I'!BY30+'[4]CB II'!BY30+'[4]CB III'!BY30+[4]IG!BY30+[4]PN!BY30+[4]MJ!BY30+'[4]RB I'!BY30+'[4]SF I'!BY30</f>
        <v>13110.458248365812</v>
      </c>
      <c r="BZ30" s="226">
        <f>+[4]SLP!BZ30+[4]ROSA!BZ30+'[4]STA ANA'!BZ30+[4]BOA!BZ30+'[4]STA MARIA'!BZ30+'[4]CB I'!BZ30+'[4]CB II'!BZ30+'[4]CB III'!BZ30+[4]IG!BZ30+[4]PN!BZ30+[4]MJ!BZ30+'[4]RB I'!BZ30+'[4]SF I'!BZ30</f>
        <v>0</v>
      </c>
      <c r="CA30" s="226">
        <f>+[4]SLP!CA30+[4]ROSA!CA30+'[4]STA ANA'!CA30+[4]BOA!CA30+'[4]STA MARIA'!CA30+'[4]CB I'!CA30+'[4]CB II'!CA30+'[4]CB III'!CA30+[4]IG!CA30+[4]PN!CA30+[4]MJ!CA30+'[4]RB I'!CA30+'[4]SF I'!CA30</f>
        <v>0</v>
      </c>
      <c r="CB30" s="166">
        <f>+[4]SLP!CB30+[4]ROSA!CB30+'[4]STA ANA'!CB30+[4]BOA!CB30+'[4]STA MARIA'!CB30+'[4]CB I'!CB30+'[4]CB II'!CB30+'[4]CB III'!CB30+[4]IG!CB30+[4]PN!CB30+[4]MJ!CB30+'[4]RB I'!CB30+'[4]SÃO FRANCISCO'!CB30</f>
        <v>0</v>
      </c>
      <c r="CC30" s="224">
        <f t="shared" si="12"/>
        <v>-1</v>
      </c>
      <c r="CD30" s="225">
        <f>+[4]SLP!CD30+[4]ROSA!CD30+'[4]STA ANA'!CD30+[4]BOA!CD30+'[4]STA MARIA'!CD30+'[4]CB I'!CD30+'[4]CB II'!CD30+'[4]CB III'!CD30+[4]IG!CD30+[4]PN!CD30+[4]MJ!CD30+'[4]RB I'!CD30+'[4]SF I'!CD30</f>
        <v>106675.81975887562</v>
      </c>
      <c r="CE30" s="226">
        <f>+[4]SLP!CE30+[4]ROSA!CE30+'[4]STA ANA'!CE30+[4]BOA!CE30+'[4]STA MARIA'!CE30+'[4]CB I'!CE30+'[4]CB II'!CE30+'[4]CB III'!CE30+[4]IG!CE30+[4]PN!CE30+[4]MJ!CE30+'[4]RB I'!CE30+'[4]SF I'!CE30</f>
        <v>93565.361510509785</v>
      </c>
      <c r="CF30" s="226">
        <f>+[4]SLP!CF30+[4]ROSA!CF30+'[4]STA ANA'!CF30+[4]BOA!CF30+'[4]STA MARIA'!CF30+'[4]CB I'!CF30+'[4]CB II'!CF30+'[4]CB III'!CF30+[4]IG!CF30+[4]PN!CF30+[4]MJ!CF30+'[4]RB I'!CF30+'[4]SF I'!CF30</f>
        <v>13110.458248365812</v>
      </c>
      <c r="CG30" s="226">
        <f>+[4]SLP!CG30+[4]ROSA!CG30+'[4]STA ANA'!CG30+[4]BOA!CG30+'[4]STA MARIA'!CG30+'[4]CB I'!CG30+'[4]CB II'!CG30+'[4]CB III'!CG30+[4]IG!CG30+[4]PN!CG30+[4]MJ!CG30+'[4]RB I'!CG30+'[4]SF I'!CG30</f>
        <v>0</v>
      </c>
      <c r="CH30" s="226">
        <f>+[4]SLP!CH30+[4]ROSA!CH30+'[4]STA ANA'!CH30+[4]BOA!CH30+'[4]STA MARIA'!CH30+'[4]CB I'!CH30+'[4]CB II'!CH30+'[4]CB III'!CH30+[4]IG!CH30+[4]PN!CH30+[4]MJ!CH30+'[4]RB I'!CH30+'[4]SF I'!CH30</f>
        <v>0</v>
      </c>
      <c r="CI30" s="166">
        <f>+[4]SLP!CI30+[4]ROSA!CI30+'[4]STA ANA'!CI30+[4]BOA!CI30+'[4]STA MARIA'!CI30+'[4]CB I'!CI30+'[4]CB II'!CI30+'[4]CB III'!CI30+[4]IG!CI30+[4]PN!CI30+[4]MJ!CI30+'[4]RB I'!CI30+'[4]SÃO FRANCISCO'!CI30</f>
        <v>0</v>
      </c>
      <c r="CJ30" s="224">
        <f t="shared" si="13"/>
        <v>-1</v>
      </c>
      <c r="CK30" s="225">
        <f>+[4]SLP!CK30+[4]ROSA!CK30+'[4]STA ANA'!CK30+[4]BOA!CK30+'[4]STA MARIA'!CK30+'[4]CB I'!CK30+'[4]CB II'!CK30+'[4]CB III'!CK30+[4]IG!CK30+[4]PN!CK30+[4]MJ!CK30+'[4]RB I'!CK30+'[4]SF I'!CK30</f>
        <v>106675.81975887562</v>
      </c>
      <c r="CL30" s="226">
        <f>+[4]SLP!CL30+[4]ROSA!CL30+'[4]STA ANA'!CL30+[4]BOA!CL30+'[4]STA MARIA'!CL30+'[4]CB I'!CL30+'[4]CB II'!CL30+'[4]CB III'!CL30+[4]IG!CL30+[4]PN!CL30+[4]MJ!CL30+'[4]RB I'!CL30+'[4]SF I'!CL30</f>
        <v>93565.361510509785</v>
      </c>
      <c r="CM30" s="226">
        <f>+[4]SLP!CM30+[4]ROSA!CM30+'[4]STA ANA'!CM30+[4]BOA!CM30+'[4]STA MARIA'!CM30+'[4]CB I'!CM30+'[4]CB II'!CM30+'[4]CB III'!CM30+[4]IG!CM30+[4]PN!CM30+[4]MJ!CM30+'[4]RB I'!CM30+'[4]SF I'!CM30</f>
        <v>13110.458248365812</v>
      </c>
      <c r="CN30" s="226">
        <f>+[4]SLP!CN30+[4]ROSA!CN30+'[4]STA ANA'!CN30+[4]BOA!CN30+'[4]STA MARIA'!CN30+'[4]CB I'!CN30+'[4]CB II'!CN30+'[4]CB III'!CN30+[4]IG!CN30+[4]PN!CN30+[4]MJ!CN30+'[4]RB I'!CN30+'[4]SF I'!CN30</f>
        <v>0</v>
      </c>
      <c r="CO30" s="226">
        <f>+[4]SLP!CO30+[4]ROSA!CO30+'[4]STA ANA'!CO30+[4]BOA!CO30+'[4]STA MARIA'!CO30+'[4]CB I'!CO30+'[4]CB II'!CO30+'[4]CB III'!CO30+[4]IG!CO30+[4]PN!CO30+[4]MJ!CO30+'[4]RB I'!CO30+'[4]SF I'!CO30</f>
        <v>0</v>
      </c>
      <c r="CP30" s="166">
        <f>+[4]SLP!CP30+[4]ROSA!CP30+'[4]STA ANA'!CP30+[4]BOA!CP30+'[4]STA MARIA'!CP30+'[4]CB I'!CP30+'[4]CB II'!CP30+'[4]CB III'!CP30+[4]IG!CP30+[4]PN!CP30+[4]MJ!CP30+'[4]RB I'!CP30+'[4]SÃO FRANCISCO'!CP30</f>
        <v>0</v>
      </c>
      <c r="CQ30" s="224">
        <f t="shared" si="14"/>
        <v>-1</v>
      </c>
      <c r="CR30" s="104"/>
      <c r="CS30" s="227" t="e">
        <f t="shared" si="15"/>
        <v>#VALUE!</v>
      </c>
    </row>
    <row r="31" spans="1:97" ht="16" customHeight="1" x14ac:dyDescent="0.2">
      <c r="A31" s="228" t="s">
        <v>55</v>
      </c>
      <c r="B31" s="30">
        <f t="shared" si="0"/>
        <v>422628.90618441772</v>
      </c>
      <c r="C31" s="31">
        <f t="shared" si="0"/>
        <v>370687.81361435278</v>
      </c>
      <c r="D31" s="32">
        <f t="shared" si="0"/>
        <v>51941.09257006496</v>
      </c>
      <c r="E31" s="30">
        <f t="shared" si="16"/>
        <v>140876.30206147258</v>
      </c>
      <c r="F31" s="33">
        <f t="shared" si="16"/>
        <v>123562.60453811761</v>
      </c>
      <c r="G31" s="34">
        <f t="shared" si="16"/>
        <v>17313.697523354982</v>
      </c>
      <c r="H31" s="31">
        <f t="shared" si="1"/>
        <v>416956.99548470112</v>
      </c>
      <c r="I31" s="33">
        <f t="shared" si="1"/>
        <v>87559.23323665002</v>
      </c>
      <c r="J31" s="33">
        <f t="shared" si="1"/>
        <v>504516.22872135119</v>
      </c>
      <c r="K31" s="224">
        <f t="shared" si="2"/>
        <v>2.5812710962643042</v>
      </c>
      <c r="L31" s="225">
        <f>+[4]SLP!L31+[4]ROSA!L31+'[4]STA ANA'!L31+[4]BOA!L31+'[4]STA MARIA'!L31+'[4]CB I'!L31+'[4]CB II'!L31+'[4]CB III'!L31+[4]IG!L31+[4]PN!L31+[4]MJ!L31+'[4]RB I'!L31+'[4]SF I'!L31</f>
        <v>35219.075515368146</v>
      </c>
      <c r="M31" s="226">
        <f>+[4]SLP!M31+[4]ROSA!M31+'[4]STA ANA'!M31+[4]BOA!M31+'[4]STA MARIA'!M31+'[4]CB I'!M31+'[4]CB II'!M31+'[4]CB III'!M31+[4]IG!M31+[4]PN!M31+[4]MJ!M31+'[4]RB I'!M31+'[4]SF I'!M31</f>
        <v>30890.651134529402</v>
      </c>
      <c r="N31" s="226">
        <f>+[4]SLP!N31+[4]ROSA!N31+'[4]STA ANA'!N31+[4]BOA!N31+'[4]STA MARIA'!N31+'[4]CB I'!N31+'[4]CB II'!N31+'[4]CB III'!N31+[4]IG!N31+[4]PN!N31+[4]MJ!N31+'[4]RB I'!N31+'[4]SF I'!N31</f>
        <v>4328.4243808387455</v>
      </c>
      <c r="O31" s="226">
        <f>+[4]SLP!O31+[4]ROSA!O31+'[4]STA ANA'!O31+[4]BOA!O31+'[4]STA MARIA'!O31+'[4]CB I'!O31+'[4]CB II'!O31+'[4]CB III'!O31+[4]IG!O31+[4]PN!O31+[4]MJ!O31+'[4]RB I'!O31+'[4]SF I'!O31</f>
        <v>93176.259430642764</v>
      </c>
      <c r="P31" s="226">
        <f>+[4]SLP!P31+[4]ROSA!P31+'[4]STA ANA'!P31+[4]BOA!P31+'[4]STA MARIA'!P31+'[4]CB I'!P31+'[4]CB II'!P31+'[4]CB III'!P31+[4]IG!P31+[4]PN!P31+[4]MJ!P31+'[4]RB I'!P31+'[4]SF I'!P31</f>
        <v>18066.522934344466</v>
      </c>
      <c r="Q31" s="166">
        <f>+[4]SLP!Q31+[4]ROSA!Q31+'[4]STA ANA'!Q31+[4]BOA!Q31+'[4]STA MARIA'!Q31+'[4]CB I'!Q31+'[4]CB II'!Q31+'[4]CB III'!Q31+[4]IG!Q31+[4]PN!Q31+[4]MJ!Q31+'[4]RB I'!Q31+'[4]SF I'!Q31</f>
        <v>111242.78236498722</v>
      </c>
      <c r="R31" s="224">
        <f t="shared" si="3"/>
        <v>2.1585946177504143</v>
      </c>
      <c r="S31" s="225">
        <f>+[4]SLP!S31+[4]ROSA!S31+'[4]STA ANA'!S31+[4]BOA!S31+'[4]STA MARIA'!S31+'[4]CB I'!S31+'[4]CB II'!S31+'[4]CB III'!S31+[4]IG!S31+[4]PN!S31+[4]MJ!S31+'[4]RB I'!S31+'[4]SF I'!S31</f>
        <v>35219.075515368146</v>
      </c>
      <c r="T31" s="226">
        <f>+[4]SLP!T31+[4]ROSA!T31+'[4]STA ANA'!T31+[4]BOA!T31+'[4]STA MARIA'!T31+'[4]CB I'!T31+'[4]CB II'!T31+'[4]CB III'!T31+[4]IG!T31+[4]PN!T31+[4]MJ!T31+'[4]RB I'!T31+'[4]SF I'!T31</f>
        <v>30890.651134529402</v>
      </c>
      <c r="U31" s="226">
        <f>+[4]SLP!U31+[4]ROSA!U31+'[4]STA ANA'!U31+[4]BOA!U31+'[4]STA MARIA'!U31+'[4]CB I'!U31+'[4]CB II'!U31+'[4]CB III'!U31+[4]IG!U31+[4]PN!U31+[4]MJ!U31+'[4]RB I'!U31+'[4]SF I'!U31</f>
        <v>4328.4243808387455</v>
      </c>
      <c r="V31" s="226">
        <f>+[4]SLP!V31+[4]ROSA!V31+'[4]STA ANA'!V31+[4]BOA!V31+'[4]STA MARIA'!V31+'[4]CB I'!V31+'[4]CB II'!V31+'[4]CB III'!V31+[4]IG!V31+[4]PN!V31+[4]MJ!V31+'[4]RB I'!V31+'[4]SF I'!V31</f>
        <v>174431.18314143774</v>
      </c>
      <c r="W31" s="226">
        <f>+[4]SLP!W31+[4]ROSA!W31+'[4]STA ANA'!W31+[4]BOA!W31+'[4]STA MARIA'!W31+'[4]CB I'!W31+'[4]CB II'!W31+'[4]CB III'!W31+[4]IG!W31+[4]PN!W31+[4]MJ!W31+'[4]RB I'!W31+'[4]SF I'!W31</f>
        <v>26684.443881570616</v>
      </c>
      <c r="X31" s="166">
        <f>[4]SLP!X31+[4]ROSA!X31+'[4]STA ANA'!X31+[4]BOA!X31+'[4]STA MARIA'!X31+'[4]CB I'!X31+'[4]CB II'!X31+'[4]CB III'!X31+[4]IG!X31+[4]PN!X31+[4]MJ!X31+'[4]RB I'!X31+'[4]SF I'!X31</f>
        <v>201115.62702300836</v>
      </c>
      <c r="Y31" s="224">
        <f t="shared" si="4"/>
        <v>4.7104175529891421</v>
      </c>
      <c r="Z31" s="225">
        <f>+[4]SLP!Z31+[4]ROSA!Z31+'[4]STA ANA'!Z31+[4]BOA!Z31+'[4]STA MARIA'!Z31+'[4]CB I'!Z31+'[4]CB II'!Z31+'[4]CB III'!Z31+[4]IG!Z31+[4]PN!Z31+[4]MJ!Z31+'[4]RB I'!Z31+'[4]SF I'!Z31</f>
        <v>35219.075515368146</v>
      </c>
      <c r="AA31" s="226">
        <f>+[4]SLP!AA31+[4]ROSA!AA31+'[4]STA ANA'!AA31+[4]BOA!AA31+'[4]STA MARIA'!AA31+'[4]CB I'!AA31+'[4]CB II'!AA31+'[4]CB III'!AA31+[4]IG!AA31+[4]PN!AA31+[4]MJ!AA31+'[4]RB I'!AA31+'[4]SF I'!AA31</f>
        <v>30890.651134529402</v>
      </c>
      <c r="AB31" s="226">
        <f>+[4]SLP!AB31+[4]ROSA!AB31+'[4]STA ANA'!AB31+[4]BOA!AB31+'[4]STA MARIA'!AB31+'[4]CB I'!AB31+'[4]CB II'!AB31+'[4]CB III'!AB31+[4]IG!AB31+[4]PN!AB31+[4]MJ!AB31+'[4]RB I'!AB31+'[4]SF I'!AB31</f>
        <v>4328.4243808387455</v>
      </c>
      <c r="AC31" s="226">
        <f>+[4]SLP!AC31+[4]ROSA!AC31+'[4]STA ANA'!AC31+[4]BOA!AC31+'[4]STA MARIA'!AC31+'[4]CB I'!AC31+'[4]CB II'!AC31+'[4]CB III'!AC31+[4]IG!AC31+[4]PN!AC31+[4]MJ!AC31+'[4]RB I'!AC31+'[4]SF I'!AC31</f>
        <v>51588.779212146321</v>
      </c>
      <c r="AD31" s="226">
        <f>+[4]SLP!AD31+[4]ROSA!AD31+'[4]STA ANA'!AD31+[4]BOA!AD31+'[4]STA MARIA'!AD31+'[4]CB I'!AD31+'[4]CB II'!AD31+'[4]CB III'!AD31+[4]IG!AD31+[4]PN!AD31+[4]MJ!AD31+'[4]RB I'!AD31+'[4]SF I'!AD31</f>
        <v>18554.861073825079</v>
      </c>
      <c r="AE31" s="166">
        <f>+[4]SLP!AE31+[4]ROSA!AE31+'[4]STA ANA'!AE31+[4]BOA!AE31+'[4]STA MARIA'!AE31+'[4]CB I'!AE31+'[4]CB II'!AE31+'[4]CB III'!AE31+[4]IG!AE31+[4]PN!AE31+[4]MJ!AE31+'[4]RB I'!AE31+'[4]SF I'!AE31</f>
        <v>70143.640285971414</v>
      </c>
      <c r="AF31" s="224">
        <f t="shared" si="5"/>
        <v>0.99163774913295599</v>
      </c>
      <c r="AG31" s="225">
        <f>+[4]SLP!AG31+[4]ROSA!AG31+'[4]STA ANA'!AG31+[4]BOA!AG31+'[4]STA MARIA'!AG31+'[4]CB I'!AG31+'[4]CB II'!AG31+'[4]CB III'!AG31+[4]IG!AG31+[4]PN!AG31+[4]MJ!AG31+'[4]RB I'!AG31+'[4]SF I'!AG31</f>
        <v>35219.075515368146</v>
      </c>
      <c r="AH31" s="226">
        <f>+[4]SLP!AH31+[4]ROSA!AH31+'[4]STA ANA'!AH31+[4]BOA!AH31+'[4]STA MARIA'!AH31+'[4]CB I'!AH31+'[4]CB II'!AH31+'[4]CB III'!AH31+[4]IG!AH31+[4]PN!AH31+[4]MJ!AH31+'[4]RB I'!AH31+'[4]SF I'!AH31</f>
        <v>30890.651134529402</v>
      </c>
      <c r="AI31" s="226">
        <f>+[4]SLP!AI31+[4]ROSA!AI31+'[4]STA ANA'!AI31+[4]BOA!AI31+'[4]STA MARIA'!AI31+'[4]CB I'!AI31+'[4]CB II'!AI31+'[4]CB III'!AI31+[4]IG!AI31+[4]PN!AI31+[4]MJ!AI31+'[4]RB I'!AI31+'[4]SF I'!AI31</f>
        <v>4328.4243808387455</v>
      </c>
      <c r="AJ31" s="226">
        <f>+[4]SLP!AJ31+[4]ROSA!AJ31+'[4]STA ANA'!AJ31+[4]BOA!AJ31+'[4]STA MARIA'!AJ31+'[4]CB I'!AJ31+'[4]CB II'!AJ31+'[4]CB III'!AJ31+[4]IG!AJ31+[4]PN!AJ31+[4]MJ!AJ31+'[4]RB I'!AJ31+'[4]SF I'!AJ31</f>
        <v>97760.77370047431</v>
      </c>
      <c r="AK31" s="226">
        <f>+[4]SLP!AK31+[4]ROSA!AK31+'[4]STA ANA'!AK31+[4]BOA!AK31+'[4]STA MARIA'!AK31+'[4]CB I'!AK31+'[4]CB II'!AK31+'[4]CB III'!AK31+[4]IG!AK31+[4]PN!AK31+[4]MJ!AK31+'[4]RB I'!AK31+'[4]SF I'!AK31</f>
        <v>24253.405346909862</v>
      </c>
      <c r="AL31" s="166">
        <f>+[4]SLP!AL31+[4]ROSA!AL31+'[4]STA ANA'!AL31+[4]BOA!AL31+'[4]STA MARIA'!AL31+'[4]CB I'!AL31+'[4]CB II'!AL31+'[4]CB III'!AL31+[4]IG!AL31+[4]PN!AL31+[4]MJ!AL31+'[4]RB I'!AL31+'[4]SF I'!AL31</f>
        <v>122014.17904738417</v>
      </c>
      <c r="AM31" s="224">
        <f t="shared" si="6"/>
        <v>2.4644344651847048</v>
      </c>
      <c r="AN31" s="225">
        <f>+[4]SLP!AN31+[4]ROSA!AN31+'[4]STA ANA'!AN31+[4]BOA!AN31+'[4]STA MARIA'!AN31+'[4]CB I'!AN31+'[4]CB II'!AN31+'[4]CB III'!AN31+[4]IG!AN31+[4]PN!AN31+[4]MJ!AN31+'[4]RB I'!AN31+'[4]SF I'!AN31</f>
        <v>35219.075515368146</v>
      </c>
      <c r="AO31" s="226">
        <f>+[4]SLP!AO31+[4]ROSA!AO31+'[4]STA ANA'!AO31+[4]BOA!AO31+'[4]STA MARIA'!AO31+'[4]CB I'!AO31+'[4]CB II'!AO31+'[4]CB III'!AO31+[4]IG!AO31+[4]PN!AO31+[4]MJ!AO31+'[4]RB I'!AO31+'[4]SF I'!AO31</f>
        <v>30890.651134529402</v>
      </c>
      <c r="AP31" s="226">
        <f>+[4]SLP!AP31+[4]ROSA!AP31+'[4]STA ANA'!AP31+[4]BOA!AP31+'[4]STA MARIA'!AP31+'[4]CB I'!AP31+'[4]CB II'!AP31+'[4]CB III'!AP31+[4]IG!AP31+[4]PN!AP31+[4]MJ!AP31+'[4]RB I'!AP31+'[4]SF I'!AP31</f>
        <v>4328.4243808387455</v>
      </c>
      <c r="AQ31" s="226">
        <f>+[4]SLP!AQ31+[4]ROSA!AQ31+'[4]STA ANA'!AQ31+[4]BOA!AQ31+'[4]STA MARIA'!AQ31+'[4]CB I'!AQ31+'[4]CB II'!AQ31+'[4]CB III'!AQ31+[4]IG!AQ31+[4]PN!AQ31+[4]MJ!AQ31+'[4]RB I'!AQ31+'[4]SF I'!AQ31</f>
        <v>0</v>
      </c>
      <c r="AR31" s="226">
        <f>+[4]SLP!AR31+[4]ROSA!AR31+'[4]STA ANA'!AR31+[4]BOA!AR31+'[4]STA MARIA'!AR31+'[4]CB I'!AR31+'[4]CB II'!AR31+'[4]CB III'!AR31+[4]IG!AR31+[4]PN!AR31+[4]MJ!AR31+'[4]RB I'!AR31+'[4]SF I'!AR31</f>
        <v>0</v>
      </c>
      <c r="AS31" s="166">
        <f>+[4]SLP!AS31+[4]ROSA!AS31+'[4]STA ANA'!AS31+[4]BOA!AS31+'[4]STA MARIA'!AS31+'[4]CB I'!AS31+'[4]CB II'!AS31+'[4]CB III'!AS31+[4]IG!AS31+[4]PN!AS31+[4]MJ!AS31+'[4]RB I'!AS31+'[4]SÃO FRANCISCO'!AS31</f>
        <v>0</v>
      </c>
      <c r="AT31" s="224">
        <f t="shared" si="7"/>
        <v>-1</v>
      </c>
      <c r="AU31" s="225">
        <f>+[4]SLP!AU31+[4]ROSA!AU31+'[4]STA ANA'!AU31+[4]BOA!AU31+'[4]STA MARIA'!AU31+'[4]CB I'!AU31+'[4]CB II'!AU31+'[4]CB III'!AU31+[4]IG!AU31+[4]PN!AU31+[4]MJ!AU31+'[4]RB I'!AU31+'[4]SF I'!AU31</f>
        <v>35219.075515368146</v>
      </c>
      <c r="AV31" s="226">
        <f>+[4]SLP!AV31+[4]ROSA!AV31+'[4]STA ANA'!AV31+[4]BOA!AV31+'[4]STA MARIA'!AV31+'[4]CB I'!AV31+'[4]CB II'!AV31+'[4]CB III'!AV31+[4]IG!AV31+[4]PN!AV31+[4]MJ!AV31+'[4]RB I'!AV31+'[4]SF I'!AV31</f>
        <v>30890.651134529402</v>
      </c>
      <c r="AW31" s="226">
        <f>+[4]SLP!AW31+[4]ROSA!AW31+'[4]STA ANA'!AW31+[4]BOA!AW31+'[4]STA MARIA'!AW31+'[4]CB I'!AW31+'[4]CB II'!AW31+'[4]CB III'!AW31+[4]IG!AW31+[4]PN!AW31+[4]MJ!AW31+'[4]RB I'!AW31+'[4]SF I'!AW31</f>
        <v>4328.4243808387455</v>
      </c>
      <c r="AX31" s="226">
        <f>+[4]SLP!AX31+[4]ROSA!AX31+'[4]STA ANA'!AX31+[4]BOA!AX31+'[4]STA MARIA'!AX31+'[4]CB I'!AX31+'[4]CB II'!AX31+'[4]CB III'!AX31+[4]IG!AX31+[4]PN!AX31+[4]MJ!AX31+'[4]RB I'!AX31+'[4]SF I'!AX31</f>
        <v>0</v>
      </c>
      <c r="AY31" s="226">
        <f>+[4]SLP!AY31+[4]ROSA!AY31+'[4]STA ANA'!AY31+[4]BOA!AY31+'[4]STA MARIA'!AY31+'[4]CB I'!AY31+'[4]CB II'!AY31+'[4]CB III'!AY31+[4]IG!AY31+[4]PN!AY31+[4]MJ!AY31+'[4]RB I'!AY31+'[4]SF I'!AY31</f>
        <v>0</v>
      </c>
      <c r="AZ31" s="166">
        <f>+[4]SLP!AZ31+[4]ROSA!AZ31+'[4]STA ANA'!AZ31+[4]BOA!AZ31+'[4]STA MARIA'!AZ31+'[4]CB I'!AZ31+'[4]CB II'!AZ31+[4]IG!AZ31+[4]PN!AZ31+[4]MJ!AZ31+'[4]RB I'!AZ31+'[4]SÃO FRANCISCO'!AZ31</f>
        <v>0</v>
      </c>
      <c r="BA31" s="224">
        <f t="shared" si="8"/>
        <v>-1</v>
      </c>
      <c r="BB31" s="225">
        <f>+[4]SLP!BB31+[4]ROSA!BB31+'[4]STA ANA'!BB31+[4]BOA!BB31+'[4]STA MARIA'!BB31+'[4]CB I'!BB31+'[4]CB II'!BB31+'[4]CB III'!BB31+[4]IG!BB31+[4]PN!BB31+[4]MJ!BB31+'[4]RB I'!BB31+'[4]SF I'!BB31</f>
        <v>35219.075515368146</v>
      </c>
      <c r="BC31" s="226">
        <f>+[4]SLP!BC31+[4]ROSA!BC31+'[4]STA ANA'!BC31+[4]BOA!BC31+'[4]STA MARIA'!BC31+'[4]CB I'!BC31+'[4]CB II'!BC31+'[4]CB III'!BC31+[4]IG!BC31+[4]PN!BC31+[4]MJ!BC31+'[4]RB I'!BC31+'[4]SF I'!BC31</f>
        <v>30890.651134529402</v>
      </c>
      <c r="BD31" s="226">
        <f>+[4]SLP!BD31+[4]ROSA!BD31+'[4]STA ANA'!BD31+[4]BOA!BD31+'[4]STA MARIA'!BD31+'[4]CB I'!BD31+'[4]CB II'!BD31+'[4]CB III'!BD31+[4]IG!BD31+[4]PN!BD31+[4]MJ!BD31+'[4]RB I'!BD31+'[4]SF I'!BD31</f>
        <v>4328.4243808387455</v>
      </c>
      <c r="BE31" s="226">
        <f>+[4]SLP!BE31+[4]ROSA!BE31+'[4]STA ANA'!BE31+[4]BOA!BE31+'[4]STA MARIA'!BE31+'[4]CB I'!BE31+'[4]CB II'!BE31+'[4]CB III'!BE31+[4]IG!BE31+[4]PN!BE31+[4]MJ!BE31+'[4]RB I'!BE31+'[4]SF I'!BE31</f>
        <v>0</v>
      </c>
      <c r="BF31" s="226">
        <f>+[4]SLP!BF31+[4]ROSA!BF31+'[4]STA ANA'!BF31+[4]BOA!BF31+'[4]STA MARIA'!BF31+'[4]CB I'!BF31+'[4]CB II'!BF31+'[4]CB III'!BF31+[4]IG!BF31+[4]PN!BF31+[4]MJ!BF31+'[4]RB I'!BF31+'[4]SF I'!BF31</f>
        <v>0</v>
      </c>
      <c r="BG31" s="166">
        <f>+[4]SLP!BG31+[4]ROSA!BG31+'[4]STA ANA'!BG31+[4]BOA!BG31+'[4]STA MARIA'!BG31+'[4]CB I'!BG31+'[4]CB II'!BG31+'[4]CB III'!BG31+[4]IG!BG31+[4]PN!BG31+[4]MJ!BG31+'[4]RB I'!BG31+'[4]SÃO FRANCISCO'!BG31</f>
        <v>0</v>
      </c>
      <c r="BH31" s="224">
        <f t="shared" si="9"/>
        <v>-1</v>
      </c>
      <c r="BI31" s="225">
        <f>+[4]SLP!BI31+[4]ROSA!BI31+'[4]STA ANA'!BI31+[4]BOA!BI31+'[4]STA MARIA'!BI31+'[4]CB I'!BI31+'[4]CB II'!BI31+'[4]CB III'!BI31+[4]IG!BI31+[4]PN!BI31+[4]MJ!BI31+'[4]RB I'!BI31+'[4]SF I'!BI31</f>
        <v>35219.075515368146</v>
      </c>
      <c r="BJ31" s="226">
        <f>+[4]SLP!BJ31+[4]ROSA!BJ31+'[4]STA ANA'!BJ31+[4]BOA!BJ31+'[4]STA MARIA'!BJ31+'[4]CB I'!BJ31+'[4]CB II'!BJ31+'[4]CB III'!BJ31+[4]IG!BJ31+[4]PN!BJ31+[4]MJ!BJ31+'[4]RB I'!BJ31+'[4]SF I'!BJ31</f>
        <v>30890.651134529402</v>
      </c>
      <c r="BK31" s="226">
        <f>+[4]SLP!BK31+[4]ROSA!BK31+'[4]STA ANA'!BK31+[4]BOA!BK31+'[4]STA MARIA'!BK31+'[4]CB I'!BK31+'[4]CB II'!BK31+'[4]CB III'!BK31+[4]IG!BK31+[4]PN!BK31+[4]MJ!BK31+'[4]RB I'!BK31+'[4]SF I'!BK31</f>
        <v>4328.4243808387455</v>
      </c>
      <c r="BL31" s="226">
        <f>+[4]SLP!BL31+[4]ROSA!BL31+'[4]STA ANA'!BL31+[4]BOA!BL31+'[4]STA MARIA'!BL31+'[4]CB I'!BL31+'[4]CB II'!BL31+'[4]CB III'!BL31+[4]IG!BL31+[4]PN!BL31+[4]MJ!BL31+'[4]RB I'!BL31+'[4]SF I'!BL31</f>
        <v>0</v>
      </c>
      <c r="BM31" s="226">
        <f>+[4]SLP!BM31+[4]ROSA!BM31+'[4]STA ANA'!BM31+[4]BOA!BM31+'[4]STA MARIA'!BM31+'[4]CB I'!BM31+'[4]CB II'!BM31+'[4]CB III'!BM31+[4]IG!BM31+[4]PN!BM31+[4]MJ!BM31+'[4]RB I'!BM31+'[4]SF I'!BM31</f>
        <v>0</v>
      </c>
      <c r="BN31" s="166">
        <f>+[4]SLP!BN31+[4]ROSA!BN31+'[4]STA ANA'!BN31+[4]BOA!BN31+'[4]STA MARIA'!BN31+'[4]CB I'!BN31+'[4]CB II'!BN31+'[4]CB III'!BN31+[4]IG!BN31+[4]PN!BN31+[4]MJ!BN31+'[4]RB I'!BN31+'[4]SÃO FRANCISCO'!BN31</f>
        <v>0</v>
      </c>
      <c r="BO31" s="224">
        <f t="shared" si="10"/>
        <v>-1</v>
      </c>
      <c r="BP31" s="225">
        <f>+[4]SLP!BP31+[4]ROSA!BP31+'[4]STA ANA'!BP31+[4]BOA!BP31+'[4]STA MARIA'!BP31+'[4]CB I'!BP31+'[4]CB II'!BP31+'[4]CB III'!BP31+[4]IG!BP31+[4]PN!BP31+[4]MJ!BP31+'[4]RB I'!BP31+'[4]SF I'!BP31</f>
        <v>35219.075515368146</v>
      </c>
      <c r="BQ31" s="226">
        <f>+[4]SLP!BQ31+[4]ROSA!BQ31+'[4]STA ANA'!BQ31+[4]BOA!BQ31+'[4]STA MARIA'!BQ31+'[4]CB I'!BQ31+'[4]CB II'!BQ31+'[4]CB III'!BQ31+[4]IG!BQ31+[4]PN!BQ31+[4]MJ!BQ31+'[4]RB I'!BQ31+'[4]SF I'!BQ31</f>
        <v>30890.651134529402</v>
      </c>
      <c r="BR31" s="226">
        <f>+[4]SLP!BR31+[4]ROSA!BR31+'[4]STA ANA'!BR31+[4]BOA!BR31+'[4]STA MARIA'!BR31+'[4]CB I'!BR31+'[4]CB II'!BR31+'[4]CB III'!BR31+[4]IG!BR31+[4]PN!BR31+[4]MJ!BR31+'[4]RB I'!BR31+'[4]SF I'!BR31</f>
        <v>4328.4243808387455</v>
      </c>
      <c r="BS31" s="226">
        <f>+[4]SLP!BS31+[4]ROSA!BS31+'[4]STA ANA'!BS31+[4]BOA!BS31+'[4]STA MARIA'!BS31+'[4]CB I'!BS31+'[4]CB II'!BS31+'[4]CB III'!BS31+[4]IG!BS31+[4]PN!BS31+[4]MJ!BS31+'[4]RB I'!BS31+'[4]SF I'!BS31</f>
        <v>0</v>
      </c>
      <c r="BT31" s="226">
        <f>+[4]SLP!BT31+[4]ROSA!BT31+'[4]STA ANA'!BT31+[4]BOA!BT31+'[4]STA MARIA'!BT31+'[4]CB I'!BT31+'[4]CB II'!BT31+'[4]CB III'!BT31+[4]IG!BT31+[4]PN!BT31+[4]MJ!BT31+'[4]RB I'!BT31+'[4]SF I'!BT31</f>
        <v>0</v>
      </c>
      <c r="BU31" s="166">
        <f>+[4]SLP!BU31+[4]ROSA!BU31+'[4]STA ANA'!BU31+[4]BOA!BU31+'[4]STA MARIA'!BU31+'[4]CB I'!BU31+'[4]CB II'!BU31+'[4]CB III'!BU31+[4]IG!BU31+[4]PN!BU31+[4]MJ!BU31+'[4]RB I'!BU31+'[4]SÃO FRANCISCO'!BU31</f>
        <v>0</v>
      </c>
      <c r="BV31" s="224">
        <f t="shared" si="11"/>
        <v>-1</v>
      </c>
      <c r="BW31" s="225">
        <f>+[4]SLP!BW31+[4]ROSA!BW31+'[4]STA ANA'!BW31+[4]BOA!BW31+'[4]STA MARIA'!BW31+'[4]CB I'!BW31+'[4]CB II'!BW31+'[4]CB III'!BW31+[4]IG!BW31+[4]PN!BW31+[4]MJ!BW31+'[4]RB I'!BW31+'[4]SF I'!BW31</f>
        <v>35219.075515368146</v>
      </c>
      <c r="BX31" s="226">
        <f>+[4]SLP!BX31+[4]ROSA!BX31+'[4]STA ANA'!BX31+[4]BOA!BX31+'[4]STA MARIA'!BX31+'[4]CB I'!BX31+'[4]CB II'!BX31+'[4]CB III'!BX31+[4]IG!BX31+[4]PN!BX31+[4]MJ!BX31+'[4]RB I'!BX31+'[4]SF I'!BX31</f>
        <v>30890.651134529402</v>
      </c>
      <c r="BY31" s="226">
        <f>+[4]SLP!BY31+[4]ROSA!BY31+'[4]STA ANA'!BY31+[4]BOA!BY31+'[4]STA MARIA'!BY31+'[4]CB I'!BY31+'[4]CB II'!BY31+'[4]CB III'!BY31+[4]IG!BY31+[4]PN!BY31+[4]MJ!BY31+'[4]RB I'!BY31+'[4]SF I'!BY31</f>
        <v>4328.4243808387455</v>
      </c>
      <c r="BZ31" s="226">
        <f>+[4]SLP!BZ31+[4]ROSA!BZ31+'[4]STA ANA'!BZ31+[4]BOA!BZ31+'[4]STA MARIA'!BZ31+'[4]CB I'!BZ31+'[4]CB II'!BZ31+'[4]CB III'!BZ31+[4]IG!BZ31+[4]PN!BZ31+[4]MJ!BZ31+'[4]RB I'!BZ31+'[4]SF I'!BZ31</f>
        <v>0</v>
      </c>
      <c r="CA31" s="226">
        <f>+[4]SLP!CA31+[4]ROSA!CA31+'[4]STA ANA'!CA31+[4]BOA!CA31+'[4]STA MARIA'!CA31+'[4]CB I'!CA31+'[4]CB II'!CA31+'[4]CB III'!CA31+[4]IG!CA31+[4]PN!CA31+[4]MJ!CA31+'[4]RB I'!CA31+'[4]SF I'!CA31</f>
        <v>0</v>
      </c>
      <c r="CB31" s="166">
        <f>+[4]SLP!CB31+[4]ROSA!CB31+'[4]STA ANA'!CB31+[4]BOA!CB31+'[4]STA MARIA'!CB31+'[4]CB I'!CB31+'[4]CB II'!CB31+'[4]CB III'!CB31+[4]IG!CB31+[4]PN!CB31+[4]MJ!CB31+'[4]RB I'!CB31+'[4]SÃO FRANCISCO'!CB31</f>
        <v>0</v>
      </c>
      <c r="CC31" s="224">
        <f t="shared" si="12"/>
        <v>-1</v>
      </c>
      <c r="CD31" s="225">
        <f>+[4]SLP!CD31+[4]ROSA!CD31+'[4]STA ANA'!CD31+[4]BOA!CD31+'[4]STA MARIA'!CD31+'[4]CB I'!CD31+'[4]CB II'!CD31+'[4]CB III'!CD31+[4]IG!CD31+[4]PN!CD31+[4]MJ!CD31+'[4]RB I'!CD31+'[4]SF I'!CD31</f>
        <v>35219.075515368146</v>
      </c>
      <c r="CE31" s="226">
        <f>+[4]SLP!CE31+[4]ROSA!CE31+'[4]STA ANA'!CE31+[4]BOA!CE31+'[4]STA MARIA'!CE31+'[4]CB I'!CE31+'[4]CB II'!CE31+'[4]CB III'!CE31+[4]IG!CE31+[4]PN!CE31+[4]MJ!CE31+'[4]RB I'!CE31+'[4]SF I'!CE31</f>
        <v>30890.651134529402</v>
      </c>
      <c r="CF31" s="226">
        <f>+[4]SLP!CF31+[4]ROSA!CF31+'[4]STA ANA'!CF31+[4]BOA!CF31+'[4]STA MARIA'!CF31+'[4]CB I'!CF31+'[4]CB II'!CF31+'[4]CB III'!CF31+[4]IG!CF31+[4]PN!CF31+[4]MJ!CF31+'[4]RB I'!CF31+'[4]SF I'!CF31</f>
        <v>4328.4243808387455</v>
      </c>
      <c r="CG31" s="226">
        <f>+[4]SLP!CG31+[4]ROSA!CG31+'[4]STA ANA'!CG31+[4]BOA!CG31+'[4]STA MARIA'!CG31+'[4]CB I'!CG31+'[4]CB II'!CG31+'[4]CB III'!CG31+[4]IG!CG31+[4]PN!CG31+[4]MJ!CG31+'[4]RB I'!CG31+'[4]SF I'!CG31</f>
        <v>0</v>
      </c>
      <c r="CH31" s="226">
        <f>+[4]SLP!CH31+[4]ROSA!CH31+'[4]STA ANA'!CH31+[4]BOA!CH31+'[4]STA MARIA'!CH31+'[4]CB I'!CH31+'[4]CB II'!CH31+'[4]CB III'!CH31+[4]IG!CH31+[4]PN!CH31+[4]MJ!CH31+'[4]RB I'!CH31+'[4]SF I'!CH31</f>
        <v>0</v>
      </c>
      <c r="CI31" s="166">
        <f>+[4]SLP!CI31+[4]ROSA!CI31+'[4]STA ANA'!CI31+[4]BOA!CI31+'[4]STA MARIA'!CI31+'[4]CB I'!CI31+'[4]CB II'!CI31+'[4]CB III'!CI31+[4]IG!CI31+[4]PN!CI31+[4]MJ!CI31+'[4]RB I'!CI31+'[4]SÃO FRANCISCO'!CI31</f>
        <v>0</v>
      </c>
      <c r="CJ31" s="224">
        <f t="shared" si="13"/>
        <v>-1</v>
      </c>
      <c r="CK31" s="225">
        <f>+[4]SLP!CK31+[4]ROSA!CK31+'[4]STA ANA'!CK31+[4]BOA!CK31+'[4]STA MARIA'!CK31+'[4]CB I'!CK31+'[4]CB II'!CK31+'[4]CB III'!CK31+[4]IG!CK31+[4]PN!CK31+[4]MJ!CK31+'[4]RB I'!CK31+'[4]SF I'!CK31</f>
        <v>35219.075515368146</v>
      </c>
      <c r="CL31" s="226">
        <f>+[4]SLP!CL31+[4]ROSA!CL31+'[4]STA ANA'!CL31+[4]BOA!CL31+'[4]STA MARIA'!CL31+'[4]CB I'!CL31+'[4]CB II'!CL31+'[4]CB III'!CL31+[4]IG!CL31+[4]PN!CL31+[4]MJ!CL31+'[4]RB I'!CL31+'[4]SF I'!CL31</f>
        <v>30890.651134529402</v>
      </c>
      <c r="CM31" s="226">
        <f>+[4]SLP!CM31+[4]ROSA!CM31+'[4]STA ANA'!CM31+[4]BOA!CM31+'[4]STA MARIA'!CM31+'[4]CB I'!CM31+'[4]CB II'!CM31+'[4]CB III'!CM31+[4]IG!CM31+[4]PN!CM31+[4]MJ!CM31+'[4]RB I'!CM31+'[4]SF I'!CM31</f>
        <v>4328.4243808387455</v>
      </c>
      <c r="CN31" s="226">
        <f>+[4]SLP!CN31+[4]ROSA!CN31+'[4]STA ANA'!CN31+[4]BOA!CN31+'[4]STA MARIA'!CN31+'[4]CB I'!CN31+'[4]CB II'!CN31+'[4]CB III'!CN31+[4]IG!CN31+[4]PN!CN31+[4]MJ!CN31+'[4]RB I'!CN31+'[4]SF I'!CN31</f>
        <v>0</v>
      </c>
      <c r="CO31" s="226">
        <f>+[4]SLP!CO31+[4]ROSA!CO31+'[4]STA ANA'!CO31+[4]BOA!CO31+'[4]STA MARIA'!CO31+'[4]CB I'!CO31+'[4]CB II'!CO31+'[4]CB III'!CO31+[4]IG!CO31+[4]PN!CO31+[4]MJ!CO31+'[4]RB I'!CO31+'[4]SF I'!CO31</f>
        <v>0</v>
      </c>
      <c r="CP31" s="166">
        <f>+[4]SLP!CP31+[4]ROSA!CP31+'[4]STA ANA'!CP31+[4]BOA!CP31+'[4]STA MARIA'!CP31+'[4]CB I'!CP31+'[4]CB II'!CP31+'[4]CB III'!CP31+[4]IG!CP31+[4]PN!CP31+[4]MJ!CP31+'[4]RB I'!CP31+'[4]SÃO FRANCISCO'!CP31</f>
        <v>0</v>
      </c>
      <c r="CQ31" s="224">
        <f t="shared" si="14"/>
        <v>-1</v>
      </c>
      <c r="CR31" s="155"/>
      <c r="CS31" s="227" t="e">
        <f t="shared" si="15"/>
        <v>#VALUE!</v>
      </c>
    </row>
    <row r="32" spans="1:97" ht="16" customHeight="1" x14ac:dyDescent="0.2">
      <c r="A32" s="223" t="s">
        <v>207</v>
      </c>
      <c r="B32" s="30">
        <f t="shared" si="0"/>
        <v>36806262.976845324</v>
      </c>
      <c r="C32" s="31">
        <f t="shared" si="0"/>
        <v>32282773.25699104</v>
      </c>
      <c r="D32" s="32">
        <f t="shared" si="0"/>
        <v>4523489.7198542906</v>
      </c>
      <c r="E32" s="30">
        <f t="shared" si="16"/>
        <v>19569448.142397329</v>
      </c>
      <c r="F32" s="33">
        <f t="shared" si="16"/>
        <v>17164362.965696696</v>
      </c>
      <c r="G32" s="34">
        <f t="shared" si="16"/>
        <v>2405085.1767006312</v>
      </c>
      <c r="H32" s="31">
        <f t="shared" si="1"/>
        <v>16063316.719494568</v>
      </c>
      <c r="I32" s="33">
        <f t="shared" si="1"/>
        <v>1570293.5837214331</v>
      </c>
      <c r="J32" s="33">
        <f t="shared" si="1"/>
        <v>17633610.303216003</v>
      </c>
      <c r="K32" s="224">
        <f t="shared" si="2"/>
        <v>-9.892143228031669E-2</v>
      </c>
      <c r="L32" s="225">
        <f>+[4]SLP!L32+[4]ROSA!L32+'[4]STA ANA'!L32+[4]BOA!L32+'[4]STA MARIA'!L32+'[4]CB I'!L32+'[4]CB II'!L32+'[4]CB III'!L32+[4]IG!L32+[4]PN!L32+[4]MJ!L32+'[4]RB I'!L32+'[4]SF I'!L32</f>
        <v>5484154.0041479366</v>
      </c>
      <c r="M32" s="226">
        <f>+[4]SLP!M32+[4]ROSA!M32+'[4]STA ANA'!M32+[4]BOA!M32+'[4]STA MARIA'!M32+'[4]CB I'!M32+'[4]CB II'!M32+'[4]CB III'!M32+[4]IG!M32+[4]PN!M32+[4]MJ!M32+'[4]RB I'!M32+'[4]SF I'!M32</f>
        <v>4810151.4770381562</v>
      </c>
      <c r="N32" s="226">
        <f>+[4]SLP!N32+[4]ROSA!N32+'[4]STA ANA'!N32+[4]BOA!N32+'[4]STA MARIA'!N32+'[4]CB I'!N32+'[4]CB II'!N32+'[4]CB III'!N32+[4]IG!N32+[4]PN!N32+[4]MJ!N32+'[4]RB I'!N32+'[4]SF I'!N32</f>
        <v>674002.5271097814</v>
      </c>
      <c r="O32" s="226">
        <f>+[4]SLP!O32+[4]ROSA!O32+'[4]STA ANA'!O32+[4]BOA!O32+'[4]STA MARIA'!O32+'[4]CB I'!O32+'[4]CB II'!O32+'[4]CB III'!O32+[4]IG!O32+[4]PN!O32+[4]MJ!O32+'[4]RB I'!O32+'[4]SF I'!O32</f>
        <v>4732451.5898950007</v>
      </c>
      <c r="P32" s="226">
        <f>+[4]SLP!P32+[4]ROSA!P32+'[4]STA ANA'!P32+[4]BOA!P32+'[4]STA MARIA'!P32+'[4]CB I'!P32+'[4]CB II'!P32+'[4]CB III'!P32+[4]IG!P32+[4]PN!P32+[4]MJ!P32+'[4]RB I'!P32+'[4]SF I'!P32</f>
        <v>399902.25010499998</v>
      </c>
      <c r="Q32" s="166">
        <f>+[4]SLP!Q32+[4]ROSA!Q32+'[4]STA ANA'!Q32+[4]BOA!Q32+'[4]STA MARIA'!Q32+'[4]CB I'!Q32+'[4]CB II'!Q32+'[4]CB III'!Q32+[4]IG!Q32+[4]PN!Q32+[4]MJ!Q32+'[4]RB I'!Q32+'[4]SF I'!Q32</f>
        <v>5132353.8400000008</v>
      </c>
      <c r="R32" s="224">
        <f t="shared" si="3"/>
        <v>-6.4148483773769249E-2</v>
      </c>
      <c r="S32" s="225">
        <f>+[4]SLP!S32+[4]ROSA!S32+'[4]STA ANA'!S32+[4]BOA!S32+'[4]STA MARIA'!S32+'[4]CB I'!S32+'[4]CB II'!S32+'[4]CB III'!S32+[4]IG!S32+[4]PN!S32+[4]MJ!S32+'[4]RB I'!S32+'[4]SF I'!S32</f>
        <v>4628669.506585517</v>
      </c>
      <c r="T32" s="226">
        <f>+[4]SLP!T32+[4]ROSA!T32+'[4]STA ANA'!T32+[4]BOA!T32+'[4]STA MARIA'!T32+'[4]CB I'!T32+'[4]CB II'!T32+'[4]CB III'!T32+[4]IG!T32+[4]PN!T32+[4]MJ!T32+'[4]RB I'!T32+'[4]SF I'!T32</f>
        <v>4059806.0242261561</v>
      </c>
      <c r="U32" s="226">
        <f>+[4]SLP!U32+[4]ROSA!U32+'[4]STA ANA'!U32+[4]BOA!U32+'[4]STA MARIA'!U32+'[4]CB I'!U32+'[4]CB II'!U32+'[4]CB III'!U32+[4]IG!U32+[4]PN!U32+[4]MJ!U32+'[4]RB I'!U32+'[4]SF I'!U32</f>
        <v>568863.48235935997</v>
      </c>
      <c r="V32" s="226">
        <f>+[4]SLP!V32+[4]ROSA!V32+'[4]STA ANA'!V32+[4]BOA!V32+'[4]STA MARIA'!V32+'[4]CB I'!V32+'[4]CB II'!V32+'[4]CB III'!V32+[4]IG!V32+[4]PN!V32+[4]MJ!V32+'[4]RB I'!V32+'[4]SF I'!V32</f>
        <v>3464719.0251695677</v>
      </c>
      <c r="W32" s="226">
        <f>+[4]SLP!W32+[4]ROSA!W32+'[4]STA ANA'!W32+[4]BOA!W32+'[4]STA MARIA'!W32+'[4]CB I'!W32+'[4]CB II'!W32+'[4]CB III'!W32+[4]IG!W32+[4]PN!W32+[4]MJ!W32+'[4]RB I'!W32+'[4]SF I'!W32</f>
        <v>359578.90804643306</v>
      </c>
      <c r="X32" s="166">
        <f>[4]SLP!X32+[4]ROSA!X32+'[4]STA ANA'!X32+[4]BOA!X32+'[4]STA MARIA'!X32+'[4]CB I'!X32+'[4]CB II'!X32+'[4]CB III'!X32+[4]IG!X32+[4]PN!X32+[4]MJ!X32+'[4]RB I'!X32+'[4]SF I'!X32</f>
        <v>3824297.9332160004</v>
      </c>
      <c r="Y32" s="224">
        <f t="shared" si="4"/>
        <v>-0.17378029954938101</v>
      </c>
      <c r="Z32" s="225">
        <f>+[4]SLP!Z32+[4]ROSA!Z32+'[4]STA ANA'!Z32+[4]BOA!Z32+'[4]STA MARIA'!Z32+'[4]CB I'!Z32+'[4]CB II'!Z32+'[4]CB III'!Z32+[4]IG!Z32+[4]PN!Z32+[4]MJ!Z32+'[4]RB I'!Z32+'[4]SF I'!Z32</f>
        <v>4714888.6505855173</v>
      </c>
      <c r="AA32" s="226">
        <f>+[4]SLP!AA32+[4]ROSA!AA32+'[4]STA ANA'!AA32+[4]BOA!AA32+'[4]STA MARIA'!AA32+'[4]CB I'!AA32+'[4]CB II'!AA32+'[4]CB III'!AA32+[4]IG!AA32+[4]PN!AA32+[4]MJ!AA32+'[4]RB I'!AA32+'[4]SF I'!AA32</f>
        <v>4135428.8354285569</v>
      </c>
      <c r="AB32" s="226">
        <f>+[4]SLP!AB32+[4]ROSA!AB32+'[4]STA ANA'!AB32+[4]BOA!AB32+'[4]STA MARIA'!AB32+'[4]CB I'!AB32+'[4]CB II'!AB32+'[4]CB III'!AB32+[4]IG!AB32+[4]PN!AB32+[4]MJ!AB32+'[4]RB I'!AB32+'[4]SF I'!AB32</f>
        <v>579459.81515696004</v>
      </c>
      <c r="AC32" s="226">
        <f>+[4]SLP!AC32+[4]ROSA!AC32+'[4]STA ANA'!AC32+[4]BOA!AC32+'[4]STA MARIA'!AC32+'[4]CB I'!AC32+'[4]CB II'!AC32+'[4]CB III'!AC32+[4]IG!AC32+[4]PN!AC32+[4]MJ!AC32+'[4]RB I'!AC32+'[4]SF I'!AC32</f>
        <v>4432631.2322650002</v>
      </c>
      <c r="AD32" s="226">
        <f>+[4]SLP!AD32+[4]ROSA!AD32+'[4]STA ANA'!AD32+[4]BOA!AD32+'[4]STA MARIA'!AD32+'[4]CB I'!AD32+'[4]CB II'!AD32+'[4]CB III'!AD32+[4]IG!AD32+[4]PN!AD32+[4]MJ!AD32+'[4]RB I'!AD32+'[4]SF I'!AD32</f>
        <v>452305.34773500019</v>
      </c>
      <c r="AE32" s="166">
        <f>+[4]SLP!AE32+[4]ROSA!AE32+'[4]STA ANA'!AE32+[4]BOA!AE32+'[4]STA MARIA'!AE32+'[4]CB I'!AE32+'[4]CB II'!AE32+'[4]CB III'!AE32+[4]IG!AE32+[4]PN!AE32+[4]MJ!AE32+'[4]RB I'!AE32+'[4]SF I'!AE32</f>
        <v>4884936.58</v>
      </c>
      <c r="AF32" s="224">
        <f t="shared" si="5"/>
        <v>3.6066160203670039E-2</v>
      </c>
      <c r="AG32" s="225">
        <f>+[4]SLP!AG32+[4]ROSA!AG32+'[4]STA ANA'!AG32+[4]BOA!AG32+'[4]STA MARIA'!AG32+'[4]CB I'!AG32+'[4]CB II'!AG32+'[4]CB III'!AG32+[4]IG!AG32+[4]PN!AG32+[4]MJ!AG32+'[4]RB I'!AG32+'[4]SF I'!AG32</f>
        <v>4741735.9810783584</v>
      </c>
      <c r="AH32" s="226">
        <f>+[4]SLP!AH32+[4]ROSA!AH32+'[4]STA ANA'!AH32+[4]BOA!AH32+'[4]STA MARIA'!AH32+'[4]CB I'!AH32+'[4]CB II'!AH32+'[4]CB III'!AH32+[4]IG!AH32+[4]PN!AH32+[4]MJ!AH32+'[4]RB I'!AH32+'[4]SF I'!AH32</f>
        <v>4158976.6290038284</v>
      </c>
      <c r="AI32" s="226">
        <f>+[4]SLP!AI32+[4]ROSA!AI32+'[4]STA ANA'!AI32+[4]BOA!AI32+'[4]STA MARIA'!AI32+'[4]CB I'!AI32+'[4]CB II'!AI32+'[4]CB III'!AI32+[4]IG!AI32+[4]PN!AI32+[4]MJ!AI32+'[4]RB I'!AI32+'[4]SF I'!AI32</f>
        <v>582759.35207453021</v>
      </c>
      <c r="AJ32" s="226">
        <f>+[4]SLP!AJ32+[4]ROSA!AJ32+'[4]STA ANA'!AJ32+[4]BOA!AJ32+'[4]STA MARIA'!AJ32+'[4]CB I'!AJ32+'[4]CB II'!AJ32+'[4]CB III'!AJ32+[4]IG!AJ32+[4]PN!AJ32+[4]MJ!AJ32+'[4]RB I'!AJ32+'[4]SF I'!AJ32</f>
        <v>3433514.8721650001</v>
      </c>
      <c r="AK32" s="226">
        <f>+[4]SLP!AK32+[4]ROSA!AK32+'[4]STA ANA'!AK32+[4]BOA!AK32+'[4]STA MARIA'!AK32+'[4]CB I'!AK32+'[4]CB II'!AK32+'[4]CB III'!AK32+[4]IG!AK32+[4]PN!AK32+[4]MJ!AK32+'[4]RB I'!AK32+'[4]SF I'!AK32</f>
        <v>358507.07783499995</v>
      </c>
      <c r="AL32" s="166">
        <f>+[4]SLP!AL32+[4]ROSA!AL32+'[4]STA ANA'!AL32+[4]BOA!AL32+'[4]STA MARIA'!AL32+'[4]CB I'!AL32+'[4]CB II'!AL32+'[4]CB III'!AL32+[4]IG!AL32+[4]PN!AL32+[4]MJ!AL32+'[4]RB I'!AL32+'[4]SF I'!AL32</f>
        <v>3792021.95</v>
      </c>
      <c r="AM32" s="224">
        <f t="shared" si="6"/>
        <v>-0.20028825621420943</v>
      </c>
      <c r="AN32" s="225">
        <f>+[4]SLP!AN32+[4]ROSA!AN32+'[4]STA ANA'!AN32+[4]BOA!AN32+'[4]STA MARIA'!AN32+'[4]CB I'!AN32+'[4]CB II'!AN32+'[4]CB III'!AN32+[4]IG!AN32+[4]PN!AN32+[4]MJ!AN32+'[4]RB I'!AN32+'[4]SF I'!AN32</f>
        <v>4935825.1555712</v>
      </c>
      <c r="AO32" s="226">
        <f>+[4]SLP!AO32+[4]ROSA!AO32+'[4]STA ANA'!AO32+[4]BOA!AO32+'[4]STA MARIA'!AO32+'[4]CB I'!AO32+'[4]CB II'!AO32+'[4]CB III'!AO32+[4]IG!AO32+[4]PN!AO32+[4]MJ!AO32+'[4]RB I'!AO32+'[4]SF I'!AO32</f>
        <v>4329212.2439514995</v>
      </c>
      <c r="AP32" s="226">
        <f>+[4]SLP!AP32+[4]ROSA!AP32+'[4]STA ANA'!AP32+[4]BOA!AP32+'[4]STA MARIA'!AP32+'[4]CB I'!AP32+'[4]CB II'!AP32+'[4]CB III'!AP32+[4]IG!AP32+[4]PN!AP32+[4]MJ!AP32+'[4]RB I'!AP32+'[4]SF I'!AP32</f>
        <v>606612.91161970049</v>
      </c>
      <c r="AQ32" s="226">
        <f>+[4]SLP!AQ32+[4]ROSA!AQ32+'[4]STA ANA'!AQ32+[4]BOA!AQ32+'[4]STA MARIA'!AQ32+'[4]CB I'!AQ32+'[4]CB II'!AQ32+'[4]CB III'!AQ32+[4]IG!AQ32+[4]PN!AQ32+[4]MJ!AQ32+'[4]RB I'!AQ32+'[4]SF I'!AQ32</f>
        <v>0</v>
      </c>
      <c r="AR32" s="226">
        <f>+[4]SLP!AR32+[4]ROSA!AR32+'[4]STA ANA'!AR32+[4]BOA!AR32+'[4]STA MARIA'!AR32+'[4]CB I'!AR32+'[4]CB II'!AR32+'[4]CB III'!AR32+[4]IG!AR32+[4]PN!AR32+[4]MJ!AR32+'[4]RB I'!AR32+'[4]SF I'!AR32</f>
        <v>0</v>
      </c>
      <c r="AS32" s="166">
        <f>+[4]SLP!AS32+[4]ROSA!AS32+'[4]STA ANA'!AS32+[4]BOA!AS32+'[4]STA MARIA'!AS32+'[4]CB I'!AS32+'[4]CB II'!AS32+'[4]CB III'!AS32+[4]IG!AS32+[4]PN!AS32+[4]MJ!AS32+'[4]RB I'!AS32+'[4]SÃO FRANCISCO'!AS32</f>
        <v>0</v>
      </c>
      <c r="AT32" s="224">
        <f t="shared" si="7"/>
        <v>-1</v>
      </c>
      <c r="AU32" s="225">
        <f>+[4]SLP!AU32+[4]ROSA!AU32+'[4]STA ANA'!AU32+[4]BOA!AU32+'[4]STA MARIA'!AU32+'[4]CB I'!AU32+'[4]CB II'!AU32+'[4]CB III'!AU32+[4]IG!AU32+[4]PN!AU32+[4]MJ!AU32+'[4]RB I'!AU32+'[4]SF I'!AU32</f>
        <v>5327056.8808159987</v>
      </c>
      <c r="AV32" s="226">
        <f>+[4]SLP!AV32+[4]ROSA!AV32+'[4]STA ANA'!AV32+[4]BOA!AV32+'[4]STA MARIA'!AV32+'[4]CB I'!AV32+'[4]CB II'!AV32+'[4]CB III'!AV32+[4]IG!AV32+[4]PN!AV32+[4]MJ!AV32+'[4]RB I'!AV32+'[4]SF I'!AV32</f>
        <v>4672361.5901637143</v>
      </c>
      <c r="AW32" s="226">
        <f>+[4]SLP!AW32+[4]ROSA!AW32+'[4]STA ANA'!AW32+[4]BOA!AW32+'[4]STA MARIA'!AW32+'[4]CB I'!AW32+'[4]CB II'!AW32+'[4]CB III'!AW32+[4]IG!AW32+[4]PN!AW32+[4]MJ!AW32+'[4]RB I'!AW32+'[4]SF I'!AW32</f>
        <v>654695.29065228638</v>
      </c>
      <c r="AX32" s="226">
        <f>+[4]SLP!AX32+[4]ROSA!AX32+'[4]STA ANA'!AX32+[4]BOA!AX32+'[4]STA MARIA'!AX32+'[4]CB I'!AX32+'[4]CB II'!AX32+'[4]CB III'!AX32+[4]IG!AX32+[4]PN!AX32+[4]MJ!AX32+'[4]RB I'!AX32+'[4]SF I'!AX32</f>
        <v>0</v>
      </c>
      <c r="AY32" s="226">
        <f>+[4]SLP!AY32+[4]ROSA!AY32+'[4]STA ANA'!AY32+[4]BOA!AY32+'[4]STA MARIA'!AY32+'[4]CB I'!AY32+'[4]CB II'!AY32+'[4]CB III'!AY32+[4]IG!AY32+[4]PN!AY32+[4]MJ!AY32+'[4]RB I'!AY32+'[4]SF I'!AY32</f>
        <v>0</v>
      </c>
      <c r="AZ32" s="166">
        <f>+[4]SLP!AZ32+[4]ROSA!AZ32+'[4]STA ANA'!AZ32+[4]BOA!AZ32+'[4]STA MARIA'!AZ32+'[4]CB I'!AZ32+'[4]CB II'!AZ32+[4]IG!AZ32+[4]PN!AZ32+[4]MJ!AZ32+'[4]RB I'!AZ32+'[4]SÃO FRANCISCO'!AZ32</f>
        <v>0</v>
      </c>
      <c r="BA32" s="224">
        <f t="shared" si="8"/>
        <v>-1</v>
      </c>
      <c r="BB32" s="225">
        <f>+[4]SLP!BB32+[4]ROSA!BB32+'[4]STA ANA'!BB32+[4]BOA!BB32+'[4]STA MARIA'!BB32+'[4]CB I'!BB32+'[4]CB II'!BB32+'[4]CB III'!BB32+[4]IG!BB32+[4]PN!BB32+[4]MJ!BB32+'[4]RB I'!BB32+'[4]SF I'!BB32</f>
        <v>5208718.0940608</v>
      </c>
      <c r="BC32" s="226">
        <f>+[4]SLP!BC32+[4]ROSA!BC32+'[4]STA ANA'!BC32+[4]BOA!BC32+'[4]STA MARIA'!BC32+'[4]CB I'!BC32+'[4]CB II'!BC32+'[4]CB III'!BC32+[4]IG!BC32+[4]PN!BC32+[4]MJ!BC32+'[4]RB I'!BC32+'[4]SF I'!BC32</f>
        <v>4568566.6403007284</v>
      </c>
      <c r="BD32" s="226">
        <f>+[4]SLP!BD32+[4]ROSA!BD32+'[4]STA ANA'!BD32+[4]BOA!BD32+'[4]STA MARIA'!BD32+'[4]CB I'!BD32+'[4]CB II'!BD32+'[4]CB III'!BD32+[4]IG!BD32+[4]PN!BD32+[4]MJ!BD32+'[4]RB I'!BD32+'[4]SF I'!BD32</f>
        <v>640151.45376007212</v>
      </c>
      <c r="BE32" s="226">
        <f>+[4]SLP!BE32+[4]ROSA!BE32+'[4]STA ANA'!BE32+[4]BOA!BE32+'[4]STA MARIA'!BE32+'[4]CB I'!BE32+'[4]CB II'!BE32+'[4]CB III'!BE32+[4]IG!BE32+[4]PN!BE32+[4]MJ!BE32+'[4]RB I'!BE32+'[4]SF I'!BE32</f>
        <v>0</v>
      </c>
      <c r="BF32" s="226">
        <f>+[4]SLP!BF32+[4]ROSA!BF32+'[4]STA ANA'!BF32+[4]BOA!BF32+'[4]STA MARIA'!BF32+'[4]CB I'!BF32+'[4]CB II'!BF32+'[4]CB III'!BF32+[4]IG!BF32+[4]PN!BF32+[4]MJ!BF32+'[4]RB I'!BF32+'[4]SF I'!BF32</f>
        <v>0</v>
      </c>
      <c r="BG32" s="166">
        <f>+[4]SLP!BG32+[4]ROSA!BG32+'[4]STA ANA'!BG32+[4]BOA!BG32+'[4]STA MARIA'!BG32+'[4]CB I'!BG32+'[4]CB II'!BG32+'[4]CB III'!BG32+[4]IG!BG32+[4]PN!BG32+[4]MJ!BG32+'[4]RB I'!BG32+'[4]SÃO FRANCISCO'!BG32</f>
        <v>0</v>
      </c>
      <c r="BH32" s="224">
        <f t="shared" si="9"/>
        <v>-1</v>
      </c>
      <c r="BI32" s="225">
        <f>+[4]SLP!BI32+[4]ROSA!BI32+'[4]STA ANA'!BI32+[4]BOA!BI32+'[4]STA MARIA'!BI32+'[4]CB I'!BI32+'[4]CB II'!BI32+'[4]CB III'!BI32+[4]IG!BI32+[4]PN!BI32+[4]MJ!BI32+'[4]RB I'!BI32+'[4]SF I'!BI32</f>
        <v>1617745.0079999999</v>
      </c>
      <c r="BJ32" s="226">
        <f>+[4]SLP!BJ32+[4]ROSA!BJ32+'[4]STA ANA'!BJ32+[4]BOA!BJ32+'[4]STA MARIA'!BJ32+'[4]CB I'!BJ32+'[4]CB II'!BJ32+'[4]CB III'!BJ32+[4]IG!BJ32+[4]PN!BJ32+[4]MJ!BJ32+'[4]RB I'!BJ32+'[4]SF I'!BJ32</f>
        <v>1418924.1465167999</v>
      </c>
      <c r="BK32" s="226">
        <f>+[4]SLP!BK32+[4]ROSA!BK32+'[4]STA ANA'!BK32+[4]BOA!BK32+'[4]STA MARIA'!BK32+'[4]CB I'!BK32+'[4]CB II'!BK32+'[4]CB III'!BK32+[4]IG!BK32+[4]PN!BK32+[4]MJ!BK32+'[4]RB I'!BK32+'[4]SF I'!BK32</f>
        <v>198820.86148319996</v>
      </c>
      <c r="BL32" s="226">
        <f>+[4]SLP!BL32+[4]ROSA!BL32+'[4]STA ANA'!BL32+[4]BOA!BL32+'[4]STA MARIA'!BL32+'[4]CB I'!BL32+'[4]CB II'!BL32+'[4]CB III'!BL32+[4]IG!BL32+[4]PN!BL32+[4]MJ!BL32+'[4]RB I'!BL32+'[4]SF I'!BL32</f>
        <v>0</v>
      </c>
      <c r="BM32" s="226">
        <f>+[4]SLP!BM32+[4]ROSA!BM32+'[4]STA ANA'!BM32+[4]BOA!BM32+'[4]STA MARIA'!BM32+'[4]CB I'!BM32+'[4]CB II'!BM32+'[4]CB III'!BM32+[4]IG!BM32+[4]PN!BM32+[4]MJ!BM32+'[4]RB I'!BM32+'[4]SF I'!BM32</f>
        <v>0</v>
      </c>
      <c r="BN32" s="166">
        <f>+[4]SLP!BN32+[4]ROSA!BN32+'[4]STA ANA'!BN32+[4]BOA!BN32+'[4]STA MARIA'!BN32+'[4]CB I'!BN32+'[4]CB II'!BN32+'[4]CB III'!BN32+[4]IG!BN32+[4]PN!BN32+[4]MJ!BN32+'[4]RB I'!BN32+'[4]SÃO FRANCISCO'!BN32</f>
        <v>0</v>
      </c>
      <c r="BO32" s="224">
        <f t="shared" si="10"/>
        <v>-1</v>
      </c>
      <c r="BP32" s="225">
        <f>+[4]SLP!BP32+[4]ROSA!BP32+'[4]STA ANA'!BP32+[4]BOA!BP32+'[4]STA MARIA'!BP32+'[4]CB I'!BP32+'[4]CB II'!BP32+'[4]CB III'!BP32+[4]IG!BP32+[4]PN!BP32+[4]MJ!BP32+'[4]RB I'!BP32+'[4]SF I'!BP32</f>
        <v>97934.847999999998</v>
      </c>
      <c r="BQ32" s="226">
        <f>+[4]SLP!BQ32+[4]ROSA!BQ32+'[4]STA ANA'!BQ32+[4]BOA!BQ32+'[4]STA MARIA'!BQ32+'[4]CB I'!BQ32+'[4]CB II'!BQ32+'[4]CB III'!BQ32+[4]IG!BQ32+[4]PN!BQ32+[4]MJ!BQ32+'[4]RB I'!BQ32+'[4]SF I'!BQ32</f>
        <v>85898.655180800008</v>
      </c>
      <c r="BR32" s="226">
        <f>+[4]SLP!BR32+[4]ROSA!BR32+'[4]STA ANA'!BR32+[4]BOA!BR32+'[4]STA MARIA'!BR32+'[4]CB I'!BR32+'[4]CB II'!BR32+'[4]CB III'!BR32+[4]IG!BR32+[4]PN!BR32+[4]MJ!BR32+'[4]RB I'!BR32+'[4]SF I'!BR32</f>
        <v>12036.1928192</v>
      </c>
      <c r="BS32" s="226">
        <f>+[4]SLP!BS32+[4]ROSA!BS32+'[4]STA ANA'!BS32+[4]BOA!BS32+'[4]STA MARIA'!BS32+'[4]CB I'!BS32+'[4]CB II'!BS32+'[4]CB III'!BS32+[4]IG!BS32+[4]PN!BS32+[4]MJ!BS32+'[4]RB I'!BS32+'[4]SF I'!BS32</f>
        <v>0</v>
      </c>
      <c r="BT32" s="226">
        <f>+[4]SLP!BT32+[4]ROSA!BT32+'[4]STA ANA'!BT32+[4]BOA!BT32+'[4]STA MARIA'!BT32+'[4]CB I'!BT32+'[4]CB II'!BT32+'[4]CB III'!BT32+[4]IG!BT32+[4]PN!BT32+[4]MJ!BT32+'[4]RB I'!BT32+'[4]SF I'!BT32</f>
        <v>0</v>
      </c>
      <c r="BU32" s="166">
        <f>+[4]SLP!BU32+[4]ROSA!BU32+'[4]STA ANA'!BU32+[4]BOA!BU32+'[4]STA MARIA'!BU32+'[4]CB I'!BU32+'[4]CB II'!BU32+'[4]CB III'!BU32+[4]IG!BU32+[4]PN!BU32+[4]MJ!BU32+'[4]RB I'!BU32+'[4]SÃO FRANCISCO'!BU32</f>
        <v>0</v>
      </c>
      <c r="BV32" s="224">
        <f t="shared" si="11"/>
        <v>-1</v>
      </c>
      <c r="BW32" s="225">
        <f>+[4]SLP!BW32+[4]ROSA!BW32+'[4]STA ANA'!BW32+[4]BOA!BW32+'[4]STA MARIA'!BW32+'[4]CB I'!BW32+'[4]CB II'!BW32+'[4]CB III'!BW32+[4]IG!BW32+[4]PN!BW32+[4]MJ!BW32+'[4]RB I'!BW32+'[4]SF I'!BW32</f>
        <v>49534.847999999998</v>
      </c>
      <c r="BX32" s="226">
        <f>+[4]SLP!BX32+[4]ROSA!BX32+'[4]STA ANA'!BX32+[4]BOA!BX32+'[4]STA MARIA'!BX32+'[4]CB I'!BX32+'[4]CB II'!BX32+'[4]CB III'!BX32+[4]IG!BX32+[4]PN!BX32+[4]MJ!BX32+'[4]RB I'!BX32+'[4]SF I'!BX32</f>
        <v>43447.015180799994</v>
      </c>
      <c r="BY32" s="226">
        <f>+[4]SLP!BY32+[4]ROSA!BY32+'[4]STA ANA'!BY32+[4]BOA!BY32+'[4]STA MARIA'!BY32+'[4]CB I'!BY32+'[4]CB II'!BY32+'[4]CB III'!BY32+[4]IG!BY32+[4]PN!BY32+[4]MJ!BY32+'[4]RB I'!BY32+'[4]SF I'!BY32</f>
        <v>6087.8328192000008</v>
      </c>
      <c r="BZ32" s="226">
        <f>+[4]SLP!BZ32+[4]ROSA!BZ32+'[4]STA ANA'!BZ32+[4]BOA!BZ32+'[4]STA MARIA'!BZ32+'[4]CB I'!BZ32+'[4]CB II'!BZ32+'[4]CB III'!BZ32+[4]IG!BZ32+[4]PN!BZ32+[4]MJ!BZ32+'[4]RB I'!BZ32+'[4]SF I'!BZ32</f>
        <v>0</v>
      </c>
      <c r="CA32" s="226">
        <f>+[4]SLP!CA32+[4]ROSA!CA32+'[4]STA ANA'!CA32+[4]BOA!CA32+'[4]STA MARIA'!CA32+'[4]CB I'!CA32+'[4]CB II'!CA32+'[4]CB III'!CA32+[4]IG!CA32+[4]PN!CA32+[4]MJ!CA32+'[4]RB I'!CA32+'[4]SF I'!CA32</f>
        <v>0</v>
      </c>
      <c r="CB32" s="166">
        <f>+[4]SLP!CB32+[4]ROSA!CB32+'[4]STA ANA'!CB32+[4]BOA!CB32+'[4]STA MARIA'!CB32+'[4]CB I'!CB32+'[4]CB II'!CB32+'[4]CB III'!CB32+[4]IG!CB32+[4]PN!CB32+[4]MJ!CB32+'[4]RB I'!CB32+'[4]SÃO FRANCISCO'!CB32</f>
        <v>0</v>
      </c>
      <c r="CC32" s="224">
        <f t="shared" si="12"/>
        <v>-1</v>
      </c>
      <c r="CD32" s="225">
        <f>+[4]SLP!CD32+[4]ROSA!CD32+'[4]STA ANA'!CD32+[4]BOA!CD32+'[4]STA MARIA'!CD32+'[4]CB I'!CD32+'[4]CB II'!CD32+'[4]CB III'!CD32+[4]IG!CD32+[4]PN!CD32+[4]MJ!CD32+'[4]RB I'!CD32+'[4]SF I'!CD32</f>
        <v>0</v>
      </c>
      <c r="CE32" s="226">
        <f>+[4]SLP!CE32+[4]ROSA!CE32+'[4]STA ANA'!CE32+[4]BOA!CE32+'[4]STA MARIA'!CE32+'[4]CB I'!CE32+'[4]CB II'!CE32+'[4]CB III'!CE32+[4]IG!CE32+[4]PN!CE32+[4]MJ!CE32+'[4]RB I'!CE32+'[4]SF I'!CE32</f>
        <v>0</v>
      </c>
      <c r="CF32" s="226">
        <f>+[4]SLP!CF32+[4]ROSA!CF32+'[4]STA ANA'!CF32+[4]BOA!CF32+'[4]STA MARIA'!CF32+'[4]CB I'!CF32+'[4]CB II'!CF32+'[4]CB III'!CF32+[4]IG!CF32+[4]PN!CF32+[4]MJ!CF32+'[4]RB I'!CF32+'[4]SF I'!CF32</f>
        <v>0</v>
      </c>
      <c r="CG32" s="226">
        <f>+[4]SLP!CG32+[4]ROSA!CG32+'[4]STA ANA'!CG32+[4]BOA!CG32+'[4]STA MARIA'!CG32+'[4]CB I'!CG32+'[4]CB II'!CG32+'[4]CB III'!CG32+[4]IG!CG32+[4]PN!CG32+[4]MJ!CG32+'[4]RB I'!CG32+'[4]SF I'!CG32</f>
        <v>0</v>
      </c>
      <c r="CH32" s="226">
        <f>+[4]SLP!CH32+[4]ROSA!CH32+'[4]STA ANA'!CH32+[4]BOA!CH32+'[4]STA MARIA'!CH32+'[4]CB I'!CH32+'[4]CB II'!CH32+'[4]CB III'!CH32+[4]IG!CH32+[4]PN!CH32+[4]MJ!CH32+'[4]RB I'!CH32+'[4]SF I'!CH32</f>
        <v>0</v>
      </c>
      <c r="CI32" s="166">
        <f>+[4]SLP!CI32+[4]ROSA!CI32+'[4]STA ANA'!CI32+[4]BOA!CI32+'[4]STA MARIA'!CI32+'[4]CB I'!CI32+'[4]CB II'!CI32+'[4]CB III'!CI32+[4]IG!CI32+[4]PN!CI32+[4]MJ!CI32+'[4]RB I'!CI32+'[4]SÃO FRANCISCO'!CI32</f>
        <v>0</v>
      </c>
      <c r="CJ32" s="224" t="str">
        <f t="shared" si="13"/>
        <v/>
      </c>
      <c r="CK32" s="225">
        <f>+[4]SLP!CK32+[4]ROSA!CK32+'[4]STA ANA'!CK32+[4]BOA!CK32+'[4]STA MARIA'!CK32+'[4]CB I'!CK32+'[4]CB II'!CK32+'[4]CB III'!CK32+[4]IG!CK32+[4]PN!CK32+[4]MJ!CK32+'[4]RB I'!CK32+'[4]SF I'!CK32</f>
        <v>0</v>
      </c>
      <c r="CL32" s="226">
        <f>+[4]SLP!CL32+[4]ROSA!CL32+'[4]STA ANA'!CL32+[4]BOA!CL32+'[4]STA MARIA'!CL32+'[4]CB I'!CL32+'[4]CB II'!CL32+'[4]CB III'!CL32+[4]IG!CL32+[4]PN!CL32+[4]MJ!CL32+'[4]RB I'!CL32+'[4]SF I'!CL32</f>
        <v>0</v>
      </c>
      <c r="CM32" s="226">
        <f>+[4]SLP!CM32+[4]ROSA!CM32+'[4]STA ANA'!CM32+[4]BOA!CM32+'[4]STA MARIA'!CM32+'[4]CB I'!CM32+'[4]CB II'!CM32+'[4]CB III'!CM32+[4]IG!CM32+[4]PN!CM32+[4]MJ!CM32+'[4]RB I'!CM32+'[4]SF I'!CM32</f>
        <v>0</v>
      </c>
      <c r="CN32" s="226">
        <f>+[4]SLP!CN32+[4]ROSA!CN32+'[4]STA ANA'!CN32+[4]BOA!CN32+'[4]STA MARIA'!CN32+'[4]CB I'!CN32+'[4]CB II'!CN32+'[4]CB III'!CN32+[4]IG!CN32+[4]PN!CN32+[4]MJ!CN32+'[4]RB I'!CN32+'[4]SF I'!CN32</f>
        <v>0</v>
      </c>
      <c r="CO32" s="226">
        <f>+[4]SLP!CO32+[4]ROSA!CO32+'[4]STA ANA'!CO32+[4]BOA!CO32+'[4]STA MARIA'!CO32+'[4]CB I'!CO32+'[4]CB II'!CO32+'[4]CB III'!CO32+[4]IG!CO32+[4]PN!CO32+[4]MJ!CO32+'[4]RB I'!CO32+'[4]SF I'!CO32</f>
        <v>0</v>
      </c>
      <c r="CP32" s="166">
        <f>+[4]SLP!CP32+[4]ROSA!CP32+'[4]STA ANA'!CP32+[4]BOA!CP32+'[4]STA MARIA'!CP32+'[4]CB I'!CP32+'[4]CB II'!CP32+'[4]CB III'!CP32+[4]IG!CP32+[4]PN!CP32+[4]MJ!CP32+'[4]RB I'!CP32+'[4]SÃO FRANCISCO'!CP32</f>
        <v>0</v>
      </c>
      <c r="CQ32" s="224" t="str">
        <f t="shared" si="14"/>
        <v/>
      </c>
      <c r="CR32" s="155"/>
      <c r="CS32" s="227" t="e">
        <f t="shared" si="15"/>
        <v>#VALUE!</v>
      </c>
    </row>
    <row r="33" spans="1:97" ht="16" customHeight="1" x14ac:dyDescent="0.2">
      <c r="A33" s="223" t="s">
        <v>57</v>
      </c>
      <c r="B33" s="30">
        <f t="shared" si="0"/>
        <v>20186848.979591835</v>
      </c>
      <c r="C33" s="31">
        <f t="shared" si="0"/>
        <v>17705885.240000002</v>
      </c>
      <c r="D33" s="32">
        <f t="shared" si="0"/>
        <v>2480963.7395918369</v>
      </c>
      <c r="E33" s="30">
        <f t="shared" si="16"/>
        <v>12063746.93877551</v>
      </c>
      <c r="F33" s="33">
        <f t="shared" si="16"/>
        <v>10581112.440000001</v>
      </c>
      <c r="G33" s="34">
        <f t="shared" si="16"/>
        <v>1482634.4987755104</v>
      </c>
      <c r="H33" s="31">
        <f t="shared" si="1"/>
        <v>9159020.6015750002</v>
      </c>
      <c r="I33" s="33">
        <f t="shared" si="1"/>
        <v>938632.86842499999</v>
      </c>
      <c r="J33" s="33">
        <f t="shared" si="1"/>
        <v>10097653.469999999</v>
      </c>
      <c r="K33" s="224">
        <f t="shared" si="2"/>
        <v>-0.16297535738718605</v>
      </c>
      <c r="L33" s="225">
        <f>+[4]SLP!L33+[4]ROSA!L33+'[4]STA ANA'!L33+[4]BOA!L33+'[4]STA MARIA'!L33+'[4]CB I'!L33+'[4]CB II'!L33+'[4]CB III'!L33+[4]IG!L33+[4]PN!L33+[4]MJ!L33+'[4]RB I'!L33+'[4]SF I'!L33</f>
        <v>3210391.8367346935</v>
      </c>
      <c r="M33" s="226">
        <f>+[4]SLP!M33+[4]ROSA!M33+'[4]STA ANA'!M33+[4]BOA!M33+'[4]STA MARIA'!M33+'[4]CB I'!M33+'[4]CB II'!M33+'[4]CB III'!M33+[4]IG!M33+[4]PN!M33+[4]MJ!M33+'[4]RB I'!M33+'[4]SF I'!M33</f>
        <v>2815834.68</v>
      </c>
      <c r="N33" s="226">
        <f>+[4]SLP!N33+[4]ROSA!N33+'[4]STA ANA'!N33+[4]BOA!N33+'[4]STA MARIA'!N33+'[4]CB I'!N33+'[4]CB II'!N33+'[4]CB III'!N33+[4]IG!N33+[4]PN!N33+[4]MJ!N33+'[4]RB I'!N33+'[4]SF I'!N33</f>
        <v>394557.15673469385</v>
      </c>
      <c r="O33" s="226">
        <f>+[4]SLP!O33+[4]ROSA!O33+'[4]STA ANA'!O33+[4]BOA!O33+'[4]STA MARIA'!O33+'[4]CB I'!O33+'[4]CB II'!O33+'[4]CB III'!O33+[4]IG!O33+[4]PN!O33+[4]MJ!O33+'[4]RB I'!O33+'[4]SF I'!O33</f>
        <v>2854858.2171530002</v>
      </c>
      <c r="P33" s="226">
        <f>+[4]SLP!P33+[4]ROSA!P33+'[4]STA ANA'!P33+[4]BOA!P33+'[4]STA MARIA'!P33+'[4]CB I'!P33+'[4]CB II'!P33+'[4]CB III'!P33+[4]IG!P33+[4]PN!P33+[4]MJ!P33+'[4]RB I'!P33+'[4]SF I'!P33</f>
        <v>300007.93284700002</v>
      </c>
      <c r="Q33" s="166">
        <f>+[4]SLP!Q33+[4]ROSA!Q33+'[4]STA ANA'!Q33+[4]BOA!Q33+'[4]STA MARIA'!Q33+'[4]CB I'!Q33+'[4]CB II'!Q33+'[4]CB III'!Q33+[4]IG!Q33+[4]PN!Q33+[4]MJ!Q33+'[4]RB I'!Q33+'[4]SF I'!Q33</f>
        <v>3154866.1500000004</v>
      </c>
      <c r="R33" s="224">
        <f t="shared" si="3"/>
        <v>-1.7295610491948055E-2</v>
      </c>
      <c r="S33" s="225">
        <f>+[4]SLP!S33+[4]ROSA!S33+'[4]STA ANA'!S33+[4]BOA!S33+'[4]STA MARIA'!S33+'[4]CB I'!S33+'[4]CB II'!S33+'[4]CB III'!S33+[4]IG!S33+[4]PN!S33+[4]MJ!S33+'[4]RB I'!S33+'[4]SF I'!S33</f>
        <v>2852122.448979592</v>
      </c>
      <c r="T33" s="226">
        <f>+[4]SLP!T33+[4]ROSA!T33+'[4]STA ANA'!T33+[4]BOA!T33+'[4]STA MARIA'!T33+'[4]CB I'!T33+'[4]CB II'!T33+'[4]CB III'!T33+[4]IG!T33+[4]PN!T33+[4]MJ!T33+'[4]RB I'!T33+'[4]SF I'!T33</f>
        <v>2501596.6</v>
      </c>
      <c r="U33" s="226">
        <f>+[4]SLP!U33+[4]ROSA!U33+'[4]STA ANA'!U33+[4]BOA!U33+'[4]STA MARIA'!U33+'[4]CB I'!U33+'[4]CB II'!U33+'[4]CB III'!U33+[4]IG!U33+[4]PN!U33+[4]MJ!U33+'[4]RB I'!U33+'[4]SF I'!U33</f>
        <v>350525.84897959186</v>
      </c>
      <c r="V33" s="226">
        <f>+[4]SLP!V33+[4]ROSA!V33+'[4]STA ANA'!V33+[4]BOA!V33+'[4]STA MARIA'!V33+'[4]CB I'!V33+'[4]CB II'!V33+'[4]CB III'!V33+[4]IG!V33+[4]PN!V33+[4]MJ!V33+'[4]RB I'!V33+'[4]SF I'!V33</f>
        <v>1983091.0609880001</v>
      </c>
      <c r="W33" s="226">
        <f>+[4]SLP!W33+[4]ROSA!W33+'[4]STA ANA'!W33+[4]BOA!W33+'[4]STA MARIA'!W33+'[4]CB I'!W33+'[4]CB II'!W33+'[4]CB III'!W33+[4]IG!W33+[4]PN!W33+[4]MJ!W33+'[4]RB I'!W33+'[4]SF I'!W33</f>
        <v>144475.12901200002</v>
      </c>
      <c r="X33" s="166">
        <f>[4]SLP!X33+[4]ROSA!X33+'[4]STA ANA'!X33+[4]BOA!X33+'[4]STA MARIA'!X33+'[4]CB I'!X33+'[4]CB II'!X33+'[4]CB III'!X33+[4]IG!X33+[4]PN!X33+[4]MJ!X33+'[4]RB I'!X33+'[4]SF I'!X33</f>
        <v>2127566.19</v>
      </c>
      <c r="Y33" s="224">
        <f t="shared" si="4"/>
        <v>-0.25404107710691648</v>
      </c>
      <c r="Z33" s="225">
        <f>+[4]SLP!Z33+[4]ROSA!Z33+'[4]STA ANA'!Z33+[4]BOA!Z33+'[4]STA MARIA'!Z33+'[4]CB I'!Z33+'[4]CB II'!Z33+'[4]CB III'!Z33+[4]IG!Z33+[4]PN!Z33+[4]MJ!Z33+'[4]RB I'!Z33+'[4]SF I'!Z33</f>
        <v>2948244.8979591839</v>
      </c>
      <c r="AA33" s="226">
        <f>+[4]SLP!AA33+[4]ROSA!AA33+'[4]STA ANA'!AA33+[4]BOA!AA33+'[4]STA MARIA'!AA33+'[4]CB I'!AA33+'[4]CB II'!AA33+'[4]CB III'!AA33+[4]IG!AA33+[4]PN!AA33+[4]MJ!AA33+'[4]RB I'!AA33+'[4]SF I'!AA33</f>
        <v>2585905.6</v>
      </c>
      <c r="AB33" s="226">
        <f>+[4]SLP!AB33+[4]ROSA!AB33+'[4]STA ANA'!AB33+[4]BOA!AB33+'[4]STA MARIA'!AB33+'[4]CB I'!AB33+'[4]CB II'!AB33+'[4]CB III'!AB33+[4]IG!AB33+[4]PN!AB33+[4]MJ!AB33+'[4]RB I'!AB33+'[4]SF I'!AB33</f>
        <v>362339.29795918369</v>
      </c>
      <c r="AC33" s="226">
        <f>+[4]SLP!AC33+[4]ROSA!AC33+'[4]STA ANA'!AC33+[4]BOA!AC33+'[4]STA MARIA'!AC33+'[4]CB I'!AC33+'[4]CB II'!AC33+'[4]CB III'!AC33+[4]IG!AC33+[4]PN!AC33+[4]MJ!AC33+'[4]RB I'!AC33+'[4]SF I'!AC33</f>
        <v>2408798.1279460001</v>
      </c>
      <c r="AD33" s="226">
        <f>+[4]SLP!AD33+[4]ROSA!AD33+'[4]STA ANA'!AD33+[4]BOA!AD33+'[4]STA MARIA'!AD33+'[4]CB I'!AD33+'[4]CB II'!AD33+'[4]CB III'!AD33+[4]IG!AD33+[4]PN!AD33+[4]MJ!AD33+'[4]RB I'!AD33+'[4]SF I'!AD33</f>
        <v>276566.53205400001</v>
      </c>
      <c r="AE33" s="166">
        <f>+[4]SLP!AE33+[4]ROSA!AE33+'[4]STA ANA'!AE33+[4]BOA!AE33+'[4]STA MARIA'!AE33+'[4]CB I'!AE33+'[4]CB II'!AE33+'[4]CB III'!AE33+[4]IG!AE33+[4]PN!AE33+[4]MJ!AE33+'[4]RB I'!AE33+'[4]SF I'!AE33</f>
        <v>2685364.66</v>
      </c>
      <c r="AF33" s="224">
        <f t="shared" si="5"/>
        <v>-8.9164993770074252E-2</v>
      </c>
      <c r="AG33" s="225">
        <f>+[4]SLP!AG33+[4]ROSA!AG33+'[4]STA ANA'!AG33+[4]BOA!AG33+'[4]STA MARIA'!AG33+'[4]CB I'!AG33+'[4]CB II'!AG33+'[4]CB III'!AG33+[4]IG!AG33+[4]PN!AG33+[4]MJ!AG33+'[4]RB I'!AG33+'[4]SF I'!AG33</f>
        <v>3052987.7551020407</v>
      </c>
      <c r="AH33" s="226">
        <f>+[4]SLP!AH33+[4]ROSA!AH33+'[4]STA ANA'!AH33+[4]BOA!AH33+'[4]STA MARIA'!AH33+'[4]CB I'!AH33+'[4]CB II'!AH33+'[4]CB III'!AH33+[4]IG!AH33+[4]PN!AH33+[4]MJ!AH33+'[4]RB I'!AH33+'[4]SF I'!AH33</f>
        <v>2677775.56</v>
      </c>
      <c r="AI33" s="226">
        <f>+[4]SLP!AI33+[4]ROSA!AI33+'[4]STA ANA'!AI33+[4]BOA!AI33+'[4]STA MARIA'!AI33+'[4]CB I'!AI33+'[4]CB II'!AI33+'[4]CB III'!AI33+[4]IG!AI33+[4]PN!AI33+[4]MJ!AI33+'[4]RB I'!AI33+'[4]SF I'!AI33</f>
        <v>375212.19510204083</v>
      </c>
      <c r="AJ33" s="226">
        <f>+[4]SLP!AJ33+[4]ROSA!AJ33+'[4]STA ANA'!AJ33+[4]BOA!AJ33+'[4]STA MARIA'!AJ33+'[4]CB I'!AJ33+'[4]CB II'!AJ33+'[4]CB III'!AJ33+[4]IG!AJ33+[4]PN!AJ33+[4]MJ!AJ33+'[4]RB I'!AJ33+'[4]SF I'!AJ33</f>
        <v>1912273.1954880001</v>
      </c>
      <c r="AK33" s="226">
        <f>+[4]SLP!AK33+[4]ROSA!AK33+'[4]STA ANA'!AK33+[4]BOA!AK33+'[4]STA MARIA'!AK33+'[4]CB I'!AK33+'[4]CB II'!AK33+'[4]CB III'!AK33+[4]IG!AK33+[4]PN!AK33+[4]MJ!AK33+'[4]RB I'!AK33+'[4]SF I'!AK33</f>
        <v>217583.27451199995</v>
      </c>
      <c r="AL33" s="166">
        <f>+[4]SLP!AL33+[4]ROSA!AL33+'[4]STA ANA'!AL33+[4]BOA!AL33+'[4]STA MARIA'!AL33+'[4]CB I'!AL33+'[4]CB II'!AL33+'[4]CB III'!AL33+[4]IG!AL33+[4]PN!AL33+[4]MJ!AL33+'[4]RB I'!AL33+'[4]SF I'!AL33</f>
        <v>2129856.4699999997</v>
      </c>
      <c r="AM33" s="224">
        <f t="shared" si="6"/>
        <v>-0.30236979613145776</v>
      </c>
      <c r="AN33" s="225">
        <f>+[4]SLP!AN33+[4]ROSA!AN33+'[4]STA ANA'!AN33+[4]BOA!AN33+'[4]STA MARIA'!AN33+'[4]CB I'!AN33+'[4]CB II'!AN33+'[4]CB III'!AN33+[4]IG!AN33+[4]PN!AN33+[4]MJ!AN33+'[4]RB I'!AN33+'[4]SF I'!AN33</f>
        <v>3106914.2857142854</v>
      </c>
      <c r="AO33" s="226">
        <f>+[4]SLP!AO33+[4]ROSA!AO33+'[4]STA ANA'!AO33+[4]BOA!AO33+'[4]STA MARIA'!AO33+'[4]CB I'!AO33+'[4]CB II'!AO33+'[4]CB III'!AO33+[4]IG!AO33+[4]PN!AO33+[4]MJ!AO33+'[4]RB I'!AO33+'[4]SF I'!AO33</f>
        <v>2725074.52</v>
      </c>
      <c r="AP33" s="226">
        <f>+[4]SLP!AP33+[4]ROSA!AP33+'[4]STA ANA'!AP33+[4]BOA!AP33+'[4]STA MARIA'!AP33+'[4]CB I'!AP33+'[4]CB II'!AP33+'[4]CB III'!AP33+[4]IG!AP33+[4]PN!AP33+[4]MJ!AP33+'[4]RB I'!AP33+'[4]SF I'!AP33</f>
        <v>381839.76571428566</v>
      </c>
      <c r="AQ33" s="226">
        <f>+[4]SLP!AQ33+[4]ROSA!AQ33+'[4]STA ANA'!AQ33+[4]BOA!AQ33+'[4]STA MARIA'!AQ33+'[4]CB I'!AQ33+'[4]CB II'!AQ33+'[4]CB III'!AQ33+[4]IG!AQ33+[4]PN!AQ33+[4]MJ!AQ33+'[4]RB I'!AQ33+'[4]SF I'!AQ33</f>
        <v>0</v>
      </c>
      <c r="AR33" s="226">
        <f>+[4]SLP!AR33+[4]ROSA!AR33+'[4]STA ANA'!AR33+[4]BOA!AR33+'[4]STA MARIA'!AR33+'[4]CB I'!AR33+'[4]CB II'!AR33+'[4]CB III'!AR33+[4]IG!AR33+[4]PN!AR33+[4]MJ!AR33+'[4]RB I'!AR33+'[4]SF I'!AR33</f>
        <v>0</v>
      </c>
      <c r="AS33" s="166">
        <f>+[4]SLP!AS33+[4]ROSA!AS33+'[4]STA ANA'!AS33+[4]BOA!AS33+'[4]STA MARIA'!AS33+'[4]CB I'!AS33+'[4]CB II'!AS33+'[4]CB III'!AS33+[4]IG!AS33+[4]PN!AS33+[4]MJ!AS33+'[4]RB I'!AS33+'[4]SÃO FRANCISCO'!AS33</f>
        <v>0</v>
      </c>
      <c r="AT33" s="224">
        <f t="shared" si="7"/>
        <v>-1</v>
      </c>
      <c r="AU33" s="225">
        <f>+[4]SLP!AU33+[4]ROSA!AU33+'[4]STA ANA'!AU33+[4]BOA!AU33+'[4]STA MARIA'!AU33+'[4]CB I'!AU33+'[4]CB II'!AU33+'[4]CB III'!AU33+[4]IG!AU33+[4]PN!AU33+[4]MJ!AU33+'[4]RB I'!AU33+'[4]SF I'!AU33</f>
        <v>2939061.224489796</v>
      </c>
      <c r="AV33" s="226">
        <f>+[4]SLP!AV33+[4]ROSA!AV33+'[4]STA ANA'!AV33+[4]BOA!AV33+'[4]STA MARIA'!AV33+'[4]CB I'!AV33+'[4]CB II'!AV33+'[4]CB III'!AV33+[4]IG!AV33+[4]PN!AV33+[4]MJ!AV33+'[4]RB I'!AV33+'[4]SF I'!AV33</f>
        <v>2577850.6</v>
      </c>
      <c r="AW33" s="226">
        <f>+[4]SLP!AW33+[4]ROSA!AW33+'[4]STA ANA'!AW33+[4]BOA!AW33+'[4]STA MARIA'!AW33+'[4]CB I'!AW33+'[4]CB II'!AW33+'[4]CB III'!AW33+[4]IG!AW33+[4]PN!AW33+[4]MJ!AW33+'[4]RB I'!AW33+'[4]SF I'!AW33</f>
        <v>361210.62448979588</v>
      </c>
      <c r="AX33" s="226">
        <f>+[4]SLP!AX33+[4]ROSA!AX33+'[4]STA ANA'!AX33+[4]BOA!AX33+'[4]STA MARIA'!AX33+'[4]CB I'!AX33+'[4]CB II'!AX33+'[4]CB III'!AX33+[4]IG!AX33+[4]PN!AX33+[4]MJ!AX33+'[4]RB I'!AX33+'[4]SF I'!AX33</f>
        <v>0</v>
      </c>
      <c r="AY33" s="226">
        <f>+[4]SLP!AY33+[4]ROSA!AY33+'[4]STA ANA'!AY33+[4]BOA!AY33+'[4]STA MARIA'!AY33+'[4]CB I'!AY33+'[4]CB II'!AY33+'[4]CB III'!AY33+[4]IG!AY33+[4]PN!AY33+[4]MJ!AY33+'[4]RB I'!AY33+'[4]SF I'!AY33</f>
        <v>0</v>
      </c>
      <c r="AZ33" s="166">
        <f>+[4]SLP!AZ33+[4]ROSA!AZ33+'[4]STA ANA'!AZ33+[4]BOA!AZ33+'[4]STA MARIA'!AZ33+'[4]CB I'!AZ33+'[4]CB II'!AZ33+[4]IG!AZ33+[4]PN!AZ33+[4]MJ!AZ33+'[4]RB I'!AZ33+'[4]SÃO FRANCISCO'!AZ33</f>
        <v>0</v>
      </c>
      <c r="BA33" s="224">
        <f t="shared" si="8"/>
        <v>-1</v>
      </c>
      <c r="BB33" s="225">
        <f>+[4]SLP!BB33+[4]ROSA!BB33+'[4]STA ANA'!BB33+[4]BOA!BB33+'[4]STA MARIA'!BB33+'[4]CB I'!BB33+'[4]CB II'!BB33+'[4]CB III'!BB33+[4]IG!BB33+[4]PN!BB33+[4]MJ!BB33+'[4]RB I'!BB33+'[4]SF I'!BB33</f>
        <v>2077126.5306122447</v>
      </c>
      <c r="BC33" s="226">
        <f>+[4]SLP!BC33+[4]ROSA!BC33+'[4]STA ANA'!BC33+[4]BOA!BC33+'[4]STA MARIA'!BC33+'[4]CB I'!BC33+'[4]CB II'!BC33+'[4]CB III'!BC33+[4]IG!BC33+[4]PN!BC33+[4]MJ!BC33+'[4]RB I'!BC33+'[4]SF I'!BC33</f>
        <v>1821847.6800000002</v>
      </c>
      <c r="BD33" s="226">
        <f>+[4]SLP!BD33+[4]ROSA!BD33+'[4]STA ANA'!BD33+[4]BOA!BD33+'[4]STA MARIA'!BD33+'[4]CB I'!BD33+'[4]CB II'!BD33+'[4]CB III'!BD33+[4]IG!BD33+[4]PN!BD33+[4]MJ!BD33+'[4]RB I'!BD33+'[4]SF I'!BD33</f>
        <v>255278.85061224486</v>
      </c>
      <c r="BE33" s="226">
        <f>+[4]SLP!BE33+[4]ROSA!BE33+'[4]STA ANA'!BE33+[4]BOA!BE33+'[4]STA MARIA'!BE33+'[4]CB I'!BE33+'[4]CB II'!BE33+'[4]CB III'!BE33+[4]IG!BE33+[4]PN!BE33+[4]MJ!BE33+'[4]RB I'!BE33+'[4]SF I'!BE33</f>
        <v>0</v>
      </c>
      <c r="BF33" s="226">
        <f>+[4]SLP!BF33+[4]ROSA!BF33+'[4]STA ANA'!BF33+[4]BOA!BF33+'[4]STA MARIA'!BF33+'[4]CB I'!BF33+'[4]CB II'!BF33+'[4]CB III'!BF33+[4]IG!BF33+[4]PN!BF33+[4]MJ!BF33+'[4]RB I'!BF33+'[4]SF I'!BF33</f>
        <v>0</v>
      </c>
      <c r="BG33" s="166">
        <f>+[4]SLP!BG33+[4]ROSA!BG33+'[4]STA ANA'!BG33+[4]BOA!BG33+'[4]STA MARIA'!BG33+'[4]CB I'!BG33+'[4]CB II'!BG33+'[4]CB III'!BG33+[4]IG!BG33+[4]PN!BG33+[4]MJ!BG33+'[4]RB I'!BG33+'[4]SÃO FRANCISCO'!BG33</f>
        <v>0</v>
      </c>
      <c r="BH33" s="224">
        <f t="shared" si="9"/>
        <v>-1</v>
      </c>
      <c r="BI33" s="225">
        <f>+[4]SLP!BI33+[4]ROSA!BI33+'[4]STA ANA'!BI33+[4]BOA!BI33+'[4]STA MARIA'!BI33+'[4]CB I'!BI33+'[4]CB II'!BI33+'[4]CB III'!BI33+[4]IG!BI33+[4]PN!BI33+[4]MJ!BI33+'[4]RB I'!BI33+'[4]SF I'!BI33</f>
        <v>0</v>
      </c>
      <c r="BJ33" s="226">
        <f>+[4]SLP!BJ33+[4]ROSA!BJ33+'[4]STA ANA'!BJ33+[4]BOA!BJ33+'[4]STA MARIA'!BJ33+'[4]CB I'!BJ33+'[4]CB II'!BJ33+'[4]CB III'!BJ33+[4]IG!BJ33+[4]PN!BJ33+[4]MJ!BJ33+'[4]RB I'!BJ33+'[4]SF I'!BJ33</f>
        <v>0</v>
      </c>
      <c r="BK33" s="226">
        <f>+[4]SLP!BK33+[4]ROSA!BK33+'[4]STA ANA'!BK33+[4]BOA!BK33+'[4]STA MARIA'!BK33+'[4]CB I'!BK33+'[4]CB II'!BK33+'[4]CB III'!BK33+[4]IG!BK33+[4]PN!BK33+[4]MJ!BK33+'[4]RB I'!BK33+'[4]SF I'!BK33</f>
        <v>0</v>
      </c>
      <c r="BL33" s="226">
        <f>+[4]SLP!BL33+[4]ROSA!BL33+'[4]STA ANA'!BL33+[4]BOA!BL33+'[4]STA MARIA'!BL33+'[4]CB I'!BL33+'[4]CB II'!BL33+'[4]CB III'!BL33+[4]IG!BL33+[4]PN!BL33+[4]MJ!BL33+'[4]RB I'!BL33+'[4]SF I'!BL33</f>
        <v>0</v>
      </c>
      <c r="BM33" s="226">
        <f>+[4]SLP!BM33+[4]ROSA!BM33+'[4]STA ANA'!BM33+[4]BOA!BM33+'[4]STA MARIA'!BM33+'[4]CB I'!BM33+'[4]CB II'!BM33+'[4]CB III'!BM33+[4]IG!BM33+[4]PN!BM33+[4]MJ!BM33+'[4]RB I'!BM33+'[4]SF I'!BM33</f>
        <v>0</v>
      </c>
      <c r="BN33" s="166">
        <f>+[4]SLP!BN33+[4]ROSA!BN33+'[4]STA ANA'!BN33+[4]BOA!BN33+'[4]STA MARIA'!BN33+'[4]CB I'!BN33+'[4]CB II'!BN33+'[4]CB III'!BN33+[4]IG!BN33+[4]PN!BN33+[4]MJ!BN33+'[4]RB I'!BN33+'[4]SÃO FRANCISCO'!BN33</f>
        <v>0</v>
      </c>
      <c r="BO33" s="224" t="str">
        <f t="shared" si="10"/>
        <v/>
      </c>
      <c r="BP33" s="225">
        <f>+[4]SLP!BP33+[4]ROSA!BP33+'[4]STA ANA'!BP33+[4]BOA!BP33+'[4]STA MARIA'!BP33+'[4]CB I'!BP33+'[4]CB II'!BP33+'[4]CB III'!BP33+[4]IG!BP33+[4]PN!BP33+[4]MJ!BP33+'[4]RB I'!BP33+'[4]SF I'!BP33</f>
        <v>0</v>
      </c>
      <c r="BQ33" s="226">
        <f>+[4]SLP!BQ33+[4]ROSA!BQ33+'[4]STA ANA'!BQ33+[4]BOA!BQ33+'[4]STA MARIA'!BQ33+'[4]CB I'!BQ33+'[4]CB II'!BQ33+'[4]CB III'!BQ33+[4]IG!BQ33+[4]PN!BQ33+[4]MJ!BQ33+'[4]RB I'!BQ33+'[4]SF I'!BQ33</f>
        <v>0</v>
      </c>
      <c r="BR33" s="226">
        <f>+[4]SLP!BR33+[4]ROSA!BR33+'[4]STA ANA'!BR33+[4]BOA!BR33+'[4]STA MARIA'!BR33+'[4]CB I'!BR33+'[4]CB II'!BR33+'[4]CB III'!BR33+[4]IG!BR33+[4]PN!BR33+[4]MJ!BR33+'[4]RB I'!BR33+'[4]SF I'!BR33</f>
        <v>0</v>
      </c>
      <c r="BS33" s="226">
        <f>+[4]SLP!BS33+[4]ROSA!BS33+'[4]STA ANA'!BS33+[4]BOA!BS33+'[4]STA MARIA'!BS33+'[4]CB I'!BS33+'[4]CB II'!BS33+'[4]CB III'!BS33+[4]IG!BS33+[4]PN!BS33+[4]MJ!BS33+'[4]RB I'!BS33+'[4]SF I'!BS33</f>
        <v>0</v>
      </c>
      <c r="BT33" s="226">
        <f>+[4]SLP!BT33+[4]ROSA!BT33+'[4]STA ANA'!BT33+[4]BOA!BT33+'[4]STA MARIA'!BT33+'[4]CB I'!BT33+'[4]CB II'!BT33+'[4]CB III'!BT33+[4]IG!BT33+[4]PN!BT33+[4]MJ!BT33+'[4]RB I'!BT33+'[4]SF I'!BT33</f>
        <v>0</v>
      </c>
      <c r="BU33" s="166">
        <f>+[4]SLP!BU33+[4]ROSA!BU33+'[4]STA ANA'!BU33+[4]BOA!BU33+'[4]STA MARIA'!BU33+'[4]CB I'!BU33+'[4]CB II'!BU33+'[4]CB III'!BU33+[4]IG!BU33+[4]PN!BU33+[4]MJ!BU33+'[4]RB I'!BU33+'[4]SÃO FRANCISCO'!BU33</f>
        <v>0</v>
      </c>
      <c r="BV33" s="224" t="str">
        <f t="shared" si="11"/>
        <v/>
      </c>
      <c r="BW33" s="225">
        <f>+[4]SLP!BW33+[4]ROSA!BW33+'[4]STA ANA'!BW33+[4]BOA!BW33+'[4]STA MARIA'!BW33+'[4]CB I'!BW33+'[4]CB II'!BW33+'[4]CB III'!BW33+[4]IG!BW33+[4]PN!BW33+[4]MJ!BW33+'[4]RB I'!BW33+'[4]SF I'!BW33</f>
        <v>0</v>
      </c>
      <c r="BX33" s="226">
        <f>+[4]SLP!BX33+[4]ROSA!BX33+'[4]STA ANA'!BX33+[4]BOA!BX33+'[4]STA MARIA'!BX33+'[4]CB I'!BX33+'[4]CB II'!BX33+'[4]CB III'!BX33+[4]IG!BX33+[4]PN!BX33+[4]MJ!BX33+'[4]RB I'!BX33+'[4]SF I'!BX33</f>
        <v>0</v>
      </c>
      <c r="BY33" s="226">
        <f>+[4]SLP!BY33+[4]ROSA!BY33+'[4]STA ANA'!BY33+[4]BOA!BY33+'[4]STA MARIA'!BY33+'[4]CB I'!BY33+'[4]CB II'!BY33+'[4]CB III'!BY33+[4]IG!BY33+[4]PN!BY33+[4]MJ!BY33+'[4]RB I'!BY33+'[4]SF I'!BY33</f>
        <v>0</v>
      </c>
      <c r="BZ33" s="226">
        <f>+[4]SLP!BZ33+[4]ROSA!BZ33+'[4]STA ANA'!BZ33+[4]BOA!BZ33+'[4]STA MARIA'!BZ33+'[4]CB I'!BZ33+'[4]CB II'!BZ33+'[4]CB III'!BZ33+[4]IG!BZ33+[4]PN!BZ33+[4]MJ!BZ33+'[4]RB I'!BZ33+'[4]SF I'!BZ33</f>
        <v>0</v>
      </c>
      <c r="CA33" s="226">
        <f>+[4]SLP!CA33+[4]ROSA!CA33+'[4]STA ANA'!CA33+[4]BOA!CA33+'[4]STA MARIA'!CA33+'[4]CB I'!CA33+'[4]CB II'!CA33+'[4]CB III'!CA33+[4]IG!CA33+[4]PN!CA33+[4]MJ!CA33+'[4]RB I'!CA33+'[4]SF I'!CA33</f>
        <v>0</v>
      </c>
      <c r="CB33" s="166">
        <f>+[4]SLP!CB33+[4]ROSA!CB33+'[4]STA ANA'!CB33+[4]BOA!CB33+'[4]STA MARIA'!CB33+'[4]CB I'!CB33+'[4]CB II'!CB33+'[4]CB III'!CB33+[4]IG!CB33+[4]PN!CB33+[4]MJ!CB33+'[4]RB I'!CB33+'[4]SÃO FRANCISCO'!CB33</f>
        <v>0</v>
      </c>
      <c r="CC33" s="224" t="str">
        <f t="shared" si="12"/>
        <v/>
      </c>
      <c r="CD33" s="225">
        <f>+[4]SLP!CD33+[4]ROSA!CD33+'[4]STA ANA'!CD33+[4]BOA!CD33+'[4]STA MARIA'!CD33+'[4]CB I'!CD33+'[4]CB II'!CD33+'[4]CB III'!CD33+[4]IG!CD33+[4]PN!CD33+[4]MJ!CD33+'[4]RB I'!CD33+'[4]SF I'!CD33</f>
        <v>0</v>
      </c>
      <c r="CE33" s="226">
        <f>+[4]SLP!CE33+[4]ROSA!CE33+'[4]STA ANA'!CE33+[4]BOA!CE33+'[4]STA MARIA'!CE33+'[4]CB I'!CE33+'[4]CB II'!CE33+'[4]CB III'!CE33+[4]IG!CE33+[4]PN!CE33+[4]MJ!CE33+'[4]RB I'!CE33+'[4]SF I'!CE33</f>
        <v>0</v>
      </c>
      <c r="CF33" s="226">
        <f>+[4]SLP!CF33+[4]ROSA!CF33+'[4]STA ANA'!CF33+[4]BOA!CF33+'[4]STA MARIA'!CF33+'[4]CB I'!CF33+'[4]CB II'!CF33+'[4]CB III'!CF33+[4]IG!CF33+[4]PN!CF33+[4]MJ!CF33+'[4]RB I'!CF33+'[4]SF I'!CF33</f>
        <v>0</v>
      </c>
      <c r="CG33" s="226">
        <f>+[4]SLP!CG33+[4]ROSA!CG33+'[4]STA ANA'!CG33+[4]BOA!CG33+'[4]STA MARIA'!CG33+'[4]CB I'!CG33+'[4]CB II'!CG33+'[4]CB III'!CG33+[4]IG!CG33+[4]PN!CG33+[4]MJ!CG33+'[4]RB I'!CG33+'[4]SF I'!CG33</f>
        <v>0</v>
      </c>
      <c r="CH33" s="226">
        <f>+[4]SLP!CH33+[4]ROSA!CH33+'[4]STA ANA'!CH33+[4]BOA!CH33+'[4]STA MARIA'!CH33+'[4]CB I'!CH33+'[4]CB II'!CH33+'[4]CB III'!CH33+[4]IG!CH33+[4]PN!CH33+[4]MJ!CH33+'[4]RB I'!CH33+'[4]SF I'!CH33</f>
        <v>0</v>
      </c>
      <c r="CI33" s="166">
        <f>+[4]SLP!CI33+[4]ROSA!CI33+'[4]STA ANA'!CI33+[4]BOA!CI33+'[4]STA MARIA'!CI33+'[4]CB I'!CI33+'[4]CB II'!CI33+'[4]CB III'!CI33+[4]IG!CI33+[4]PN!CI33+[4]MJ!CI33+'[4]RB I'!CI33+'[4]SÃO FRANCISCO'!CI33</f>
        <v>0</v>
      </c>
      <c r="CJ33" s="224" t="str">
        <f t="shared" si="13"/>
        <v/>
      </c>
      <c r="CK33" s="225">
        <f>+[4]SLP!CK33+[4]ROSA!CK33+'[4]STA ANA'!CK33+[4]BOA!CK33+'[4]STA MARIA'!CK33+'[4]CB I'!CK33+'[4]CB II'!CK33+'[4]CB III'!CK33+[4]IG!CK33+[4]PN!CK33+[4]MJ!CK33+'[4]RB I'!CK33+'[4]SF I'!CK33</f>
        <v>0</v>
      </c>
      <c r="CL33" s="226">
        <f>+[4]SLP!CL33+[4]ROSA!CL33+'[4]STA ANA'!CL33+[4]BOA!CL33+'[4]STA MARIA'!CL33+'[4]CB I'!CL33+'[4]CB II'!CL33+'[4]CB III'!CL33+[4]IG!CL33+[4]PN!CL33+[4]MJ!CL33+'[4]RB I'!CL33+'[4]SF I'!CL33</f>
        <v>0</v>
      </c>
      <c r="CM33" s="226">
        <f>+[4]SLP!CM33+[4]ROSA!CM33+'[4]STA ANA'!CM33+[4]BOA!CM33+'[4]STA MARIA'!CM33+'[4]CB I'!CM33+'[4]CB II'!CM33+'[4]CB III'!CM33+[4]IG!CM33+[4]PN!CM33+[4]MJ!CM33+'[4]RB I'!CM33+'[4]SF I'!CM33</f>
        <v>0</v>
      </c>
      <c r="CN33" s="226">
        <f>+[4]SLP!CN33+[4]ROSA!CN33+'[4]STA ANA'!CN33+[4]BOA!CN33+'[4]STA MARIA'!CN33+'[4]CB I'!CN33+'[4]CB II'!CN33+'[4]CB III'!CN33+[4]IG!CN33+[4]PN!CN33+[4]MJ!CN33+'[4]RB I'!CN33+'[4]SF I'!CN33</f>
        <v>0</v>
      </c>
      <c r="CO33" s="226">
        <f>+[4]SLP!CO33+[4]ROSA!CO33+'[4]STA ANA'!CO33+[4]BOA!CO33+'[4]STA MARIA'!CO33+'[4]CB I'!CO33+'[4]CB II'!CO33+'[4]CB III'!CO33+[4]IG!CO33+[4]PN!CO33+[4]MJ!CO33+'[4]RB I'!CO33+'[4]SF I'!CO33</f>
        <v>0</v>
      </c>
      <c r="CP33" s="166">
        <f>+[4]SLP!CP33+[4]ROSA!CP33+'[4]STA ANA'!CP33+[4]BOA!CP33+'[4]STA MARIA'!CP33+'[4]CB I'!CP33+'[4]CB II'!CP33+'[4]CB III'!CP33+[4]IG!CP33+[4]PN!CP33+[4]MJ!CP33+'[4]RB I'!CP33+'[4]SÃO FRANCISCO'!CP33</f>
        <v>0</v>
      </c>
      <c r="CQ33" s="224" t="str">
        <f t="shared" si="14"/>
        <v/>
      </c>
      <c r="CR33" s="155"/>
      <c r="CS33" s="227" t="e">
        <f t="shared" si="15"/>
        <v>#VALUE!</v>
      </c>
    </row>
    <row r="34" spans="1:97" ht="16" customHeight="1" x14ac:dyDescent="0.2">
      <c r="A34" s="223" t="s">
        <v>208</v>
      </c>
      <c r="B34" s="30">
        <f t="shared" si="0"/>
        <v>1992650.8885714286</v>
      </c>
      <c r="C34" s="31">
        <f t="shared" si="0"/>
        <v>1747754.094366</v>
      </c>
      <c r="D34" s="32">
        <f t="shared" si="0"/>
        <v>244896.79420542857</v>
      </c>
      <c r="E34" s="30">
        <f t="shared" si="16"/>
        <v>1842650.8885714286</v>
      </c>
      <c r="F34" s="33">
        <f t="shared" si="16"/>
        <v>1616189.094366</v>
      </c>
      <c r="G34" s="34">
        <f t="shared" si="16"/>
        <v>226461.79420542857</v>
      </c>
      <c r="H34" s="31">
        <f t="shared" si="1"/>
        <v>1290894.5278020001</v>
      </c>
      <c r="I34" s="33">
        <f t="shared" si="1"/>
        <v>275881.42219800001</v>
      </c>
      <c r="J34" s="33">
        <f t="shared" si="1"/>
        <v>1566775.95</v>
      </c>
      <c r="K34" s="224">
        <f t="shared" si="2"/>
        <v>-0.14971633546130336</v>
      </c>
      <c r="L34" s="225">
        <f>+[4]SLP!L34+[4]ROSA!L34+'[4]STA ANA'!L34+[4]BOA!L34+'[4]STA MARIA'!L34+'[4]CB I'!L34+'[4]CB II'!L34+'[4]CB III'!L34+[4]IG!L34+[4]PN!L34+[4]MJ!L34+'[4]RB I'!L34+'[4]SF I'!L34</f>
        <v>1136242.9285714286</v>
      </c>
      <c r="M34" s="226">
        <f>+[4]SLP!M34+[4]ROSA!M34+'[4]STA ANA'!M34+[4]BOA!M34+'[4]STA MARIA'!M34+'[4]CB I'!M34+'[4]CB II'!M34+'[4]CB III'!M34+[4]IG!M34+[4]PN!M34+[4]MJ!M34+'[4]RB I'!M34+'[4]SF I'!M34</f>
        <v>996598.67265000008</v>
      </c>
      <c r="N34" s="226">
        <f>+[4]SLP!N34+[4]ROSA!N34+'[4]STA ANA'!N34+[4]BOA!N34+'[4]STA MARIA'!N34+'[4]CB I'!N34+'[4]CB II'!N34+'[4]CB III'!N34+[4]IG!N34+[4]PN!N34+[4]MJ!N34+'[4]RB I'!N34+'[4]SF I'!N34</f>
        <v>139644.25592142856</v>
      </c>
      <c r="O34" s="226">
        <f>+[4]SLP!O34+[4]ROSA!O34+'[4]STA ANA'!O34+[4]BOA!O34+'[4]STA MARIA'!O34+'[4]CB I'!O34+'[4]CB II'!O34+'[4]CB III'!O34+[4]IG!O34+[4]PN!O34+[4]MJ!O34+'[4]RB I'!O34+'[4]SF I'!O34</f>
        <v>1171347.5068890001</v>
      </c>
      <c r="P34" s="226">
        <f>+[4]SLP!P34+[4]ROSA!P34+'[4]STA ANA'!P34+[4]BOA!P34+'[4]STA MARIA'!P34+'[4]CB I'!P34+'[4]CB II'!P34+'[4]CB III'!P34+[4]IG!P34+[4]PN!P34+[4]MJ!P34+'[4]RB I'!P34+'[4]SF I'!P34</f>
        <v>258972.99311100002</v>
      </c>
      <c r="Q34" s="166">
        <f>+[4]SLP!Q34+[4]ROSA!Q34+'[4]STA ANA'!Q34+[4]BOA!Q34+'[4]STA MARIA'!Q34+'[4]CB I'!Q34+'[4]CB II'!Q34+'[4]CB III'!Q34+[4]IG!Q34+[4]PN!Q34+[4]MJ!Q34+'[4]RB I'!Q34+'[4]SF I'!Q34</f>
        <v>1430320.5</v>
      </c>
      <c r="R34" s="224">
        <f t="shared" si="3"/>
        <v>0.2588157550061132</v>
      </c>
      <c r="S34" s="225">
        <f>+[4]SLP!S34+[4]ROSA!S34+'[4]STA ANA'!S34+[4]BOA!S34+'[4]STA MARIA'!S34+'[4]CB I'!S34+'[4]CB II'!S34+'[4]CB III'!S34+[4]IG!S34+[4]PN!S34+[4]MJ!S34+'[4]RB I'!S34+'[4]SF I'!S34</f>
        <v>706407.96000000008</v>
      </c>
      <c r="T34" s="226">
        <f>+[4]SLP!T34+[4]ROSA!T34+'[4]STA ANA'!T34+[4]BOA!T34+'[4]STA MARIA'!T34+'[4]CB I'!T34+'[4]CB II'!T34+'[4]CB III'!T34+[4]IG!T34+[4]PN!T34+[4]MJ!T34+'[4]RB I'!T34+'[4]SF I'!T34</f>
        <v>619590.42171600007</v>
      </c>
      <c r="U34" s="226">
        <f>+[4]SLP!U34+[4]ROSA!U34+'[4]STA ANA'!U34+[4]BOA!U34+'[4]STA MARIA'!U34+'[4]CB I'!U34+'[4]CB II'!U34+'[4]CB III'!U34+[4]IG!U34+[4]PN!U34+[4]MJ!U34+'[4]RB I'!U34+'[4]SF I'!U34</f>
        <v>86817.538284000009</v>
      </c>
      <c r="V34" s="226">
        <f>+[4]SLP!V34+[4]ROSA!V34+'[4]STA ANA'!V34+[4]BOA!V34+'[4]STA MARIA'!V34+'[4]CB I'!V34+'[4]CB II'!V34+'[4]CB III'!V34+[4]IG!V34+[4]PN!V34+[4]MJ!V34+'[4]RB I'!V34+'[4]SF I'!V34</f>
        <v>75902.473694</v>
      </c>
      <c r="W34" s="226">
        <f>+[4]SLP!W34+[4]ROSA!W34+'[4]STA ANA'!W34+[4]BOA!W34+'[4]STA MARIA'!W34+'[4]CB I'!W34+'[4]CB II'!W34+'[4]CB III'!W34+[4]IG!W34+[4]PN!W34+[4]MJ!W34+'[4]RB I'!W34+'[4]SF I'!W34</f>
        <v>14257.026306</v>
      </c>
      <c r="X34" s="166">
        <f>[4]SLP!X34+[4]ROSA!X34+'[4]STA ANA'!X34+[4]BOA!X34+'[4]STA MARIA'!X34+'[4]CB I'!X34+'[4]CB II'!X34+'[4]CB III'!X34+[4]IG!X34+[4]PN!X34+[4]MJ!X34+'[4]RB I'!X34+'[4]SF I'!X34</f>
        <v>90159.5</v>
      </c>
      <c r="Y34" s="224">
        <f t="shared" si="4"/>
        <v>-0.87236907692829513</v>
      </c>
      <c r="Z34" s="225">
        <f>+[4]SLP!Z34+[4]ROSA!Z34+'[4]STA ANA'!Z34+[4]BOA!Z34+'[4]STA MARIA'!Z34+'[4]CB I'!Z34+'[4]CB II'!Z34+'[4]CB III'!Z34+[4]IG!Z34+[4]PN!Z34+[4]MJ!Z34+'[4]RB I'!Z34+'[4]SF I'!Z34</f>
        <v>0</v>
      </c>
      <c r="AA34" s="226">
        <f>+[4]SLP!AA34+[4]ROSA!AA34+'[4]STA ANA'!AA34+[4]BOA!AA34+'[4]STA MARIA'!AA34+'[4]CB I'!AA34+'[4]CB II'!AA34+'[4]CB III'!AA34+[4]IG!AA34+[4]PN!AA34+[4]MJ!AA34+'[4]RB I'!AA34+'[4]SF I'!AA34</f>
        <v>0</v>
      </c>
      <c r="AB34" s="226">
        <f>+[4]SLP!AB34+[4]ROSA!AB34+'[4]STA ANA'!AB34+[4]BOA!AB34+'[4]STA MARIA'!AB34+'[4]CB I'!AB34+'[4]CB II'!AB34+'[4]CB III'!AB34+[4]IG!AB34+[4]PN!AB34+[4]MJ!AB34+'[4]RB I'!AB34+'[4]SF I'!AB34</f>
        <v>0</v>
      </c>
      <c r="AC34" s="226">
        <f>+[4]SLP!AC34+[4]ROSA!AC34+'[4]STA ANA'!AC34+[4]BOA!AC34+'[4]STA MARIA'!AC34+'[4]CB I'!AC34+'[4]CB II'!AC34+'[4]CB III'!AC34+[4]IG!AC34+[4]PN!AC34+[4]MJ!AC34+'[4]RB I'!AC34+'[4]SF I'!AC34</f>
        <v>43644.547219</v>
      </c>
      <c r="AD34" s="226">
        <f>+[4]SLP!AD34+[4]ROSA!AD34+'[4]STA ANA'!AD34+[4]BOA!AD34+'[4]STA MARIA'!AD34+'[4]CB I'!AD34+'[4]CB II'!AD34+'[4]CB III'!AD34+[4]IG!AD34+[4]PN!AD34+[4]MJ!AD34+'[4]RB I'!AD34+'[4]SF I'!AD34</f>
        <v>2651.4027810000002</v>
      </c>
      <c r="AE34" s="166">
        <f>+[4]SLP!AE34+[4]ROSA!AE34+'[4]STA ANA'!AE34+[4]BOA!AE34+'[4]STA MARIA'!AE34+'[4]CB I'!AE34+'[4]CB II'!AE34+'[4]CB III'!AE34+[4]IG!AE34+[4]PN!AE34+[4]MJ!AE34+'[4]RB I'!AE34+'[4]SF I'!AE34</f>
        <v>46295.950000000004</v>
      </c>
      <c r="AF34" s="224" t="str">
        <f t="shared" si="5"/>
        <v/>
      </c>
      <c r="AG34" s="225">
        <f>+[4]SLP!AG34+[4]ROSA!AG34+'[4]STA ANA'!AG34+[4]BOA!AG34+'[4]STA MARIA'!AG34+'[4]CB I'!AG34+'[4]CB II'!AG34+'[4]CB III'!AG34+[4]IG!AG34+[4]PN!AG34+[4]MJ!AG34+'[4]RB I'!AG34+'[4]SF I'!AG34</f>
        <v>0</v>
      </c>
      <c r="AH34" s="226">
        <f>+[4]SLP!AH34+[4]ROSA!AH34+'[4]STA ANA'!AH34+[4]BOA!AH34+'[4]STA MARIA'!AH34+'[4]CB I'!AH34+'[4]CB II'!AH34+'[4]CB III'!AH34+[4]IG!AH34+[4]PN!AH34+[4]MJ!AH34+'[4]RB I'!AH34+'[4]SF I'!AH34</f>
        <v>0</v>
      </c>
      <c r="AI34" s="226">
        <f>+[4]SLP!AI34+[4]ROSA!AI34+'[4]STA ANA'!AI34+[4]BOA!AI34+'[4]STA MARIA'!AI34+'[4]CB I'!AI34+'[4]CB II'!AI34+'[4]CB III'!AI34+[4]IG!AI34+[4]PN!AI34+[4]MJ!AI34+'[4]RB I'!AI34+'[4]SF I'!AI34</f>
        <v>0</v>
      </c>
      <c r="AJ34" s="226">
        <f>+[4]SLP!AJ34+[4]ROSA!AJ34+'[4]STA ANA'!AJ34+[4]BOA!AJ34+'[4]STA MARIA'!AJ34+'[4]CB I'!AJ34+'[4]CB II'!AJ34+'[4]CB III'!AJ34+[4]IG!AJ34+[4]PN!AJ34+[4]MJ!AJ34+'[4]RB I'!AJ34+'[4]SF I'!AJ34</f>
        <v>0</v>
      </c>
      <c r="AK34" s="226">
        <f>+[4]SLP!AK34+[4]ROSA!AK34+'[4]STA ANA'!AK34+[4]BOA!AK34+'[4]STA MARIA'!AK34+'[4]CB I'!AK34+'[4]CB II'!AK34+'[4]CB III'!AK34+[4]IG!AK34+[4]PN!AK34+[4]MJ!AK34+'[4]RB I'!AK34+'[4]SF I'!AK34</f>
        <v>0</v>
      </c>
      <c r="AL34" s="166">
        <f>+[4]SLP!AL34+[4]ROSA!AL34+'[4]STA ANA'!AL34+[4]BOA!AL34+'[4]STA MARIA'!AL34+'[4]CB I'!AL34+'[4]CB II'!AL34+'[4]CB III'!AL34+[4]IG!AL34+[4]PN!AL34+[4]MJ!AL34+'[4]RB I'!AL34+'[4]SF I'!AL34</f>
        <v>0</v>
      </c>
      <c r="AM34" s="224" t="str">
        <f t="shared" si="6"/>
        <v/>
      </c>
      <c r="AN34" s="225">
        <f>+[4]SLP!AN34+[4]ROSA!AN34+'[4]STA ANA'!AN34+[4]BOA!AN34+'[4]STA MARIA'!AN34+'[4]CB I'!AN34+'[4]CB II'!AN34+'[4]CB III'!AN34+[4]IG!AN34+[4]PN!AN34+[4]MJ!AN34+'[4]RB I'!AN34+'[4]SF I'!AN34</f>
        <v>0</v>
      </c>
      <c r="AO34" s="226">
        <f>+[4]SLP!AO34+[4]ROSA!AO34+'[4]STA ANA'!AO34+[4]BOA!AO34+'[4]STA MARIA'!AO34+'[4]CB I'!AO34+'[4]CB II'!AO34+'[4]CB III'!AO34+[4]IG!AO34+[4]PN!AO34+[4]MJ!AO34+'[4]RB I'!AO34+'[4]SF I'!AO34</f>
        <v>0</v>
      </c>
      <c r="AP34" s="226">
        <f>+[4]SLP!AP34+[4]ROSA!AP34+'[4]STA ANA'!AP34+[4]BOA!AP34+'[4]STA MARIA'!AP34+'[4]CB I'!AP34+'[4]CB II'!AP34+'[4]CB III'!AP34+[4]IG!AP34+[4]PN!AP34+[4]MJ!AP34+'[4]RB I'!AP34+'[4]SF I'!AP34</f>
        <v>0</v>
      </c>
      <c r="AQ34" s="226">
        <f>+[4]SLP!AQ34+[4]ROSA!AQ34+'[4]STA ANA'!AQ34+[4]BOA!AQ34+'[4]STA MARIA'!AQ34+'[4]CB I'!AQ34+'[4]CB II'!AQ34+'[4]CB III'!AQ34+[4]IG!AQ34+[4]PN!AQ34+[4]MJ!AQ34+'[4]RB I'!AQ34+'[4]SF I'!AQ34</f>
        <v>0</v>
      </c>
      <c r="AR34" s="226">
        <f>+[4]SLP!AR34+[4]ROSA!AR34+'[4]STA ANA'!AR34+[4]BOA!AR34+'[4]STA MARIA'!AR34+'[4]CB I'!AR34+'[4]CB II'!AR34+'[4]CB III'!AR34+[4]IG!AR34+[4]PN!AR34+[4]MJ!AR34+'[4]RB I'!AR34+'[4]SF I'!AR34</f>
        <v>0</v>
      </c>
      <c r="AS34" s="166">
        <f>+[4]SLP!AS34+[4]ROSA!AS34+'[4]STA ANA'!AS34+[4]BOA!AS34+'[4]STA MARIA'!AS34+'[4]CB I'!AS34+'[4]CB II'!AS34+'[4]CB III'!AS34+[4]IG!AS34+[4]PN!AS34+[4]MJ!AS34+'[4]RB I'!AS34+'[4]SÃO FRANCISCO'!AS34</f>
        <v>0</v>
      </c>
      <c r="AT34" s="224" t="str">
        <f t="shared" si="7"/>
        <v/>
      </c>
      <c r="AU34" s="225">
        <f>+[4]SLP!AU34+[4]ROSA!AU34+'[4]STA ANA'!AU34+[4]BOA!AU34+'[4]STA MARIA'!AU34+'[4]CB I'!AU34+'[4]CB II'!AU34+'[4]CB III'!AU34+[4]IG!AU34+[4]PN!AU34+[4]MJ!AU34+'[4]RB I'!AU34+'[4]SF I'!AU34</f>
        <v>0</v>
      </c>
      <c r="AV34" s="226">
        <f>+[4]SLP!AV34+[4]ROSA!AV34+'[4]STA ANA'!AV34+[4]BOA!AV34+'[4]STA MARIA'!AV34+'[4]CB I'!AV34+'[4]CB II'!AV34+'[4]CB III'!AV34+[4]IG!AV34+[4]PN!AV34+[4]MJ!AV34+'[4]RB I'!AV34+'[4]SF I'!AV34</f>
        <v>0</v>
      </c>
      <c r="AW34" s="226">
        <f>+[4]SLP!AW34+[4]ROSA!AW34+'[4]STA ANA'!AW34+[4]BOA!AW34+'[4]STA MARIA'!AW34+'[4]CB I'!AW34+'[4]CB II'!AW34+'[4]CB III'!AW34+[4]IG!AW34+[4]PN!AW34+[4]MJ!AW34+'[4]RB I'!AW34+'[4]SF I'!AW34</f>
        <v>0</v>
      </c>
      <c r="AX34" s="226">
        <f>+[4]SLP!AX34+[4]ROSA!AX34+'[4]STA ANA'!AX34+[4]BOA!AX34+'[4]STA MARIA'!AX34+'[4]CB I'!AX34+'[4]CB II'!AX34+'[4]CB III'!AX34+[4]IG!AX34+[4]PN!AX34+[4]MJ!AX34+'[4]RB I'!AX34+'[4]SF I'!AX34</f>
        <v>0</v>
      </c>
      <c r="AY34" s="226">
        <f>+[4]SLP!AY34+[4]ROSA!AY34+'[4]STA ANA'!AY34+[4]BOA!AY34+'[4]STA MARIA'!AY34+'[4]CB I'!AY34+'[4]CB II'!AY34+'[4]CB III'!AY34+[4]IG!AY34+[4]PN!AY34+[4]MJ!AY34+'[4]RB I'!AY34+'[4]SF I'!AY34</f>
        <v>0</v>
      </c>
      <c r="AZ34" s="166">
        <f>+[4]SLP!AZ34+[4]ROSA!AZ34+'[4]STA ANA'!AZ34+[4]BOA!AZ34+'[4]STA MARIA'!AZ34+'[4]CB I'!AZ34+'[4]CB II'!AZ34+[4]IG!AZ34+[4]PN!AZ34+[4]MJ!AZ34+'[4]RB I'!AZ34+'[4]SÃO FRANCISCO'!AZ34</f>
        <v>0</v>
      </c>
      <c r="BA34" s="224" t="str">
        <f t="shared" si="8"/>
        <v/>
      </c>
      <c r="BB34" s="225">
        <f>+[4]SLP!BB34+[4]ROSA!BB34+'[4]STA ANA'!BB34+[4]BOA!BB34+'[4]STA MARIA'!BB34+'[4]CB I'!BB34+'[4]CB II'!BB34+'[4]CB III'!BB34+[4]IG!BB34+[4]PN!BB34+[4]MJ!BB34+'[4]RB I'!BB34+'[4]SF I'!BB34</f>
        <v>55000</v>
      </c>
      <c r="BC34" s="226">
        <f>+[4]SLP!BC34+[4]ROSA!BC34+'[4]STA ANA'!BC34+[4]BOA!BC34+'[4]STA MARIA'!BC34+'[4]CB I'!BC34+'[4]CB II'!BC34+'[4]CB III'!BC34+[4]IG!BC34+[4]PN!BC34+[4]MJ!BC34+'[4]RB I'!BC34+'[4]SF I'!BC34</f>
        <v>48240.5</v>
      </c>
      <c r="BD34" s="226">
        <f>+[4]SLP!BD34+[4]ROSA!BD34+'[4]STA ANA'!BD34+[4]BOA!BD34+'[4]STA MARIA'!BD34+'[4]CB I'!BD34+'[4]CB II'!BD34+'[4]CB III'!BD34+[4]IG!BD34+[4]PN!BD34+[4]MJ!BD34+'[4]RB I'!BD34+'[4]SF I'!BD34</f>
        <v>6759.5</v>
      </c>
      <c r="BE34" s="226">
        <f>+[4]SLP!BE34+[4]ROSA!BE34+'[4]STA ANA'!BE34+[4]BOA!BE34+'[4]STA MARIA'!BE34+'[4]CB I'!BE34+'[4]CB II'!BE34+'[4]CB III'!BE34+[4]IG!BE34+[4]PN!BE34+[4]MJ!BE34+'[4]RB I'!BE34+'[4]SF I'!BE34</f>
        <v>0</v>
      </c>
      <c r="BF34" s="226">
        <f>+[4]SLP!BF34+[4]ROSA!BF34+'[4]STA ANA'!BF34+[4]BOA!BF34+'[4]STA MARIA'!BF34+'[4]CB I'!BF34+'[4]CB II'!BF34+'[4]CB III'!BF34+[4]IG!BF34+[4]PN!BF34+[4]MJ!BF34+'[4]RB I'!BF34+'[4]SF I'!BF34</f>
        <v>0</v>
      </c>
      <c r="BG34" s="166">
        <f>+[4]SLP!BG34+[4]ROSA!BG34+'[4]STA ANA'!BG34+[4]BOA!BG34+'[4]STA MARIA'!BG34+'[4]CB I'!BG34+'[4]CB II'!BG34+'[4]CB III'!BG34+[4]IG!BG34+[4]PN!BG34+[4]MJ!BG34+'[4]RB I'!BG34+'[4]SÃO FRANCISCO'!BG34</f>
        <v>0</v>
      </c>
      <c r="BH34" s="224">
        <f t="shared" si="9"/>
        <v>-1</v>
      </c>
      <c r="BI34" s="225">
        <f>+[4]SLP!BI34+[4]ROSA!BI34+'[4]STA ANA'!BI34+[4]BOA!BI34+'[4]STA MARIA'!BI34+'[4]CB I'!BI34+'[4]CB II'!BI34+'[4]CB III'!BI34+[4]IG!BI34+[4]PN!BI34+[4]MJ!BI34+'[4]RB I'!BI34+'[4]SF I'!BI34</f>
        <v>95000</v>
      </c>
      <c r="BJ34" s="226">
        <f>+[4]SLP!BJ34+[4]ROSA!BJ34+'[4]STA ANA'!BJ34+[4]BOA!BJ34+'[4]STA MARIA'!BJ34+'[4]CB I'!BJ34+'[4]CB II'!BJ34+'[4]CB III'!BJ34+[4]IG!BJ34+[4]PN!BJ34+[4]MJ!BJ34+'[4]RB I'!BJ34+'[4]SF I'!BJ34</f>
        <v>83324.5</v>
      </c>
      <c r="BK34" s="226">
        <f>+[4]SLP!BK34+[4]ROSA!BK34+'[4]STA ANA'!BK34+[4]BOA!BK34+'[4]STA MARIA'!BK34+'[4]CB I'!BK34+'[4]CB II'!BK34+'[4]CB III'!BK34+[4]IG!BK34+[4]PN!BK34+[4]MJ!BK34+'[4]RB I'!BK34+'[4]SF I'!BK34</f>
        <v>11675.5</v>
      </c>
      <c r="BL34" s="226">
        <f>+[4]SLP!BL34+[4]ROSA!BL34+'[4]STA ANA'!BL34+[4]BOA!BL34+'[4]STA MARIA'!BL34+'[4]CB I'!BL34+'[4]CB II'!BL34+'[4]CB III'!BL34+[4]IG!BL34+[4]PN!BL34+[4]MJ!BL34+'[4]RB I'!BL34+'[4]SF I'!BL34</f>
        <v>0</v>
      </c>
      <c r="BM34" s="226">
        <f>+[4]SLP!BM34+[4]ROSA!BM34+'[4]STA ANA'!BM34+[4]BOA!BM34+'[4]STA MARIA'!BM34+'[4]CB I'!BM34+'[4]CB II'!BM34+'[4]CB III'!BM34+[4]IG!BM34+[4]PN!BM34+[4]MJ!BM34+'[4]RB I'!BM34+'[4]SF I'!BM34</f>
        <v>0</v>
      </c>
      <c r="BN34" s="166">
        <f>+[4]SLP!BN34+[4]ROSA!BN34+'[4]STA ANA'!BN34+[4]BOA!BN34+'[4]STA MARIA'!BN34+'[4]CB I'!BN34+'[4]CB II'!BN34+'[4]CB III'!BN34+[4]IG!BN34+[4]PN!BN34+[4]MJ!BN34+'[4]RB I'!BN34+'[4]SÃO FRANCISCO'!BN34</f>
        <v>0</v>
      </c>
      <c r="BO34" s="224">
        <f t="shared" si="10"/>
        <v>-1</v>
      </c>
      <c r="BP34" s="225">
        <f>+[4]SLP!BP34+[4]ROSA!BP34+'[4]STA ANA'!BP34+[4]BOA!BP34+'[4]STA MARIA'!BP34+'[4]CB I'!BP34+'[4]CB II'!BP34+'[4]CB III'!BP34+[4]IG!BP34+[4]PN!BP34+[4]MJ!BP34+'[4]RB I'!BP34+'[4]SF I'!BP34</f>
        <v>0</v>
      </c>
      <c r="BQ34" s="226">
        <f>+[4]SLP!BQ34+[4]ROSA!BQ34+'[4]STA ANA'!BQ34+[4]BOA!BQ34+'[4]STA MARIA'!BQ34+'[4]CB I'!BQ34+'[4]CB II'!BQ34+'[4]CB III'!BQ34+[4]IG!BQ34+[4]PN!BQ34+[4]MJ!BQ34+'[4]RB I'!BQ34+'[4]SF I'!BQ34</f>
        <v>0</v>
      </c>
      <c r="BR34" s="226">
        <f>+[4]SLP!BR34+[4]ROSA!BR34+'[4]STA ANA'!BR34+[4]BOA!BR34+'[4]STA MARIA'!BR34+'[4]CB I'!BR34+'[4]CB II'!BR34+'[4]CB III'!BR34+[4]IG!BR34+[4]PN!BR34+[4]MJ!BR34+'[4]RB I'!BR34+'[4]SF I'!BR34</f>
        <v>0</v>
      </c>
      <c r="BS34" s="226">
        <f>+[4]SLP!BS34+[4]ROSA!BS34+'[4]STA ANA'!BS34+[4]BOA!BS34+'[4]STA MARIA'!BS34+'[4]CB I'!BS34+'[4]CB II'!BS34+'[4]CB III'!BS34+[4]IG!BS34+[4]PN!BS34+[4]MJ!BS34+'[4]RB I'!BS34+'[4]SF I'!BS34</f>
        <v>0</v>
      </c>
      <c r="BT34" s="226">
        <f>+[4]SLP!BT34+[4]ROSA!BT34+'[4]STA ANA'!BT34+[4]BOA!BT34+'[4]STA MARIA'!BT34+'[4]CB I'!BT34+'[4]CB II'!BT34+'[4]CB III'!BT34+[4]IG!BT34+[4]PN!BT34+[4]MJ!BT34+'[4]RB I'!BT34+'[4]SF I'!BT34</f>
        <v>0</v>
      </c>
      <c r="BU34" s="166">
        <f>+[4]SLP!BU34+[4]ROSA!BU34+'[4]STA ANA'!BU34+[4]BOA!BU34+'[4]STA MARIA'!BU34+'[4]CB I'!BU34+'[4]CB II'!BU34+'[4]CB III'!BU34+[4]IG!BU34+[4]PN!BU34+[4]MJ!BU34+'[4]RB I'!BU34+'[4]SÃO FRANCISCO'!BU34</f>
        <v>0</v>
      </c>
      <c r="BV34" s="224" t="str">
        <f t="shared" si="11"/>
        <v/>
      </c>
      <c r="BW34" s="225">
        <f>+[4]SLP!BW34+[4]ROSA!BW34+'[4]STA ANA'!BW34+[4]BOA!BW34+'[4]STA MARIA'!BW34+'[4]CB I'!BW34+'[4]CB II'!BW34+'[4]CB III'!BW34+[4]IG!BW34+[4]PN!BW34+[4]MJ!BW34+'[4]RB I'!BW34+'[4]SF I'!BW34</f>
        <v>0</v>
      </c>
      <c r="BX34" s="226">
        <f>+[4]SLP!BX34+[4]ROSA!BX34+'[4]STA ANA'!BX34+[4]BOA!BX34+'[4]STA MARIA'!BX34+'[4]CB I'!BX34+'[4]CB II'!BX34+'[4]CB III'!BX34+[4]IG!BX34+[4]PN!BX34+[4]MJ!BX34+'[4]RB I'!BX34+'[4]SF I'!BX34</f>
        <v>0</v>
      </c>
      <c r="BY34" s="226">
        <f>+[4]SLP!BY34+[4]ROSA!BY34+'[4]STA ANA'!BY34+[4]BOA!BY34+'[4]STA MARIA'!BY34+'[4]CB I'!BY34+'[4]CB II'!BY34+'[4]CB III'!BY34+[4]IG!BY34+[4]PN!BY34+[4]MJ!BY34+'[4]RB I'!BY34+'[4]SF I'!BY34</f>
        <v>0</v>
      </c>
      <c r="BZ34" s="226">
        <f>+[4]SLP!BZ34+[4]ROSA!BZ34+'[4]STA ANA'!BZ34+[4]BOA!BZ34+'[4]STA MARIA'!BZ34+'[4]CB I'!BZ34+'[4]CB II'!BZ34+'[4]CB III'!BZ34+[4]IG!BZ34+[4]PN!BZ34+[4]MJ!BZ34+'[4]RB I'!BZ34+'[4]SF I'!BZ34</f>
        <v>0</v>
      </c>
      <c r="CA34" s="226">
        <f>+[4]SLP!CA34+[4]ROSA!CA34+'[4]STA ANA'!CA34+[4]BOA!CA34+'[4]STA MARIA'!CA34+'[4]CB I'!CA34+'[4]CB II'!CA34+'[4]CB III'!CA34+[4]IG!CA34+[4]PN!CA34+[4]MJ!CA34+'[4]RB I'!CA34+'[4]SF I'!CA34</f>
        <v>0</v>
      </c>
      <c r="CB34" s="166">
        <f>+[4]SLP!CB34+[4]ROSA!CB34+'[4]STA ANA'!CB34+[4]BOA!CB34+'[4]STA MARIA'!CB34+'[4]CB I'!CB34+'[4]CB II'!CB34+'[4]CB III'!CB34+[4]IG!CB34+[4]PN!CB34+[4]MJ!CB34+'[4]RB I'!CB34+'[4]SÃO FRANCISCO'!CB34</f>
        <v>0</v>
      </c>
      <c r="CC34" s="224" t="str">
        <f t="shared" si="12"/>
        <v/>
      </c>
      <c r="CD34" s="225">
        <f>+[4]SLP!CD34+[4]ROSA!CD34+'[4]STA ANA'!CD34+[4]BOA!CD34+'[4]STA MARIA'!CD34+'[4]CB I'!CD34+'[4]CB II'!CD34+'[4]CB III'!CD34+[4]IG!CD34+[4]PN!CD34+[4]MJ!CD34+'[4]RB I'!CD34+'[4]SF I'!CD34</f>
        <v>0</v>
      </c>
      <c r="CE34" s="226">
        <f>+[4]SLP!CE34+[4]ROSA!CE34+'[4]STA ANA'!CE34+[4]BOA!CE34+'[4]STA MARIA'!CE34+'[4]CB I'!CE34+'[4]CB II'!CE34+'[4]CB III'!CE34+[4]IG!CE34+[4]PN!CE34+[4]MJ!CE34+'[4]RB I'!CE34+'[4]SF I'!CE34</f>
        <v>0</v>
      </c>
      <c r="CF34" s="226">
        <f>+[4]SLP!CF34+[4]ROSA!CF34+'[4]STA ANA'!CF34+[4]BOA!CF34+'[4]STA MARIA'!CF34+'[4]CB I'!CF34+'[4]CB II'!CF34+'[4]CB III'!CF34+[4]IG!CF34+[4]PN!CF34+[4]MJ!CF34+'[4]RB I'!CF34+'[4]SF I'!CF34</f>
        <v>0</v>
      </c>
      <c r="CG34" s="226">
        <f>+[4]SLP!CG34+[4]ROSA!CG34+'[4]STA ANA'!CG34+[4]BOA!CG34+'[4]STA MARIA'!CG34+'[4]CB I'!CG34+'[4]CB II'!CG34+'[4]CB III'!CG34+[4]IG!CG34+[4]PN!CG34+[4]MJ!CG34+'[4]RB I'!CG34+'[4]SF I'!CG34</f>
        <v>0</v>
      </c>
      <c r="CH34" s="226">
        <f>+[4]SLP!CH34+[4]ROSA!CH34+'[4]STA ANA'!CH34+[4]BOA!CH34+'[4]STA MARIA'!CH34+'[4]CB I'!CH34+'[4]CB II'!CH34+'[4]CB III'!CH34+[4]IG!CH34+[4]PN!CH34+[4]MJ!CH34+'[4]RB I'!CH34+'[4]SF I'!CH34</f>
        <v>0</v>
      </c>
      <c r="CI34" s="166">
        <f>+[4]SLP!CI34+[4]ROSA!CI34+'[4]STA ANA'!CI34+[4]BOA!CI34+'[4]STA MARIA'!CI34+'[4]CB I'!CI34+'[4]CB II'!CI34+'[4]CB III'!CI34+[4]IG!CI34+[4]PN!CI34+[4]MJ!CI34+'[4]RB I'!CI34+'[4]SÃO FRANCISCO'!CI34</f>
        <v>0</v>
      </c>
      <c r="CJ34" s="224" t="str">
        <f t="shared" si="13"/>
        <v/>
      </c>
      <c r="CK34" s="225">
        <f>+[4]SLP!CK34+[4]ROSA!CK34+'[4]STA ANA'!CK34+[4]BOA!CK34+'[4]STA MARIA'!CK34+'[4]CB I'!CK34+'[4]CB II'!CK34+'[4]CB III'!CK34+[4]IG!CK34+[4]PN!CK34+[4]MJ!CK34+'[4]RB I'!CK34+'[4]SF I'!CK34</f>
        <v>0</v>
      </c>
      <c r="CL34" s="226">
        <f>+[4]SLP!CL34+[4]ROSA!CL34+'[4]STA ANA'!CL34+[4]BOA!CL34+'[4]STA MARIA'!CL34+'[4]CB I'!CL34+'[4]CB II'!CL34+'[4]CB III'!CL34+[4]IG!CL34+[4]PN!CL34+[4]MJ!CL34+'[4]RB I'!CL34+'[4]SF I'!CL34</f>
        <v>0</v>
      </c>
      <c r="CM34" s="226">
        <f>+[4]SLP!CM34+[4]ROSA!CM34+'[4]STA ANA'!CM34+[4]BOA!CM34+'[4]STA MARIA'!CM34+'[4]CB I'!CM34+'[4]CB II'!CM34+'[4]CB III'!CM34+[4]IG!CM34+[4]PN!CM34+[4]MJ!CM34+'[4]RB I'!CM34+'[4]SF I'!CM34</f>
        <v>0</v>
      </c>
      <c r="CN34" s="226">
        <f>+[4]SLP!CN34+[4]ROSA!CN34+'[4]STA ANA'!CN34+[4]BOA!CN34+'[4]STA MARIA'!CN34+'[4]CB I'!CN34+'[4]CB II'!CN34+'[4]CB III'!CN34+[4]IG!CN34+[4]PN!CN34+[4]MJ!CN34+'[4]RB I'!CN34+'[4]SF I'!CN34</f>
        <v>0</v>
      </c>
      <c r="CO34" s="226">
        <f>+[4]SLP!CO34+[4]ROSA!CO34+'[4]STA ANA'!CO34+[4]BOA!CO34+'[4]STA MARIA'!CO34+'[4]CB I'!CO34+'[4]CB II'!CO34+'[4]CB III'!CO34+[4]IG!CO34+[4]PN!CO34+[4]MJ!CO34+'[4]RB I'!CO34+'[4]SF I'!CO34</f>
        <v>0</v>
      </c>
      <c r="CP34" s="166">
        <f>+[4]SLP!CP34+[4]ROSA!CP34+'[4]STA ANA'!CP34+[4]BOA!CP34+'[4]STA MARIA'!CP34+'[4]CB I'!CP34+'[4]CB II'!CP34+'[4]CB III'!CP34+[4]IG!CP34+[4]PN!CP34+[4]MJ!CP34+'[4]RB I'!CP34+'[4]SÃO FRANCISCO'!CP34</f>
        <v>0</v>
      </c>
      <c r="CQ34" s="224" t="str">
        <f t="shared" si="14"/>
        <v/>
      </c>
      <c r="CR34" s="155"/>
      <c r="CS34" s="227" t="e">
        <f t="shared" si="15"/>
        <v>#VALUE!</v>
      </c>
    </row>
    <row r="35" spans="1:97" ht="16" customHeight="1" x14ac:dyDescent="0.2">
      <c r="A35" s="223" t="s">
        <v>59</v>
      </c>
      <c r="B35" s="30">
        <f t="shared" si="0"/>
        <v>667346.93877551029</v>
      </c>
      <c r="C35" s="31">
        <f t="shared" si="0"/>
        <v>585330</v>
      </c>
      <c r="D35" s="32">
        <f t="shared" si="0"/>
        <v>82016.938775510207</v>
      </c>
      <c r="E35" s="30">
        <f t="shared" si="16"/>
        <v>667346.93877551029</v>
      </c>
      <c r="F35" s="33">
        <f t="shared" si="16"/>
        <v>585330</v>
      </c>
      <c r="G35" s="34">
        <f t="shared" si="16"/>
        <v>82016.938775510207</v>
      </c>
      <c r="H35" s="31">
        <f t="shared" si="1"/>
        <v>316824.64020899998</v>
      </c>
      <c r="I35" s="33">
        <f t="shared" si="1"/>
        <v>74089.639791000009</v>
      </c>
      <c r="J35" s="33">
        <f t="shared" si="1"/>
        <v>390914.28</v>
      </c>
      <c r="K35" s="224">
        <f t="shared" si="2"/>
        <v>-0.41422630825688078</v>
      </c>
      <c r="L35" s="225">
        <f>+[4]SLP!L35+[4]ROSA!L35+'[4]STA ANA'!L35+[4]BOA!L35+'[4]STA MARIA'!L35+'[4]CB I'!L35+'[4]CB II'!L35+'[4]CB III'!L35+[4]IG!L35+[4]PN!L35+[4]MJ!L35+'[4]RB I'!L35+'[4]SF I'!L35</f>
        <v>420000</v>
      </c>
      <c r="M35" s="226">
        <f>+[4]SLP!M35+[4]ROSA!M35+'[4]STA ANA'!M35+[4]BOA!M35+'[4]STA MARIA'!M35+'[4]CB I'!M35+'[4]CB II'!M35+'[4]CB III'!M35+[4]IG!M35+[4]PN!M35+[4]MJ!M35+'[4]RB I'!M35+'[4]SF I'!M35</f>
        <v>368382</v>
      </c>
      <c r="N35" s="226">
        <f>+[4]SLP!N35+[4]ROSA!N35+'[4]STA ANA'!N35+[4]BOA!N35+'[4]STA MARIA'!N35+'[4]CB I'!N35+'[4]CB II'!N35+'[4]CB III'!N35+[4]IG!N35+[4]PN!N35+[4]MJ!N35+'[4]RB I'!N35+'[4]SF I'!N35</f>
        <v>51618</v>
      </c>
      <c r="O35" s="226">
        <f>+[4]SLP!O35+[4]ROSA!O35+'[4]STA ANA'!O35+[4]BOA!O35+'[4]STA MARIA'!O35+'[4]CB I'!O35+'[4]CB II'!O35+'[4]CB III'!O35+[4]IG!O35+[4]PN!O35+[4]MJ!O35+'[4]RB I'!O35+'[4]SF I'!O35</f>
        <v>285581.41192300001</v>
      </c>
      <c r="P35" s="226">
        <f>+[4]SLP!P35+[4]ROSA!P35+'[4]STA ANA'!P35+[4]BOA!P35+'[4]STA MARIA'!P35+'[4]CB I'!P35+'[4]CB II'!P35+'[4]CB III'!P35+[4]IG!P35+[4]PN!P35+[4]MJ!P35+'[4]RB I'!P35+'[4]SF I'!P35</f>
        <v>70473.838077000008</v>
      </c>
      <c r="Q35" s="166">
        <f>+[4]SLP!Q35+[4]ROSA!Q35+'[4]STA ANA'!Q35+[4]BOA!Q35+'[4]STA MARIA'!Q35+'[4]CB I'!Q35+'[4]CB II'!Q35+'[4]CB III'!Q35+[4]IG!Q35+[4]PN!Q35+[4]MJ!Q35+'[4]RB I'!Q35+'[4]SF I'!Q35</f>
        <v>356055.25</v>
      </c>
      <c r="R35" s="224">
        <f t="shared" si="3"/>
        <v>-0.15224940476190474</v>
      </c>
      <c r="S35" s="225">
        <f>+[4]SLP!S35+[4]ROSA!S35+'[4]STA ANA'!S35+[4]BOA!S35+'[4]STA MARIA'!S35+'[4]CB I'!S35+'[4]CB II'!S35+'[4]CB III'!S35+[4]IG!S35+[4]PN!S35+[4]MJ!S35+'[4]RB I'!S35+'[4]SF I'!S35</f>
        <v>247346.93877551024</v>
      </c>
      <c r="T35" s="226">
        <f>+[4]SLP!T35+[4]ROSA!T35+'[4]STA ANA'!T35+[4]BOA!T35+'[4]STA MARIA'!T35+'[4]CB I'!T35+'[4]CB II'!T35+'[4]CB III'!T35+[4]IG!T35+[4]PN!T35+[4]MJ!T35+'[4]RB I'!T35+'[4]SF I'!T35</f>
        <v>216948</v>
      </c>
      <c r="U35" s="226">
        <f>+[4]SLP!U35+[4]ROSA!U35+'[4]STA ANA'!U35+[4]BOA!U35+'[4]STA MARIA'!U35+'[4]CB I'!U35+'[4]CB II'!U35+'[4]CB III'!U35+[4]IG!U35+[4]PN!U35+[4]MJ!U35+'[4]RB I'!U35+'[4]SF I'!U35</f>
        <v>30398.938775510203</v>
      </c>
      <c r="V35" s="226">
        <f>+[4]SLP!V35+[4]ROSA!V35+'[4]STA ANA'!V35+[4]BOA!V35+'[4]STA MARIA'!V35+'[4]CB I'!V35+'[4]CB II'!V35+'[4]CB III'!V35+[4]IG!V35+[4]PN!V35+[4]MJ!V35+'[4]RB I'!V35+'[4]SF I'!V35</f>
        <v>31243.228285999998</v>
      </c>
      <c r="W35" s="226">
        <f>+[4]SLP!W35+[4]ROSA!W35+'[4]STA ANA'!W35+[4]BOA!W35+'[4]STA MARIA'!W35+'[4]CB I'!W35+'[4]CB II'!W35+'[4]CB III'!W35+[4]IG!W35+[4]PN!W35+[4]MJ!W35+'[4]RB I'!W35+'[4]SF I'!W35</f>
        <v>3615.8017140000006</v>
      </c>
      <c r="X35" s="166">
        <f>[4]SLP!X35+[4]ROSA!X35+'[4]STA ANA'!X35+[4]BOA!X35+'[4]STA MARIA'!X35+'[4]CB I'!X35+'[4]CB II'!X35+'[4]CB III'!X35+[4]IG!X35+[4]PN!X35+[4]MJ!X35+'[4]RB I'!X35+'[4]SF I'!X35</f>
        <v>34859.03</v>
      </c>
      <c r="Y35" s="224">
        <f t="shared" si="4"/>
        <v>-0.85906827805280528</v>
      </c>
      <c r="Z35" s="225">
        <f>+[4]SLP!Z35+[4]ROSA!Z35+'[4]STA ANA'!Z35+[4]BOA!Z35+'[4]STA MARIA'!Z35+'[4]CB I'!Z35+'[4]CB II'!Z35+'[4]CB III'!Z35+[4]IG!Z35+[4]PN!Z35+[4]MJ!Z35+'[4]RB I'!Z35+'[4]SF I'!Z35</f>
        <v>0</v>
      </c>
      <c r="AA35" s="226">
        <f>+[4]SLP!AA35+[4]ROSA!AA35+'[4]STA ANA'!AA35+[4]BOA!AA35+'[4]STA MARIA'!AA35+'[4]CB I'!AA35+'[4]CB II'!AA35+'[4]CB III'!AA35+[4]IG!AA35+[4]PN!AA35+[4]MJ!AA35+'[4]RB I'!AA35+'[4]SF I'!AA35</f>
        <v>0</v>
      </c>
      <c r="AB35" s="226">
        <f>+[4]SLP!AB35+[4]ROSA!AB35+'[4]STA ANA'!AB35+[4]BOA!AB35+'[4]STA MARIA'!AB35+'[4]CB I'!AB35+'[4]CB II'!AB35+'[4]CB III'!AB35+[4]IG!AB35+[4]PN!AB35+[4]MJ!AB35+'[4]RB I'!AB35+'[4]SF I'!AB35</f>
        <v>0</v>
      </c>
      <c r="AC35" s="226">
        <f>+[4]SLP!AC35+[4]ROSA!AC35+'[4]STA ANA'!AC35+[4]BOA!AC35+'[4]STA MARIA'!AC35+'[4]CB I'!AC35+'[4]CB II'!AC35+'[4]CB III'!AC35+[4]IG!AC35+[4]PN!AC35+[4]MJ!AC35+'[4]RB I'!AC35+'[4]SF I'!AC35</f>
        <v>0</v>
      </c>
      <c r="AD35" s="226">
        <f>+[4]SLP!AD35+[4]ROSA!AD35+'[4]STA ANA'!AD35+[4]BOA!AD35+'[4]STA MARIA'!AD35+'[4]CB I'!AD35+'[4]CB II'!AD35+'[4]CB III'!AD35+[4]IG!AD35+[4]PN!AD35+[4]MJ!AD35+'[4]RB I'!AD35+'[4]SF I'!AD35</f>
        <v>0</v>
      </c>
      <c r="AE35" s="166">
        <f>+[4]SLP!AE35+[4]ROSA!AE35+'[4]STA ANA'!AE35+[4]BOA!AE35+'[4]STA MARIA'!AE35+'[4]CB I'!AE35+'[4]CB II'!AE35+'[4]CB III'!AE35+[4]IG!AE35+[4]PN!AE35+[4]MJ!AE35+'[4]RB I'!AE35+'[4]SF I'!AE35</f>
        <v>0</v>
      </c>
      <c r="AF35" s="224" t="str">
        <f t="shared" si="5"/>
        <v/>
      </c>
      <c r="AG35" s="225">
        <f>+[4]SLP!AG35+[4]ROSA!AG35+'[4]STA ANA'!AG35+[4]BOA!AG35+'[4]STA MARIA'!AG35+'[4]CB I'!AG35+'[4]CB II'!AG35+'[4]CB III'!AG35+[4]IG!AG35+[4]PN!AG35+[4]MJ!AG35+'[4]RB I'!AG35+'[4]SF I'!AG35</f>
        <v>0</v>
      </c>
      <c r="AH35" s="226">
        <f>+[4]SLP!AH35+[4]ROSA!AH35+'[4]STA ANA'!AH35+[4]BOA!AH35+'[4]STA MARIA'!AH35+'[4]CB I'!AH35+'[4]CB II'!AH35+'[4]CB III'!AH35+[4]IG!AH35+[4]PN!AH35+[4]MJ!AH35+'[4]RB I'!AH35+'[4]SF I'!AH35</f>
        <v>0</v>
      </c>
      <c r="AI35" s="226">
        <f>+[4]SLP!AI35+[4]ROSA!AI35+'[4]STA ANA'!AI35+[4]BOA!AI35+'[4]STA MARIA'!AI35+'[4]CB I'!AI35+'[4]CB II'!AI35+'[4]CB III'!AI35+[4]IG!AI35+[4]PN!AI35+[4]MJ!AI35+'[4]RB I'!AI35+'[4]SF I'!AI35</f>
        <v>0</v>
      </c>
      <c r="AJ35" s="226">
        <f>+[4]SLP!AJ35+[4]ROSA!AJ35+'[4]STA ANA'!AJ35+[4]BOA!AJ35+'[4]STA MARIA'!AJ35+'[4]CB I'!AJ35+'[4]CB II'!AJ35+'[4]CB III'!AJ35+[4]IG!AJ35+[4]PN!AJ35+[4]MJ!AJ35+'[4]RB I'!AJ35+'[4]SF I'!AJ35</f>
        <v>0</v>
      </c>
      <c r="AK35" s="226">
        <f>+[4]SLP!AK35+[4]ROSA!AK35+'[4]STA ANA'!AK35+[4]BOA!AK35+'[4]STA MARIA'!AK35+'[4]CB I'!AK35+'[4]CB II'!AK35+'[4]CB III'!AK35+[4]IG!AK35+[4]PN!AK35+[4]MJ!AK35+'[4]RB I'!AK35+'[4]SF I'!AK35</f>
        <v>0</v>
      </c>
      <c r="AL35" s="166">
        <f>+[4]SLP!AL35+[4]ROSA!AL35+'[4]STA ANA'!AL35+[4]BOA!AL35+'[4]STA MARIA'!AL35+'[4]CB I'!AL35+'[4]CB II'!AL35+'[4]CB III'!AL35+[4]IG!AL35+[4]PN!AL35+[4]MJ!AL35+'[4]RB I'!AL35+'[4]SF I'!AL35</f>
        <v>0</v>
      </c>
      <c r="AM35" s="224" t="str">
        <f t="shared" si="6"/>
        <v/>
      </c>
      <c r="AN35" s="225">
        <f>+[4]SLP!AN35+[4]ROSA!AN35+'[4]STA ANA'!AN35+[4]BOA!AN35+'[4]STA MARIA'!AN35+'[4]CB I'!AN35+'[4]CB II'!AN35+'[4]CB III'!AN35+[4]IG!AN35+[4]PN!AN35+[4]MJ!AN35+'[4]RB I'!AN35+'[4]SF I'!AN35</f>
        <v>0</v>
      </c>
      <c r="AO35" s="226">
        <f>+[4]SLP!AO35+[4]ROSA!AO35+'[4]STA ANA'!AO35+[4]BOA!AO35+'[4]STA MARIA'!AO35+'[4]CB I'!AO35+'[4]CB II'!AO35+'[4]CB III'!AO35+[4]IG!AO35+[4]PN!AO35+[4]MJ!AO35+'[4]RB I'!AO35+'[4]SF I'!AO35</f>
        <v>0</v>
      </c>
      <c r="AP35" s="226">
        <f>+[4]SLP!AP35+[4]ROSA!AP35+'[4]STA ANA'!AP35+[4]BOA!AP35+'[4]STA MARIA'!AP35+'[4]CB I'!AP35+'[4]CB II'!AP35+'[4]CB III'!AP35+[4]IG!AP35+[4]PN!AP35+[4]MJ!AP35+'[4]RB I'!AP35+'[4]SF I'!AP35</f>
        <v>0</v>
      </c>
      <c r="AQ35" s="226">
        <f>+[4]SLP!AQ35+[4]ROSA!AQ35+'[4]STA ANA'!AQ35+[4]BOA!AQ35+'[4]STA MARIA'!AQ35+'[4]CB I'!AQ35+'[4]CB II'!AQ35+'[4]CB III'!AQ35+[4]IG!AQ35+[4]PN!AQ35+[4]MJ!AQ35+'[4]RB I'!AQ35+'[4]SF I'!AQ35</f>
        <v>0</v>
      </c>
      <c r="AR35" s="226">
        <f>+[4]SLP!AR35+[4]ROSA!AR35+'[4]STA ANA'!AR35+[4]BOA!AR35+'[4]STA MARIA'!AR35+'[4]CB I'!AR35+'[4]CB II'!AR35+'[4]CB III'!AR35+[4]IG!AR35+[4]PN!AR35+[4]MJ!AR35+'[4]RB I'!AR35+'[4]SF I'!AR35</f>
        <v>0</v>
      </c>
      <c r="AS35" s="166">
        <f>+[4]SLP!AS35+[4]ROSA!AS35+'[4]STA ANA'!AS35+[4]BOA!AS35+'[4]STA MARIA'!AS35+'[4]CB I'!AS35+'[4]CB II'!AS35+'[4]CB III'!AS35+[4]IG!AS35+[4]PN!AS35+[4]MJ!AS35+'[4]RB I'!AS35+'[4]SÃO FRANCISCO'!AS35</f>
        <v>0</v>
      </c>
      <c r="AT35" s="224" t="str">
        <f t="shared" si="7"/>
        <v/>
      </c>
      <c r="AU35" s="225">
        <f>+[4]SLP!AU35+[4]ROSA!AU35+'[4]STA ANA'!AU35+[4]BOA!AU35+'[4]STA MARIA'!AU35+'[4]CB I'!AU35+'[4]CB II'!AU35+'[4]CB III'!AU35+[4]IG!AU35+[4]PN!AU35+[4]MJ!AU35+'[4]RB I'!AU35+'[4]SF I'!AU35</f>
        <v>0</v>
      </c>
      <c r="AV35" s="226">
        <f>+[4]SLP!AV35+[4]ROSA!AV35+'[4]STA ANA'!AV35+[4]BOA!AV35+'[4]STA MARIA'!AV35+'[4]CB I'!AV35+'[4]CB II'!AV35+'[4]CB III'!AV35+[4]IG!AV35+[4]PN!AV35+[4]MJ!AV35+'[4]RB I'!AV35+'[4]SF I'!AV35</f>
        <v>0</v>
      </c>
      <c r="AW35" s="226">
        <f>+[4]SLP!AW35+[4]ROSA!AW35+'[4]STA ANA'!AW35+[4]BOA!AW35+'[4]STA MARIA'!AW35+'[4]CB I'!AW35+'[4]CB II'!AW35+'[4]CB III'!AW35+[4]IG!AW35+[4]PN!AW35+[4]MJ!AW35+'[4]RB I'!AW35+'[4]SF I'!AW35</f>
        <v>0</v>
      </c>
      <c r="AX35" s="226">
        <f>+[4]SLP!AX35+[4]ROSA!AX35+'[4]STA ANA'!AX35+[4]BOA!AX35+'[4]STA MARIA'!AX35+'[4]CB I'!AX35+'[4]CB II'!AX35+'[4]CB III'!AX35+[4]IG!AX35+[4]PN!AX35+[4]MJ!AX35+'[4]RB I'!AX35+'[4]SF I'!AX35</f>
        <v>0</v>
      </c>
      <c r="AY35" s="226">
        <f>+[4]SLP!AY35+[4]ROSA!AY35+'[4]STA ANA'!AY35+[4]BOA!AY35+'[4]STA MARIA'!AY35+'[4]CB I'!AY35+'[4]CB II'!AY35+'[4]CB III'!AY35+[4]IG!AY35+[4]PN!AY35+[4]MJ!AY35+'[4]RB I'!AY35+'[4]SF I'!AY35</f>
        <v>0</v>
      </c>
      <c r="AZ35" s="166">
        <f>+[4]SLP!AZ35+[4]ROSA!AZ35+'[4]STA ANA'!AZ35+[4]BOA!AZ35+'[4]STA MARIA'!AZ35+'[4]CB I'!AZ35+'[4]CB II'!AZ35+[4]IG!AZ35+[4]PN!AZ35+[4]MJ!AZ35+'[4]RB I'!AZ35+'[4]SÃO FRANCISCO'!AZ35</f>
        <v>0</v>
      </c>
      <c r="BA35" s="224" t="str">
        <f t="shared" si="8"/>
        <v/>
      </c>
      <c r="BB35" s="225">
        <f>+[4]SLP!BB35+[4]ROSA!BB35+'[4]STA ANA'!BB35+[4]BOA!BB35+'[4]STA MARIA'!BB35+'[4]CB I'!BB35+'[4]CB II'!BB35+'[4]CB III'!BB35+[4]IG!BB35+[4]PN!BB35+[4]MJ!BB35+'[4]RB I'!BB35+'[4]SF I'!BB35</f>
        <v>0</v>
      </c>
      <c r="BC35" s="226">
        <f>+[4]SLP!BC35+[4]ROSA!BC35+'[4]STA ANA'!BC35+[4]BOA!BC35+'[4]STA MARIA'!BC35+'[4]CB I'!BC35+'[4]CB II'!BC35+'[4]CB III'!BC35+[4]IG!BC35+[4]PN!BC35+[4]MJ!BC35+'[4]RB I'!BC35+'[4]SF I'!BC35</f>
        <v>0</v>
      </c>
      <c r="BD35" s="226">
        <f>+[4]SLP!BD35+[4]ROSA!BD35+'[4]STA ANA'!BD35+[4]BOA!BD35+'[4]STA MARIA'!BD35+'[4]CB I'!BD35+'[4]CB II'!BD35+'[4]CB III'!BD35+[4]IG!BD35+[4]PN!BD35+[4]MJ!BD35+'[4]RB I'!BD35+'[4]SF I'!BD35</f>
        <v>0</v>
      </c>
      <c r="BE35" s="226">
        <f>+[4]SLP!BE35+[4]ROSA!BE35+'[4]STA ANA'!BE35+[4]BOA!BE35+'[4]STA MARIA'!BE35+'[4]CB I'!BE35+'[4]CB II'!BE35+'[4]CB III'!BE35+[4]IG!BE35+[4]PN!BE35+[4]MJ!BE35+'[4]RB I'!BE35+'[4]SF I'!BE35</f>
        <v>0</v>
      </c>
      <c r="BF35" s="226">
        <f>+[4]SLP!BF35+[4]ROSA!BF35+'[4]STA ANA'!BF35+[4]BOA!BF35+'[4]STA MARIA'!BF35+'[4]CB I'!BF35+'[4]CB II'!BF35+'[4]CB III'!BF35+[4]IG!BF35+[4]PN!BF35+[4]MJ!BF35+'[4]RB I'!BF35+'[4]SF I'!BF35</f>
        <v>0</v>
      </c>
      <c r="BG35" s="166">
        <f>+[4]SLP!BG35+[4]ROSA!BG35+'[4]STA ANA'!BG35+[4]BOA!BG35+'[4]STA MARIA'!BG35+'[4]CB I'!BG35+'[4]CB II'!BG35+'[4]CB III'!BG35+[4]IG!BG35+[4]PN!BG35+[4]MJ!BG35+'[4]RB I'!BG35+'[4]SÃO FRANCISCO'!BG35</f>
        <v>0</v>
      </c>
      <c r="BH35" s="224" t="str">
        <f t="shared" si="9"/>
        <v/>
      </c>
      <c r="BI35" s="225">
        <f>+[4]SLP!BI35+[4]ROSA!BI35+'[4]STA ANA'!BI35+[4]BOA!BI35+'[4]STA MARIA'!BI35+'[4]CB I'!BI35+'[4]CB II'!BI35+'[4]CB III'!BI35+[4]IG!BI35+[4]PN!BI35+[4]MJ!BI35+'[4]RB I'!BI35+'[4]SF I'!BI35</f>
        <v>0</v>
      </c>
      <c r="BJ35" s="226">
        <f>+[4]SLP!BJ35+[4]ROSA!BJ35+'[4]STA ANA'!BJ35+[4]BOA!BJ35+'[4]STA MARIA'!BJ35+'[4]CB I'!BJ35+'[4]CB II'!BJ35+'[4]CB III'!BJ35+[4]IG!BJ35+[4]PN!BJ35+[4]MJ!BJ35+'[4]RB I'!BJ35+'[4]SF I'!BJ35</f>
        <v>0</v>
      </c>
      <c r="BK35" s="226">
        <f>+[4]SLP!BK35+[4]ROSA!BK35+'[4]STA ANA'!BK35+[4]BOA!BK35+'[4]STA MARIA'!BK35+'[4]CB I'!BK35+'[4]CB II'!BK35+'[4]CB III'!BK35+[4]IG!BK35+[4]PN!BK35+[4]MJ!BK35+'[4]RB I'!BK35+'[4]SF I'!BK35</f>
        <v>0</v>
      </c>
      <c r="BL35" s="226">
        <f>+[4]SLP!BL35+[4]ROSA!BL35+'[4]STA ANA'!BL35+[4]BOA!BL35+'[4]STA MARIA'!BL35+'[4]CB I'!BL35+'[4]CB II'!BL35+'[4]CB III'!BL35+[4]IG!BL35+[4]PN!BL35+[4]MJ!BL35+'[4]RB I'!BL35+'[4]SF I'!BL35</f>
        <v>0</v>
      </c>
      <c r="BM35" s="226">
        <f>+[4]SLP!BM35+[4]ROSA!BM35+'[4]STA ANA'!BM35+[4]BOA!BM35+'[4]STA MARIA'!BM35+'[4]CB I'!BM35+'[4]CB II'!BM35+'[4]CB III'!BM35+[4]IG!BM35+[4]PN!BM35+[4]MJ!BM35+'[4]RB I'!BM35+'[4]SF I'!BM35</f>
        <v>0</v>
      </c>
      <c r="BN35" s="166">
        <f>+[4]SLP!BN35+[4]ROSA!BN35+'[4]STA ANA'!BN35+[4]BOA!BN35+'[4]STA MARIA'!BN35+'[4]CB I'!BN35+'[4]CB II'!BN35+'[4]CB III'!BN35+[4]IG!BN35+[4]PN!BN35+[4]MJ!BN35+'[4]RB I'!BN35+'[4]SÃO FRANCISCO'!BN35</f>
        <v>0</v>
      </c>
      <c r="BO35" s="224" t="str">
        <f t="shared" si="10"/>
        <v/>
      </c>
      <c r="BP35" s="225">
        <f>+[4]SLP!BP35+[4]ROSA!BP35+'[4]STA ANA'!BP35+[4]BOA!BP35+'[4]STA MARIA'!BP35+'[4]CB I'!BP35+'[4]CB II'!BP35+'[4]CB III'!BP35+[4]IG!BP35+[4]PN!BP35+[4]MJ!BP35+'[4]RB I'!BP35+'[4]SF I'!BP35</f>
        <v>0</v>
      </c>
      <c r="BQ35" s="226">
        <f>+[4]SLP!BQ35+[4]ROSA!BQ35+'[4]STA ANA'!BQ35+[4]BOA!BQ35+'[4]STA MARIA'!BQ35+'[4]CB I'!BQ35+'[4]CB II'!BQ35+'[4]CB III'!BQ35+[4]IG!BQ35+[4]PN!BQ35+[4]MJ!BQ35+'[4]RB I'!BQ35+'[4]SF I'!BQ35</f>
        <v>0</v>
      </c>
      <c r="BR35" s="226">
        <f>+[4]SLP!BR35+[4]ROSA!BR35+'[4]STA ANA'!BR35+[4]BOA!BR35+'[4]STA MARIA'!BR35+'[4]CB I'!BR35+'[4]CB II'!BR35+'[4]CB III'!BR35+[4]IG!BR35+[4]PN!BR35+[4]MJ!BR35+'[4]RB I'!BR35+'[4]SF I'!BR35</f>
        <v>0</v>
      </c>
      <c r="BS35" s="226">
        <f>+[4]SLP!BS35+[4]ROSA!BS35+'[4]STA ANA'!BS35+[4]BOA!BS35+'[4]STA MARIA'!BS35+'[4]CB I'!BS35+'[4]CB II'!BS35+'[4]CB III'!BS35+[4]IG!BS35+[4]PN!BS35+[4]MJ!BS35+'[4]RB I'!BS35+'[4]SF I'!BS35</f>
        <v>0</v>
      </c>
      <c r="BT35" s="226">
        <f>+[4]SLP!BT35+[4]ROSA!BT35+'[4]STA ANA'!BT35+[4]BOA!BT35+'[4]STA MARIA'!BT35+'[4]CB I'!BT35+'[4]CB II'!BT35+'[4]CB III'!BT35+[4]IG!BT35+[4]PN!BT35+[4]MJ!BT35+'[4]RB I'!BT35+'[4]SF I'!BT35</f>
        <v>0</v>
      </c>
      <c r="BU35" s="166">
        <f>+[4]SLP!BU35+[4]ROSA!BU35+'[4]STA ANA'!BU35+[4]BOA!BU35+'[4]STA MARIA'!BU35+'[4]CB I'!BU35+'[4]CB II'!BU35+'[4]CB III'!BU35+[4]IG!BU35+[4]PN!BU35+[4]MJ!BU35+'[4]RB I'!BU35+'[4]SÃO FRANCISCO'!BU35</f>
        <v>0</v>
      </c>
      <c r="BV35" s="224" t="str">
        <f t="shared" si="11"/>
        <v/>
      </c>
      <c r="BW35" s="225">
        <f>+[4]SLP!BW35+[4]ROSA!BW35+'[4]STA ANA'!BW35+[4]BOA!BW35+'[4]STA MARIA'!BW35+'[4]CB I'!BW35+'[4]CB II'!BW35+'[4]CB III'!BW35+[4]IG!BW35+[4]PN!BW35+[4]MJ!BW35+'[4]RB I'!BW35+'[4]SF I'!BW35</f>
        <v>0</v>
      </c>
      <c r="BX35" s="226">
        <f>+[4]SLP!BX35+[4]ROSA!BX35+'[4]STA ANA'!BX35+[4]BOA!BX35+'[4]STA MARIA'!BX35+'[4]CB I'!BX35+'[4]CB II'!BX35+'[4]CB III'!BX35+[4]IG!BX35+[4]PN!BX35+[4]MJ!BX35+'[4]RB I'!BX35+'[4]SF I'!BX35</f>
        <v>0</v>
      </c>
      <c r="BY35" s="226">
        <f>+[4]SLP!BY35+[4]ROSA!BY35+'[4]STA ANA'!BY35+[4]BOA!BY35+'[4]STA MARIA'!BY35+'[4]CB I'!BY35+'[4]CB II'!BY35+'[4]CB III'!BY35+[4]IG!BY35+[4]PN!BY35+[4]MJ!BY35+'[4]RB I'!BY35+'[4]SF I'!BY35</f>
        <v>0</v>
      </c>
      <c r="BZ35" s="226">
        <f>+[4]SLP!BZ35+[4]ROSA!BZ35+'[4]STA ANA'!BZ35+[4]BOA!BZ35+'[4]STA MARIA'!BZ35+'[4]CB I'!BZ35+'[4]CB II'!BZ35+'[4]CB III'!BZ35+[4]IG!BZ35+[4]PN!BZ35+[4]MJ!BZ35+'[4]RB I'!BZ35+'[4]SF I'!BZ35</f>
        <v>0</v>
      </c>
      <c r="CA35" s="226">
        <f>+[4]SLP!CA35+[4]ROSA!CA35+'[4]STA ANA'!CA35+[4]BOA!CA35+'[4]STA MARIA'!CA35+'[4]CB I'!CA35+'[4]CB II'!CA35+'[4]CB III'!CA35+[4]IG!CA35+[4]PN!CA35+[4]MJ!CA35+'[4]RB I'!CA35+'[4]SF I'!CA35</f>
        <v>0</v>
      </c>
      <c r="CB35" s="166">
        <f>+[4]SLP!CB35+[4]ROSA!CB35+'[4]STA ANA'!CB35+[4]BOA!CB35+'[4]STA MARIA'!CB35+'[4]CB I'!CB35+'[4]CB II'!CB35+'[4]CB III'!CB35+[4]IG!CB35+[4]PN!CB35+[4]MJ!CB35+'[4]RB I'!CB35+'[4]SÃO FRANCISCO'!CB35</f>
        <v>0</v>
      </c>
      <c r="CC35" s="224" t="str">
        <f t="shared" si="12"/>
        <v/>
      </c>
      <c r="CD35" s="225">
        <f>+[4]SLP!CD35+[4]ROSA!CD35+'[4]STA ANA'!CD35+[4]BOA!CD35+'[4]STA MARIA'!CD35+'[4]CB I'!CD35+'[4]CB II'!CD35+'[4]CB III'!CD35+[4]IG!CD35+[4]PN!CD35+[4]MJ!CD35+'[4]RB I'!CD35+'[4]SF I'!CD35</f>
        <v>0</v>
      </c>
      <c r="CE35" s="226">
        <f>+[4]SLP!CE35+[4]ROSA!CE35+'[4]STA ANA'!CE35+[4]BOA!CE35+'[4]STA MARIA'!CE35+'[4]CB I'!CE35+'[4]CB II'!CE35+'[4]CB III'!CE35+[4]IG!CE35+[4]PN!CE35+[4]MJ!CE35+'[4]RB I'!CE35+'[4]SF I'!CE35</f>
        <v>0</v>
      </c>
      <c r="CF35" s="226">
        <f>+[4]SLP!CF35+[4]ROSA!CF35+'[4]STA ANA'!CF35+[4]BOA!CF35+'[4]STA MARIA'!CF35+'[4]CB I'!CF35+'[4]CB II'!CF35+'[4]CB III'!CF35+[4]IG!CF35+[4]PN!CF35+[4]MJ!CF35+'[4]RB I'!CF35+'[4]SF I'!CF35</f>
        <v>0</v>
      </c>
      <c r="CG35" s="226">
        <f>+[4]SLP!CG35+[4]ROSA!CG35+'[4]STA ANA'!CG35+[4]BOA!CG35+'[4]STA MARIA'!CG35+'[4]CB I'!CG35+'[4]CB II'!CG35+'[4]CB III'!CG35+[4]IG!CG35+[4]PN!CG35+[4]MJ!CG35+'[4]RB I'!CG35+'[4]SF I'!CG35</f>
        <v>0</v>
      </c>
      <c r="CH35" s="226">
        <f>+[4]SLP!CH35+[4]ROSA!CH35+'[4]STA ANA'!CH35+[4]BOA!CH35+'[4]STA MARIA'!CH35+'[4]CB I'!CH35+'[4]CB II'!CH35+'[4]CB III'!CH35+[4]IG!CH35+[4]PN!CH35+[4]MJ!CH35+'[4]RB I'!CH35+'[4]SF I'!CH35</f>
        <v>0</v>
      </c>
      <c r="CI35" s="166">
        <f>+[4]SLP!CI35+[4]ROSA!CI35+'[4]STA ANA'!CI35+[4]BOA!CI35+'[4]STA MARIA'!CI35+'[4]CB I'!CI35+'[4]CB II'!CI35+'[4]CB III'!CI35+[4]IG!CI35+[4]PN!CI35+[4]MJ!CI35+'[4]RB I'!CI35+'[4]SÃO FRANCISCO'!CI35</f>
        <v>0</v>
      </c>
      <c r="CJ35" s="224" t="str">
        <f t="shared" si="13"/>
        <v/>
      </c>
      <c r="CK35" s="225">
        <f>+[4]SLP!CK35+[4]ROSA!CK35+'[4]STA ANA'!CK35+[4]BOA!CK35+'[4]STA MARIA'!CK35+'[4]CB I'!CK35+'[4]CB II'!CK35+'[4]CB III'!CK35+[4]IG!CK35+[4]PN!CK35+[4]MJ!CK35+'[4]RB I'!CK35+'[4]SF I'!CK35</f>
        <v>0</v>
      </c>
      <c r="CL35" s="226">
        <f>+[4]SLP!CL35+[4]ROSA!CL35+'[4]STA ANA'!CL35+[4]BOA!CL35+'[4]STA MARIA'!CL35+'[4]CB I'!CL35+'[4]CB II'!CL35+'[4]CB III'!CL35+[4]IG!CL35+[4]PN!CL35+[4]MJ!CL35+'[4]RB I'!CL35+'[4]SF I'!CL35</f>
        <v>0</v>
      </c>
      <c r="CM35" s="226">
        <f>+[4]SLP!CM35+[4]ROSA!CM35+'[4]STA ANA'!CM35+[4]BOA!CM35+'[4]STA MARIA'!CM35+'[4]CB I'!CM35+'[4]CB II'!CM35+'[4]CB III'!CM35+[4]IG!CM35+[4]PN!CM35+[4]MJ!CM35+'[4]RB I'!CM35+'[4]SF I'!CM35</f>
        <v>0</v>
      </c>
      <c r="CN35" s="226">
        <f>+[4]SLP!CN35+[4]ROSA!CN35+'[4]STA ANA'!CN35+[4]BOA!CN35+'[4]STA MARIA'!CN35+'[4]CB I'!CN35+'[4]CB II'!CN35+'[4]CB III'!CN35+[4]IG!CN35+[4]PN!CN35+[4]MJ!CN35+'[4]RB I'!CN35+'[4]SF I'!CN35</f>
        <v>0</v>
      </c>
      <c r="CO35" s="226">
        <f>+[4]SLP!CO35+[4]ROSA!CO35+'[4]STA ANA'!CO35+[4]BOA!CO35+'[4]STA MARIA'!CO35+'[4]CB I'!CO35+'[4]CB II'!CO35+'[4]CB III'!CO35+[4]IG!CO35+[4]PN!CO35+[4]MJ!CO35+'[4]RB I'!CO35+'[4]SF I'!CO35</f>
        <v>0</v>
      </c>
      <c r="CP35" s="166">
        <f>+[4]SLP!CP35+[4]ROSA!CP35+'[4]STA ANA'!CP35+[4]BOA!CP35+'[4]STA MARIA'!CP35+'[4]CB I'!CP35+'[4]CB II'!CP35+'[4]CB III'!CP35+[4]IG!CP35+[4]PN!CP35+[4]MJ!CP35+'[4]RB I'!CP35+'[4]SÃO FRANCISCO'!CP35</f>
        <v>0</v>
      </c>
      <c r="CQ35" s="224" t="str">
        <f t="shared" si="14"/>
        <v/>
      </c>
      <c r="CR35" s="155"/>
      <c r="CS35" s="227" t="e">
        <f t="shared" si="15"/>
        <v>#VALUE!</v>
      </c>
    </row>
    <row r="36" spans="1:97" ht="16" customHeight="1" x14ac:dyDescent="0.2">
      <c r="A36" s="228" t="s">
        <v>60</v>
      </c>
      <c r="B36" s="30">
        <f t="shared" ref="B36:D54" si="17">+L36+S36+Z36+AG36+AN36+AU36+BB36+BI36+BP36+BW36+CD36+CK36</f>
        <v>2125286.1236883574</v>
      </c>
      <c r="C36" s="31">
        <f t="shared" si="17"/>
        <v>1864088.4590870582</v>
      </c>
      <c r="D36" s="32">
        <f t="shared" si="17"/>
        <v>261197.66460129901</v>
      </c>
      <c r="E36" s="30">
        <f t="shared" si="16"/>
        <v>708428.7078961191</v>
      </c>
      <c r="F36" s="33">
        <f t="shared" si="16"/>
        <v>621362.81969568622</v>
      </c>
      <c r="G36" s="34">
        <f t="shared" si="16"/>
        <v>87065.888200433023</v>
      </c>
      <c r="H36" s="31">
        <f t="shared" ref="H36:J54" si="18">+O36+V36+AC36+AJ36+AQ36+AX36+BE36+BL36+BS36+BZ36+CG36+CN36</f>
        <v>989055.00676231319</v>
      </c>
      <c r="I36" s="33">
        <f t="shared" si="18"/>
        <v>102285.81002406568</v>
      </c>
      <c r="J36" s="33">
        <f t="shared" si="18"/>
        <v>1091340.8167863789</v>
      </c>
      <c r="K36" s="224">
        <f t="shared" si="2"/>
        <v>0.54050902316963745</v>
      </c>
      <c r="L36" s="225">
        <f>+[4]SLP!L36+[4]ROSA!L36+'[4]STA ANA'!L36+[4]BOA!L36+'[4]STA MARIA'!L36+'[4]CB I'!L36+'[4]CB II'!L36+'[4]CB III'!L36+[4]IG!L36+[4]PN!L36+[4]MJ!L36+'[4]RB I'!L36+'[4]SF I'!L36</f>
        <v>177107.17697402978</v>
      </c>
      <c r="M36" s="226">
        <f>+[4]SLP!M36+[4]ROSA!M36+'[4]STA ANA'!M36+[4]BOA!M36+'[4]STA MARIA'!M36+'[4]CB I'!M36+'[4]CB II'!M36+'[4]CB III'!M36+[4]IG!M36+[4]PN!M36+[4]MJ!M36+'[4]RB I'!M36+'[4]SF I'!M36</f>
        <v>155340.70492392156</v>
      </c>
      <c r="N36" s="226">
        <f>+[4]SLP!N36+[4]ROSA!N36+'[4]STA ANA'!N36+[4]BOA!N36+'[4]STA MARIA'!N36+'[4]CB I'!N36+'[4]CB II'!N36+'[4]CB III'!N36+[4]IG!N36+[4]PN!N36+[4]MJ!N36+'[4]RB I'!N36+'[4]SF I'!N36</f>
        <v>21766.472050108256</v>
      </c>
      <c r="O36" s="226">
        <f>+[4]SLP!O36+[4]ROSA!O36+'[4]STA ANA'!O36+[4]BOA!O36+'[4]STA MARIA'!O36+'[4]CB I'!O36+'[4]CB II'!O36+'[4]CB III'!O36+[4]IG!O36+[4]PN!O36+[4]MJ!O36+'[4]RB I'!O36+'[4]SF I'!O36</f>
        <v>292014.22765142727</v>
      </c>
      <c r="P36" s="226">
        <f>+[4]SLP!P36+[4]ROSA!P36+'[4]STA ANA'!P36+[4]BOA!P36+'[4]STA MARIA'!P36+'[4]CB I'!P36+'[4]CB II'!P36+'[4]CB III'!P36+[4]IG!P36+[4]PN!P36+[4]MJ!P36+'[4]RB I'!P36+'[4]SF I'!P36</f>
        <v>30046.229324443259</v>
      </c>
      <c r="Q36" s="166">
        <f>+[4]SLP!Q36+[4]ROSA!Q36+'[4]STA ANA'!Q36+[4]BOA!Q36+'[4]STA MARIA'!Q36+'[4]CB I'!Q36+'[4]CB II'!Q36+'[4]CB III'!Q36+[4]IG!Q36+[4]PN!Q36+[4]MJ!Q36+'[4]RB I'!Q36+'[4]SF I'!Q36</f>
        <v>322060.45697587053</v>
      </c>
      <c r="R36" s="224">
        <f t="shared" si="3"/>
        <v>0.81844949752147023</v>
      </c>
      <c r="S36" s="225">
        <f>+[4]SLP!S36+[4]ROSA!S36+'[4]STA ANA'!S36+[4]BOA!S36+'[4]STA MARIA'!S36+'[4]CB I'!S36+'[4]CB II'!S36+'[4]CB III'!S36+[4]IG!S36+[4]PN!S36+[4]MJ!S36+'[4]RB I'!S36+'[4]SF I'!S36</f>
        <v>177107.17697402978</v>
      </c>
      <c r="T36" s="226">
        <f>+[4]SLP!T36+[4]ROSA!T36+'[4]STA ANA'!T36+[4]BOA!T36+'[4]STA MARIA'!T36+'[4]CB I'!T36+'[4]CB II'!T36+'[4]CB III'!T36+[4]IG!T36+[4]PN!T36+[4]MJ!T36+'[4]RB I'!T36+'[4]SF I'!T36</f>
        <v>155340.70492392156</v>
      </c>
      <c r="U36" s="226">
        <f>+[4]SLP!U36+[4]ROSA!U36+'[4]STA ANA'!U36+[4]BOA!U36+'[4]STA MARIA'!U36+'[4]CB I'!U36+'[4]CB II'!U36+'[4]CB III'!U36+[4]IG!U36+[4]PN!U36+[4]MJ!U36+'[4]RB I'!U36+'[4]SF I'!U36</f>
        <v>21766.472050108256</v>
      </c>
      <c r="V36" s="226">
        <f>+[4]SLP!V36+[4]ROSA!V36+'[4]STA ANA'!V36+[4]BOA!V36+'[4]STA MARIA'!V36+'[4]CB I'!V36+'[4]CB II'!V36+'[4]CB III'!V36+[4]IG!V36+[4]PN!V36+[4]MJ!V36+'[4]RB I'!V36+'[4]SF I'!V36</f>
        <v>223155.19079328462</v>
      </c>
      <c r="W36" s="226">
        <f>+[4]SLP!W36+[4]ROSA!W36+'[4]STA ANA'!W36+[4]BOA!W36+'[4]STA MARIA'!W36+'[4]CB I'!W36+'[4]CB II'!W36+'[4]CB III'!W36+[4]IG!W36+[4]PN!W36+[4]MJ!W36+'[4]RB I'!W36+'[4]SF I'!W36</f>
        <v>21979.191508897187</v>
      </c>
      <c r="X36" s="166">
        <f>[4]SLP!X36+[4]ROSA!X36+'[4]STA ANA'!X36+[4]BOA!X36+'[4]STA MARIA'!X36+'[4]CB I'!X36+'[4]CB II'!X36+'[4]CB III'!X36+[4]IG!X36+[4]PN!X36+[4]MJ!X36+'[4]RB I'!X36+'[4]SF I'!X36</f>
        <v>245134.38230218182</v>
      </c>
      <c r="Y36" s="224">
        <f t="shared" si="4"/>
        <v>0.38410191213271538</v>
      </c>
      <c r="Z36" s="225">
        <f>+[4]SLP!Z36+[4]ROSA!Z36+'[4]STA ANA'!Z36+[4]BOA!Z36+'[4]STA MARIA'!Z36+'[4]CB I'!Z36+'[4]CB II'!Z36+'[4]CB III'!Z36+[4]IG!Z36+[4]PN!Z36+[4]MJ!Z36+'[4]RB I'!Z36+'[4]SF I'!Z36</f>
        <v>177107.17697402978</v>
      </c>
      <c r="AA36" s="226">
        <f>+[4]SLP!AA36+[4]ROSA!AA36+'[4]STA ANA'!AA36+[4]BOA!AA36+'[4]STA MARIA'!AA36+'[4]CB I'!AA36+'[4]CB II'!AA36+'[4]CB III'!AA36+[4]IG!AA36+[4]PN!AA36+[4]MJ!AA36+'[4]RB I'!AA36+'[4]SF I'!AA36</f>
        <v>155340.70492392156</v>
      </c>
      <c r="AB36" s="226">
        <f>+[4]SLP!AB36+[4]ROSA!AB36+'[4]STA ANA'!AB36+[4]BOA!AB36+'[4]STA MARIA'!AB36+'[4]CB I'!AB36+'[4]CB II'!AB36+'[4]CB III'!AB36+[4]IG!AB36+[4]PN!AB36+[4]MJ!AB36+'[4]RB I'!AB36+'[4]SF I'!AB36</f>
        <v>21766.472050108256</v>
      </c>
      <c r="AC36" s="226">
        <f>+[4]SLP!AC36+[4]ROSA!AC36+'[4]STA ANA'!AC36+[4]BOA!AC36+'[4]STA MARIA'!AC36+'[4]CB I'!AC36+'[4]CB II'!AC36+'[4]CB III'!AC36+[4]IG!AC36+[4]PN!AC36+[4]MJ!AC36+'[4]RB I'!AC36+'[4]SF I'!AC36</f>
        <v>222615.81557084635</v>
      </c>
      <c r="AD36" s="226">
        <f>+[4]SLP!AD36+[4]ROSA!AD36+'[4]STA ANA'!AD36+[4]BOA!AD36+'[4]STA MARIA'!AD36+'[4]CB I'!AD36+'[4]CB II'!AD36+'[4]CB III'!AD36+[4]IG!AD36+[4]PN!AD36+[4]MJ!AD36+'[4]RB I'!AD36+'[4]SF I'!AD36</f>
        <v>21337.995604739663</v>
      </c>
      <c r="AE36" s="166">
        <f>+[4]SLP!AE36+[4]ROSA!AE36+'[4]STA ANA'!AE36+[4]BOA!AE36+'[4]STA MARIA'!AE36+'[4]CB I'!AE36+'[4]CB II'!AE36+'[4]CB III'!AE36+[4]IG!AE36+[4]PN!AE36+[4]MJ!AE36+'[4]RB I'!AE36+'[4]SF I'!AE36</f>
        <v>243953.81117558602</v>
      </c>
      <c r="AF36" s="224">
        <f t="shared" si="5"/>
        <v>0.37743605506940203</v>
      </c>
      <c r="AG36" s="225">
        <f>+[4]SLP!AG36+[4]ROSA!AG36+'[4]STA ANA'!AG36+[4]BOA!AG36+'[4]STA MARIA'!AG36+'[4]CB I'!AG36+'[4]CB II'!AG36+'[4]CB III'!AG36+[4]IG!AG36+[4]PN!AG36+[4]MJ!AG36+'[4]RB I'!AG36+'[4]SF I'!AG36</f>
        <v>177107.17697402978</v>
      </c>
      <c r="AH36" s="226">
        <f>+[4]SLP!AH36+[4]ROSA!AH36+'[4]STA ANA'!AH36+[4]BOA!AH36+'[4]STA MARIA'!AH36+'[4]CB I'!AH36+'[4]CB II'!AH36+'[4]CB III'!AH36+[4]IG!AH36+[4]PN!AH36+[4]MJ!AH36+'[4]RB I'!AH36+'[4]SF I'!AH36</f>
        <v>155340.70492392156</v>
      </c>
      <c r="AI36" s="226">
        <f>+[4]SLP!AI36+[4]ROSA!AI36+'[4]STA ANA'!AI36+[4]BOA!AI36+'[4]STA MARIA'!AI36+'[4]CB I'!AI36+'[4]CB II'!AI36+'[4]CB III'!AI36+[4]IG!AI36+[4]PN!AI36+[4]MJ!AI36+'[4]RB I'!AI36+'[4]SF I'!AI36</f>
        <v>21766.472050108256</v>
      </c>
      <c r="AJ36" s="226">
        <f>+[4]SLP!AJ36+[4]ROSA!AJ36+'[4]STA ANA'!AJ36+[4]BOA!AJ36+'[4]STA MARIA'!AJ36+'[4]CB I'!AJ36+'[4]CB II'!AJ36+'[4]CB III'!AJ36+[4]IG!AJ36+[4]PN!AJ36+[4]MJ!AJ36+'[4]RB I'!AJ36+'[4]SF I'!AJ36</f>
        <v>251269.77274675498</v>
      </c>
      <c r="AK36" s="226">
        <f>+[4]SLP!AK36+[4]ROSA!AK36+'[4]STA ANA'!AK36+[4]BOA!AK36+'[4]STA MARIA'!AK36+'[4]CB I'!AK36+'[4]CB II'!AK36+'[4]CB III'!AK36+[4]IG!AK36+[4]PN!AK36+[4]MJ!AK36+'[4]RB I'!AK36+'[4]SF I'!AK36</f>
        <v>28922.393585985566</v>
      </c>
      <c r="AL36" s="166">
        <f>+[4]SLP!AL36+[4]ROSA!AL36+'[4]STA ANA'!AL36+[4]BOA!AL36+'[4]STA MARIA'!AL36+'[4]CB I'!AL36+'[4]CB II'!AL36+'[4]CB III'!AL36+[4]IG!AL36+[4]PN!AL36+[4]MJ!AL36+'[4]RB I'!AL36+'[4]SF I'!AL36</f>
        <v>280192.16633274057</v>
      </c>
      <c r="AM36" s="224">
        <f t="shared" si="6"/>
        <v>0.58204862795496282</v>
      </c>
      <c r="AN36" s="225">
        <f>+[4]SLP!AN36+[4]ROSA!AN36+'[4]STA ANA'!AN36+[4]BOA!AN36+'[4]STA MARIA'!AN36+'[4]CB I'!AN36+'[4]CB II'!AN36+'[4]CB III'!AN36+[4]IG!AN36+[4]PN!AN36+[4]MJ!AN36+'[4]RB I'!AN36+'[4]SF I'!AN36</f>
        <v>177107.17697402978</v>
      </c>
      <c r="AO36" s="226">
        <f>+[4]SLP!AO36+[4]ROSA!AO36+'[4]STA ANA'!AO36+[4]BOA!AO36+'[4]STA MARIA'!AO36+'[4]CB I'!AO36+'[4]CB II'!AO36+'[4]CB III'!AO36+[4]IG!AO36+[4]PN!AO36+[4]MJ!AO36+'[4]RB I'!AO36+'[4]SF I'!AO36</f>
        <v>155340.70492392156</v>
      </c>
      <c r="AP36" s="226">
        <f>+[4]SLP!AP36+[4]ROSA!AP36+'[4]STA ANA'!AP36+[4]BOA!AP36+'[4]STA MARIA'!AP36+'[4]CB I'!AP36+'[4]CB II'!AP36+'[4]CB III'!AP36+[4]IG!AP36+[4]PN!AP36+[4]MJ!AP36+'[4]RB I'!AP36+'[4]SF I'!AP36</f>
        <v>21766.472050108256</v>
      </c>
      <c r="AQ36" s="226">
        <f>+[4]SLP!AQ36+[4]ROSA!AQ36+'[4]STA ANA'!AQ36+[4]BOA!AQ36+'[4]STA MARIA'!AQ36+'[4]CB I'!AQ36+'[4]CB II'!AQ36+'[4]CB III'!AQ36+[4]IG!AQ36+[4]PN!AQ36+[4]MJ!AQ36+'[4]RB I'!AQ36+'[4]SF I'!AQ36</f>
        <v>0</v>
      </c>
      <c r="AR36" s="226">
        <f>+[4]SLP!AR36+[4]ROSA!AR36+'[4]STA ANA'!AR36+[4]BOA!AR36+'[4]STA MARIA'!AR36+'[4]CB I'!AR36+'[4]CB II'!AR36+'[4]CB III'!AR36+[4]IG!AR36+[4]PN!AR36+[4]MJ!AR36+'[4]RB I'!AR36+'[4]SF I'!AR36</f>
        <v>0</v>
      </c>
      <c r="AS36" s="166">
        <f>+[4]SLP!AS36+[4]ROSA!AS36+'[4]STA ANA'!AS36+[4]BOA!AS36+'[4]STA MARIA'!AS36+'[4]CB I'!AS36+'[4]CB II'!AS36+'[4]CB III'!AS36+[4]IG!AS36+[4]PN!AS36+[4]MJ!AS36+'[4]RB I'!AS36+'[4]SÃO FRANCISCO'!AS36</f>
        <v>0</v>
      </c>
      <c r="AT36" s="224">
        <f t="shared" si="7"/>
        <v>-1</v>
      </c>
      <c r="AU36" s="225">
        <f>+[4]SLP!AU36+[4]ROSA!AU36+'[4]STA ANA'!AU36+[4]BOA!AU36+'[4]STA MARIA'!AU36+'[4]CB I'!AU36+'[4]CB II'!AU36+'[4]CB III'!AU36+[4]IG!AU36+[4]PN!AU36+[4]MJ!AU36+'[4]RB I'!AU36+'[4]SF I'!AU36</f>
        <v>177107.17697402978</v>
      </c>
      <c r="AV36" s="226">
        <f>+[4]SLP!AV36+[4]ROSA!AV36+'[4]STA ANA'!AV36+[4]BOA!AV36+'[4]STA MARIA'!AV36+'[4]CB I'!AV36+'[4]CB II'!AV36+'[4]CB III'!AV36+[4]IG!AV36+[4]PN!AV36+[4]MJ!AV36+'[4]RB I'!AV36+'[4]SF I'!AV36</f>
        <v>155340.70492392156</v>
      </c>
      <c r="AW36" s="226">
        <f>+[4]SLP!AW36+[4]ROSA!AW36+'[4]STA ANA'!AW36+[4]BOA!AW36+'[4]STA MARIA'!AW36+'[4]CB I'!AW36+'[4]CB II'!AW36+'[4]CB III'!AW36+[4]IG!AW36+[4]PN!AW36+[4]MJ!AW36+'[4]RB I'!AW36+'[4]SF I'!AW36</f>
        <v>21766.472050108256</v>
      </c>
      <c r="AX36" s="226">
        <f>+[4]SLP!AX36+[4]ROSA!AX36+'[4]STA ANA'!AX36+[4]BOA!AX36+'[4]STA MARIA'!AX36+'[4]CB I'!AX36+'[4]CB II'!AX36+'[4]CB III'!AX36+[4]IG!AX36+[4]PN!AX36+[4]MJ!AX36+'[4]RB I'!AX36+'[4]SF I'!AX36</f>
        <v>0</v>
      </c>
      <c r="AY36" s="226">
        <f>+[4]SLP!AY36+[4]ROSA!AY36+'[4]STA ANA'!AY36+[4]BOA!AY36+'[4]STA MARIA'!AY36+'[4]CB I'!AY36+'[4]CB II'!AY36+'[4]CB III'!AY36+[4]IG!AY36+[4]PN!AY36+[4]MJ!AY36+'[4]RB I'!AY36+'[4]SF I'!AY36</f>
        <v>0</v>
      </c>
      <c r="AZ36" s="166">
        <f>+[4]SLP!AZ36+[4]ROSA!AZ36+'[4]STA ANA'!AZ36+[4]BOA!AZ36+'[4]STA MARIA'!AZ36+'[4]CB I'!AZ36+'[4]CB II'!AZ36+[4]IG!AZ36+[4]PN!AZ36+[4]MJ!AZ36+'[4]RB I'!AZ36+'[4]SÃO FRANCISCO'!AZ36</f>
        <v>0</v>
      </c>
      <c r="BA36" s="224">
        <f t="shared" si="8"/>
        <v>-1</v>
      </c>
      <c r="BB36" s="225">
        <f>+[4]SLP!BB36+[4]ROSA!BB36+'[4]STA ANA'!BB36+[4]BOA!BB36+'[4]STA MARIA'!BB36+'[4]CB I'!BB36+'[4]CB II'!BB36+'[4]CB III'!BB36+[4]IG!BB36+[4]PN!BB36+[4]MJ!BB36+'[4]RB I'!BB36+'[4]SF I'!BB36</f>
        <v>177107.17697402978</v>
      </c>
      <c r="BC36" s="226">
        <f>+[4]SLP!BC36+[4]ROSA!BC36+'[4]STA ANA'!BC36+[4]BOA!BC36+'[4]STA MARIA'!BC36+'[4]CB I'!BC36+'[4]CB II'!BC36+'[4]CB III'!BC36+[4]IG!BC36+[4]PN!BC36+[4]MJ!BC36+'[4]RB I'!BC36+'[4]SF I'!BC36</f>
        <v>155340.70492392156</v>
      </c>
      <c r="BD36" s="226">
        <f>+[4]SLP!BD36+[4]ROSA!BD36+'[4]STA ANA'!BD36+[4]BOA!BD36+'[4]STA MARIA'!BD36+'[4]CB I'!BD36+'[4]CB II'!BD36+'[4]CB III'!BD36+[4]IG!BD36+[4]PN!BD36+[4]MJ!BD36+'[4]RB I'!BD36+'[4]SF I'!BD36</f>
        <v>21766.472050108256</v>
      </c>
      <c r="BE36" s="226">
        <f>+[4]SLP!BE36+[4]ROSA!BE36+'[4]STA ANA'!BE36+[4]BOA!BE36+'[4]STA MARIA'!BE36+'[4]CB I'!BE36+'[4]CB II'!BE36+'[4]CB III'!BE36+[4]IG!BE36+[4]PN!BE36+[4]MJ!BE36+'[4]RB I'!BE36+'[4]SF I'!BE36</f>
        <v>0</v>
      </c>
      <c r="BF36" s="226">
        <f>+[4]SLP!BF36+[4]ROSA!BF36+'[4]STA ANA'!BF36+[4]BOA!BF36+'[4]STA MARIA'!BF36+'[4]CB I'!BF36+'[4]CB II'!BF36+'[4]CB III'!BF36+[4]IG!BF36+[4]PN!BF36+[4]MJ!BF36+'[4]RB I'!BF36+'[4]SF I'!BF36</f>
        <v>0</v>
      </c>
      <c r="BG36" s="166">
        <f>+[4]SLP!BG36+[4]ROSA!BG36+'[4]STA ANA'!BG36+[4]BOA!BG36+'[4]STA MARIA'!BG36+'[4]CB I'!BG36+'[4]CB II'!BG36+'[4]CB III'!BG36+[4]IG!BG36+[4]PN!BG36+[4]MJ!BG36+'[4]RB I'!BG36+'[4]SÃO FRANCISCO'!BG36</f>
        <v>0</v>
      </c>
      <c r="BH36" s="224">
        <f t="shared" si="9"/>
        <v>-1</v>
      </c>
      <c r="BI36" s="225">
        <f>+[4]SLP!BI36+[4]ROSA!BI36+'[4]STA ANA'!BI36+[4]BOA!BI36+'[4]STA MARIA'!BI36+'[4]CB I'!BI36+'[4]CB II'!BI36+'[4]CB III'!BI36+[4]IG!BI36+[4]PN!BI36+[4]MJ!BI36+'[4]RB I'!BI36+'[4]SF I'!BI36</f>
        <v>177107.17697402978</v>
      </c>
      <c r="BJ36" s="226">
        <f>+[4]SLP!BJ36+[4]ROSA!BJ36+'[4]STA ANA'!BJ36+[4]BOA!BJ36+'[4]STA MARIA'!BJ36+'[4]CB I'!BJ36+'[4]CB II'!BJ36+'[4]CB III'!BJ36+[4]IG!BJ36+[4]PN!BJ36+[4]MJ!BJ36+'[4]RB I'!BJ36+'[4]SF I'!BJ36</f>
        <v>155340.70492392156</v>
      </c>
      <c r="BK36" s="226">
        <f>+[4]SLP!BK36+[4]ROSA!BK36+'[4]STA ANA'!BK36+[4]BOA!BK36+'[4]STA MARIA'!BK36+'[4]CB I'!BK36+'[4]CB II'!BK36+'[4]CB III'!BK36+[4]IG!BK36+[4]PN!BK36+[4]MJ!BK36+'[4]RB I'!BK36+'[4]SF I'!BK36</f>
        <v>21766.472050108256</v>
      </c>
      <c r="BL36" s="226">
        <f>+[4]SLP!BL36+[4]ROSA!BL36+'[4]STA ANA'!BL36+[4]BOA!BL36+'[4]STA MARIA'!BL36+'[4]CB I'!BL36+'[4]CB II'!BL36+'[4]CB III'!BL36+[4]IG!BL36+[4]PN!BL36+[4]MJ!BL36+'[4]RB I'!BL36+'[4]SF I'!BL36</f>
        <v>0</v>
      </c>
      <c r="BM36" s="226">
        <f>+[4]SLP!BM36+[4]ROSA!BM36+'[4]STA ANA'!BM36+[4]BOA!BM36+'[4]STA MARIA'!BM36+'[4]CB I'!BM36+'[4]CB II'!BM36+'[4]CB III'!BM36+[4]IG!BM36+[4]PN!BM36+[4]MJ!BM36+'[4]RB I'!BM36+'[4]SF I'!BM36</f>
        <v>0</v>
      </c>
      <c r="BN36" s="166">
        <f>+[4]SLP!BN36+[4]ROSA!BN36+'[4]STA ANA'!BN36+[4]BOA!BN36+'[4]STA MARIA'!BN36+'[4]CB I'!BN36+'[4]CB II'!BN36+'[4]CB III'!BN36+[4]IG!BN36+[4]PN!BN36+[4]MJ!BN36+'[4]RB I'!BN36+'[4]SÃO FRANCISCO'!BN36</f>
        <v>0</v>
      </c>
      <c r="BO36" s="224">
        <f t="shared" si="10"/>
        <v>-1</v>
      </c>
      <c r="BP36" s="225">
        <f>+[4]SLP!BP36+[4]ROSA!BP36+'[4]STA ANA'!BP36+[4]BOA!BP36+'[4]STA MARIA'!BP36+'[4]CB I'!BP36+'[4]CB II'!BP36+'[4]CB III'!BP36+[4]IG!BP36+[4]PN!BP36+[4]MJ!BP36+'[4]RB I'!BP36+'[4]SF I'!BP36</f>
        <v>177107.17697402978</v>
      </c>
      <c r="BQ36" s="226">
        <f>+[4]SLP!BQ36+[4]ROSA!BQ36+'[4]STA ANA'!BQ36+[4]BOA!BQ36+'[4]STA MARIA'!BQ36+'[4]CB I'!BQ36+'[4]CB II'!BQ36+'[4]CB III'!BQ36+[4]IG!BQ36+[4]PN!BQ36+[4]MJ!BQ36+'[4]RB I'!BQ36+'[4]SF I'!BQ36</f>
        <v>155340.70492392156</v>
      </c>
      <c r="BR36" s="226">
        <f>+[4]SLP!BR36+[4]ROSA!BR36+'[4]STA ANA'!BR36+[4]BOA!BR36+'[4]STA MARIA'!BR36+'[4]CB I'!BR36+'[4]CB II'!BR36+'[4]CB III'!BR36+[4]IG!BR36+[4]PN!BR36+[4]MJ!BR36+'[4]RB I'!BR36+'[4]SF I'!BR36</f>
        <v>21766.472050108256</v>
      </c>
      <c r="BS36" s="226">
        <f>+[4]SLP!BS36+[4]ROSA!BS36+'[4]STA ANA'!BS36+[4]BOA!BS36+'[4]STA MARIA'!BS36+'[4]CB I'!BS36+'[4]CB II'!BS36+'[4]CB III'!BS36+[4]IG!BS36+[4]PN!BS36+[4]MJ!BS36+'[4]RB I'!BS36+'[4]SF I'!BS36</f>
        <v>0</v>
      </c>
      <c r="BT36" s="226">
        <f>+[4]SLP!BT36+[4]ROSA!BT36+'[4]STA ANA'!BT36+[4]BOA!BT36+'[4]STA MARIA'!BT36+'[4]CB I'!BT36+'[4]CB II'!BT36+'[4]CB III'!BT36+[4]IG!BT36+[4]PN!BT36+[4]MJ!BT36+'[4]RB I'!BT36+'[4]SF I'!BT36</f>
        <v>0</v>
      </c>
      <c r="BU36" s="166">
        <f>+[4]SLP!BU36+[4]ROSA!BU36+'[4]STA ANA'!BU36+[4]BOA!BU36+'[4]STA MARIA'!BU36+'[4]CB I'!BU36+'[4]CB II'!BU36+'[4]CB III'!BU36+[4]IG!BU36+[4]PN!BU36+[4]MJ!BU36+'[4]RB I'!BU36+'[4]SÃO FRANCISCO'!BU36</f>
        <v>0</v>
      </c>
      <c r="BV36" s="224">
        <f t="shared" si="11"/>
        <v>-1</v>
      </c>
      <c r="BW36" s="225">
        <f>+[4]SLP!BW36+[4]ROSA!BW36+'[4]STA ANA'!BW36+[4]BOA!BW36+'[4]STA MARIA'!BW36+'[4]CB I'!BW36+'[4]CB II'!BW36+'[4]CB III'!BW36+[4]IG!BW36+[4]PN!BW36+[4]MJ!BW36+'[4]RB I'!BW36+'[4]SF I'!BW36</f>
        <v>177107.17697402978</v>
      </c>
      <c r="BX36" s="226">
        <f>+[4]SLP!BX36+[4]ROSA!BX36+'[4]STA ANA'!BX36+[4]BOA!BX36+'[4]STA MARIA'!BX36+'[4]CB I'!BX36+'[4]CB II'!BX36+'[4]CB III'!BX36+[4]IG!BX36+[4]PN!BX36+[4]MJ!BX36+'[4]RB I'!BX36+'[4]SF I'!BX36</f>
        <v>155340.70492392156</v>
      </c>
      <c r="BY36" s="226">
        <f>+[4]SLP!BY36+[4]ROSA!BY36+'[4]STA ANA'!BY36+[4]BOA!BY36+'[4]STA MARIA'!BY36+'[4]CB I'!BY36+'[4]CB II'!BY36+'[4]CB III'!BY36+[4]IG!BY36+[4]PN!BY36+[4]MJ!BY36+'[4]RB I'!BY36+'[4]SF I'!BY36</f>
        <v>21766.472050108256</v>
      </c>
      <c r="BZ36" s="226">
        <f>+[4]SLP!BZ36+[4]ROSA!BZ36+'[4]STA ANA'!BZ36+[4]BOA!BZ36+'[4]STA MARIA'!BZ36+'[4]CB I'!BZ36+'[4]CB II'!BZ36+'[4]CB III'!BZ36+[4]IG!BZ36+[4]PN!BZ36+[4]MJ!BZ36+'[4]RB I'!BZ36+'[4]SF I'!BZ36</f>
        <v>0</v>
      </c>
      <c r="CA36" s="226">
        <f>+[4]SLP!CA36+[4]ROSA!CA36+'[4]STA ANA'!CA36+[4]BOA!CA36+'[4]STA MARIA'!CA36+'[4]CB I'!CA36+'[4]CB II'!CA36+'[4]CB III'!CA36+[4]IG!CA36+[4]PN!CA36+[4]MJ!CA36+'[4]RB I'!CA36+'[4]SF I'!CA36</f>
        <v>0</v>
      </c>
      <c r="CB36" s="166">
        <f>+[4]SLP!CB36+[4]ROSA!CB36+'[4]STA ANA'!CB36+[4]BOA!CB36+'[4]STA MARIA'!CB36+'[4]CB I'!CB36+'[4]CB II'!CB36+'[4]CB III'!CB36+[4]IG!CB36+[4]PN!CB36+[4]MJ!CB36+'[4]RB I'!CB36+'[4]SÃO FRANCISCO'!CB36</f>
        <v>0</v>
      </c>
      <c r="CC36" s="224">
        <f t="shared" si="12"/>
        <v>-1</v>
      </c>
      <c r="CD36" s="225">
        <f>+[4]SLP!CD36+[4]ROSA!CD36+'[4]STA ANA'!CD36+[4]BOA!CD36+'[4]STA MARIA'!CD36+'[4]CB I'!CD36+'[4]CB II'!CD36+'[4]CB III'!CD36+[4]IG!CD36+[4]PN!CD36+[4]MJ!CD36+'[4]RB I'!CD36+'[4]SF I'!CD36</f>
        <v>177107.17697402978</v>
      </c>
      <c r="CE36" s="226">
        <f>+[4]SLP!CE36+[4]ROSA!CE36+'[4]STA ANA'!CE36+[4]BOA!CE36+'[4]STA MARIA'!CE36+'[4]CB I'!CE36+'[4]CB II'!CE36+'[4]CB III'!CE36+[4]IG!CE36+[4]PN!CE36+[4]MJ!CE36+'[4]RB I'!CE36+'[4]SF I'!CE36</f>
        <v>155340.70492392156</v>
      </c>
      <c r="CF36" s="226">
        <f>+[4]SLP!CF36+[4]ROSA!CF36+'[4]STA ANA'!CF36+[4]BOA!CF36+'[4]STA MARIA'!CF36+'[4]CB I'!CF36+'[4]CB II'!CF36+'[4]CB III'!CF36+[4]IG!CF36+[4]PN!CF36+[4]MJ!CF36+'[4]RB I'!CF36+'[4]SF I'!CF36</f>
        <v>21766.472050108256</v>
      </c>
      <c r="CG36" s="226">
        <f>+[4]SLP!CG36+[4]ROSA!CG36+'[4]STA ANA'!CG36+[4]BOA!CG36+'[4]STA MARIA'!CG36+'[4]CB I'!CG36+'[4]CB II'!CG36+'[4]CB III'!CG36+[4]IG!CG36+[4]PN!CG36+[4]MJ!CG36+'[4]RB I'!CG36+'[4]SF I'!CG36</f>
        <v>0</v>
      </c>
      <c r="CH36" s="226">
        <f>+[4]SLP!CH36+[4]ROSA!CH36+'[4]STA ANA'!CH36+[4]BOA!CH36+'[4]STA MARIA'!CH36+'[4]CB I'!CH36+'[4]CB II'!CH36+'[4]CB III'!CH36+[4]IG!CH36+[4]PN!CH36+[4]MJ!CH36+'[4]RB I'!CH36+'[4]SF I'!CH36</f>
        <v>0</v>
      </c>
      <c r="CI36" s="166">
        <f>+[4]SLP!CI36+[4]ROSA!CI36+'[4]STA ANA'!CI36+[4]BOA!CI36+'[4]STA MARIA'!CI36+'[4]CB I'!CI36+'[4]CB II'!CI36+'[4]CB III'!CI36+[4]IG!CI36+[4]PN!CI36+[4]MJ!CI36+'[4]RB I'!CI36+'[4]SÃO FRANCISCO'!CI36</f>
        <v>0</v>
      </c>
      <c r="CJ36" s="224">
        <f t="shared" si="13"/>
        <v>-1</v>
      </c>
      <c r="CK36" s="225">
        <f>+[4]SLP!CK36+[4]ROSA!CK36+'[4]STA ANA'!CK36+[4]BOA!CK36+'[4]STA MARIA'!CK36+'[4]CB I'!CK36+'[4]CB II'!CK36+'[4]CB III'!CK36+[4]IG!CK36+[4]PN!CK36+[4]MJ!CK36+'[4]RB I'!CK36+'[4]SF I'!CK36</f>
        <v>177107.17697402978</v>
      </c>
      <c r="CL36" s="226">
        <f>+[4]SLP!CL36+[4]ROSA!CL36+'[4]STA ANA'!CL36+[4]BOA!CL36+'[4]STA MARIA'!CL36+'[4]CB I'!CL36+'[4]CB II'!CL36+'[4]CB III'!CL36+[4]IG!CL36+[4]PN!CL36+[4]MJ!CL36+'[4]RB I'!CL36+'[4]SF I'!CL36</f>
        <v>155340.70492392156</v>
      </c>
      <c r="CM36" s="226">
        <f>+[4]SLP!CM36+[4]ROSA!CM36+'[4]STA ANA'!CM36+[4]BOA!CM36+'[4]STA MARIA'!CM36+'[4]CB I'!CM36+'[4]CB II'!CM36+'[4]CB III'!CM36+[4]IG!CM36+[4]PN!CM36+[4]MJ!CM36+'[4]RB I'!CM36+'[4]SF I'!CM36</f>
        <v>21766.472050108256</v>
      </c>
      <c r="CN36" s="226">
        <f>+[4]SLP!CN36+[4]ROSA!CN36+'[4]STA ANA'!CN36+[4]BOA!CN36+'[4]STA MARIA'!CN36+'[4]CB I'!CN36+'[4]CB II'!CN36+'[4]CB III'!CN36+[4]IG!CN36+[4]PN!CN36+[4]MJ!CN36+'[4]RB I'!CN36+'[4]SF I'!CN36</f>
        <v>0</v>
      </c>
      <c r="CO36" s="226">
        <f>+[4]SLP!CO36+[4]ROSA!CO36+'[4]STA ANA'!CO36+[4]BOA!CO36+'[4]STA MARIA'!CO36+'[4]CB I'!CO36+'[4]CB II'!CO36+'[4]CB III'!CO36+[4]IG!CO36+[4]PN!CO36+[4]MJ!CO36+'[4]RB I'!CO36+'[4]SF I'!CO36</f>
        <v>0</v>
      </c>
      <c r="CP36" s="166">
        <f>+[4]SLP!CP36+[4]ROSA!CP36+'[4]STA ANA'!CP36+[4]BOA!CP36+'[4]STA MARIA'!CP36+'[4]CB I'!CP36+'[4]CB II'!CP36+'[4]CB III'!CP36+[4]IG!CP36+[4]PN!CP36+[4]MJ!CP36+'[4]RB I'!CP36+'[4]SÃO FRANCISCO'!CP36</f>
        <v>0</v>
      </c>
      <c r="CQ36" s="224">
        <f t="shared" si="14"/>
        <v>-1</v>
      </c>
      <c r="CR36" s="155"/>
      <c r="CS36" s="227" t="e">
        <f t="shared" si="15"/>
        <v>#VALUE!</v>
      </c>
    </row>
    <row r="37" spans="1:97" ht="16" customHeight="1" x14ac:dyDescent="0.2">
      <c r="A37" s="228" t="s">
        <v>61</v>
      </c>
      <c r="B37" s="30">
        <f t="shared" si="17"/>
        <v>2147906.1236883574</v>
      </c>
      <c r="C37" s="31">
        <f t="shared" si="17"/>
        <v>1883928.4610870581</v>
      </c>
      <c r="D37" s="32">
        <f t="shared" si="17"/>
        <v>263977.66260129918</v>
      </c>
      <c r="E37" s="30">
        <f t="shared" ref="E37:G54" si="19">+L37+S37+Z37+AG37</f>
        <v>715968.70789611922</v>
      </c>
      <c r="F37" s="33">
        <f t="shared" si="19"/>
        <v>627976.15369568614</v>
      </c>
      <c r="G37" s="34">
        <f t="shared" si="19"/>
        <v>87992.554200433049</v>
      </c>
      <c r="H37" s="31">
        <f t="shared" si="18"/>
        <v>900612.29546736251</v>
      </c>
      <c r="I37" s="33">
        <f t="shared" si="18"/>
        <v>98237.95669055311</v>
      </c>
      <c r="J37" s="33">
        <f t="shared" si="18"/>
        <v>998850.25215791573</v>
      </c>
      <c r="K37" s="224">
        <f t="shared" si="2"/>
        <v>0.39510322328617775</v>
      </c>
      <c r="L37" s="225">
        <f>+[4]SLP!L37+[4]ROSA!L37+'[4]STA ANA'!L37+[4]BOA!L37+'[4]STA MARIA'!L37+'[4]CB I'!L37+'[4]CB II'!L37+'[4]CB III'!L37+[4]IG!L37+[4]PN!L37+[4]MJ!L37+'[4]RB I'!L37+'[4]SF I'!L37</f>
        <v>178992.1769740298</v>
      </c>
      <c r="M37" s="226">
        <f>+[4]SLP!M37+[4]ROSA!M37+'[4]STA ANA'!M37+[4]BOA!M37+'[4]STA MARIA'!M37+'[4]CB I'!M37+'[4]CB II'!M37+'[4]CB III'!M37+[4]IG!M37+[4]PN!M37+[4]MJ!M37+'[4]RB I'!M37+'[4]SF I'!M37</f>
        <v>156994.03842392153</v>
      </c>
      <c r="N37" s="226">
        <f>+[4]SLP!N37+[4]ROSA!N37+'[4]STA ANA'!N37+[4]BOA!N37+'[4]STA MARIA'!N37+'[4]CB I'!N37+'[4]CB II'!N37+'[4]CB III'!N37+[4]IG!N37+[4]PN!N37+[4]MJ!N37+'[4]RB I'!N37+'[4]SF I'!N37</f>
        <v>21998.138550108262</v>
      </c>
      <c r="O37" s="226">
        <f>+[4]SLP!O37+[4]ROSA!O37+'[4]STA ANA'!O37+[4]BOA!O37+'[4]STA MARIA'!O37+'[4]CB I'!O37+'[4]CB II'!O37+'[4]CB III'!O37+[4]IG!O37+[4]PN!O37+[4]MJ!O37+'[4]RB I'!O37+'[4]SF I'!O37</f>
        <v>212506.24780854915</v>
      </c>
      <c r="P37" s="226">
        <f>+[4]SLP!P37+[4]ROSA!P37+'[4]STA ANA'!P37+[4]BOA!P37+'[4]STA MARIA'!P37+'[4]CB I'!P37+'[4]CB II'!P37+'[4]CB III'!P37+[4]IG!P37+[4]PN!P37+[4]MJ!P37+'[4]RB I'!P37+'[4]SF I'!P37</f>
        <v>23600.963722115888</v>
      </c>
      <c r="Q37" s="166">
        <f>+[4]SLP!Q37+[4]ROSA!Q37+'[4]STA ANA'!Q37+[4]BOA!Q37+'[4]STA MARIA'!Q37+'[4]CB I'!Q37+'[4]CB II'!Q37+'[4]CB III'!Q37+[4]IG!Q37+[4]PN!Q37+[4]MJ!Q37+'[4]RB I'!Q37+'[4]SF I'!Q37</f>
        <v>236107.21153066505</v>
      </c>
      <c r="R37" s="224">
        <f t="shared" si="3"/>
        <v>0.31909235097421118</v>
      </c>
      <c r="S37" s="225">
        <f>+[4]SLP!S37+[4]ROSA!S37+'[4]STA ANA'!S37+[4]BOA!S37+'[4]STA MARIA'!S37+'[4]CB I'!S37+'[4]CB II'!S37+'[4]CB III'!S37+[4]IG!S37+[4]PN!S37+[4]MJ!S37+'[4]RB I'!S37+'[4]SF I'!S37</f>
        <v>178992.1769740298</v>
      </c>
      <c r="T37" s="226">
        <f>+[4]SLP!T37+[4]ROSA!T37+'[4]STA ANA'!T37+[4]BOA!T37+'[4]STA MARIA'!T37+'[4]CB I'!T37+'[4]CB II'!T37+'[4]CB III'!T37+[4]IG!T37+[4]PN!T37+[4]MJ!T37+'[4]RB I'!T37+'[4]SF I'!T37</f>
        <v>156994.03842392153</v>
      </c>
      <c r="U37" s="226">
        <f>+[4]SLP!U37+[4]ROSA!U37+'[4]STA ANA'!U37+[4]BOA!U37+'[4]STA MARIA'!U37+'[4]CB I'!U37+'[4]CB II'!U37+'[4]CB III'!U37+[4]IG!U37+[4]PN!U37+[4]MJ!U37+'[4]RB I'!U37+'[4]SF I'!U37</f>
        <v>21998.138550108262</v>
      </c>
      <c r="V37" s="226">
        <f>+[4]SLP!V37+[4]ROSA!V37+'[4]STA ANA'!V37+[4]BOA!V37+'[4]STA MARIA'!V37+'[4]CB I'!V37+'[4]CB II'!V37+'[4]CB III'!V37+[4]IG!V37+[4]PN!V37+[4]MJ!V37+'[4]RB I'!V37+'[4]SF I'!V37</f>
        <v>169191.38868929242</v>
      </c>
      <c r="W37" s="226">
        <f>+[4]SLP!W37+[4]ROSA!W37+'[4]STA ANA'!W37+[4]BOA!W37+'[4]STA MARIA'!W37+'[4]CB I'!W37+'[4]CB II'!W37+'[4]CB III'!W37+[4]IG!W37+[4]PN!W37+[4]MJ!W37+'[4]RB I'!W37+'[4]SF I'!W37</f>
        <v>19371.0208076651</v>
      </c>
      <c r="X37" s="166">
        <f>[4]SLP!X37+[4]ROSA!X37+'[4]STA ANA'!X37+[4]BOA!X37+'[4]STA MARIA'!X37+'[4]CB I'!X37+'[4]CB II'!X37+'[4]CB III'!X37+[4]IG!X37+[4]PN!X37+[4]MJ!X37+'[4]RB I'!X37+'[4]SF I'!X37</f>
        <v>188562.40949695749</v>
      </c>
      <c r="Y37" s="224">
        <f t="shared" si="4"/>
        <v>5.3467322900465408E-2</v>
      </c>
      <c r="Z37" s="225">
        <f>+[4]SLP!Z37+[4]ROSA!Z37+'[4]STA ANA'!Z37+[4]BOA!Z37+'[4]STA MARIA'!Z37+'[4]CB I'!Z37+'[4]CB II'!Z37+'[4]CB III'!Z37+[4]IG!Z37+[4]PN!Z37+[4]MJ!Z37+'[4]RB I'!Z37+'[4]SF I'!Z37</f>
        <v>178992.1769740298</v>
      </c>
      <c r="AA37" s="226">
        <f>+[4]SLP!AA37+[4]ROSA!AA37+'[4]STA ANA'!AA37+[4]BOA!AA37+'[4]STA MARIA'!AA37+'[4]CB I'!AA37+'[4]CB II'!AA37+'[4]CB III'!AA37+[4]IG!AA37+[4]PN!AA37+[4]MJ!AA37+'[4]RB I'!AA37+'[4]SF I'!AA37</f>
        <v>156994.03842392153</v>
      </c>
      <c r="AB37" s="226">
        <f>+[4]SLP!AB37+[4]ROSA!AB37+'[4]STA ANA'!AB37+[4]BOA!AB37+'[4]STA MARIA'!AB37+'[4]CB I'!AB37+'[4]CB II'!AB37+'[4]CB III'!AB37+[4]IG!AB37+[4]PN!AB37+[4]MJ!AB37+'[4]RB I'!AB37+'[4]SF I'!AB37</f>
        <v>21998.138550108262</v>
      </c>
      <c r="AC37" s="226">
        <f>+[4]SLP!AC37+[4]ROSA!AC37+'[4]STA ANA'!AC37+[4]BOA!AC37+'[4]STA MARIA'!AC37+'[4]CB I'!AC37+'[4]CB II'!AC37+'[4]CB III'!AC37+[4]IG!AC37+[4]PN!AC37+[4]MJ!AC37+'[4]RB I'!AC37+'[4]SF I'!AC37</f>
        <v>218256.24035724963</v>
      </c>
      <c r="AD37" s="226">
        <f>+[4]SLP!AD37+[4]ROSA!AD37+'[4]STA ANA'!AD37+[4]BOA!AD37+'[4]STA MARIA'!AD37+'[4]CB I'!AD37+'[4]CB II'!AD37+'[4]CB III'!AD37+[4]IG!AD37+[4]PN!AD37+[4]MJ!AD37+'[4]RB I'!AD37+'[4]SF I'!AD37</f>
        <v>24858.435313370872</v>
      </c>
      <c r="AE37" s="166">
        <f>+[4]SLP!AE37+[4]ROSA!AE37+'[4]STA ANA'!AE37+[4]BOA!AE37+'[4]STA MARIA'!AE37+'[4]CB I'!AE37+'[4]CB II'!AE37+'[4]CB III'!AE37+[4]IG!AE37+[4]PN!AE37+[4]MJ!AE37+'[4]RB I'!AE37+'[4]SF I'!AE37</f>
        <v>243114.67567062052</v>
      </c>
      <c r="AF37" s="224">
        <f t="shared" si="5"/>
        <v>0.35824190632585196</v>
      </c>
      <c r="AG37" s="225">
        <f>+[4]SLP!AG37+[4]ROSA!AG37+'[4]STA ANA'!AG37+[4]BOA!AG37+'[4]STA MARIA'!AG37+'[4]CB I'!AG37+'[4]CB II'!AG37+'[4]CB III'!AG37+[4]IG!AG37+[4]PN!AG37+[4]MJ!AG37+'[4]RB I'!AG37+'[4]SF I'!AG37</f>
        <v>178992.1769740298</v>
      </c>
      <c r="AH37" s="226">
        <f>+[4]SLP!AH37+[4]ROSA!AH37+'[4]STA ANA'!AH37+[4]BOA!AH37+'[4]STA MARIA'!AH37+'[4]CB I'!AH37+'[4]CB II'!AH37+'[4]CB III'!AH37+[4]IG!AH37+[4]PN!AH37+[4]MJ!AH37+'[4]RB I'!AH37+'[4]SF I'!AH37</f>
        <v>156994.03842392153</v>
      </c>
      <c r="AI37" s="226">
        <f>+[4]SLP!AI37+[4]ROSA!AI37+'[4]STA ANA'!AI37+[4]BOA!AI37+'[4]STA MARIA'!AI37+'[4]CB I'!AI37+'[4]CB II'!AI37+'[4]CB III'!AI37+[4]IG!AI37+[4]PN!AI37+[4]MJ!AI37+'[4]RB I'!AI37+'[4]SF I'!AI37</f>
        <v>21998.138550108262</v>
      </c>
      <c r="AJ37" s="226">
        <f>+[4]SLP!AJ37+[4]ROSA!AJ37+'[4]STA ANA'!AJ37+[4]BOA!AJ37+'[4]STA MARIA'!AJ37+'[4]CB I'!AJ37+'[4]CB II'!AJ37+'[4]CB III'!AJ37+[4]IG!AJ37+[4]PN!AJ37+[4]MJ!AJ37+'[4]RB I'!AJ37+'[4]SF I'!AJ37</f>
        <v>300658.41861227137</v>
      </c>
      <c r="AK37" s="226">
        <f>+[4]SLP!AK37+[4]ROSA!AK37+'[4]STA ANA'!AK37+[4]BOA!AK37+'[4]STA MARIA'!AK37+'[4]CB I'!AK37+'[4]CB II'!AK37+'[4]CB III'!AK37+[4]IG!AK37+[4]PN!AK37+[4]MJ!AK37+'[4]RB I'!AK37+'[4]SF I'!AK37</f>
        <v>30407.536847401243</v>
      </c>
      <c r="AL37" s="166">
        <f>+[4]SLP!AL37+[4]ROSA!AL37+'[4]STA ANA'!AL37+[4]BOA!AL37+'[4]STA MARIA'!AL37+'[4]CB I'!AL37+'[4]CB II'!AL37+'[4]CB III'!AL37+[4]IG!AL37+[4]PN!AL37+[4]MJ!AL37+'[4]RB I'!AL37+'[4]SF I'!AL37</f>
        <v>331065.95545967261</v>
      </c>
      <c r="AM37" s="224">
        <f t="shared" si="6"/>
        <v>0.8496113129441818</v>
      </c>
      <c r="AN37" s="225">
        <f>+[4]SLP!AN37+[4]ROSA!AN37+'[4]STA ANA'!AN37+[4]BOA!AN37+'[4]STA MARIA'!AN37+'[4]CB I'!AN37+'[4]CB II'!AN37+'[4]CB III'!AN37+[4]IG!AN37+[4]PN!AN37+[4]MJ!AN37+'[4]RB I'!AN37+'[4]SF I'!AN37</f>
        <v>178992.1769740298</v>
      </c>
      <c r="AO37" s="226">
        <f>+[4]SLP!AO37+[4]ROSA!AO37+'[4]STA ANA'!AO37+[4]BOA!AO37+'[4]STA MARIA'!AO37+'[4]CB I'!AO37+'[4]CB II'!AO37+'[4]CB III'!AO37+[4]IG!AO37+[4]PN!AO37+[4]MJ!AO37+'[4]RB I'!AO37+'[4]SF I'!AO37</f>
        <v>156994.03842392153</v>
      </c>
      <c r="AP37" s="226">
        <f>+[4]SLP!AP37+[4]ROSA!AP37+'[4]STA ANA'!AP37+[4]BOA!AP37+'[4]STA MARIA'!AP37+'[4]CB I'!AP37+'[4]CB II'!AP37+'[4]CB III'!AP37+[4]IG!AP37+[4]PN!AP37+[4]MJ!AP37+'[4]RB I'!AP37+'[4]SF I'!AP37</f>
        <v>21998.138550108262</v>
      </c>
      <c r="AQ37" s="226">
        <f>+[4]SLP!AQ37+[4]ROSA!AQ37+'[4]STA ANA'!AQ37+[4]BOA!AQ37+'[4]STA MARIA'!AQ37+'[4]CB I'!AQ37+'[4]CB II'!AQ37+'[4]CB III'!AQ37+[4]IG!AQ37+[4]PN!AQ37+[4]MJ!AQ37+'[4]RB I'!AQ37+'[4]SF I'!AQ37</f>
        <v>0</v>
      </c>
      <c r="AR37" s="226">
        <f>+[4]SLP!AR37+[4]ROSA!AR37+'[4]STA ANA'!AR37+[4]BOA!AR37+'[4]STA MARIA'!AR37+'[4]CB I'!AR37+'[4]CB II'!AR37+'[4]CB III'!AR37+[4]IG!AR37+[4]PN!AR37+[4]MJ!AR37+'[4]RB I'!AR37+'[4]SF I'!AR37</f>
        <v>0</v>
      </c>
      <c r="AS37" s="166">
        <f>+[4]SLP!AS37+[4]ROSA!AS37+'[4]STA ANA'!AS37+[4]BOA!AS37+'[4]STA MARIA'!AS37+'[4]CB I'!AS37+'[4]CB II'!AS37+'[4]CB III'!AS37+[4]IG!AS37+[4]PN!AS37+[4]MJ!AS37+'[4]RB I'!AS37+'[4]SÃO FRANCISCO'!AS37</f>
        <v>0</v>
      </c>
      <c r="AT37" s="224">
        <f t="shared" si="7"/>
        <v>-1</v>
      </c>
      <c r="AU37" s="225">
        <f>+[4]SLP!AU37+[4]ROSA!AU37+'[4]STA ANA'!AU37+[4]BOA!AU37+'[4]STA MARIA'!AU37+'[4]CB I'!AU37+'[4]CB II'!AU37+'[4]CB III'!AU37+[4]IG!AU37+[4]PN!AU37+[4]MJ!AU37+'[4]RB I'!AU37+'[4]SF I'!AU37</f>
        <v>178992.1769740298</v>
      </c>
      <c r="AV37" s="226">
        <f>+[4]SLP!AV37+[4]ROSA!AV37+'[4]STA ANA'!AV37+[4]BOA!AV37+'[4]STA MARIA'!AV37+'[4]CB I'!AV37+'[4]CB II'!AV37+'[4]CB III'!AV37+[4]IG!AV37+[4]PN!AV37+[4]MJ!AV37+'[4]RB I'!AV37+'[4]SF I'!AV37</f>
        <v>156994.03842392153</v>
      </c>
      <c r="AW37" s="226">
        <f>+[4]SLP!AW37+[4]ROSA!AW37+'[4]STA ANA'!AW37+[4]BOA!AW37+'[4]STA MARIA'!AW37+'[4]CB I'!AW37+'[4]CB II'!AW37+'[4]CB III'!AW37+[4]IG!AW37+[4]PN!AW37+[4]MJ!AW37+'[4]RB I'!AW37+'[4]SF I'!AW37</f>
        <v>21998.138550108262</v>
      </c>
      <c r="AX37" s="226">
        <f>+[4]SLP!AX37+[4]ROSA!AX37+'[4]STA ANA'!AX37+[4]BOA!AX37+'[4]STA MARIA'!AX37+'[4]CB I'!AX37+'[4]CB II'!AX37+'[4]CB III'!AX37+[4]IG!AX37+[4]PN!AX37+[4]MJ!AX37+'[4]RB I'!AX37+'[4]SF I'!AX37</f>
        <v>0</v>
      </c>
      <c r="AY37" s="226">
        <f>+[4]SLP!AY37+[4]ROSA!AY37+'[4]STA ANA'!AY37+[4]BOA!AY37+'[4]STA MARIA'!AY37+'[4]CB I'!AY37+'[4]CB II'!AY37+'[4]CB III'!AY37+[4]IG!AY37+[4]PN!AY37+[4]MJ!AY37+'[4]RB I'!AY37+'[4]SF I'!AY37</f>
        <v>0</v>
      </c>
      <c r="AZ37" s="166">
        <f>+[4]SLP!AZ37+[4]ROSA!AZ37+'[4]STA ANA'!AZ37+[4]BOA!AZ37+'[4]STA MARIA'!AZ37+'[4]CB I'!AZ37+'[4]CB II'!AZ37+[4]IG!AZ37+[4]PN!AZ37+[4]MJ!AZ37+'[4]RB I'!AZ37+'[4]SÃO FRANCISCO'!AZ37</f>
        <v>0</v>
      </c>
      <c r="BA37" s="224">
        <f t="shared" si="8"/>
        <v>-1</v>
      </c>
      <c r="BB37" s="225">
        <f>+[4]SLP!BB37+[4]ROSA!BB37+'[4]STA ANA'!BB37+[4]BOA!BB37+'[4]STA MARIA'!BB37+'[4]CB I'!BB37+'[4]CB II'!BB37+'[4]CB III'!BB37+[4]IG!BB37+[4]PN!BB37+[4]MJ!BB37+'[4]RB I'!BB37+'[4]SF I'!BB37</f>
        <v>178992.1769740298</v>
      </c>
      <c r="BC37" s="226">
        <f>+[4]SLP!BC37+[4]ROSA!BC37+'[4]STA ANA'!BC37+[4]BOA!BC37+'[4]STA MARIA'!BC37+'[4]CB I'!BC37+'[4]CB II'!BC37+'[4]CB III'!BC37+[4]IG!BC37+[4]PN!BC37+[4]MJ!BC37+'[4]RB I'!BC37+'[4]SF I'!BC37</f>
        <v>156994.03842392153</v>
      </c>
      <c r="BD37" s="226">
        <f>+[4]SLP!BD37+[4]ROSA!BD37+'[4]STA ANA'!BD37+[4]BOA!BD37+'[4]STA MARIA'!BD37+'[4]CB I'!BD37+'[4]CB II'!BD37+'[4]CB III'!BD37+[4]IG!BD37+[4]PN!BD37+[4]MJ!BD37+'[4]RB I'!BD37+'[4]SF I'!BD37</f>
        <v>21998.138550108262</v>
      </c>
      <c r="BE37" s="226">
        <f>+[4]SLP!BE37+[4]ROSA!BE37+'[4]STA ANA'!BE37+[4]BOA!BE37+'[4]STA MARIA'!BE37+'[4]CB I'!BE37+'[4]CB II'!BE37+'[4]CB III'!BE37+[4]IG!BE37+[4]PN!BE37+[4]MJ!BE37+'[4]RB I'!BE37+'[4]SF I'!BE37</f>
        <v>0</v>
      </c>
      <c r="BF37" s="226">
        <f>+[4]SLP!BF37+[4]ROSA!BF37+'[4]STA ANA'!BF37+[4]BOA!BF37+'[4]STA MARIA'!BF37+'[4]CB I'!BF37+'[4]CB II'!BF37+'[4]CB III'!BF37+[4]IG!BF37+[4]PN!BF37+[4]MJ!BF37+'[4]RB I'!BF37+'[4]SF I'!BF37</f>
        <v>0</v>
      </c>
      <c r="BG37" s="166">
        <f>+[4]SLP!BG37+[4]ROSA!BG37+'[4]STA ANA'!BG37+[4]BOA!BG37+'[4]STA MARIA'!BG37+'[4]CB I'!BG37+'[4]CB II'!BG37+'[4]CB III'!BG37+[4]IG!BG37+[4]PN!BG37+[4]MJ!BG37+'[4]RB I'!BG37+'[4]SÃO FRANCISCO'!BG37</f>
        <v>0</v>
      </c>
      <c r="BH37" s="224">
        <f t="shared" si="9"/>
        <v>-1</v>
      </c>
      <c r="BI37" s="225">
        <f>+[4]SLP!BI37+[4]ROSA!BI37+'[4]STA ANA'!BI37+[4]BOA!BI37+'[4]STA MARIA'!BI37+'[4]CB I'!BI37+'[4]CB II'!BI37+'[4]CB III'!BI37+[4]IG!BI37+[4]PN!BI37+[4]MJ!BI37+'[4]RB I'!BI37+'[4]SF I'!BI37</f>
        <v>178992.1769740298</v>
      </c>
      <c r="BJ37" s="226">
        <f>+[4]SLP!BJ37+[4]ROSA!BJ37+'[4]STA ANA'!BJ37+[4]BOA!BJ37+'[4]STA MARIA'!BJ37+'[4]CB I'!BJ37+'[4]CB II'!BJ37+'[4]CB III'!BJ37+[4]IG!BJ37+[4]PN!BJ37+[4]MJ!BJ37+'[4]RB I'!BJ37+'[4]SF I'!BJ37</f>
        <v>156994.03842392153</v>
      </c>
      <c r="BK37" s="226">
        <f>+[4]SLP!BK37+[4]ROSA!BK37+'[4]STA ANA'!BK37+[4]BOA!BK37+'[4]STA MARIA'!BK37+'[4]CB I'!BK37+'[4]CB II'!BK37+'[4]CB III'!BK37+[4]IG!BK37+[4]PN!BK37+[4]MJ!BK37+'[4]RB I'!BK37+'[4]SF I'!BK37</f>
        <v>21998.138550108262</v>
      </c>
      <c r="BL37" s="226">
        <f>+[4]SLP!BL37+[4]ROSA!BL37+'[4]STA ANA'!BL37+[4]BOA!BL37+'[4]STA MARIA'!BL37+'[4]CB I'!BL37+'[4]CB II'!BL37+'[4]CB III'!BL37+[4]IG!BL37+[4]PN!BL37+[4]MJ!BL37+'[4]RB I'!BL37+'[4]SF I'!BL37</f>
        <v>0</v>
      </c>
      <c r="BM37" s="226">
        <f>+[4]SLP!BM37+[4]ROSA!BM37+'[4]STA ANA'!BM37+[4]BOA!BM37+'[4]STA MARIA'!BM37+'[4]CB I'!BM37+'[4]CB II'!BM37+'[4]CB III'!BM37+[4]IG!BM37+[4]PN!BM37+[4]MJ!BM37+'[4]RB I'!BM37+'[4]SF I'!BM37</f>
        <v>0</v>
      </c>
      <c r="BN37" s="166">
        <f>+[4]SLP!BN37+[4]ROSA!BN37+'[4]STA ANA'!BN37+[4]BOA!BN37+'[4]STA MARIA'!BN37+'[4]CB I'!BN37+'[4]CB II'!BN37+'[4]CB III'!BN37+[4]IG!BN37+[4]PN!BN37+[4]MJ!BN37+'[4]RB I'!BN37+'[4]SÃO FRANCISCO'!BN37</f>
        <v>0</v>
      </c>
      <c r="BO37" s="224">
        <f t="shared" si="10"/>
        <v>-1</v>
      </c>
      <c r="BP37" s="225">
        <f>+[4]SLP!BP37+[4]ROSA!BP37+'[4]STA ANA'!BP37+[4]BOA!BP37+'[4]STA MARIA'!BP37+'[4]CB I'!BP37+'[4]CB II'!BP37+'[4]CB III'!BP37+[4]IG!BP37+[4]PN!BP37+[4]MJ!BP37+'[4]RB I'!BP37+'[4]SF I'!BP37</f>
        <v>178992.1769740298</v>
      </c>
      <c r="BQ37" s="226">
        <f>+[4]SLP!BQ37+[4]ROSA!BQ37+'[4]STA ANA'!BQ37+[4]BOA!BQ37+'[4]STA MARIA'!BQ37+'[4]CB I'!BQ37+'[4]CB II'!BQ37+'[4]CB III'!BQ37+[4]IG!BQ37+[4]PN!BQ37+[4]MJ!BQ37+'[4]RB I'!BQ37+'[4]SF I'!BQ37</f>
        <v>156994.03842392153</v>
      </c>
      <c r="BR37" s="226">
        <f>+[4]SLP!BR37+[4]ROSA!BR37+'[4]STA ANA'!BR37+[4]BOA!BR37+'[4]STA MARIA'!BR37+'[4]CB I'!BR37+'[4]CB II'!BR37+'[4]CB III'!BR37+[4]IG!BR37+[4]PN!BR37+[4]MJ!BR37+'[4]RB I'!BR37+'[4]SF I'!BR37</f>
        <v>21998.138550108262</v>
      </c>
      <c r="BS37" s="226">
        <f>+[4]SLP!BS37+[4]ROSA!BS37+'[4]STA ANA'!BS37+[4]BOA!BS37+'[4]STA MARIA'!BS37+'[4]CB I'!BS37+'[4]CB II'!BS37+'[4]CB III'!BS37+[4]IG!BS37+[4]PN!BS37+[4]MJ!BS37+'[4]RB I'!BS37+'[4]SF I'!BS37</f>
        <v>0</v>
      </c>
      <c r="BT37" s="226">
        <f>+[4]SLP!BT37+[4]ROSA!BT37+'[4]STA ANA'!BT37+[4]BOA!BT37+'[4]STA MARIA'!BT37+'[4]CB I'!BT37+'[4]CB II'!BT37+'[4]CB III'!BT37+[4]IG!BT37+[4]PN!BT37+[4]MJ!BT37+'[4]RB I'!BT37+'[4]SF I'!BT37</f>
        <v>0</v>
      </c>
      <c r="BU37" s="166">
        <f>+[4]SLP!BU37+[4]ROSA!BU37+'[4]STA ANA'!BU37+[4]BOA!BU37+'[4]STA MARIA'!BU37+'[4]CB I'!BU37+'[4]CB II'!BU37+'[4]CB III'!BU37+[4]IG!BU37+[4]PN!BU37+[4]MJ!BU37+'[4]RB I'!BU37+'[4]SÃO FRANCISCO'!BU37</f>
        <v>0</v>
      </c>
      <c r="BV37" s="224">
        <f t="shared" si="11"/>
        <v>-1</v>
      </c>
      <c r="BW37" s="225">
        <f>+[4]SLP!BW37+[4]ROSA!BW37+'[4]STA ANA'!BW37+[4]BOA!BW37+'[4]STA MARIA'!BW37+'[4]CB I'!BW37+'[4]CB II'!BW37+'[4]CB III'!BW37+[4]IG!BW37+[4]PN!BW37+[4]MJ!BW37+'[4]RB I'!BW37+'[4]SF I'!BW37</f>
        <v>178992.1769740298</v>
      </c>
      <c r="BX37" s="226">
        <f>+[4]SLP!BX37+[4]ROSA!BX37+'[4]STA ANA'!BX37+[4]BOA!BX37+'[4]STA MARIA'!BX37+'[4]CB I'!BX37+'[4]CB II'!BX37+'[4]CB III'!BX37+[4]IG!BX37+[4]PN!BX37+[4]MJ!BX37+'[4]RB I'!BX37+'[4]SF I'!BX37</f>
        <v>156994.03842392153</v>
      </c>
      <c r="BY37" s="226">
        <f>+[4]SLP!BY37+[4]ROSA!BY37+'[4]STA ANA'!BY37+[4]BOA!BY37+'[4]STA MARIA'!BY37+'[4]CB I'!BY37+'[4]CB II'!BY37+'[4]CB III'!BY37+[4]IG!BY37+[4]PN!BY37+[4]MJ!BY37+'[4]RB I'!BY37+'[4]SF I'!BY37</f>
        <v>21998.138550108262</v>
      </c>
      <c r="BZ37" s="226">
        <f>+[4]SLP!BZ37+[4]ROSA!BZ37+'[4]STA ANA'!BZ37+[4]BOA!BZ37+'[4]STA MARIA'!BZ37+'[4]CB I'!BZ37+'[4]CB II'!BZ37+'[4]CB III'!BZ37+[4]IG!BZ37+[4]PN!BZ37+[4]MJ!BZ37+'[4]RB I'!BZ37+'[4]SF I'!BZ37</f>
        <v>0</v>
      </c>
      <c r="CA37" s="226">
        <f>+[4]SLP!CA37+[4]ROSA!CA37+'[4]STA ANA'!CA37+[4]BOA!CA37+'[4]STA MARIA'!CA37+'[4]CB I'!CA37+'[4]CB II'!CA37+'[4]CB III'!CA37+[4]IG!CA37+[4]PN!CA37+[4]MJ!CA37+'[4]RB I'!CA37+'[4]SF I'!CA37</f>
        <v>0</v>
      </c>
      <c r="CB37" s="166">
        <f>+[4]SLP!CB37+[4]ROSA!CB37+'[4]STA ANA'!CB37+[4]BOA!CB37+'[4]STA MARIA'!CB37+'[4]CB I'!CB37+'[4]CB II'!CB37+'[4]CB III'!CB37+[4]IG!CB37+[4]PN!CB37+[4]MJ!CB37+'[4]RB I'!CB37+'[4]SÃO FRANCISCO'!CB37</f>
        <v>0</v>
      </c>
      <c r="CC37" s="224">
        <f t="shared" si="12"/>
        <v>-1</v>
      </c>
      <c r="CD37" s="225">
        <f>+[4]SLP!CD37+[4]ROSA!CD37+'[4]STA ANA'!CD37+[4]BOA!CD37+'[4]STA MARIA'!CD37+'[4]CB I'!CD37+'[4]CB II'!CD37+'[4]CB III'!CD37+[4]IG!CD37+[4]PN!CD37+[4]MJ!CD37+'[4]RB I'!CD37+'[4]SF I'!CD37</f>
        <v>178992.1769740298</v>
      </c>
      <c r="CE37" s="226">
        <f>+[4]SLP!CE37+[4]ROSA!CE37+'[4]STA ANA'!CE37+[4]BOA!CE37+'[4]STA MARIA'!CE37+'[4]CB I'!CE37+'[4]CB II'!CE37+'[4]CB III'!CE37+[4]IG!CE37+[4]PN!CE37+[4]MJ!CE37+'[4]RB I'!CE37+'[4]SF I'!CE37</f>
        <v>156994.03842392153</v>
      </c>
      <c r="CF37" s="226">
        <f>+[4]SLP!CF37+[4]ROSA!CF37+'[4]STA ANA'!CF37+[4]BOA!CF37+'[4]STA MARIA'!CF37+'[4]CB I'!CF37+'[4]CB II'!CF37+'[4]CB III'!CF37+[4]IG!CF37+[4]PN!CF37+[4]MJ!CF37+'[4]RB I'!CF37+'[4]SF I'!CF37</f>
        <v>21998.138550108262</v>
      </c>
      <c r="CG37" s="226">
        <f>+[4]SLP!CG37+[4]ROSA!CG37+'[4]STA ANA'!CG37+[4]BOA!CG37+'[4]STA MARIA'!CG37+'[4]CB I'!CG37+'[4]CB II'!CG37+'[4]CB III'!CG37+[4]IG!CG37+[4]PN!CG37+[4]MJ!CG37+'[4]RB I'!CG37+'[4]SF I'!CG37</f>
        <v>0</v>
      </c>
      <c r="CH37" s="226">
        <f>+[4]SLP!CH37+[4]ROSA!CH37+'[4]STA ANA'!CH37+[4]BOA!CH37+'[4]STA MARIA'!CH37+'[4]CB I'!CH37+'[4]CB II'!CH37+'[4]CB III'!CH37+[4]IG!CH37+[4]PN!CH37+[4]MJ!CH37+'[4]RB I'!CH37+'[4]SF I'!CH37</f>
        <v>0</v>
      </c>
      <c r="CI37" s="166">
        <f>+[4]SLP!CI37+[4]ROSA!CI37+'[4]STA ANA'!CI37+[4]BOA!CI37+'[4]STA MARIA'!CI37+'[4]CB I'!CI37+'[4]CB II'!CI37+'[4]CB III'!CI37+[4]IG!CI37+[4]PN!CI37+[4]MJ!CI37+'[4]RB I'!CI37+'[4]SÃO FRANCISCO'!CI37</f>
        <v>0</v>
      </c>
      <c r="CJ37" s="224">
        <f t="shared" si="13"/>
        <v>-1</v>
      </c>
      <c r="CK37" s="225">
        <f>+[4]SLP!CK37+[4]ROSA!CK37+'[4]STA ANA'!CK37+[4]BOA!CK37+'[4]STA MARIA'!CK37+'[4]CB I'!CK37+'[4]CB II'!CK37+'[4]CB III'!CK37+[4]IG!CK37+[4]PN!CK37+[4]MJ!CK37+'[4]RB I'!CK37+'[4]SF I'!CK37</f>
        <v>178992.1769740298</v>
      </c>
      <c r="CL37" s="226">
        <f>+[4]SLP!CL37+[4]ROSA!CL37+'[4]STA ANA'!CL37+[4]BOA!CL37+'[4]STA MARIA'!CL37+'[4]CB I'!CL37+'[4]CB II'!CL37+'[4]CB III'!CL37+[4]IG!CL37+[4]PN!CL37+[4]MJ!CL37+'[4]RB I'!CL37+'[4]SF I'!CL37</f>
        <v>156994.03842392153</v>
      </c>
      <c r="CM37" s="226">
        <f>+[4]SLP!CM37+[4]ROSA!CM37+'[4]STA ANA'!CM37+[4]BOA!CM37+'[4]STA MARIA'!CM37+'[4]CB I'!CM37+'[4]CB II'!CM37+'[4]CB III'!CM37+[4]IG!CM37+[4]PN!CM37+[4]MJ!CM37+'[4]RB I'!CM37+'[4]SF I'!CM37</f>
        <v>21998.138550108262</v>
      </c>
      <c r="CN37" s="226">
        <f>+[4]SLP!CN37+[4]ROSA!CN37+'[4]STA ANA'!CN37+[4]BOA!CN37+'[4]STA MARIA'!CN37+'[4]CB I'!CN37+'[4]CB II'!CN37+'[4]CB III'!CN37+[4]IG!CN37+[4]PN!CN37+[4]MJ!CN37+'[4]RB I'!CN37+'[4]SF I'!CN37</f>
        <v>0</v>
      </c>
      <c r="CO37" s="226">
        <f>+[4]SLP!CO37+[4]ROSA!CO37+'[4]STA ANA'!CO37+[4]BOA!CO37+'[4]STA MARIA'!CO37+'[4]CB I'!CO37+'[4]CB II'!CO37+'[4]CB III'!CO37+[4]IG!CO37+[4]PN!CO37+[4]MJ!CO37+'[4]RB I'!CO37+'[4]SF I'!CO37</f>
        <v>0</v>
      </c>
      <c r="CP37" s="166">
        <f>+[4]SLP!CP37+[4]ROSA!CP37+'[4]STA ANA'!CP37+[4]BOA!CP37+'[4]STA MARIA'!CP37+'[4]CB I'!CP37+'[4]CB II'!CP37+'[4]CB III'!CP37+[4]IG!CP37+[4]PN!CP37+[4]MJ!CP37+'[4]RB I'!CP37+'[4]SÃO FRANCISCO'!CP37</f>
        <v>0</v>
      </c>
      <c r="CQ37" s="224">
        <f t="shared" si="14"/>
        <v>-1</v>
      </c>
      <c r="CR37" s="155"/>
      <c r="CS37" s="227" t="e">
        <f t="shared" si="15"/>
        <v>#VALUE!</v>
      </c>
    </row>
    <row r="38" spans="1:97" ht="16" customHeight="1" x14ac:dyDescent="0.2">
      <c r="A38" s="228" t="s">
        <v>62</v>
      </c>
      <c r="B38" s="30">
        <f t="shared" si="17"/>
        <v>342533.22473767161</v>
      </c>
      <c r="C38" s="31">
        <f t="shared" si="17"/>
        <v>300435.8914174118</v>
      </c>
      <c r="D38" s="32">
        <f t="shared" si="17"/>
        <v>42097.333320259822</v>
      </c>
      <c r="E38" s="30">
        <f t="shared" si="19"/>
        <v>114177.74157922385</v>
      </c>
      <c r="F38" s="33">
        <f t="shared" si="19"/>
        <v>100145.29713913724</v>
      </c>
      <c r="G38" s="34">
        <f t="shared" si="19"/>
        <v>14032.444440086609</v>
      </c>
      <c r="H38" s="31">
        <f t="shared" si="18"/>
        <v>254466.86522021412</v>
      </c>
      <c r="I38" s="33">
        <f t="shared" si="18"/>
        <v>34551.83990811275</v>
      </c>
      <c r="J38" s="33">
        <f t="shared" si="18"/>
        <v>289018.7051283269</v>
      </c>
      <c r="K38" s="224">
        <f t="shared" si="2"/>
        <v>1.5313051487166365</v>
      </c>
      <c r="L38" s="225">
        <f>+[4]SLP!L38+[4]ROSA!L38+'[4]STA ANA'!L38+[4]BOA!L38+'[4]STA MARIA'!L38+'[4]CB I'!L38+'[4]CB II'!L38+'[4]CB III'!L38+[4]IG!L38+[4]PN!L38+[4]MJ!L38+'[4]RB I'!L38+'[4]SF I'!L38</f>
        <v>28544.435394805962</v>
      </c>
      <c r="M38" s="226">
        <f>+[4]SLP!M38+[4]ROSA!M38+'[4]STA ANA'!M38+[4]BOA!M38+'[4]STA MARIA'!M38+'[4]CB I'!M38+'[4]CB II'!M38+'[4]CB III'!M38+[4]IG!M38+[4]PN!M38+[4]MJ!M38+'[4]RB I'!M38+'[4]SF I'!M38</f>
        <v>25036.32428478431</v>
      </c>
      <c r="N38" s="226">
        <f>+[4]SLP!N38+[4]ROSA!N38+'[4]STA ANA'!N38+[4]BOA!N38+'[4]STA MARIA'!N38+'[4]CB I'!N38+'[4]CB II'!N38+'[4]CB III'!N38+[4]IG!N38+[4]PN!N38+[4]MJ!N38+'[4]RB I'!N38+'[4]SF I'!N38</f>
        <v>3508.1111100216522</v>
      </c>
      <c r="O38" s="226">
        <f>+[4]SLP!O38+[4]ROSA!O38+'[4]STA ANA'!O38+[4]BOA!O38+'[4]STA MARIA'!O38+'[4]CB I'!O38+'[4]CB II'!O38+'[4]CB III'!O38+[4]IG!O38+[4]PN!O38+[4]MJ!O38+'[4]RB I'!O38+'[4]SF I'!O38</f>
        <v>43343.175611473278</v>
      </c>
      <c r="P38" s="226">
        <f>+[4]SLP!P38+[4]ROSA!P38+'[4]STA ANA'!P38+[4]BOA!P38+'[4]STA MARIA'!P38+'[4]CB I'!P38+'[4]CB II'!P38+'[4]CB III'!P38+[4]IG!P38+[4]PN!P38+[4]MJ!P38+'[4]RB I'!P38+'[4]SF I'!P38</f>
        <v>9432.6972112888598</v>
      </c>
      <c r="Q38" s="166">
        <f>+[4]SLP!Q38+[4]ROSA!Q38+'[4]STA ANA'!Q38+[4]BOA!Q38+'[4]STA MARIA'!Q38+'[4]CB I'!Q38+'[4]CB II'!Q38+'[4]CB III'!Q38+[4]IG!Q38+[4]PN!Q38+[4]MJ!Q38+'[4]RB I'!Q38+'[4]SF I'!Q38</f>
        <v>52775.872822762147</v>
      </c>
      <c r="R38" s="224">
        <f t="shared" si="3"/>
        <v>0.84890231993747611</v>
      </c>
      <c r="S38" s="225">
        <f>+[4]SLP!S38+[4]ROSA!S38+'[4]STA ANA'!S38+[4]BOA!S38+'[4]STA MARIA'!S38+'[4]CB I'!S38+'[4]CB II'!S38+'[4]CB III'!S38+[4]IG!S38+[4]PN!S38+[4]MJ!S38+'[4]RB I'!S38+'[4]SF I'!S38</f>
        <v>28544.435394805962</v>
      </c>
      <c r="T38" s="226">
        <f>+[4]SLP!T38+[4]ROSA!T38+'[4]STA ANA'!T38+[4]BOA!T38+'[4]STA MARIA'!T38+'[4]CB I'!T38+'[4]CB II'!T38+'[4]CB III'!T38+[4]IG!T38+[4]PN!T38+[4]MJ!T38+'[4]RB I'!T38+'[4]SF I'!T38</f>
        <v>25036.32428478431</v>
      </c>
      <c r="U38" s="226">
        <f>+[4]SLP!U38+[4]ROSA!U38+'[4]STA ANA'!U38+[4]BOA!U38+'[4]STA MARIA'!U38+'[4]CB I'!U38+'[4]CB II'!U38+'[4]CB III'!U38+[4]IG!U38+[4]PN!U38+[4]MJ!U38+'[4]RB I'!U38+'[4]SF I'!U38</f>
        <v>3508.1111100216522</v>
      </c>
      <c r="V38" s="226">
        <f>+[4]SLP!V38+[4]ROSA!V38+'[4]STA ANA'!V38+[4]BOA!V38+'[4]STA MARIA'!V38+'[4]CB I'!V38+'[4]CB II'!V38+'[4]CB III'!V38+[4]IG!V38+[4]PN!V38+[4]MJ!V38+'[4]RB I'!V38+'[4]SF I'!V38</f>
        <v>44608.847623242043</v>
      </c>
      <c r="W38" s="226">
        <f>+[4]SLP!W38+[4]ROSA!W38+'[4]STA ANA'!W38+[4]BOA!W38+'[4]STA MARIA'!W38+'[4]CB I'!W38+'[4]CB II'!W38+'[4]CB III'!W38+[4]IG!W38+[4]PN!W38+[4]MJ!W38+'[4]RB I'!W38+'[4]SF I'!W38</f>
        <v>7048.3226278726434</v>
      </c>
      <c r="X38" s="166">
        <f>[4]SLP!X38+[4]ROSA!X38+'[4]STA ANA'!X38+[4]BOA!X38+'[4]STA MARIA'!X38+'[4]CB I'!X38+'[4]CB II'!X38+'[4]CB III'!X38+[4]IG!X38+[4]PN!X38+[4]MJ!X38+'[4]RB I'!X38+'[4]SF I'!X38</f>
        <v>51657.170251114672</v>
      </c>
      <c r="Y38" s="224">
        <f t="shared" si="4"/>
        <v>0.80971070321168015</v>
      </c>
      <c r="Z38" s="225">
        <f>+[4]SLP!Z38+[4]ROSA!Z38+'[4]STA ANA'!Z38+[4]BOA!Z38+'[4]STA MARIA'!Z38+'[4]CB I'!Z38+'[4]CB II'!Z38+'[4]CB III'!Z38+[4]IG!Z38+[4]PN!Z38+[4]MJ!Z38+'[4]RB I'!Z38+'[4]SF I'!Z38</f>
        <v>28544.435394805962</v>
      </c>
      <c r="AA38" s="226">
        <f>+[4]SLP!AA38+[4]ROSA!AA38+'[4]STA ANA'!AA38+[4]BOA!AA38+'[4]STA MARIA'!AA38+'[4]CB I'!AA38+'[4]CB II'!AA38+'[4]CB III'!AA38+[4]IG!AA38+[4]PN!AA38+[4]MJ!AA38+'[4]RB I'!AA38+'[4]SF I'!AA38</f>
        <v>25036.32428478431</v>
      </c>
      <c r="AB38" s="226">
        <f>+[4]SLP!AB38+[4]ROSA!AB38+'[4]STA ANA'!AB38+[4]BOA!AB38+'[4]STA MARIA'!AB38+'[4]CB I'!AB38+'[4]CB II'!AB38+'[4]CB III'!AB38+[4]IG!AB38+[4]PN!AB38+[4]MJ!AB38+'[4]RB I'!AB38+'[4]SF I'!AB38</f>
        <v>3508.1111100216522</v>
      </c>
      <c r="AC38" s="226">
        <f>+[4]SLP!AC38+[4]ROSA!AC38+'[4]STA ANA'!AC38+[4]BOA!AC38+'[4]STA MARIA'!AC38+'[4]CB I'!AC38+'[4]CB II'!AC38+'[4]CB III'!AC38+[4]IG!AC38+[4]PN!AC38+[4]MJ!AC38+'[4]RB I'!AC38+'[4]SF I'!AC38</f>
        <v>88883.658075902669</v>
      </c>
      <c r="AD38" s="226">
        <f>+[4]SLP!AD38+[4]ROSA!AD38+'[4]STA ANA'!AD38+[4]BOA!AD38+'[4]STA MARIA'!AD38+'[4]CB I'!AD38+'[4]CB II'!AD38+'[4]CB III'!AD38+[4]IG!AD38+[4]PN!AD38+[4]MJ!AD38+'[4]RB I'!AD38+'[4]SF I'!AD38</f>
        <v>11100.803206198769</v>
      </c>
      <c r="AE38" s="166">
        <f>+[4]SLP!AE38+[4]ROSA!AE38+'[4]STA ANA'!AE38+[4]BOA!AE38+'[4]STA MARIA'!AE38+'[4]CB I'!AE38+'[4]CB II'!AE38+'[4]CB III'!AE38+[4]IG!AE38+[4]PN!AE38+[4]MJ!AE38+'[4]RB I'!AE38+'[4]SF I'!AE38</f>
        <v>99984.46128210146</v>
      </c>
      <c r="AF38" s="224">
        <f t="shared" si="5"/>
        <v>2.5027654216728688</v>
      </c>
      <c r="AG38" s="225">
        <f>+[4]SLP!AG38+[4]ROSA!AG38+'[4]STA ANA'!AG38+[4]BOA!AG38+'[4]STA MARIA'!AG38+'[4]CB I'!AG38+'[4]CB II'!AG38+'[4]CB III'!AG38+[4]IG!AG38+[4]PN!AG38+[4]MJ!AG38+'[4]RB I'!AG38+'[4]SF I'!AG38</f>
        <v>28544.435394805962</v>
      </c>
      <c r="AH38" s="226">
        <f>+[4]SLP!AH38+[4]ROSA!AH38+'[4]STA ANA'!AH38+[4]BOA!AH38+'[4]STA MARIA'!AH38+'[4]CB I'!AH38+'[4]CB II'!AH38+'[4]CB III'!AH38+[4]IG!AH38+[4]PN!AH38+[4]MJ!AH38+'[4]RB I'!AH38+'[4]SF I'!AH38</f>
        <v>25036.32428478431</v>
      </c>
      <c r="AI38" s="226">
        <f>+[4]SLP!AI38+[4]ROSA!AI38+'[4]STA ANA'!AI38+[4]BOA!AI38+'[4]STA MARIA'!AI38+'[4]CB I'!AI38+'[4]CB II'!AI38+'[4]CB III'!AI38+[4]IG!AI38+[4]PN!AI38+[4]MJ!AI38+'[4]RB I'!AI38+'[4]SF I'!AI38</f>
        <v>3508.1111100216522</v>
      </c>
      <c r="AJ38" s="226">
        <f>+[4]SLP!AJ38+[4]ROSA!AJ38+'[4]STA ANA'!AJ38+[4]BOA!AJ38+'[4]STA MARIA'!AJ38+'[4]CB I'!AJ38+'[4]CB II'!AJ38+'[4]CB III'!AJ38+[4]IG!AJ38+[4]PN!AJ38+[4]MJ!AJ38+'[4]RB I'!AJ38+'[4]SF I'!AJ38</f>
        <v>77631.183909596104</v>
      </c>
      <c r="AK38" s="226">
        <f>+[4]SLP!AK38+[4]ROSA!AK38+'[4]STA ANA'!AK38+[4]BOA!AK38+'[4]STA MARIA'!AK38+'[4]CB I'!AK38+'[4]CB II'!AK38+'[4]CB III'!AK38+[4]IG!AK38+[4]PN!AK38+[4]MJ!AK38+'[4]RB I'!AK38+'[4]SF I'!AK38</f>
        <v>6970.016862752479</v>
      </c>
      <c r="AL38" s="166">
        <f>+[4]SLP!AL38+[4]ROSA!AL38+'[4]STA ANA'!AL38+[4]BOA!AL38+'[4]STA MARIA'!AL38+'[4]CB I'!AL38+'[4]CB II'!AL38+'[4]CB III'!AL38+[4]IG!AL38+[4]PN!AL38+[4]MJ!AL38+'[4]RB I'!AL38+'[4]SF I'!AL38</f>
        <v>84601.200772348602</v>
      </c>
      <c r="AM38" s="224">
        <f t="shared" si="6"/>
        <v>1.96384215004452</v>
      </c>
      <c r="AN38" s="225">
        <f>+[4]SLP!AN38+[4]ROSA!AN38+'[4]STA ANA'!AN38+[4]BOA!AN38+'[4]STA MARIA'!AN38+'[4]CB I'!AN38+'[4]CB II'!AN38+'[4]CB III'!AN38+[4]IG!AN38+[4]PN!AN38+[4]MJ!AN38+'[4]RB I'!AN38+'[4]SF I'!AN38</f>
        <v>28544.435394805962</v>
      </c>
      <c r="AO38" s="226">
        <f>+[4]SLP!AO38+[4]ROSA!AO38+'[4]STA ANA'!AO38+[4]BOA!AO38+'[4]STA MARIA'!AO38+'[4]CB I'!AO38+'[4]CB II'!AO38+'[4]CB III'!AO38+[4]IG!AO38+[4]PN!AO38+[4]MJ!AO38+'[4]RB I'!AO38+'[4]SF I'!AO38</f>
        <v>25036.32428478431</v>
      </c>
      <c r="AP38" s="226">
        <f>+[4]SLP!AP38+[4]ROSA!AP38+'[4]STA ANA'!AP38+[4]BOA!AP38+'[4]STA MARIA'!AP38+'[4]CB I'!AP38+'[4]CB II'!AP38+'[4]CB III'!AP38+[4]IG!AP38+[4]PN!AP38+[4]MJ!AP38+'[4]RB I'!AP38+'[4]SF I'!AP38</f>
        <v>3508.1111100216522</v>
      </c>
      <c r="AQ38" s="226">
        <f>+[4]SLP!AQ38+[4]ROSA!AQ38+'[4]STA ANA'!AQ38+[4]BOA!AQ38+'[4]STA MARIA'!AQ38+'[4]CB I'!AQ38+'[4]CB II'!AQ38+'[4]CB III'!AQ38+[4]IG!AQ38+[4]PN!AQ38+[4]MJ!AQ38+'[4]RB I'!AQ38+'[4]SF I'!AQ38</f>
        <v>0</v>
      </c>
      <c r="AR38" s="226">
        <f>+[4]SLP!AR38+[4]ROSA!AR38+'[4]STA ANA'!AR38+[4]BOA!AR38+'[4]STA MARIA'!AR38+'[4]CB I'!AR38+'[4]CB II'!AR38+'[4]CB III'!AR38+[4]IG!AR38+[4]PN!AR38+[4]MJ!AR38+'[4]RB I'!AR38+'[4]SF I'!AR38</f>
        <v>0</v>
      </c>
      <c r="AS38" s="166">
        <f>+[4]SLP!AS38+[4]ROSA!AS38+'[4]STA ANA'!AS38+[4]BOA!AS38+'[4]STA MARIA'!AS38+'[4]CB I'!AS38+'[4]CB II'!AS38+'[4]CB III'!AS38+[4]IG!AS38+[4]PN!AS38+[4]MJ!AS38+'[4]RB I'!AS38+'[4]SÃO FRANCISCO'!AS38</f>
        <v>0</v>
      </c>
      <c r="AT38" s="224">
        <f t="shared" si="7"/>
        <v>-1</v>
      </c>
      <c r="AU38" s="225">
        <f>+[4]SLP!AU38+[4]ROSA!AU38+'[4]STA ANA'!AU38+[4]BOA!AU38+'[4]STA MARIA'!AU38+'[4]CB I'!AU38+'[4]CB II'!AU38+'[4]CB III'!AU38+[4]IG!AU38+[4]PN!AU38+[4]MJ!AU38+'[4]RB I'!AU38+'[4]SF I'!AU38</f>
        <v>28544.435394805962</v>
      </c>
      <c r="AV38" s="226">
        <f>+[4]SLP!AV38+[4]ROSA!AV38+'[4]STA ANA'!AV38+[4]BOA!AV38+'[4]STA MARIA'!AV38+'[4]CB I'!AV38+'[4]CB II'!AV38+'[4]CB III'!AV38+[4]IG!AV38+[4]PN!AV38+[4]MJ!AV38+'[4]RB I'!AV38+'[4]SF I'!AV38</f>
        <v>25036.32428478431</v>
      </c>
      <c r="AW38" s="226">
        <f>+[4]SLP!AW38+[4]ROSA!AW38+'[4]STA ANA'!AW38+[4]BOA!AW38+'[4]STA MARIA'!AW38+'[4]CB I'!AW38+'[4]CB II'!AW38+'[4]CB III'!AW38+[4]IG!AW38+[4]PN!AW38+[4]MJ!AW38+'[4]RB I'!AW38+'[4]SF I'!AW38</f>
        <v>3508.1111100216522</v>
      </c>
      <c r="AX38" s="226">
        <f>+[4]SLP!AX38+[4]ROSA!AX38+'[4]STA ANA'!AX38+[4]BOA!AX38+'[4]STA MARIA'!AX38+'[4]CB I'!AX38+'[4]CB II'!AX38+'[4]CB III'!AX38+[4]IG!AX38+[4]PN!AX38+[4]MJ!AX38+'[4]RB I'!AX38+'[4]SF I'!AX38</f>
        <v>0</v>
      </c>
      <c r="AY38" s="226">
        <f>+[4]SLP!AY38+[4]ROSA!AY38+'[4]STA ANA'!AY38+[4]BOA!AY38+'[4]STA MARIA'!AY38+'[4]CB I'!AY38+'[4]CB II'!AY38+'[4]CB III'!AY38+[4]IG!AY38+[4]PN!AY38+[4]MJ!AY38+'[4]RB I'!AY38+'[4]SF I'!AY38</f>
        <v>0</v>
      </c>
      <c r="AZ38" s="166">
        <f>+[4]SLP!AZ38+[4]ROSA!AZ38+'[4]STA ANA'!AZ38+[4]BOA!AZ38+'[4]STA MARIA'!AZ38+'[4]CB I'!AZ38+'[4]CB II'!AZ38+[4]IG!AZ38+[4]PN!AZ38+[4]MJ!AZ38+'[4]RB I'!AZ38+'[4]SÃO FRANCISCO'!AZ38</f>
        <v>0</v>
      </c>
      <c r="BA38" s="224">
        <f t="shared" si="8"/>
        <v>-1</v>
      </c>
      <c r="BB38" s="225">
        <f>+[4]SLP!BB38+[4]ROSA!BB38+'[4]STA ANA'!BB38+[4]BOA!BB38+'[4]STA MARIA'!BB38+'[4]CB I'!BB38+'[4]CB II'!BB38+'[4]CB III'!BB38+[4]IG!BB38+[4]PN!BB38+[4]MJ!BB38+'[4]RB I'!BB38+'[4]SF I'!BB38</f>
        <v>28544.435394805962</v>
      </c>
      <c r="BC38" s="226">
        <f>+[4]SLP!BC38+[4]ROSA!BC38+'[4]STA ANA'!BC38+[4]BOA!BC38+'[4]STA MARIA'!BC38+'[4]CB I'!BC38+'[4]CB II'!BC38+'[4]CB III'!BC38+[4]IG!BC38+[4]PN!BC38+[4]MJ!BC38+'[4]RB I'!BC38+'[4]SF I'!BC38</f>
        <v>25036.32428478431</v>
      </c>
      <c r="BD38" s="226">
        <f>+[4]SLP!BD38+[4]ROSA!BD38+'[4]STA ANA'!BD38+[4]BOA!BD38+'[4]STA MARIA'!BD38+'[4]CB I'!BD38+'[4]CB II'!BD38+'[4]CB III'!BD38+[4]IG!BD38+[4]PN!BD38+[4]MJ!BD38+'[4]RB I'!BD38+'[4]SF I'!BD38</f>
        <v>3508.1111100216522</v>
      </c>
      <c r="BE38" s="226">
        <f>+[4]SLP!BE38+[4]ROSA!BE38+'[4]STA ANA'!BE38+[4]BOA!BE38+'[4]STA MARIA'!BE38+'[4]CB I'!BE38+'[4]CB II'!BE38+'[4]CB III'!BE38+[4]IG!BE38+[4]PN!BE38+[4]MJ!BE38+'[4]RB I'!BE38+'[4]SF I'!BE38</f>
        <v>0</v>
      </c>
      <c r="BF38" s="226">
        <f>+[4]SLP!BF38+[4]ROSA!BF38+'[4]STA ANA'!BF38+[4]BOA!BF38+'[4]STA MARIA'!BF38+'[4]CB I'!BF38+'[4]CB II'!BF38+'[4]CB III'!BF38+[4]IG!BF38+[4]PN!BF38+[4]MJ!BF38+'[4]RB I'!BF38+'[4]SF I'!BF38</f>
        <v>0</v>
      </c>
      <c r="BG38" s="166">
        <f>+[4]SLP!BG38+[4]ROSA!BG38+'[4]STA ANA'!BG38+[4]BOA!BG38+'[4]STA MARIA'!BG38+'[4]CB I'!BG38+'[4]CB II'!BG38+'[4]CB III'!BG38+[4]IG!BG38+[4]PN!BG38+[4]MJ!BG38+'[4]RB I'!BG38+'[4]SÃO FRANCISCO'!BG38</f>
        <v>0</v>
      </c>
      <c r="BH38" s="224">
        <f t="shared" si="9"/>
        <v>-1</v>
      </c>
      <c r="BI38" s="225">
        <f>+[4]SLP!BI38+[4]ROSA!BI38+'[4]STA ANA'!BI38+[4]BOA!BI38+'[4]STA MARIA'!BI38+'[4]CB I'!BI38+'[4]CB II'!BI38+'[4]CB III'!BI38+[4]IG!BI38+[4]PN!BI38+[4]MJ!BI38+'[4]RB I'!BI38+'[4]SF I'!BI38</f>
        <v>28544.435394805962</v>
      </c>
      <c r="BJ38" s="226">
        <f>+[4]SLP!BJ38+[4]ROSA!BJ38+'[4]STA ANA'!BJ38+[4]BOA!BJ38+'[4]STA MARIA'!BJ38+'[4]CB I'!BJ38+'[4]CB II'!BJ38+'[4]CB III'!BJ38+[4]IG!BJ38+[4]PN!BJ38+[4]MJ!BJ38+'[4]RB I'!BJ38+'[4]SF I'!BJ38</f>
        <v>25036.32428478431</v>
      </c>
      <c r="BK38" s="226">
        <f>+[4]SLP!BK38+[4]ROSA!BK38+'[4]STA ANA'!BK38+[4]BOA!BK38+'[4]STA MARIA'!BK38+'[4]CB I'!BK38+'[4]CB II'!BK38+'[4]CB III'!BK38+[4]IG!BK38+[4]PN!BK38+[4]MJ!BK38+'[4]RB I'!BK38+'[4]SF I'!BK38</f>
        <v>3508.1111100216522</v>
      </c>
      <c r="BL38" s="226">
        <f>+[4]SLP!BL38+[4]ROSA!BL38+'[4]STA ANA'!BL38+[4]BOA!BL38+'[4]STA MARIA'!BL38+'[4]CB I'!BL38+'[4]CB II'!BL38+'[4]CB III'!BL38+[4]IG!BL38+[4]PN!BL38+[4]MJ!BL38+'[4]RB I'!BL38+'[4]SF I'!BL38</f>
        <v>0</v>
      </c>
      <c r="BM38" s="226">
        <f>+[4]SLP!BM38+[4]ROSA!BM38+'[4]STA ANA'!BM38+[4]BOA!BM38+'[4]STA MARIA'!BM38+'[4]CB I'!BM38+'[4]CB II'!BM38+'[4]CB III'!BM38+[4]IG!BM38+[4]PN!BM38+[4]MJ!BM38+'[4]RB I'!BM38+'[4]SF I'!BM38</f>
        <v>0</v>
      </c>
      <c r="BN38" s="166">
        <f>+[4]SLP!BN38+[4]ROSA!BN38+'[4]STA ANA'!BN38+[4]BOA!BN38+'[4]STA MARIA'!BN38+'[4]CB I'!BN38+'[4]CB II'!BN38+'[4]CB III'!BN38+[4]IG!BN38+[4]PN!BN38+[4]MJ!BN38+'[4]RB I'!BN38+'[4]SÃO FRANCISCO'!BN38</f>
        <v>0</v>
      </c>
      <c r="BO38" s="224">
        <f t="shared" si="10"/>
        <v>-1</v>
      </c>
      <c r="BP38" s="225">
        <f>+[4]SLP!BP38+[4]ROSA!BP38+'[4]STA ANA'!BP38+[4]BOA!BP38+'[4]STA MARIA'!BP38+'[4]CB I'!BP38+'[4]CB II'!BP38+'[4]CB III'!BP38+[4]IG!BP38+[4]PN!BP38+[4]MJ!BP38+'[4]RB I'!BP38+'[4]SF I'!BP38</f>
        <v>28544.435394805962</v>
      </c>
      <c r="BQ38" s="226">
        <f>+[4]SLP!BQ38+[4]ROSA!BQ38+'[4]STA ANA'!BQ38+[4]BOA!BQ38+'[4]STA MARIA'!BQ38+'[4]CB I'!BQ38+'[4]CB II'!BQ38+'[4]CB III'!BQ38+[4]IG!BQ38+[4]PN!BQ38+[4]MJ!BQ38+'[4]RB I'!BQ38+'[4]SF I'!BQ38</f>
        <v>25036.32428478431</v>
      </c>
      <c r="BR38" s="226">
        <f>+[4]SLP!BR38+[4]ROSA!BR38+'[4]STA ANA'!BR38+[4]BOA!BR38+'[4]STA MARIA'!BR38+'[4]CB I'!BR38+'[4]CB II'!BR38+'[4]CB III'!BR38+[4]IG!BR38+[4]PN!BR38+[4]MJ!BR38+'[4]RB I'!BR38+'[4]SF I'!BR38</f>
        <v>3508.1111100216522</v>
      </c>
      <c r="BS38" s="226">
        <f>+[4]SLP!BS38+[4]ROSA!BS38+'[4]STA ANA'!BS38+[4]BOA!BS38+'[4]STA MARIA'!BS38+'[4]CB I'!BS38+'[4]CB II'!BS38+'[4]CB III'!BS38+[4]IG!BS38+[4]PN!BS38+[4]MJ!BS38+'[4]RB I'!BS38+'[4]SF I'!BS38</f>
        <v>0</v>
      </c>
      <c r="BT38" s="226">
        <f>+[4]SLP!BT38+[4]ROSA!BT38+'[4]STA ANA'!BT38+[4]BOA!BT38+'[4]STA MARIA'!BT38+'[4]CB I'!BT38+'[4]CB II'!BT38+'[4]CB III'!BT38+[4]IG!BT38+[4]PN!BT38+[4]MJ!BT38+'[4]RB I'!BT38+'[4]SF I'!BT38</f>
        <v>0</v>
      </c>
      <c r="BU38" s="166">
        <f>+[4]SLP!BU38+[4]ROSA!BU38+'[4]STA ANA'!BU38+[4]BOA!BU38+'[4]STA MARIA'!BU38+'[4]CB I'!BU38+'[4]CB II'!BU38+'[4]CB III'!BU38+[4]IG!BU38+[4]PN!BU38+[4]MJ!BU38+'[4]RB I'!BU38+'[4]SÃO FRANCISCO'!BU38</f>
        <v>0</v>
      </c>
      <c r="BV38" s="224">
        <f t="shared" si="11"/>
        <v>-1</v>
      </c>
      <c r="BW38" s="225">
        <f>+[4]SLP!BW38+[4]ROSA!BW38+'[4]STA ANA'!BW38+[4]BOA!BW38+'[4]STA MARIA'!BW38+'[4]CB I'!BW38+'[4]CB II'!BW38+'[4]CB III'!BW38+[4]IG!BW38+[4]PN!BW38+[4]MJ!BW38+'[4]RB I'!BW38+'[4]SF I'!BW38</f>
        <v>28544.435394805962</v>
      </c>
      <c r="BX38" s="226">
        <f>+[4]SLP!BX38+[4]ROSA!BX38+'[4]STA ANA'!BX38+[4]BOA!BX38+'[4]STA MARIA'!BX38+'[4]CB I'!BX38+'[4]CB II'!BX38+'[4]CB III'!BX38+[4]IG!BX38+[4]PN!BX38+[4]MJ!BX38+'[4]RB I'!BX38+'[4]SF I'!BX38</f>
        <v>25036.32428478431</v>
      </c>
      <c r="BY38" s="226">
        <f>+[4]SLP!BY38+[4]ROSA!BY38+'[4]STA ANA'!BY38+[4]BOA!BY38+'[4]STA MARIA'!BY38+'[4]CB I'!BY38+'[4]CB II'!BY38+'[4]CB III'!BY38+[4]IG!BY38+[4]PN!BY38+[4]MJ!BY38+'[4]RB I'!BY38+'[4]SF I'!BY38</f>
        <v>3508.1111100216522</v>
      </c>
      <c r="BZ38" s="226">
        <f>+[4]SLP!BZ38+[4]ROSA!BZ38+'[4]STA ANA'!BZ38+[4]BOA!BZ38+'[4]STA MARIA'!BZ38+'[4]CB I'!BZ38+'[4]CB II'!BZ38+'[4]CB III'!BZ38+[4]IG!BZ38+[4]PN!BZ38+[4]MJ!BZ38+'[4]RB I'!BZ38+'[4]SF I'!BZ38</f>
        <v>0</v>
      </c>
      <c r="CA38" s="226">
        <f>+[4]SLP!CA38+[4]ROSA!CA38+'[4]STA ANA'!CA38+[4]BOA!CA38+'[4]STA MARIA'!CA38+'[4]CB I'!CA38+'[4]CB II'!CA38+'[4]CB III'!CA38+[4]IG!CA38+[4]PN!CA38+[4]MJ!CA38+'[4]RB I'!CA38+'[4]SF I'!CA38</f>
        <v>0</v>
      </c>
      <c r="CB38" s="166">
        <f>+[4]SLP!CB38+[4]ROSA!CB38+'[4]STA ANA'!CB38+[4]BOA!CB38+'[4]STA MARIA'!CB38+'[4]CB I'!CB38+'[4]CB II'!CB38+'[4]CB III'!CB38+[4]IG!CB38+[4]PN!CB38+[4]MJ!CB38+'[4]RB I'!CB38+'[4]SÃO FRANCISCO'!CB38</f>
        <v>0</v>
      </c>
      <c r="CC38" s="224">
        <f t="shared" si="12"/>
        <v>-1</v>
      </c>
      <c r="CD38" s="225">
        <f>+[4]SLP!CD38+[4]ROSA!CD38+'[4]STA ANA'!CD38+[4]BOA!CD38+'[4]STA MARIA'!CD38+'[4]CB I'!CD38+'[4]CB II'!CD38+'[4]CB III'!CD38+[4]IG!CD38+[4]PN!CD38+[4]MJ!CD38+'[4]RB I'!CD38+'[4]SF I'!CD38</f>
        <v>28544.435394805962</v>
      </c>
      <c r="CE38" s="226">
        <f>+[4]SLP!CE38+[4]ROSA!CE38+'[4]STA ANA'!CE38+[4]BOA!CE38+'[4]STA MARIA'!CE38+'[4]CB I'!CE38+'[4]CB II'!CE38+'[4]CB III'!CE38+[4]IG!CE38+[4]PN!CE38+[4]MJ!CE38+'[4]RB I'!CE38+'[4]SF I'!CE38</f>
        <v>25036.32428478431</v>
      </c>
      <c r="CF38" s="226">
        <f>+[4]SLP!CF38+[4]ROSA!CF38+'[4]STA ANA'!CF38+[4]BOA!CF38+'[4]STA MARIA'!CF38+'[4]CB I'!CF38+'[4]CB II'!CF38+'[4]CB III'!CF38+[4]IG!CF38+[4]PN!CF38+[4]MJ!CF38+'[4]RB I'!CF38+'[4]SF I'!CF38</f>
        <v>3508.1111100216522</v>
      </c>
      <c r="CG38" s="226">
        <f>+[4]SLP!CG38+[4]ROSA!CG38+'[4]STA ANA'!CG38+[4]BOA!CG38+'[4]STA MARIA'!CG38+'[4]CB I'!CG38+'[4]CB II'!CG38+'[4]CB III'!CG38+[4]IG!CG38+[4]PN!CG38+[4]MJ!CG38+'[4]RB I'!CG38+'[4]SF I'!CG38</f>
        <v>0</v>
      </c>
      <c r="CH38" s="226">
        <f>+[4]SLP!CH38+[4]ROSA!CH38+'[4]STA ANA'!CH38+[4]BOA!CH38+'[4]STA MARIA'!CH38+'[4]CB I'!CH38+'[4]CB II'!CH38+'[4]CB III'!CH38+[4]IG!CH38+[4]PN!CH38+[4]MJ!CH38+'[4]RB I'!CH38+'[4]SF I'!CH38</f>
        <v>0</v>
      </c>
      <c r="CI38" s="166">
        <f>+[4]SLP!CI38+[4]ROSA!CI38+'[4]STA ANA'!CI38+[4]BOA!CI38+'[4]STA MARIA'!CI38+'[4]CB I'!CI38+'[4]CB II'!CI38+'[4]CB III'!CI38+[4]IG!CI38+[4]PN!CI38+[4]MJ!CI38+'[4]RB I'!CI38+'[4]SÃO FRANCISCO'!CI38</f>
        <v>0</v>
      </c>
      <c r="CJ38" s="224">
        <f t="shared" si="13"/>
        <v>-1</v>
      </c>
      <c r="CK38" s="225">
        <f>+[4]SLP!CK38+[4]ROSA!CK38+'[4]STA ANA'!CK38+[4]BOA!CK38+'[4]STA MARIA'!CK38+'[4]CB I'!CK38+'[4]CB II'!CK38+'[4]CB III'!CK38+[4]IG!CK38+[4]PN!CK38+[4]MJ!CK38+'[4]RB I'!CK38+'[4]SF I'!CK38</f>
        <v>28544.435394805962</v>
      </c>
      <c r="CL38" s="226">
        <f>+[4]SLP!CL38+[4]ROSA!CL38+'[4]STA ANA'!CL38+[4]BOA!CL38+'[4]STA MARIA'!CL38+'[4]CB I'!CL38+'[4]CB II'!CL38+'[4]CB III'!CL38+[4]IG!CL38+[4]PN!CL38+[4]MJ!CL38+'[4]RB I'!CL38+'[4]SF I'!CL38</f>
        <v>25036.32428478431</v>
      </c>
      <c r="CM38" s="226">
        <f>+[4]SLP!CM38+[4]ROSA!CM38+'[4]STA ANA'!CM38+[4]BOA!CM38+'[4]STA MARIA'!CM38+'[4]CB I'!CM38+'[4]CB II'!CM38+'[4]CB III'!CM38+[4]IG!CM38+[4]PN!CM38+[4]MJ!CM38+'[4]RB I'!CM38+'[4]SF I'!CM38</f>
        <v>3508.1111100216522</v>
      </c>
      <c r="CN38" s="226">
        <f>+[4]SLP!CN38+[4]ROSA!CN38+'[4]STA ANA'!CN38+[4]BOA!CN38+'[4]STA MARIA'!CN38+'[4]CB I'!CN38+'[4]CB II'!CN38+'[4]CB III'!CN38+[4]IG!CN38+[4]PN!CN38+[4]MJ!CN38+'[4]RB I'!CN38+'[4]SF I'!CN38</f>
        <v>0</v>
      </c>
      <c r="CO38" s="226">
        <f>+[4]SLP!CO38+[4]ROSA!CO38+'[4]STA ANA'!CO38+[4]BOA!CO38+'[4]STA MARIA'!CO38+'[4]CB I'!CO38+'[4]CB II'!CO38+'[4]CB III'!CO38+[4]IG!CO38+[4]PN!CO38+[4]MJ!CO38+'[4]RB I'!CO38+'[4]SF I'!CO38</f>
        <v>0</v>
      </c>
      <c r="CP38" s="166">
        <f>+[4]SLP!CP38+[4]ROSA!CP38+'[4]STA ANA'!CP38+[4]BOA!CP38+'[4]STA MARIA'!CP38+'[4]CB I'!CP38+'[4]CB II'!CP38+'[4]CB III'!CP38+[4]IG!CP38+[4]PN!CP38+[4]MJ!CP38+'[4]RB I'!CP38+'[4]SÃO FRANCISCO'!CP38</f>
        <v>0</v>
      </c>
      <c r="CQ38" s="224">
        <f t="shared" si="14"/>
        <v>-1</v>
      </c>
      <c r="CR38" s="155"/>
      <c r="CS38" s="227" t="e">
        <f t="shared" si="15"/>
        <v>#VALUE!</v>
      </c>
    </row>
    <row r="39" spans="1:97" ht="16" customHeight="1" x14ac:dyDescent="0.2">
      <c r="A39" s="228" t="s">
        <v>63</v>
      </c>
      <c r="B39" s="30">
        <f t="shared" si="17"/>
        <v>230073.15309220893</v>
      </c>
      <c r="C39" s="31">
        <f t="shared" si="17"/>
        <v>201797.16257717644</v>
      </c>
      <c r="D39" s="32">
        <f t="shared" si="17"/>
        <v>28275.990515032474</v>
      </c>
      <c r="E39" s="30">
        <f t="shared" si="19"/>
        <v>76691.051030736315</v>
      </c>
      <c r="F39" s="33">
        <f t="shared" si="19"/>
        <v>67265.720859058827</v>
      </c>
      <c r="G39" s="34">
        <f t="shared" si="19"/>
        <v>9425.3301716774931</v>
      </c>
      <c r="H39" s="31">
        <f t="shared" si="18"/>
        <v>146203.97692461935</v>
      </c>
      <c r="I39" s="33">
        <f t="shared" si="18"/>
        <v>17285.662266007665</v>
      </c>
      <c r="J39" s="33">
        <f t="shared" si="18"/>
        <v>163489.639190627</v>
      </c>
      <c r="K39" s="224">
        <f t="shared" si="2"/>
        <v>1.1317955223368039</v>
      </c>
      <c r="L39" s="225">
        <f>+[4]SLP!L39+[4]ROSA!L39+'[4]STA ANA'!L39+[4]BOA!L39+'[4]STA MARIA'!L39+'[4]CB I'!L39+'[4]CB II'!L39+'[4]CB III'!L39+[4]IG!L39+[4]PN!L39+[4]MJ!L39+'[4]RB I'!L39+'[4]SF I'!L39</f>
        <v>19172.762757684079</v>
      </c>
      <c r="M39" s="226">
        <f>+[4]SLP!M39+[4]ROSA!M39+'[4]STA ANA'!M39+[4]BOA!M39+'[4]STA MARIA'!M39+'[4]CB I'!M39+'[4]CB II'!M39+'[4]CB III'!M39+[4]IG!M39+[4]PN!M39+[4]MJ!M39+'[4]RB I'!M39+'[4]SF I'!M39</f>
        <v>16816.430214764707</v>
      </c>
      <c r="N39" s="226">
        <f>+[4]SLP!N39+[4]ROSA!N39+'[4]STA ANA'!N39+[4]BOA!N39+'[4]STA MARIA'!N39+'[4]CB I'!N39+'[4]CB II'!N39+'[4]CB III'!N39+[4]IG!N39+[4]PN!N39+[4]MJ!N39+'[4]RB I'!N39+'[4]SF I'!N39</f>
        <v>2356.3325429193733</v>
      </c>
      <c r="O39" s="226">
        <f>+[4]SLP!O39+[4]ROSA!O39+'[4]STA ANA'!O39+[4]BOA!O39+'[4]STA MARIA'!O39+'[4]CB I'!O39+'[4]CB II'!O39+'[4]CB III'!O39+[4]IG!O39+[4]PN!O39+[4]MJ!O39+'[4]RB I'!O39+'[4]SF I'!O39</f>
        <v>30079.535527875894</v>
      </c>
      <c r="P39" s="226">
        <f>+[4]SLP!P39+[4]ROSA!P39+'[4]STA ANA'!P39+[4]BOA!P39+'[4]STA MARIA'!P39+'[4]CB I'!P39+'[4]CB II'!P39+'[4]CB III'!P39+[4]IG!P39+[4]PN!P39+[4]MJ!P39+'[4]RB I'!P39+'[4]SF I'!P39</f>
        <v>2364.3241819178734</v>
      </c>
      <c r="Q39" s="166">
        <f>+[4]SLP!Q39+[4]ROSA!Q39+'[4]STA ANA'!Q39+[4]BOA!Q39+'[4]STA MARIA'!Q39+'[4]CB I'!Q39+'[4]CB II'!Q39+'[4]CB III'!Q39+[4]IG!Q39+[4]PN!Q39+[4]MJ!Q39+'[4]RB I'!Q39+'[4]SF I'!Q39</f>
        <v>32443.85970979376</v>
      </c>
      <c r="R39" s="224">
        <f t="shared" si="3"/>
        <v>0.69218490417041645</v>
      </c>
      <c r="S39" s="225">
        <f>+[4]SLP!S39+[4]ROSA!S39+'[4]STA ANA'!S39+[4]BOA!S39+'[4]STA MARIA'!S39+'[4]CB I'!S39+'[4]CB II'!S39+'[4]CB III'!S39+[4]IG!S39+[4]PN!S39+[4]MJ!S39+'[4]RB I'!S39+'[4]SF I'!S39</f>
        <v>19172.762757684079</v>
      </c>
      <c r="T39" s="226">
        <f>+[4]SLP!T39+[4]ROSA!T39+'[4]STA ANA'!T39+[4]BOA!T39+'[4]STA MARIA'!T39+'[4]CB I'!T39+'[4]CB II'!T39+'[4]CB III'!T39+[4]IG!T39+[4]PN!T39+[4]MJ!T39+'[4]RB I'!T39+'[4]SF I'!T39</f>
        <v>16816.430214764707</v>
      </c>
      <c r="U39" s="226">
        <f>+[4]SLP!U39+[4]ROSA!U39+'[4]STA ANA'!U39+[4]BOA!U39+'[4]STA MARIA'!U39+'[4]CB I'!U39+'[4]CB II'!U39+'[4]CB III'!U39+[4]IG!U39+[4]PN!U39+[4]MJ!U39+'[4]RB I'!U39+'[4]SF I'!U39</f>
        <v>2356.3325429193733</v>
      </c>
      <c r="V39" s="226">
        <f>+[4]SLP!V39+[4]ROSA!V39+'[4]STA ANA'!V39+[4]BOA!V39+'[4]STA MARIA'!V39+'[4]CB I'!V39+'[4]CB II'!V39+'[4]CB III'!V39+[4]IG!V39+[4]PN!V39+[4]MJ!V39+'[4]RB I'!V39+'[4]SF I'!V39</f>
        <v>9225.982402968024</v>
      </c>
      <c r="W39" s="226">
        <f>+[4]SLP!W39+[4]ROSA!W39+'[4]STA ANA'!W39+[4]BOA!W39+'[4]STA MARIA'!W39+'[4]CB I'!W39+'[4]CB II'!W39+'[4]CB III'!W39+[4]IG!W39+[4]PN!W39+[4]MJ!W39+'[4]RB I'!W39+'[4]SF I'!W39</f>
        <v>1124.6301253452991</v>
      </c>
      <c r="X39" s="166">
        <f>[4]SLP!X39+[4]ROSA!X39+'[4]STA ANA'!X39+[4]BOA!X39+'[4]STA MARIA'!X39+'[4]CB I'!X39+'[4]CB II'!X39+'[4]CB III'!X39+[4]IG!X39+[4]PN!X39+[4]MJ!X39+'[4]RB I'!X39+'[4]SF I'!X39</f>
        <v>10350.612528313324</v>
      </c>
      <c r="Y39" s="224">
        <f t="shared" si="4"/>
        <v>-0.46013974829136217</v>
      </c>
      <c r="Z39" s="225">
        <f>+[4]SLP!Z39+[4]ROSA!Z39+'[4]STA ANA'!Z39+[4]BOA!Z39+'[4]STA MARIA'!Z39+'[4]CB I'!Z39+'[4]CB II'!Z39+'[4]CB III'!Z39+[4]IG!Z39+[4]PN!Z39+[4]MJ!Z39+'[4]RB I'!Z39+'[4]SF I'!Z39</f>
        <v>19172.762757684079</v>
      </c>
      <c r="AA39" s="226">
        <f>+[4]SLP!AA39+[4]ROSA!AA39+'[4]STA ANA'!AA39+[4]BOA!AA39+'[4]STA MARIA'!AA39+'[4]CB I'!AA39+'[4]CB II'!AA39+'[4]CB III'!AA39+[4]IG!AA39+[4]PN!AA39+[4]MJ!AA39+'[4]RB I'!AA39+'[4]SF I'!AA39</f>
        <v>16816.430214764707</v>
      </c>
      <c r="AB39" s="226">
        <f>+[4]SLP!AB39+[4]ROSA!AB39+'[4]STA ANA'!AB39+[4]BOA!AB39+'[4]STA MARIA'!AB39+'[4]CB I'!AB39+'[4]CB II'!AB39+'[4]CB III'!AB39+[4]IG!AB39+[4]PN!AB39+[4]MJ!AB39+'[4]RB I'!AB39+'[4]SF I'!AB39</f>
        <v>2356.3325429193733</v>
      </c>
      <c r="AC39" s="226">
        <f>+[4]SLP!AC39+[4]ROSA!AC39+'[4]STA ANA'!AC39+[4]BOA!AC39+'[4]STA MARIA'!AC39+'[4]CB I'!AC39+'[4]CB II'!AC39+'[4]CB III'!AC39+[4]IG!AC39+[4]PN!AC39+[4]MJ!AC39+'[4]RB I'!AC39+'[4]SF I'!AC39</f>
        <v>65118.040920027837</v>
      </c>
      <c r="AD39" s="226">
        <f>+[4]SLP!AD39+[4]ROSA!AD39+'[4]STA ANA'!AD39+[4]BOA!AD39+'[4]STA MARIA'!AD39+'[4]CB I'!AD39+'[4]CB II'!AD39+'[4]CB III'!AD39+[4]IG!AD39+[4]PN!AD39+[4]MJ!AD39+'[4]RB I'!AD39+'[4]SF I'!AD39</f>
        <v>8648.2735008423915</v>
      </c>
      <c r="AE39" s="166">
        <f>+[4]SLP!AE39+[4]ROSA!AE39+'[4]STA ANA'!AE39+[4]BOA!AE39+'[4]STA MARIA'!AE39+'[4]CB I'!AE39+'[4]CB II'!AE39+'[4]CB III'!AE39+[4]IG!AE39+[4]PN!AE39+[4]MJ!AE39+'[4]RB I'!AE39+'[4]SF I'!AE39</f>
        <v>73766.314420870214</v>
      </c>
      <c r="AF39" s="224">
        <f t="shared" si="5"/>
        <v>2.84745356489148</v>
      </c>
      <c r="AG39" s="225">
        <f>+[4]SLP!AG39+[4]ROSA!AG39+'[4]STA ANA'!AG39+[4]BOA!AG39+'[4]STA MARIA'!AG39+'[4]CB I'!AG39+'[4]CB II'!AG39+'[4]CB III'!AG39+[4]IG!AG39+[4]PN!AG39+[4]MJ!AG39+'[4]RB I'!AG39+'[4]SF I'!AG39</f>
        <v>19172.762757684079</v>
      </c>
      <c r="AH39" s="226">
        <f>+[4]SLP!AH39+[4]ROSA!AH39+'[4]STA ANA'!AH39+[4]BOA!AH39+'[4]STA MARIA'!AH39+'[4]CB I'!AH39+'[4]CB II'!AH39+'[4]CB III'!AH39+[4]IG!AH39+[4]PN!AH39+[4]MJ!AH39+'[4]RB I'!AH39+'[4]SF I'!AH39</f>
        <v>16816.430214764707</v>
      </c>
      <c r="AI39" s="226">
        <f>+[4]SLP!AI39+[4]ROSA!AI39+'[4]STA ANA'!AI39+[4]BOA!AI39+'[4]STA MARIA'!AI39+'[4]CB I'!AI39+'[4]CB II'!AI39+'[4]CB III'!AI39+[4]IG!AI39+[4]PN!AI39+[4]MJ!AI39+'[4]RB I'!AI39+'[4]SF I'!AI39</f>
        <v>2356.3325429193733</v>
      </c>
      <c r="AJ39" s="226">
        <f>+[4]SLP!AJ39+[4]ROSA!AJ39+'[4]STA ANA'!AJ39+[4]BOA!AJ39+'[4]STA MARIA'!AJ39+'[4]CB I'!AJ39+'[4]CB II'!AJ39+'[4]CB III'!AJ39+[4]IG!AJ39+[4]PN!AJ39+[4]MJ!AJ39+'[4]RB I'!AJ39+'[4]SF I'!AJ39</f>
        <v>41780.418073747584</v>
      </c>
      <c r="AK39" s="226">
        <f>+[4]SLP!AK39+[4]ROSA!AK39+'[4]STA ANA'!AK39+[4]BOA!AK39+'[4]STA MARIA'!AK39+'[4]CB I'!AK39+'[4]CB II'!AK39+'[4]CB III'!AK39+[4]IG!AK39+[4]PN!AK39+[4]MJ!AK39+'[4]RB I'!AK39+'[4]SF I'!AK39</f>
        <v>5148.4344579021008</v>
      </c>
      <c r="AL39" s="166">
        <f>+[4]SLP!AL39+[4]ROSA!AL39+'[4]STA ANA'!AL39+[4]BOA!AL39+'[4]STA MARIA'!AL39+'[4]CB I'!AL39+'[4]CB II'!AL39+'[4]CB III'!AL39+[4]IG!AL39+[4]PN!AL39+[4]MJ!AL39+'[4]RB I'!AL39+'[4]SF I'!AL39</f>
        <v>46928.852531649689</v>
      </c>
      <c r="AM39" s="224">
        <f t="shared" si="6"/>
        <v>1.4476833685766803</v>
      </c>
      <c r="AN39" s="225">
        <f>+[4]SLP!AN39+[4]ROSA!AN39+'[4]STA ANA'!AN39+[4]BOA!AN39+'[4]STA MARIA'!AN39+'[4]CB I'!AN39+'[4]CB II'!AN39+'[4]CB III'!AN39+[4]IG!AN39+[4]PN!AN39+[4]MJ!AN39+'[4]RB I'!AN39+'[4]SF I'!AN39</f>
        <v>19172.762757684079</v>
      </c>
      <c r="AO39" s="226">
        <f>+[4]SLP!AO39+[4]ROSA!AO39+'[4]STA ANA'!AO39+[4]BOA!AO39+'[4]STA MARIA'!AO39+'[4]CB I'!AO39+'[4]CB II'!AO39+'[4]CB III'!AO39+[4]IG!AO39+[4]PN!AO39+[4]MJ!AO39+'[4]RB I'!AO39+'[4]SF I'!AO39</f>
        <v>16816.430214764707</v>
      </c>
      <c r="AP39" s="226">
        <f>+[4]SLP!AP39+[4]ROSA!AP39+'[4]STA ANA'!AP39+[4]BOA!AP39+'[4]STA MARIA'!AP39+'[4]CB I'!AP39+'[4]CB II'!AP39+'[4]CB III'!AP39+[4]IG!AP39+[4]PN!AP39+[4]MJ!AP39+'[4]RB I'!AP39+'[4]SF I'!AP39</f>
        <v>2356.3325429193733</v>
      </c>
      <c r="AQ39" s="226">
        <f>+[4]SLP!AQ39+[4]ROSA!AQ39+'[4]STA ANA'!AQ39+[4]BOA!AQ39+'[4]STA MARIA'!AQ39+'[4]CB I'!AQ39+'[4]CB II'!AQ39+'[4]CB III'!AQ39+[4]IG!AQ39+[4]PN!AQ39+[4]MJ!AQ39+'[4]RB I'!AQ39+'[4]SF I'!AQ39</f>
        <v>0</v>
      </c>
      <c r="AR39" s="226">
        <f>+[4]SLP!AR39+[4]ROSA!AR39+'[4]STA ANA'!AR39+[4]BOA!AR39+'[4]STA MARIA'!AR39+'[4]CB I'!AR39+'[4]CB II'!AR39+'[4]CB III'!AR39+[4]IG!AR39+[4]PN!AR39+[4]MJ!AR39+'[4]RB I'!AR39+'[4]SF I'!AR39</f>
        <v>0</v>
      </c>
      <c r="AS39" s="166">
        <f>+[4]SLP!AS39+[4]ROSA!AS39+'[4]STA ANA'!AS39+[4]BOA!AS39+'[4]STA MARIA'!AS39+'[4]CB I'!AS39+'[4]CB II'!AS39+'[4]CB III'!AS39+[4]IG!AS39+[4]PN!AS39+[4]MJ!AS39+'[4]RB I'!AS39+'[4]SÃO FRANCISCO'!AS39</f>
        <v>0</v>
      </c>
      <c r="AT39" s="224">
        <f t="shared" si="7"/>
        <v>-1</v>
      </c>
      <c r="AU39" s="225">
        <f>+[4]SLP!AU39+[4]ROSA!AU39+'[4]STA ANA'!AU39+[4]BOA!AU39+'[4]STA MARIA'!AU39+'[4]CB I'!AU39+'[4]CB II'!AU39+'[4]CB III'!AU39+[4]IG!AU39+[4]PN!AU39+[4]MJ!AU39+'[4]RB I'!AU39+'[4]SF I'!AU39</f>
        <v>19172.762757684079</v>
      </c>
      <c r="AV39" s="226">
        <f>+[4]SLP!AV39+[4]ROSA!AV39+'[4]STA ANA'!AV39+[4]BOA!AV39+'[4]STA MARIA'!AV39+'[4]CB I'!AV39+'[4]CB II'!AV39+'[4]CB III'!AV39+[4]IG!AV39+[4]PN!AV39+[4]MJ!AV39+'[4]RB I'!AV39+'[4]SF I'!AV39</f>
        <v>16816.430214764707</v>
      </c>
      <c r="AW39" s="226">
        <f>+[4]SLP!AW39+[4]ROSA!AW39+'[4]STA ANA'!AW39+[4]BOA!AW39+'[4]STA MARIA'!AW39+'[4]CB I'!AW39+'[4]CB II'!AW39+'[4]CB III'!AW39+[4]IG!AW39+[4]PN!AW39+[4]MJ!AW39+'[4]RB I'!AW39+'[4]SF I'!AW39</f>
        <v>2356.3325429193733</v>
      </c>
      <c r="AX39" s="226">
        <f>+[4]SLP!AX39+[4]ROSA!AX39+'[4]STA ANA'!AX39+[4]BOA!AX39+'[4]STA MARIA'!AX39+'[4]CB I'!AX39+'[4]CB II'!AX39+'[4]CB III'!AX39+[4]IG!AX39+[4]PN!AX39+[4]MJ!AX39+'[4]RB I'!AX39+'[4]SF I'!AX39</f>
        <v>0</v>
      </c>
      <c r="AY39" s="226">
        <f>+[4]SLP!AY39+[4]ROSA!AY39+'[4]STA ANA'!AY39+[4]BOA!AY39+'[4]STA MARIA'!AY39+'[4]CB I'!AY39+'[4]CB II'!AY39+'[4]CB III'!AY39+[4]IG!AY39+[4]PN!AY39+[4]MJ!AY39+'[4]RB I'!AY39+'[4]SF I'!AY39</f>
        <v>0</v>
      </c>
      <c r="AZ39" s="166">
        <f>+[4]SLP!AZ39+[4]ROSA!AZ39+'[4]STA ANA'!AZ39+[4]BOA!AZ39+'[4]STA MARIA'!AZ39+'[4]CB I'!AZ39+'[4]CB II'!AZ39+[4]IG!AZ39+[4]PN!AZ39+[4]MJ!AZ39+'[4]RB I'!AZ39+'[4]SÃO FRANCISCO'!AZ39</f>
        <v>0</v>
      </c>
      <c r="BA39" s="224">
        <f t="shared" si="8"/>
        <v>-1</v>
      </c>
      <c r="BB39" s="225">
        <f>+[4]SLP!BB39+[4]ROSA!BB39+'[4]STA ANA'!BB39+[4]BOA!BB39+'[4]STA MARIA'!BB39+'[4]CB I'!BB39+'[4]CB II'!BB39+'[4]CB III'!BB39+[4]IG!BB39+[4]PN!BB39+[4]MJ!BB39+'[4]RB I'!BB39+'[4]SF I'!BB39</f>
        <v>19172.762757684079</v>
      </c>
      <c r="BC39" s="226">
        <f>+[4]SLP!BC39+[4]ROSA!BC39+'[4]STA ANA'!BC39+[4]BOA!BC39+'[4]STA MARIA'!BC39+'[4]CB I'!BC39+'[4]CB II'!BC39+'[4]CB III'!BC39+[4]IG!BC39+[4]PN!BC39+[4]MJ!BC39+'[4]RB I'!BC39+'[4]SF I'!BC39</f>
        <v>16816.430214764707</v>
      </c>
      <c r="BD39" s="226">
        <f>+[4]SLP!BD39+[4]ROSA!BD39+'[4]STA ANA'!BD39+[4]BOA!BD39+'[4]STA MARIA'!BD39+'[4]CB I'!BD39+'[4]CB II'!BD39+'[4]CB III'!BD39+[4]IG!BD39+[4]PN!BD39+[4]MJ!BD39+'[4]RB I'!BD39+'[4]SF I'!BD39</f>
        <v>2356.3325429193733</v>
      </c>
      <c r="BE39" s="226">
        <f>+[4]SLP!BE39+[4]ROSA!BE39+'[4]STA ANA'!BE39+[4]BOA!BE39+'[4]STA MARIA'!BE39+'[4]CB I'!BE39+'[4]CB II'!BE39+'[4]CB III'!BE39+[4]IG!BE39+[4]PN!BE39+[4]MJ!BE39+'[4]RB I'!BE39+'[4]SF I'!BE39</f>
        <v>0</v>
      </c>
      <c r="BF39" s="226">
        <f>+[4]SLP!BF39+[4]ROSA!BF39+'[4]STA ANA'!BF39+[4]BOA!BF39+'[4]STA MARIA'!BF39+'[4]CB I'!BF39+'[4]CB II'!BF39+'[4]CB III'!BF39+[4]IG!BF39+[4]PN!BF39+[4]MJ!BF39+'[4]RB I'!BF39+'[4]SF I'!BF39</f>
        <v>0</v>
      </c>
      <c r="BG39" s="166">
        <f>+[4]SLP!BG39+[4]ROSA!BG39+'[4]STA ANA'!BG39+[4]BOA!BG39+'[4]STA MARIA'!BG39+'[4]CB I'!BG39+'[4]CB II'!BG39+'[4]CB III'!BG39+[4]IG!BG39+[4]PN!BG39+[4]MJ!BG39+'[4]RB I'!BG39+'[4]SÃO FRANCISCO'!BG39</f>
        <v>0</v>
      </c>
      <c r="BH39" s="224">
        <f t="shared" si="9"/>
        <v>-1</v>
      </c>
      <c r="BI39" s="225">
        <f>+[4]SLP!BI39+[4]ROSA!BI39+'[4]STA ANA'!BI39+[4]BOA!BI39+'[4]STA MARIA'!BI39+'[4]CB I'!BI39+'[4]CB II'!BI39+'[4]CB III'!BI39+[4]IG!BI39+[4]PN!BI39+[4]MJ!BI39+'[4]RB I'!BI39+'[4]SF I'!BI39</f>
        <v>19172.762757684079</v>
      </c>
      <c r="BJ39" s="226">
        <f>+[4]SLP!BJ39+[4]ROSA!BJ39+'[4]STA ANA'!BJ39+[4]BOA!BJ39+'[4]STA MARIA'!BJ39+'[4]CB I'!BJ39+'[4]CB II'!BJ39+'[4]CB III'!BJ39+[4]IG!BJ39+[4]PN!BJ39+[4]MJ!BJ39+'[4]RB I'!BJ39+'[4]SF I'!BJ39</f>
        <v>16816.430214764707</v>
      </c>
      <c r="BK39" s="226">
        <f>+[4]SLP!BK39+[4]ROSA!BK39+'[4]STA ANA'!BK39+[4]BOA!BK39+'[4]STA MARIA'!BK39+'[4]CB I'!BK39+'[4]CB II'!BK39+'[4]CB III'!BK39+[4]IG!BK39+[4]PN!BK39+[4]MJ!BK39+'[4]RB I'!BK39+'[4]SF I'!BK39</f>
        <v>2356.3325429193733</v>
      </c>
      <c r="BL39" s="226">
        <f>+[4]SLP!BL39+[4]ROSA!BL39+'[4]STA ANA'!BL39+[4]BOA!BL39+'[4]STA MARIA'!BL39+'[4]CB I'!BL39+'[4]CB II'!BL39+'[4]CB III'!BL39+[4]IG!BL39+[4]PN!BL39+[4]MJ!BL39+'[4]RB I'!BL39+'[4]SF I'!BL39</f>
        <v>0</v>
      </c>
      <c r="BM39" s="226">
        <f>+[4]SLP!BM39+[4]ROSA!BM39+'[4]STA ANA'!BM39+[4]BOA!BM39+'[4]STA MARIA'!BM39+'[4]CB I'!BM39+'[4]CB II'!BM39+'[4]CB III'!BM39+[4]IG!BM39+[4]PN!BM39+[4]MJ!BM39+'[4]RB I'!BM39+'[4]SF I'!BM39</f>
        <v>0</v>
      </c>
      <c r="BN39" s="166">
        <f>+[4]SLP!BN39+[4]ROSA!BN39+'[4]STA ANA'!BN39+[4]BOA!BN39+'[4]STA MARIA'!BN39+'[4]CB I'!BN39+'[4]CB II'!BN39+'[4]CB III'!BN39+[4]IG!BN39+[4]PN!BN39+[4]MJ!BN39+'[4]RB I'!BN39+'[4]SÃO FRANCISCO'!BN39</f>
        <v>0</v>
      </c>
      <c r="BO39" s="224">
        <f t="shared" si="10"/>
        <v>-1</v>
      </c>
      <c r="BP39" s="225">
        <f>+[4]SLP!BP39+[4]ROSA!BP39+'[4]STA ANA'!BP39+[4]BOA!BP39+'[4]STA MARIA'!BP39+'[4]CB I'!BP39+'[4]CB II'!BP39+'[4]CB III'!BP39+[4]IG!BP39+[4]PN!BP39+[4]MJ!BP39+'[4]RB I'!BP39+'[4]SF I'!BP39</f>
        <v>19172.762757684079</v>
      </c>
      <c r="BQ39" s="226">
        <f>+[4]SLP!BQ39+[4]ROSA!BQ39+'[4]STA ANA'!BQ39+[4]BOA!BQ39+'[4]STA MARIA'!BQ39+'[4]CB I'!BQ39+'[4]CB II'!BQ39+'[4]CB III'!BQ39+[4]IG!BQ39+[4]PN!BQ39+[4]MJ!BQ39+'[4]RB I'!BQ39+'[4]SF I'!BQ39</f>
        <v>16816.430214764707</v>
      </c>
      <c r="BR39" s="226">
        <f>+[4]SLP!BR39+[4]ROSA!BR39+'[4]STA ANA'!BR39+[4]BOA!BR39+'[4]STA MARIA'!BR39+'[4]CB I'!BR39+'[4]CB II'!BR39+'[4]CB III'!BR39+[4]IG!BR39+[4]PN!BR39+[4]MJ!BR39+'[4]RB I'!BR39+'[4]SF I'!BR39</f>
        <v>2356.3325429193733</v>
      </c>
      <c r="BS39" s="226">
        <f>+[4]SLP!BS39+[4]ROSA!BS39+'[4]STA ANA'!BS39+[4]BOA!BS39+'[4]STA MARIA'!BS39+'[4]CB I'!BS39+'[4]CB II'!BS39+'[4]CB III'!BS39+[4]IG!BS39+[4]PN!BS39+[4]MJ!BS39+'[4]RB I'!BS39+'[4]SF I'!BS39</f>
        <v>0</v>
      </c>
      <c r="BT39" s="226">
        <f>+[4]SLP!BT39+[4]ROSA!BT39+'[4]STA ANA'!BT39+[4]BOA!BT39+'[4]STA MARIA'!BT39+'[4]CB I'!BT39+'[4]CB II'!BT39+'[4]CB III'!BT39+[4]IG!BT39+[4]PN!BT39+[4]MJ!BT39+'[4]RB I'!BT39+'[4]SF I'!BT39</f>
        <v>0</v>
      </c>
      <c r="BU39" s="166">
        <f>+[4]SLP!BU39+[4]ROSA!BU39+'[4]STA ANA'!BU39+[4]BOA!BU39+'[4]STA MARIA'!BU39+'[4]CB I'!BU39+'[4]CB II'!BU39+'[4]CB III'!BU39+[4]IG!BU39+[4]PN!BU39+[4]MJ!BU39+'[4]RB I'!BU39+'[4]SÃO FRANCISCO'!BU39</f>
        <v>0</v>
      </c>
      <c r="BV39" s="224">
        <f t="shared" si="11"/>
        <v>-1</v>
      </c>
      <c r="BW39" s="225">
        <f>+[4]SLP!BW39+[4]ROSA!BW39+'[4]STA ANA'!BW39+[4]BOA!BW39+'[4]STA MARIA'!BW39+'[4]CB I'!BW39+'[4]CB II'!BW39+'[4]CB III'!BW39+[4]IG!BW39+[4]PN!BW39+[4]MJ!BW39+'[4]RB I'!BW39+'[4]SF I'!BW39</f>
        <v>19172.762757684079</v>
      </c>
      <c r="BX39" s="226">
        <f>+[4]SLP!BX39+[4]ROSA!BX39+'[4]STA ANA'!BX39+[4]BOA!BX39+'[4]STA MARIA'!BX39+'[4]CB I'!BX39+'[4]CB II'!BX39+'[4]CB III'!BX39+[4]IG!BX39+[4]PN!BX39+[4]MJ!BX39+'[4]RB I'!BX39+'[4]SF I'!BX39</f>
        <v>16816.430214764707</v>
      </c>
      <c r="BY39" s="226">
        <f>+[4]SLP!BY39+[4]ROSA!BY39+'[4]STA ANA'!BY39+[4]BOA!BY39+'[4]STA MARIA'!BY39+'[4]CB I'!BY39+'[4]CB II'!BY39+'[4]CB III'!BY39+[4]IG!BY39+[4]PN!BY39+[4]MJ!BY39+'[4]RB I'!BY39+'[4]SF I'!BY39</f>
        <v>2356.3325429193733</v>
      </c>
      <c r="BZ39" s="226">
        <f>+[4]SLP!BZ39+[4]ROSA!BZ39+'[4]STA ANA'!BZ39+[4]BOA!BZ39+'[4]STA MARIA'!BZ39+'[4]CB I'!BZ39+'[4]CB II'!BZ39+'[4]CB III'!BZ39+[4]IG!BZ39+[4]PN!BZ39+[4]MJ!BZ39+'[4]RB I'!BZ39+'[4]SF I'!BZ39</f>
        <v>0</v>
      </c>
      <c r="CA39" s="226">
        <f>+[4]SLP!CA39+[4]ROSA!CA39+'[4]STA ANA'!CA39+[4]BOA!CA39+'[4]STA MARIA'!CA39+'[4]CB I'!CA39+'[4]CB II'!CA39+'[4]CB III'!CA39+[4]IG!CA39+[4]PN!CA39+[4]MJ!CA39+'[4]RB I'!CA39+'[4]SF I'!CA39</f>
        <v>0</v>
      </c>
      <c r="CB39" s="166">
        <f>+[4]SLP!CB39+[4]ROSA!CB39+'[4]STA ANA'!CB39+[4]BOA!CB39+'[4]STA MARIA'!CB39+'[4]CB I'!CB39+'[4]CB II'!CB39+'[4]CB III'!CB39+[4]IG!CB39+[4]PN!CB39+[4]MJ!CB39+'[4]RB I'!CB39+'[4]SÃO FRANCISCO'!CB39</f>
        <v>0</v>
      </c>
      <c r="CC39" s="224">
        <f t="shared" si="12"/>
        <v>-1</v>
      </c>
      <c r="CD39" s="225">
        <f>+[4]SLP!CD39+[4]ROSA!CD39+'[4]STA ANA'!CD39+[4]BOA!CD39+'[4]STA MARIA'!CD39+'[4]CB I'!CD39+'[4]CB II'!CD39+'[4]CB III'!CD39+[4]IG!CD39+[4]PN!CD39+[4]MJ!CD39+'[4]RB I'!CD39+'[4]SF I'!CD39</f>
        <v>19172.762757684079</v>
      </c>
      <c r="CE39" s="226">
        <f>+[4]SLP!CE39+[4]ROSA!CE39+'[4]STA ANA'!CE39+[4]BOA!CE39+'[4]STA MARIA'!CE39+'[4]CB I'!CE39+'[4]CB II'!CE39+'[4]CB III'!CE39+[4]IG!CE39+[4]PN!CE39+[4]MJ!CE39+'[4]RB I'!CE39+'[4]SF I'!CE39</f>
        <v>16816.430214764707</v>
      </c>
      <c r="CF39" s="226">
        <f>+[4]SLP!CF39+[4]ROSA!CF39+'[4]STA ANA'!CF39+[4]BOA!CF39+'[4]STA MARIA'!CF39+'[4]CB I'!CF39+'[4]CB II'!CF39+'[4]CB III'!CF39+[4]IG!CF39+[4]PN!CF39+[4]MJ!CF39+'[4]RB I'!CF39+'[4]SF I'!CF39</f>
        <v>2356.3325429193733</v>
      </c>
      <c r="CG39" s="226">
        <f>+[4]SLP!CG39+[4]ROSA!CG39+'[4]STA ANA'!CG39+[4]BOA!CG39+'[4]STA MARIA'!CG39+'[4]CB I'!CG39+'[4]CB II'!CG39+'[4]CB III'!CG39+[4]IG!CG39+[4]PN!CG39+[4]MJ!CG39+'[4]RB I'!CG39+'[4]SF I'!CG39</f>
        <v>0</v>
      </c>
      <c r="CH39" s="226">
        <f>+[4]SLP!CH39+[4]ROSA!CH39+'[4]STA ANA'!CH39+[4]BOA!CH39+'[4]STA MARIA'!CH39+'[4]CB I'!CH39+'[4]CB II'!CH39+'[4]CB III'!CH39+[4]IG!CH39+[4]PN!CH39+[4]MJ!CH39+'[4]RB I'!CH39+'[4]SF I'!CH39</f>
        <v>0</v>
      </c>
      <c r="CI39" s="166">
        <f>+[4]SLP!CI39+[4]ROSA!CI39+'[4]STA ANA'!CI39+[4]BOA!CI39+'[4]STA MARIA'!CI39+'[4]CB I'!CI39+'[4]CB II'!CI39+'[4]CB III'!CI39+[4]IG!CI39+[4]PN!CI39+[4]MJ!CI39+'[4]RB I'!CI39+'[4]SÃO FRANCISCO'!CI39</f>
        <v>0</v>
      </c>
      <c r="CJ39" s="224">
        <f t="shared" si="13"/>
        <v>-1</v>
      </c>
      <c r="CK39" s="225">
        <f>+[4]SLP!CK39+[4]ROSA!CK39+'[4]STA ANA'!CK39+[4]BOA!CK39+'[4]STA MARIA'!CK39+'[4]CB I'!CK39+'[4]CB II'!CK39+'[4]CB III'!CK39+[4]IG!CK39+[4]PN!CK39+[4]MJ!CK39+'[4]RB I'!CK39+'[4]SF I'!CK39</f>
        <v>19172.762757684079</v>
      </c>
      <c r="CL39" s="226">
        <f>+[4]SLP!CL39+[4]ROSA!CL39+'[4]STA ANA'!CL39+[4]BOA!CL39+'[4]STA MARIA'!CL39+'[4]CB I'!CL39+'[4]CB II'!CL39+'[4]CB III'!CL39+[4]IG!CL39+[4]PN!CL39+[4]MJ!CL39+'[4]RB I'!CL39+'[4]SF I'!CL39</f>
        <v>16816.430214764707</v>
      </c>
      <c r="CM39" s="226">
        <f>+[4]SLP!CM39+[4]ROSA!CM39+'[4]STA ANA'!CM39+[4]BOA!CM39+'[4]STA MARIA'!CM39+'[4]CB I'!CM39+'[4]CB II'!CM39+'[4]CB III'!CM39+[4]IG!CM39+[4]PN!CM39+[4]MJ!CM39+'[4]RB I'!CM39+'[4]SF I'!CM39</f>
        <v>2356.3325429193733</v>
      </c>
      <c r="CN39" s="226">
        <f>+[4]SLP!CN39+[4]ROSA!CN39+'[4]STA ANA'!CN39+[4]BOA!CN39+'[4]STA MARIA'!CN39+'[4]CB I'!CN39+'[4]CB II'!CN39+'[4]CB III'!CN39+[4]IG!CN39+[4]PN!CN39+[4]MJ!CN39+'[4]RB I'!CN39+'[4]SF I'!CN39</f>
        <v>0</v>
      </c>
      <c r="CO39" s="226">
        <f>+[4]SLP!CO39+[4]ROSA!CO39+'[4]STA ANA'!CO39+[4]BOA!CO39+'[4]STA MARIA'!CO39+'[4]CB I'!CO39+'[4]CB II'!CO39+'[4]CB III'!CO39+[4]IG!CO39+[4]PN!CO39+[4]MJ!CO39+'[4]RB I'!CO39+'[4]SF I'!CO39</f>
        <v>0</v>
      </c>
      <c r="CP39" s="166">
        <f>+[4]SLP!CP39+[4]ROSA!CP39+'[4]STA ANA'!CP39+[4]BOA!CP39+'[4]STA MARIA'!CP39+'[4]CB I'!CP39+'[4]CB II'!CP39+'[4]CB III'!CP39+[4]IG!CP39+[4]PN!CP39+[4]MJ!CP39+'[4]RB I'!CP39+'[4]SÃO FRANCISCO'!CP39</f>
        <v>0</v>
      </c>
      <c r="CQ39" s="224">
        <f t="shared" si="14"/>
        <v>-1</v>
      </c>
      <c r="CR39" s="155"/>
      <c r="CS39" s="227" t="e">
        <f t="shared" si="15"/>
        <v>#VALUE!</v>
      </c>
    </row>
    <row r="40" spans="1:97" ht="16" customHeight="1" x14ac:dyDescent="0.2">
      <c r="A40" s="228" t="s">
        <v>64</v>
      </c>
      <c r="B40" s="30">
        <f t="shared" si="17"/>
        <v>548410.61236883595</v>
      </c>
      <c r="C40" s="31">
        <f t="shared" si="17"/>
        <v>481010.94810870598</v>
      </c>
      <c r="D40" s="32">
        <f t="shared" si="17"/>
        <v>67399.664260129925</v>
      </c>
      <c r="E40" s="30">
        <f t="shared" si="19"/>
        <v>182803.5374562786</v>
      </c>
      <c r="F40" s="33">
        <f t="shared" si="19"/>
        <v>160336.98270290197</v>
      </c>
      <c r="G40" s="34">
        <f t="shared" si="19"/>
        <v>22466.55475337664</v>
      </c>
      <c r="H40" s="31">
        <f t="shared" si="18"/>
        <v>227056.07651325528</v>
      </c>
      <c r="I40" s="33">
        <f t="shared" si="18"/>
        <v>22555.907590779294</v>
      </c>
      <c r="J40" s="33">
        <f t="shared" si="18"/>
        <v>249611.98410403458</v>
      </c>
      <c r="K40" s="224">
        <f t="shared" si="2"/>
        <v>0.36546583057089177</v>
      </c>
      <c r="L40" s="225">
        <f>+[4]SLP!L40+[4]ROSA!L40+'[4]STA ANA'!L40+[4]BOA!L40+'[4]STA MARIA'!L40+'[4]CB I'!L40+'[4]CB II'!L40+'[4]CB III'!L40+[4]IG!L40+[4]PN!L40+[4]MJ!L40+'[4]RB I'!L40+'[4]SF I'!L40</f>
        <v>45700.88436406965</v>
      </c>
      <c r="M40" s="226">
        <f>+[4]SLP!M40+[4]ROSA!M40+'[4]STA ANA'!M40+[4]BOA!M40+'[4]STA MARIA'!M40+'[4]CB I'!M40+'[4]CB II'!M40+'[4]CB III'!M40+[4]IG!M40+[4]PN!M40+[4]MJ!M40+'[4]RB I'!M40+'[4]SF I'!M40</f>
        <v>40084.245675725491</v>
      </c>
      <c r="N40" s="226">
        <f>+[4]SLP!N40+[4]ROSA!N40+'[4]STA ANA'!N40+[4]BOA!N40+'[4]STA MARIA'!N40+'[4]CB I'!N40+'[4]CB II'!N40+'[4]CB III'!N40+[4]IG!N40+[4]PN!N40+[4]MJ!N40+'[4]RB I'!N40+'[4]SF I'!N40</f>
        <v>5616.6386883441601</v>
      </c>
      <c r="O40" s="226">
        <f>+[4]SLP!O40+[4]ROSA!O40+'[4]STA ANA'!O40+[4]BOA!O40+'[4]STA MARIA'!O40+'[4]CB I'!O40+'[4]CB II'!O40+'[4]CB III'!O40+[4]IG!O40+[4]PN!O40+[4]MJ!O40+'[4]RB I'!O40+'[4]SF I'!O40</f>
        <v>40379.305334619727</v>
      </c>
      <c r="P40" s="226">
        <f>+[4]SLP!P40+[4]ROSA!P40+'[4]STA ANA'!P40+[4]BOA!P40+'[4]STA MARIA'!P40+'[4]CB I'!P40+'[4]CB II'!P40+'[4]CB III'!P40+[4]IG!P40+[4]PN!P40+[4]MJ!P40+'[4]RB I'!P40+'[4]SF I'!P40</f>
        <v>3797.6152206673528</v>
      </c>
      <c r="Q40" s="166">
        <f>+[4]SLP!Q40+[4]ROSA!Q40+'[4]STA ANA'!Q40+[4]BOA!Q40+'[4]STA MARIA'!Q40+'[4]CB I'!Q40+'[4]CB II'!Q40+'[4]CB III'!Q40+[4]IG!Q40+[4]PN!Q40+[4]MJ!Q40+'[4]RB I'!Q40+'[4]SF I'!Q40</f>
        <v>44176.920555287077</v>
      </c>
      <c r="R40" s="224">
        <f t="shared" si="3"/>
        <v>-3.3346483990159381E-2</v>
      </c>
      <c r="S40" s="225">
        <f>+[4]SLP!S40+[4]ROSA!S40+'[4]STA ANA'!S40+[4]BOA!S40+'[4]STA MARIA'!S40+'[4]CB I'!S40+'[4]CB II'!S40+'[4]CB III'!S40+[4]IG!S40+[4]PN!S40+[4]MJ!S40+'[4]RB I'!S40+'[4]SF I'!S40</f>
        <v>45700.88436406965</v>
      </c>
      <c r="T40" s="226">
        <f>+[4]SLP!T40+[4]ROSA!T40+'[4]STA ANA'!T40+[4]BOA!T40+'[4]STA MARIA'!T40+'[4]CB I'!T40+'[4]CB II'!T40+'[4]CB III'!T40+[4]IG!T40+[4]PN!T40+[4]MJ!T40+'[4]RB I'!T40+'[4]SF I'!T40</f>
        <v>40084.245675725491</v>
      </c>
      <c r="U40" s="226">
        <f>+[4]SLP!U40+[4]ROSA!U40+'[4]STA ANA'!U40+[4]BOA!U40+'[4]STA MARIA'!U40+'[4]CB I'!U40+'[4]CB II'!U40+'[4]CB III'!U40+[4]IG!U40+[4]PN!U40+[4]MJ!U40+'[4]RB I'!U40+'[4]SF I'!U40</f>
        <v>5616.6386883441601</v>
      </c>
      <c r="V40" s="226">
        <f>+[4]SLP!V40+[4]ROSA!V40+'[4]STA ANA'!V40+[4]BOA!V40+'[4]STA MARIA'!V40+'[4]CB I'!V40+'[4]CB II'!V40+'[4]CB III'!V40+[4]IG!V40+[4]PN!V40+[4]MJ!V40+'[4]RB I'!V40+'[4]SF I'!V40</f>
        <v>54104.818710750907</v>
      </c>
      <c r="W40" s="226">
        <f>+[4]SLP!W40+[4]ROSA!W40+'[4]STA ANA'!W40+[4]BOA!W40+'[4]STA MARIA'!W40+'[4]CB I'!W40+'[4]CB II'!W40+'[4]CB III'!W40+[4]IG!W40+[4]PN!W40+[4]MJ!W40+'[4]RB I'!W40+'[4]SF I'!W40</f>
        <v>6362.789419112848</v>
      </c>
      <c r="X40" s="166">
        <f>[4]SLP!X40+[4]ROSA!X40+'[4]STA ANA'!X40+[4]BOA!X40+'[4]STA MARIA'!X40+'[4]CB I'!X40+'[4]CB II'!X40+'[4]CB III'!X40+[4]IG!X40+[4]PN!X40+[4]MJ!X40+'[4]RB I'!X40+'[4]SF I'!X40</f>
        <v>60467.608129863765</v>
      </c>
      <c r="Y40" s="224">
        <f t="shared" si="4"/>
        <v>0.32311680553393884</v>
      </c>
      <c r="Z40" s="225">
        <f>+[4]SLP!Z40+[4]ROSA!Z40+'[4]STA ANA'!Z40+[4]BOA!Z40+'[4]STA MARIA'!Z40+'[4]CB I'!Z40+'[4]CB II'!Z40+'[4]CB III'!Z40+[4]IG!Z40+[4]PN!Z40+[4]MJ!Z40+'[4]RB I'!Z40+'[4]SF I'!Z40</f>
        <v>45700.88436406965</v>
      </c>
      <c r="AA40" s="226">
        <f>+[4]SLP!AA40+[4]ROSA!AA40+'[4]STA ANA'!AA40+[4]BOA!AA40+'[4]STA MARIA'!AA40+'[4]CB I'!AA40+'[4]CB II'!AA40+'[4]CB III'!AA40+[4]IG!AA40+[4]PN!AA40+[4]MJ!AA40+'[4]RB I'!AA40+'[4]SF I'!AA40</f>
        <v>40084.245675725491</v>
      </c>
      <c r="AB40" s="226">
        <f>+[4]SLP!AB40+[4]ROSA!AB40+'[4]STA ANA'!AB40+[4]BOA!AB40+'[4]STA MARIA'!AB40+'[4]CB I'!AB40+'[4]CB II'!AB40+'[4]CB III'!AB40+[4]IG!AB40+[4]PN!AB40+[4]MJ!AB40+'[4]RB I'!AB40+'[4]SF I'!AB40</f>
        <v>5616.6386883441601</v>
      </c>
      <c r="AC40" s="226">
        <f>+[4]SLP!AC40+[4]ROSA!AC40+'[4]STA ANA'!AC40+[4]BOA!AC40+'[4]STA MARIA'!AC40+'[4]CB I'!AC40+'[4]CB II'!AC40+'[4]CB III'!AC40+[4]IG!AC40+[4]PN!AC40+[4]MJ!AC40+'[4]RB I'!AC40+'[4]SF I'!AC40</f>
        <v>69209.328453041831</v>
      </c>
      <c r="AD40" s="226">
        <f>+[4]SLP!AD40+[4]ROSA!AD40+'[4]STA ANA'!AD40+[4]BOA!AD40+'[4]STA MARIA'!AD40+'[4]CB I'!AD40+'[4]CB II'!AD40+'[4]CB III'!AD40+[4]IG!AD40+[4]PN!AD40+[4]MJ!AD40+'[4]RB I'!AD40+'[4]SF I'!AD40</f>
        <v>6174.5109966455266</v>
      </c>
      <c r="AE40" s="166">
        <f>+[4]SLP!AE40+[4]ROSA!AE40+'[4]STA ANA'!AE40+[4]BOA!AE40+'[4]STA MARIA'!AE40+'[4]CB I'!AE40+'[4]CB II'!AE40+'[4]CB III'!AE40+[4]IG!AE40+[4]PN!AE40+[4]MJ!AE40+'[4]RB I'!AE40+'[4]SF I'!AE40</f>
        <v>75383.839449687366</v>
      </c>
      <c r="AF40" s="224">
        <f t="shared" si="5"/>
        <v>0.64950504784880403</v>
      </c>
      <c r="AG40" s="225">
        <f>+[4]SLP!AG40+[4]ROSA!AG40+'[4]STA ANA'!AG40+[4]BOA!AG40+'[4]STA MARIA'!AG40+'[4]CB I'!AG40+'[4]CB II'!AG40+'[4]CB III'!AG40+[4]IG!AG40+[4]PN!AG40+[4]MJ!AG40+'[4]RB I'!AG40+'[4]SF I'!AG40</f>
        <v>45700.88436406965</v>
      </c>
      <c r="AH40" s="226">
        <f>+[4]SLP!AH40+[4]ROSA!AH40+'[4]STA ANA'!AH40+[4]BOA!AH40+'[4]STA MARIA'!AH40+'[4]CB I'!AH40+'[4]CB II'!AH40+'[4]CB III'!AH40+[4]IG!AH40+[4]PN!AH40+[4]MJ!AH40+'[4]RB I'!AH40+'[4]SF I'!AH40</f>
        <v>40084.245675725491</v>
      </c>
      <c r="AI40" s="226">
        <f>+[4]SLP!AI40+[4]ROSA!AI40+'[4]STA ANA'!AI40+[4]BOA!AI40+'[4]STA MARIA'!AI40+'[4]CB I'!AI40+'[4]CB II'!AI40+'[4]CB III'!AI40+[4]IG!AI40+[4]PN!AI40+[4]MJ!AI40+'[4]RB I'!AI40+'[4]SF I'!AI40</f>
        <v>5616.6386883441601</v>
      </c>
      <c r="AJ40" s="226">
        <f>+[4]SLP!AJ40+[4]ROSA!AJ40+'[4]STA ANA'!AJ40+[4]BOA!AJ40+'[4]STA MARIA'!AJ40+'[4]CB I'!AJ40+'[4]CB II'!AJ40+'[4]CB III'!AJ40+[4]IG!AJ40+[4]PN!AJ40+[4]MJ!AJ40+'[4]RB I'!AJ40+'[4]SF I'!AJ40</f>
        <v>63362.624014842811</v>
      </c>
      <c r="AK40" s="226">
        <f>+[4]SLP!AK40+[4]ROSA!AK40+'[4]STA ANA'!AK40+[4]BOA!AK40+'[4]STA MARIA'!AK40+'[4]CB I'!AK40+'[4]CB II'!AK40+'[4]CB III'!AK40+[4]IG!AK40+[4]PN!AK40+[4]MJ!AK40+'[4]RB I'!AK40+'[4]SF I'!AK40</f>
        <v>6220.9919543535652</v>
      </c>
      <c r="AL40" s="166">
        <f>+[4]SLP!AL40+[4]ROSA!AL40+'[4]STA ANA'!AL40+[4]BOA!AL40+'[4]STA MARIA'!AL40+'[4]CB I'!AL40+'[4]CB II'!AL40+'[4]CB III'!AL40+[4]IG!AL40+[4]PN!AL40+[4]MJ!AL40+'[4]RB I'!AL40+'[4]SF I'!AL40</f>
        <v>69583.615969196369</v>
      </c>
      <c r="AM40" s="224">
        <f t="shared" si="6"/>
        <v>0.52258795289098359</v>
      </c>
      <c r="AN40" s="225">
        <f>+[4]SLP!AN40+[4]ROSA!AN40+'[4]STA ANA'!AN40+[4]BOA!AN40+'[4]STA MARIA'!AN40+'[4]CB I'!AN40+'[4]CB II'!AN40+'[4]CB III'!AN40+[4]IG!AN40+[4]PN!AN40+[4]MJ!AN40+'[4]RB I'!AN40+'[4]SF I'!AN40</f>
        <v>45700.88436406965</v>
      </c>
      <c r="AO40" s="226">
        <f>+[4]SLP!AO40+[4]ROSA!AO40+'[4]STA ANA'!AO40+[4]BOA!AO40+'[4]STA MARIA'!AO40+'[4]CB I'!AO40+'[4]CB II'!AO40+'[4]CB III'!AO40+[4]IG!AO40+[4]PN!AO40+[4]MJ!AO40+'[4]RB I'!AO40+'[4]SF I'!AO40</f>
        <v>40084.245675725491</v>
      </c>
      <c r="AP40" s="226">
        <f>+[4]SLP!AP40+[4]ROSA!AP40+'[4]STA ANA'!AP40+[4]BOA!AP40+'[4]STA MARIA'!AP40+'[4]CB I'!AP40+'[4]CB II'!AP40+'[4]CB III'!AP40+[4]IG!AP40+[4]PN!AP40+[4]MJ!AP40+'[4]RB I'!AP40+'[4]SF I'!AP40</f>
        <v>5616.6386883441601</v>
      </c>
      <c r="AQ40" s="226">
        <f>+[4]SLP!AQ40+[4]ROSA!AQ40+'[4]STA ANA'!AQ40+[4]BOA!AQ40+'[4]STA MARIA'!AQ40+'[4]CB I'!AQ40+'[4]CB II'!AQ40+'[4]CB III'!AQ40+[4]IG!AQ40+[4]PN!AQ40+[4]MJ!AQ40+'[4]RB I'!AQ40+'[4]SF I'!AQ40</f>
        <v>0</v>
      </c>
      <c r="AR40" s="226">
        <f>+[4]SLP!AR40+[4]ROSA!AR40+'[4]STA ANA'!AR40+[4]BOA!AR40+'[4]STA MARIA'!AR40+'[4]CB I'!AR40+'[4]CB II'!AR40+'[4]CB III'!AR40+[4]IG!AR40+[4]PN!AR40+[4]MJ!AR40+'[4]RB I'!AR40+'[4]SF I'!AR40</f>
        <v>0</v>
      </c>
      <c r="AS40" s="166">
        <f>+[4]SLP!AS40+[4]ROSA!AS40+'[4]STA ANA'!AS40+[4]BOA!AS40+'[4]STA MARIA'!AS40+'[4]CB I'!AS40+'[4]CB II'!AS40+'[4]CB III'!AS40+[4]IG!AS40+[4]PN!AS40+[4]MJ!AS40+'[4]RB I'!AS40+'[4]SÃO FRANCISCO'!AS40</f>
        <v>0</v>
      </c>
      <c r="AT40" s="224">
        <f t="shared" si="7"/>
        <v>-1</v>
      </c>
      <c r="AU40" s="225">
        <f>+[4]SLP!AU40+[4]ROSA!AU40+'[4]STA ANA'!AU40+[4]BOA!AU40+'[4]STA MARIA'!AU40+'[4]CB I'!AU40+'[4]CB II'!AU40+'[4]CB III'!AU40+[4]IG!AU40+[4]PN!AU40+[4]MJ!AU40+'[4]RB I'!AU40+'[4]SF I'!AU40</f>
        <v>45700.88436406965</v>
      </c>
      <c r="AV40" s="226">
        <f>+[4]SLP!AV40+[4]ROSA!AV40+'[4]STA ANA'!AV40+[4]BOA!AV40+'[4]STA MARIA'!AV40+'[4]CB I'!AV40+'[4]CB II'!AV40+'[4]CB III'!AV40+[4]IG!AV40+[4]PN!AV40+[4]MJ!AV40+'[4]RB I'!AV40+'[4]SF I'!AV40</f>
        <v>40084.245675725491</v>
      </c>
      <c r="AW40" s="226">
        <f>+[4]SLP!AW40+[4]ROSA!AW40+'[4]STA ANA'!AW40+[4]BOA!AW40+'[4]STA MARIA'!AW40+'[4]CB I'!AW40+'[4]CB II'!AW40+'[4]CB III'!AW40+[4]IG!AW40+[4]PN!AW40+[4]MJ!AW40+'[4]RB I'!AW40+'[4]SF I'!AW40</f>
        <v>5616.6386883441601</v>
      </c>
      <c r="AX40" s="226">
        <f>+[4]SLP!AX40+[4]ROSA!AX40+'[4]STA ANA'!AX40+[4]BOA!AX40+'[4]STA MARIA'!AX40+'[4]CB I'!AX40+'[4]CB II'!AX40+'[4]CB III'!AX40+[4]IG!AX40+[4]PN!AX40+[4]MJ!AX40+'[4]RB I'!AX40+'[4]SF I'!AX40</f>
        <v>0</v>
      </c>
      <c r="AY40" s="226">
        <f>+[4]SLP!AY40+[4]ROSA!AY40+'[4]STA ANA'!AY40+[4]BOA!AY40+'[4]STA MARIA'!AY40+'[4]CB I'!AY40+'[4]CB II'!AY40+'[4]CB III'!AY40+[4]IG!AY40+[4]PN!AY40+[4]MJ!AY40+'[4]RB I'!AY40+'[4]SF I'!AY40</f>
        <v>0</v>
      </c>
      <c r="AZ40" s="166">
        <f>+[4]SLP!AZ40+[4]ROSA!AZ40+'[4]STA ANA'!AZ40+[4]BOA!AZ40+'[4]STA MARIA'!AZ40+'[4]CB I'!AZ40+'[4]CB II'!AZ40+[4]IG!AZ40+[4]PN!AZ40+[4]MJ!AZ40+'[4]RB I'!AZ40+'[4]SÃO FRANCISCO'!AZ40</f>
        <v>0</v>
      </c>
      <c r="BA40" s="224">
        <f t="shared" si="8"/>
        <v>-1</v>
      </c>
      <c r="BB40" s="225">
        <f>+[4]SLP!BB40+[4]ROSA!BB40+'[4]STA ANA'!BB40+[4]BOA!BB40+'[4]STA MARIA'!BB40+'[4]CB I'!BB40+'[4]CB II'!BB40+'[4]CB III'!BB40+[4]IG!BB40+[4]PN!BB40+[4]MJ!BB40+'[4]RB I'!BB40+'[4]SF I'!BB40</f>
        <v>45700.88436406965</v>
      </c>
      <c r="BC40" s="226">
        <f>+[4]SLP!BC40+[4]ROSA!BC40+'[4]STA ANA'!BC40+[4]BOA!BC40+'[4]STA MARIA'!BC40+'[4]CB I'!BC40+'[4]CB II'!BC40+'[4]CB III'!BC40+[4]IG!BC40+[4]PN!BC40+[4]MJ!BC40+'[4]RB I'!BC40+'[4]SF I'!BC40</f>
        <v>40084.245675725491</v>
      </c>
      <c r="BD40" s="226">
        <f>+[4]SLP!BD40+[4]ROSA!BD40+'[4]STA ANA'!BD40+[4]BOA!BD40+'[4]STA MARIA'!BD40+'[4]CB I'!BD40+'[4]CB II'!BD40+'[4]CB III'!BD40+[4]IG!BD40+[4]PN!BD40+[4]MJ!BD40+'[4]RB I'!BD40+'[4]SF I'!BD40</f>
        <v>5616.6386883441601</v>
      </c>
      <c r="BE40" s="226">
        <f>+[4]SLP!BE40+[4]ROSA!BE40+'[4]STA ANA'!BE40+[4]BOA!BE40+'[4]STA MARIA'!BE40+'[4]CB I'!BE40+'[4]CB II'!BE40+'[4]CB III'!BE40+[4]IG!BE40+[4]PN!BE40+[4]MJ!BE40+'[4]RB I'!BE40+'[4]SF I'!BE40</f>
        <v>0</v>
      </c>
      <c r="BF40" s="226">
        <f>+[4]SLP!BF40+[4]ROSA!BF40+'[4]STA ANA'!BF40+[4]BOA!BF40+'[4]STA MARIA'!BF40+'[4]CB I'!BF40+'[4]CB II'!BF40+'[4]CB III'!BF40+[4]IG!BF40+[4]PN!BF40+[4]MJ!BF40+'[4]RB I'!BF40+'[4]SF I'!BF40</f>
        <v>0</v>
      </c>
      <c r="BG40" s="166">
        <f>+[4]SLP!BG40+[4]ROSA!BG40+'[4]STA ANA'!BG40+[4]BOA!BG40+'[4]STA MARIA'!BG40+'[4]CB I'!BG40+'[4]CB II'!BG40+'[4]CB III'!BG40+[4]IG!BG40+[4]PN!BG40+[4]MJ!BG40+'[4]RB I'!BG40+'[4]SÃO FRANCISCO'!BG40</f>
        <v>0</v>
      </c>
      <c r="BH40" s="224">
        <f t="shared" si="9"/>
        <v>-1</v>
      </c>
      <c r="BI40" s="225">
        <f>+[4]SLP!BI40+[4]ROSA!BI40+'[4]STA ANA'!BI40+[4]BOA!BI40+'[4]STA MARIA'!BI40+'[4]CB I'!BI40+'[4]CB II'!BI40+'[4]CB III'!BI40+[4]IG!BI40+[4]PN!BI40+[4]MJ!BI40+'[4]RB I'!BI40+'[4]SF I'!BI40</f>
        <v>45700.88436406965</v>
      </c>
      <c r="BJ40" s="226">
        <f>+[4]SLP!BJ40+[4]ROSA!BJ40+'[4]STA ANA'!BJ40+[4]BOA!BJ40+'[4]STA MARIA'!BJ40+'[4]CB I'!BJ40+'[4]CB II'!BJ40+'[4]CB III'!BJ40+[4]IG!BJ40+[4]PN!BJ40+[4]MJ!BJ40+'[4]RB I'!BJ40+'[4]SF I'!BJ40</f>
        <v>40084.245675725491</v>
      </c>
      <c r="BK40" s="226">
        <f>+[4]SLP!BK40+[4]ROSA!BK40+'[4]STA ANA'!BK40+[4]BOA!BK40+'[4]STA MARIA'!BK40+'[4]CB I'!BK40+'[4]CB II'!BK40+'[4]CB III'!BK40+[4]IG!BK40+[4]PN!BK40+[4]MJ!BK40+'[4]RB I'!BK40+'[4]SF I'!BK40</f>
        <v>5616.6386883441601</v>
      </c>
      <c r="BL40" s="226">
        <f>+[4]SLP!BL40+[4]ROSA!BL40+'[4]STA ANA'!BL40+[4]BOA!BL40+'[4]STA MARIA'!BL40+'[4]CB I'!BL40+'[4]CB II'!BL40+'[4]CB III'!BL40+[4]IG!BL40+[4]PN!BL40+[4]MJ!BL40+'[4]RB I'!BL40+'[4]SF I'!BL40</f>
        <v>0</v>
      </c>
      <c r="BM40" s="226">
        <f>+[4]SLP!BM40+[4]ROSA!BM40+'[4]STA ANA'!BM40+[4]BOA!BM40+'[4]STA MARIA'!BM40+'[4]CB I'!BM40+'[4]CB II'!BM40+'[4]CB III'!BM40+[4]IG!BM40+[4]PN!BM40+[4]MJ!BM40+'[4]RB I'!BM40+'[4]SF I'!BM40</f>
        <v>0</v>
      </c>
      <c r="BN40" s="166">
        <f>+[4]SLP!BN40+[4]ROSA!BN40+'[4]STA ANA'!BN40+[4]BOA!BN40+'[4]STA MARIA'!BN40+'[4]CB I'!BN40+'[4]CB II'!BN40+'[4]CB III'!BN40+[4]IG!BN40+[4]PN!BN40+[4]MJ!BN40+'[4]RB I'!BN40+'[4]SÃO FRANCISCO'!BN40</f>
        <v>0</v>
      </c>
      <c r="BO40" s="224">
        <f t="shared" si="10"/>
        <v>-1</v>
      </c>
      <c r="BP40" s="225">
        <f>+[4]SLP!BP40+[4]ROSA!BP40+'[4]STA ANA'!BP40+[4]BOA!BP40+'[4]STA MARIA'!BP40+'[4]CB I'!BP40+'[4]CB II'!BP40+'[4]CB III'!BP40+[4]IG!BP40+[4]PN!BP40+[4]MJ!BP40+'[4]RB I'!BP40+'[4]SF I'!BP40</f>
        <v>45700.88436406965</v>
      </c>
      <c r="BQ40" s="226">
        <f>+[4]SLP!BQ40+[4]ROSA!BQ40+'[4]STA ANA'!BQ40+[4]BOA!BQ40+'[4]STA MARIA'!BQ40+'[4]CB I'!BQ40+'[4]CB II'!BQ40+'[4]CB III'!BQ40+[4]IG!BQ40+[4]PN!BQ40+[4]MJ!BQ40+'[4]RB I'!BQ40+'[4]SF I'!BQ40</f>
        <v>40084.245675725491</v>
      </c>
      <c r="BR40" s="226">
        <f>+[4]SLP!BR40+[4]ROSA!BR40+'[4]STA ANA'!BR40+[4]BOA!BR40+'[4]STA MARIA'!BR40+'[4]CB I'!BR40+'[4]CB II'!BR40+'[4]CB III'!BR40+[4]IG!BR40+[4]PN!BR40+[4]MJ!BR40+'[4]RB I'!BR40+'[4]SF I'!BR40</f>
        <v>5616.6386883441601</v>
      </c>
      <c r="BS40" s="226">
        <f>+[4]SLP!BS40+[4]ROSA!BS40+'[4]STA ANA'!BS40+[4]BOA!BS40+'[4]STA MARIA'!BS40+'[4]CB I'!BS40+'[4]CB II'!BS40+'[4]CB III'!BS40+[4]IG!BS40+[4]PN!BS40+[4]MJ!BS40+'[4]RB I'!BS40+'[4]SF I'!BS40</f>
        <v>0</v>
      </c>
      <c r="BT40" s="226">
        <f>+[4]SLP!BT40+[4]ROSA!BT40+'[4]STA ANA'!BT40+[4]BOA!BT40+'[4]STA MARIA'!BT40+'[4]CB I'!BT40+'[4]CB II'!BT40+'[4]CB III'!BT40+[4]IG!BT40+[4]PN!BT40+[4]MJ!BT40+'[4]RB I'!BT40+'[4]SF I'!BT40</f>
        <v>0</v>
      </c>
      <c r="BU40" s="166">
        <f>+[4]SLP!BU40+[4]ROSA!BU40+'[4]STA ANA'!BU40+[4]BOA!BU40+'[4]STA MARIA'!BU40+'[4]CB I'!BU40+'[4]CB II'!BU40+'[4]CB III'!BU40+[4]IG!BU40+[4]PN!BU40+[4]MJ!BU40+'[4]RB I'!BU40+'[4]SÃO FRANCISCO'!BU40</f>
        <v>0</v>
      </c>
      <c r="BV40" s="224">
        <f t="shared" si="11"/>
        <v>-1</v>
      </c>
      <c r="BW40" s="225">
        <f>+[4]SLP!BW40+[4]ROSA!BW40+'[4]STA ANA'!BW40+[4]BOA!BW40+'[4]STA MARIA'!BW40+'[4]CB I'!BW40+'[4]CB II'!BW40+'[4]CB III'!BW40+[4]IG!BW40+[4]PN!BW40+[4]MJ!BW40+'[4]RB I'!BW40+'[4]SF I'!BW40</f>
        <v>45700.88436406965</v>
      </c>
      <c r="BX40" s="226">
        <f>+[4]SLP!BX40+[4]ROSA!BX40+'[4]STA ANA'!BX40+[4]BOA!BX40+'[4]STA MARIA'!BX40+'[4]CB I'!BX40+'[4]CB II'!BX40+'[4]CB III'!BX40+[4]IG!BX40+[4]PN!BX40+[4]MJ!BX40+'[4]RB I'!BX40+'[4]SF I'!BX40</f>
        <v>40084.245675725491</v>
      </c>
      <c r="BY40" s="226">
        <f>+[4]SLP!BY40+[4]ROSA!BY40+'[4]STA ANA'!BY40+[4]BOA!BY40+'[4]STA MARIA'!BY40+'[4]CB I'!BY40+'[4]CB II'!BY40+'[4]CB III'!BY40+[4]IG!BY40+[4]PN!BY40+[4]MJ!BY40+'[4]RB I'!BY40+'[4]SF I'!BY40</f>
        <v>5616.6386883441601</v>
      </c>
      <c r="BZ40" s="226">
        <f>+[4]SLP!BZ40+[4]ROSA!BZ40+'[4]STA ANA'!BZ40+[4]BOA!BZ40+'[4]STA MARIA'!BZ40+'[4]CB I'!BZ40+'[4]CB II'!BZ40+'[4]CB III'!BZ40+[4]IG!BZ40+[4]PN!BZ40+[4]MJ!BZ40+'[4]RB I'!BZ40+'[4]SF I'!BZ40</f>
        <v>0</v>
      </c>
      <c r="CA40" s="226">
        <f>+[4]SLP!CA40+[4]ROSA!CA40+'[4]STA ANA'!CA40+[4]BOA!CA40+'[4]STA MARIA'!CA40+'[4]CB I'!CA40+'[4]CB II'!CA40+'[4]CB III'!CA40+[4]IG!CA40+[4]PN!CA40+[4]MJ!CA40+'[4]RB I'!CA40+'[4]SF I'!CA40</f>
        <v>0</v>
      </c>
      <c r="CB40" s="166">
        <f>+[4]SLP!CB40+[4]ROSA!CB40+'[4]STA ANA'!CB40+[4]BOA!CB40+'[4]STA MARIA'!CB40+'[4]CB I'!CB40+'[4]CB II'!CB40+'[4]CB III'!CB40+[4]IG!CB40+[4]PN!CB40+[4]MJ!CB40+'[4]RB I'!CB40+'[4]SÃO FRANCISCO'!CB40</f>
        <v>0</v>
      </c>
      <c r="CC40" s="224">
        <f t="shared" si="12"/>
        <v>-1</v>
      </c>
      <c r="CD40" s="225">
        <f>+[4]SLP!CD40+[4]ROSA!CD40+'[4]STA ANA'!CD40+[4]BOA!CD40+'[4]STA MARIA'!CD40+'[4]CB I'!CD40+'[4]CB II'!CD40+'[4]CB III'!CD40+[4]IG!CD40+[4]PN!CD40+[4]MJ!CD40+'[4]RB I'!CD40+'[4]SF I'!CD40</f>
        <v>45700.88436406965</v>
      </c>
      <c r="CE40" s="226">
        <f>+[4]SLP!CE40+[4]ROSA!CE40+'[4]STA ANA'!CE40+[4]BOA!CE40+'[4]STA MARIA'!CE40+'[4]CB I'!CE40+'[4]CB II'!CE40+'[4]CB III'!CE40+[4]IG!CE40+[4]PN!CE40+[4]MJ!CE40+'[4]RB I'!CE40+'[4]SF I'!CE40</f>
        <v>40084.245675725491</v>
      </c>
      <c r="CF40" s="226">
        <f>+[4]SLP!CF40+[4]ROSA!CF40+'[4]STA ANA'!CF40+[4]BOA!CF40+'[4]STA MARIA'!CF40+'[4]CB I'!CF40+'[4]CB II'!CF40+'[4]CB III'!CF40+[4]IG!CF40+[4]PN!CF40+[4]MJ!CF40+'[4]RB I'!CF40+'[4]SF I'!CF40</f>
        <v>5616.6386883441601</v>
      </c>
      <c r="CG40" s="226">
        <f>+[4]SLP!CG40+[4]ROSA!CG40+'[4]STA ANA'!CG40+[4]BOA!CG40+'[4]STA MARIA'!CG40+'[4]CB I'!CG40+'[4]CB II'!CG40+'[4]CB III'!CG40+[4]IG!CG40+[4]PN!CG40+[4]MJ!CG40+'[4]RB I'!CG40+'[4]SF I'!CG40</f>
        <v>0</v>
      </c>
      <c r="CH40" s="226">
        <f>+[4]SLP!CH40+[4]ROSA!CH40+'[4]STA ANA'!CH40+[4]BOA!CH40+'[4]STA MARIA'!CH40+'[4]CB I'!CH40+'[4]CB II'!CH40+'[4]CB III'!CH40+[4]IG!CH40+[4]PN!CH40+[4]MJ!CH40+'[4]RB I'!CH40+'[4]SF I'!CH40</f>
        <v>0</v>
      </c>
      <c r="CI40" s="166">
        <f>+[4]SLP!CI40+[4]ROSA!CI40+'[4]STA ANA'!CI40+[4]BOA!CI40+'[4]STA MARIA'!CI40+'[4]CB I'!CI40+'[4]CB II'!CI40+'[4]CB III'!CI40+[4]IG!CI40+[4]PN!CI40+[4]MJ!CI40+'[4]RB I'!CI40+'[4]SÃO FRANCISCO'!CI40</f>
        <v>0</v>
      </c>
      <c r="CJ40" s="224">
        <f t="shared" si="13"/>
        <v>-1</v>
      </c>
      <c r="CK40" s="225">
        <f>+[4]SLP!CK40+[4]ROSA!CK40+'[4]STA ANA'!CK40+[4]BOA!CK40+'[4]STA MARIA'!CK40+'[4]CB I'!CK40+'[4]CB II'!CK40+'[4]CB III'!CK40+[4]IG!CK40+[4]PN!CK40+[4]MJ!CK40+'[4]RB I'!CK40+'[4]SF I'!CK40</f>
        <v>45700.88436406965</v>
      </c>
      <c r="CL40" s="226">
        <f>+[4]SLP!CL40+[4]ROSA!CL40+'[4]STA ANA'!CL40+[4]BOA!CL40+'[4]STA MARIA'!CL40+'[4]CB I'!CL40+'[4]CB II'!CL40+'[4]CB III'!CL40+[4]IG!CL40+[4]PN!CL40+[4]MJ!CL40+'[4]RB I'!CL40+'[4]SF I'!CL40</f>
        <v>40084.245675725491</v>
      </c>
      <c r="CM40" s="226">
        <f>+[4]SLP!CM40+[4]ROSA!CM40+'[4]STA ANA'!CM40+[4]BOA!CM40+'[4]STA MARIA'!CM40+'[4]CB I'!CM40+'[4]CB II'!CM40+'[4]CB III'!CM40+[4]IG!CM40+[4]PN!CM40+[4]MJ!CM40+'[4]RB I'!CM40+'[4]SF I'!CM40</f>
        <v>5616.6386883441601</v>
      </c>
      <c r="CN40" s="226">
        <f>+[4]SLP!CN40+[4]ROSA!CN40+'[4]STA ANA'!CN40+[4]BOA!CN40+'[4]STA MARIA'!CN40+'[4]CB I'!CN40+'[4]CB II'!CN40+'[4]CB III'!CN40+[4]IG!CN40+[4]PN!CN40+[4]MJ!CN40+'[4]RB I'!CN40+'[4]SF I'!CN40</f>
        <v>0</v>
      </c>
      <c r="CO40" s="226">
        <f>+[4]SLP!CO40+[4]ROSA!CO40+'[4]STA ANA'!CO40+[4]BOA!CO40+'[4]STA MARIA'!CO40+'[4]CB I'!CO40+'[4]CB II'!CO40+'[4]CB III'!CO40+[4]IG!CO40+[4]PN!CO40+[4]MJ!CO40+'[4]RB I'!CO40+'[4]SF I'!CO40</f>
        <v>0</v>
      </c>
      <c r="CP40" s="166">
        <f>+[4]SLP!CP40+[4]ROSA!CP40+'[4]STA ANA'!CP40+[4]BOA!CP40+'[4]STA MARIA'!CP40+'[4]CB I'!CP40+'[4]CB II'!CP40+'[4]CB III'!CP40+[4]IG!CP40+[4]PN!CP40+[4]MJ!CP40+'[4]RB I'!CP40+'[4]SÃO FRANCISCO'!CP40</f>
        <v>0</v>
      </c>
      <c r="CQ40" s="224">
        <f t="shared" si="14"/>
        <v>-1</v>
      </c>
      <c r="CR40" s="155"/>
      <c r="CS40" s="227" t="e">
        <f t="shared" si="15"/>
        <v>#VALUE!</v>
      </c>
    </row>
    <row r="41" spans="1:97" ht="16" customHeight="1" x14ac:dyDescent="0.2">
      <c r="A41" s="223" t="s">
        <v>65</v>
      </c>
      <c r="B41" s="30">
        <f t="shared" si="17"/>
        <v>5040981.9966867808</v>
      </c>
      <c r="C41" s="31">
        <f t="shared" si="17"/>
        <v>4421445.3092939761</v>
      </c>
      <c r="D41" s="32">
        <f t="shared" si="17"/>
        <v>619536.68739280535</v>
      </c>
      <c r="E41" s="30">
        <f t="shared" si="19"/>
        <v>1680327.3322289269</v>
      </c>
      <c r="F41" s="33">
        <f t="shared" si="19"/>
        <v>1473815.103097992</v>
      </c>
      <c r="G41" s="34">
        <f t="shared" si="19"/>
        <v>206512.22913093513</v>
      </c>
      <c r="H41" s="31">
        <f t="shared" si="18"/>
        <v>1553958.9473055936</v>
      </c>
      <c r="I41" s="33">
        <f t="shared" si="18"/>
        <v>126368.38492333333</v>
      </c>
      <c r="J41" s="33">
        <f t="shared" si="18"/>
        <v>1680327.3322289269</v>
      </c>
      <c r="K41" s="224">
        <f t="shared" si="2"/>
        <v>0</v>
      </c>
      <c r="L41" s="225">
        <f>+[4]SLP!L41+[4]ROSA!L41+'[4]STA ANA'!L41+[4]BOA!L41+'[4]STA MARIA'!L41+'[4]CB I'!L41+'[4]CB II'!L41+'[4]CB III'!L41+[4]IG!L41+[4]PN!L41+[4]MJ!L41+'[4]RB I'!L41+'[4]SF I'!L41</f>
        <v>420081.83305723174</v>
      </c>
      <c r="M41" s="226">
        <f>+[4]SLP!M41+[4]ROSA!M41+'[4]STA ANA'!M41+[4]BOA!M41+'[4]STA MARIA'!M41+'[4]CB I'!M41+'[4]CB II'!M41+'[4]CB III'!M41+[4]IG!M41+[4]PN!M41+[4]MJ!M41+'[4]RB I'!M41+'[4]SF I'!M41</f>
        <v>368453.775774498</v>
      </c>
      <c r="N41" s="226">
        <f>+[4]SLP!N41+[4]ROSA!N41+'[4]STA ANA'!N41+[4]BOA!N41+'[4]STA MARIA'!N41+'[4]CB I'!N41+'[4]CB II'!N41+'[4]CB III'!N41+[4]IG!N41+[4]PN!N41+[4]MJ!N41+'[4]RB I'!N41+'[4]SF I'!N41</f>
        <v>51628.057282733782</v>
      </c>
      <c r="O41" s="226">
        <f>+[4]SLP!O41+[4]ROSA!O41+'[4]STA ANA'!O41+[4]BOA!O41+'[4]STA MARIA'!O41+'[4]CB I'!O41+'[4]CB II'!O41+'[4]CB III'!O41+[4]IG!O41+[4]PN!O41+[4]MJ!O41+'[4]RB I'!O41+'[4]SF I'!O41</f>
        <v>388489.73682639841</v>
      </c>
      <c r="P41" s="226">
        <f>+[4]SLP!P41+[4]ROSA!P41+'[4]STA ANA'!P41+[4]BOA!P41+'[4]STA MARIA'!P41+'[4]CB I'!P41+'[4]CB II'!P41+'[4]CB III'!P41+[4]IG!P41+[4]PN!P41+[4]MJ!P41+'[4]RB I'!P41+'[4]SF I'!P41</f>
        <v>31592.096230833333</v>
      </c>
      <c r="Q41" s="166">
        <f>+[4]SLP!Q41+[4]ROSA!Q41+'[4]STA ANA'!Q41+[4]BOA!Q41+'[4]STA MARIA'!Q41+'[4]CB I'!Q41+'[4]CB II'!Q41+'[4]CB III'!Q41+[4]IG!Q41+[4]PN!Q41+[4]MJ!Q41+'[4]RB I'!Q41+'[4]SF I'!Q41</f>
        <v>420081.83305723174</v>
      </c>
      <c r="R41" s="224">
        <f t="shared" si="3"/>
        <v>0</v>
      </c>
      <c r="S41" s="225">
        <f>+[4]SLP!S41+[4]ROSA!S41+'[4]STA ANA'!S41+[4]BOA!S41+'[4]STA MARIA'!S41+'[4]CB I'!S41+'[4]CB II'!S41+'[4]CB III'!S41+[4]IG!S41+[4]PN!S41+[4]MJ!S41+'[4]RB I'!S41+'[4]SF I'!S41</f>
        <v>420081.83305723174</v>
      </c>
      <c r="T41" s="226">
        <f>+[4]SLP!T41+[4]ROSA!T41+'[4]STA ANA'!T41+[4]BOA!T41+'[4]STA MARIA'!T41+'[4]CB I'!T41+'[4]CB II'!T41+'[4]CB III'!T41+[4]IG!T41+[4]PN!T41+[4]MJ!T41+'[4]RB I'!T41+'[4]SF I'!T41</f>
        <v>368453.775774498</v>
      </c>
      <c r="U41" s="226">
        <f>+[4]SLP!U41+[4]ROSA!U41+'[4]STA ANA'!U41+[4]BOA!U41+'[4]STA MARIA'!U41+'[4]CB I'!U41+'[4]CB II'!U41+'[4]CB III'!U41+[4]IG!U41+[4]PN!U41+[4]MJ!U41+'[4]RB I'!U41+'[4]SF I'!U41</f>
        <v>51628.057282733782</v>
      </c>
      <c r="V41" s="226">
        <f>+[4]SLP!V41+[4]ROSA!V41+'[4]STA ANA'!V41+[4]BOA!V41+'[4]STA MARIA'!V41+'[4]CB I'!V41+'[4]CB II'!V41+'[4]CB III'!V41+[4]IG!V41+[4]PN!V41+[4]MJ!V41+'[4]RB I'!V41+'[4]SF I'!V41</f>
        <v>388489.73682639841</v>
      </c>
      <c r="W41" s="226">
        <f>+[4]SLP!W41+[4]ROSA!W41+'[4]STA ANA'!W41+[4]BOA!W41+'[4]STA MARIA'!W41+'[4]CB I'!W41+'[4]CB II'!W41+'[4]CB III'!W41+[4]IG!W41+[4]PN!W41+[4]MJ!W41+'[4]RB I'!W41+'[4]SF I'!W41</f>
        <v>31592.096230833333</v>
      </c>
      <c r="X41" s="166">
        <f>[4]SLP!X41+[4]ROSA!X41+'[4]STA ANA'!X41+[4]BOA!X41+'[4]STA MARIA'!X41+'[4]CB I'!X41+'[4]CB II'!X41+'[4]CB III'!X41+[4]IG!X41+[4]PN!X41+[4]MJ!X41+'[4]RB I'!X41+'[4]SF I'!X41</f>
        <v>420081.83305723174</v>
      </c>
      <c r="Y41" s="224">
        <f t="shared" si="4"/>
        <v>0</v>
      </c>
      <c r="Z41" s="225">
        <f>+[4]SLP!Z41+[4]ROSA!Z41+'[4]STA ANA'!Z41+[4]BOA!Z41+'[4]STA MARIA'!Z41+'[4]CB I'!Z41+'[4]CB II'!Z41+'[4]CB III'!Z41+[4]IG!Z41+[4]PN!Z41+[4]MJ!Z41+'[4]RB I'!Z41+'[4]SF I'!Z41</f>
        <v>420081.83305723174</v>
      </c>
      <c r="AA41" s="226">
        <f>+[4]SLP!AA41+[4]ROSA!AA41+'[4]STA ANA'!AA41+[4]BOA!AA41+'[4]STA MARIA'!AA41+'[4]CB I'!AA41+'[4]CB II'!AA41+'[4]CB III'!AA41+[4]IG!AA41+[4]PN!AA41+[4]MJ!AA41+'[4]RB I'!AA41+'[4]SF I'!AA41</f>
        <v>368453.775774498</v>
      </c>
      <c r="AB41" s="226">
        <f>+[4]SLP!AB41+[4]ROSA!AB41+'[4]STA ANA'!AB41+[4]BOA!AB41+'[4]STA MARIA'!AB41+'[4]CB I'!AB41+'[4]CB II'!AB41+'[4]CB III'!AB41+[4]IG!AB41+[4]PN!AB41+[4]MJ!AB41+'[4]RB I'!AB41+'[4]SF I'!AB41</f>
        <v>51628.057282733782</v>
      </c>
      <c r="AC41" s="226">
        <f>+[4]SLP!AC41+[4]ROSA!AC41+'[4]STA ANA'!AC41+[4]BOA!AC41+'[4]STA MARIA'!AC41+'[4]CB I'!AC41+'[4]CB II'!AC41+'[4]CB III'!AC41+[4]IG!AC41+[4]PN!AC41+[4]MJ!AC41+'[4]RB I'!AC41+'[4]SF I'!AC41</f>
        <v>388489.73682639841</v>
      </c>
      <c r="AD41" s="226">
        <f>+[4]SLP!AD41+[4]ROSA!AD41+'[4]STA ANA'!AD41+[4]BOA!AD41+'[4]STA MARIA'!AD41+'[4]CB I'!AD41+'[4]CB II'!AD41+'[4]CB III'!AD41+[4]IG!AD41+[4]PN!AD41+[4]MJ!AD41+'[4]RB I'!AD41+'[4]SF I'!AD41</f>
        <v>31592.096230833333</v>
      </c>
      <c r="AE41" s="166">
        <f>+[4]SLP!AE41+[4]ROSA!AE41+'[4]STA ANA'!AE41+[4]BOA!AE41+'[4]STA MARIA'!AE41+'[4]CB I'!AE41+'[4]CB II'!AE41+'[4]CB III'!AE41+[4]IG!AE41+[4]PN!AE41+[4]MJ!AE41+'[4]RB I'!AE41+'[4]SF I'!AE41</f>
        <v>420081.83305723174</v>
      </c>
      <c r="AF41" s="224">
        <f t="shared" si="5"/>
        <v>0</v>
      </c>
      <c r="AG41" s="225">
        <f>+[4]SLP!AG41+[4]ROSA!AG41+'[4]STA ANA'!AG41+[4]BOA!AG41+'[4]STA MARIA'!AG41+'[4]CB I'!AG41+'[4]CB II'!AG41+'[4]CB III'!AG41+[4]IG!AG41+[4]PN!AG41+[4]MJ!AG41+'[4]RB I'!AG41+'[4]SF I'!AG41</f>
        <v>420081.83305723174</v>
      </c>
      <c r="AH41" s="226">
        <f>+[4]SLP!AH41+[4]ROSA!AH41+'[4]STA ANA'!AH41+[4]BOA!AH41+'[4]STA MARIA'!AH41+'[4]CB I'!AH41+'[4]CB II'!AH41+'[4]CB III'!AH41+[4]IG!AH41+[4]PN!AH41+[4]MJ!AH41+'[4]RB I'!AH41+'[4]SF I'!AH41</f>
        <v>368453.775774498</v>
      </c>
      <c r="AI41" s="226">
        <f>+[4]SLP!AI41+[4]ROSA!AI41+'[4]STA ANA'!AI41+[4]BOA!AI41+'[4]STA MARIA'!AI41+'[4]CB I'!AI41+'[4]CB II'!AI41+'[4]CB III'!AI41+[4]IG!AI41+[4]PN!AI41+[4]MJ!AI41+'[4]RB I'!AI41+'[4]SF I'!AI41</f>
        <v>51628.057282733782</v>
      </c>
      <c r="AJ41" s="226">
        <f>+[4]SLP!AJ41+[4]ROSA!AJ41+'[4]STA ANA'!AJ41+[4]BOA!AJ41+'[4]STA MARIA'!AJ41+'[4]CB I'!AJ41+'[4]CB II'!AJ41+'[4]CB III'!AJ41+[4]IG!AJ41+[4]PN!AJ41+[4]MJ!AJ41+'[4]RB I'!AJ41+'[4]SF I'!AJ41</f>
        <v>388489.73682639841</v>
      </c>
      <c r="AK41" s="226">
        <f>+[4]SLP!AK41+[4]ROSA!AK41+'[4]STA ANA'!AK41+[4]BOA!AK41+'[4]STA MARIA'!AK41+'[4]CB I'!AK41+'[4]CB II'!AK41+'[4]CB III'!AK41+[4]IG!AK41+[4]PN!AK41+[4]MJ!AK41+'[4]RB I'!AK41+'[4]SF I'!AK41</f>
        <v>31592.096230833333</v>
      </c>
      <c r="AL41" s="166">
        <f>+[4]SLP!AL41+[4]ROSA!AL41+'[4]STA ANA'!AL41+[4]BOA!AL41+'[4]STA MARIA'!AL41+'[4]CB I'!AL41+'[4]CB II'!AL41+'[4]CB III'!AL41+[4]IG!AL41+[4]PN!AL41+[4]MJ!AL41+'[4]RB I'!AL41+'[4]SF I'!AL41</f>
        <v>420081.83305723174</v>
      </c>
      <c r="AM41" s="224">
        <f t="shared" si="6"/>
        <v>0</v>
      </c>
      <c r="AN41" s="225">
        <f>+[4]SLP!AN41+[4]ROSA!AN41+'[4]STA ANA'!AN41+[4]BOA!AN41+'[4]STA MARIA'!AN41+'[4]CB I'!AN41+'[4]CB II'!AN41+'[4]CB III'!AN41+[4]IG!AN41+[4]PN!AN41+[4]MJ!AN41+'[4]RB I'!AN41+'[4]SF I'!AN41</f>
        <v>420081.83305723174</v>
      </c>
      <c r="AO41" s="226">
        <f>+[4]SLP!AO41+[4]ROSA!AO41+'[4]STA ANA'!AO41+[4]BOA!AO41+'[4]STA MARIA'!AO41+'[4]CB I'!AO41+'[4]CB II'!AO41+'[4]CB III'!AO41+[4]IG!AO41+[4]PN!AO41+[4]MJ!AO41+'[4]RB I'!AO41+'[4]SF I'!AO41</f>
        <v>368453.775774498</v>
      </c>
      <c r="AP41" s="226">
        <f>+[4]SLP!AP41+[4]ROSA!AP41+'[4]STA ANA'!AP41+[4]BOA!AP41+'[4]STA MARIA'!AP41+'[4]CB I'!AP41+'[4]CB II'!AP41+'[4]CB III'!AP41+[4]IG!AP41+[4]PN!AP41+[4]MJ!AP41+'[4]RB I'!AP41+'[4]SF I'!AP41</f>
        <v>51628.057282733782</v>
      </c>
      <c r="AQ41" s="226">
        <f>+[4]SLP!AQ41+[4]ROSA!AQ41+'[4]STA ANA'!AQ41+[4]BOA!AQ41+'[4]STA MARIA'!AQ41+'[4]CB I'!AQ41+'[4]CB II'!AQ41+'[4]CB III'!AQ41+[4]IG!AQ41+[4]PN!AQ41+[4]MJ!AQ41+'[4]RB I'!AQ41+'[4]SF I'!AQ41</f>
        <v>0</v>
      </c>
      <c r="AR41" s="226">
        <f>+[4]SLP!AR41+[4]ROSA!AR41+'[4]STA ANA'!AR41+[4]BOA!AR41+'[4]STA MARIA'!AR41+'[4]CB I'!AR41+'[4]CB II'!AR41+'[4]CB III'!AR41+[4]IG!AR41+[4]PN!AR41+[4]MJ!AR41+'[4]RB I'!AR41+'[4]SF I'!AR41</f>
        <v>0</v>
      </c>
      <c r="AS41" s="166">
        <f>+[4]SLP!AS41+[4]ROSA!AS41+'[4]STA ANA'!AS41+[4]BOA!AS41+'[4]STA MARIA'!AS41+'[4]CB I'!AS41+'[4]CB II'!AS41+'[4]CB III'!AS41+[4]IG!AS41+[4]PN!AS41+[4]MJ!AS41+'[4]RB I'!AS41+'[4]SÃO FRANCISCO'!AS41</f>
        <v>0</v>
      </c>
      <c r="AT41" s="224">
        <f t="shared" si="7"/>
        <v>-1</v>
      </c>
      <c r="AU41" s="225">
        <f>+[4]SLP!AU41+[4]ROSA!AU41+'[4]STA ANA'!AU41+[4]BOA!AU41+'[4]STA MARIA'!AU41+'[4]CB I'!AU41+'[4]CB II'!AU41+'[4]CB III'!AU41+[4]IG!AU41+[4]PN!AU41+[4]MJ!AU41+'[4]RB I'!AU41+'[4]SF I'!AU41</f>
        <v>420081.83305723174</v>
      </c>
      <c r="AV41" s="226">
        <f>+[4]SLP!AV41+[4]ROSA!AV41+'[4]STA ANA'!AV41+[4]BOA!AV41+'[4]STA MARIA'!AV41+'[4]CB I'!AV41+'[4]CB II'!AV41+'[4]CB III'!AV41+[4]IG!AV41+[4]PN!AV41+[4]MJ!AV41+'[4]RB I'!AV41+'[4]SF I'!AV41</f>
        <v>368453.775774498</v>
      </c>
      <c r="AW41" s="226">
        <f>+[4]SLP!AW41+[4]ROSA!AW41+'[4]STA ANA'!AW41+[4]BOA!AW41+'[4]STA MARIA'!AW41+'[4]CB I'!AW41+'[4]CB II'!AW41+'[4]CB III'!AW41+[4]IG!AW41+[4]PN!AW41+[4]MJ!AW41+'[4]RB I'!AW41+'[4]SF I'!AW41</f>
        <v>51628.057282733782</v>
      </c>
      <c r="AX41" s="226">
        <f>+[4]SLP!AX41+[4]ROSA!AX41+'[4]STA ANA'!AX41+[4]BOA!AX41+'[4]STA MARIA'!AX41+'[4]CB I'!AX41+'[4]CB II'!AX41+'[4]CB III'!AX41+[4]IG!AX41+[4]PN!AX41+[4]MJ!AX41+'[4]RB I'!AX41+'[4]SF I'!AX41</f>
        <v>0</v>
      </c>
      <c r="AY41" s="226">
        <f>+[4]SLP!AY41+[4]ROSA!AY41+'[4]STA ANA'!AY41+[4]BOA!AY41+'[4]STA MARIA'!AY41+'[4]CB I'!AY41+'[4]CB II'!AY41+'[4]CB III'!AY41+[4]IG!AY41+[4]PN!AY41+[4]MJ!AY41+'[4]RB I'!AY41+'[4]SF I'!AY41</f>
        <v>0</v>
      </c>
      <c r="AZ41" s="166">
        <f>+[4]SLP!AZ41+[4]ROSA!AZ41+'[4]STA ANA'!AZ41+[4]BOA!AZ41+'[4]STA MARIA'!AZ41+'[4]CB I'!AZ41+'[4]CB II'!AZ41+[4]IG!AZ41+[4]PN!AZ41+[4]MJ!AZ41+'[4]RB I'!AZ41+'[4]SÃO FRANCISCO'!AZ41</f>
        <v>0</v>
      </c>
      <c r="BA41" s="224">
        <f t="shared" si="8"/>
        <v>-1</v>
      </c>
      <c r="BB41" s="225">
        <f>+[4]SLP!BB41+[4]ROSA!BB41+'[4]STA ANA'!BB41+[4]BOA!BB41+'[4]STA MARIA'!BB41+'[4]CB I'!BB41+'[4]CB II'!BB41+'[4]CB III'!BB41+[4]IG!BB41+[4]PN!BB41+[4]MJ!BB41+'[4]RB I'!BB41+'[4]SF I'!BB41</f>
        <v>420081.83305723174</v>
      </c>
      <c r="BC41" s="226">
        <f>+[4]SLP!BC41+[4]ROSA!BC41+'[4]STA ANA'!BC41+[4]BOA!BC41+'[4]STA MARIA'!BC41+'[4]CB I'!BC41+'[4]CB II'!BC41+'[4]CB III'!BC41+[4]IG!BC41+[4]PN!BC41+[4]MJ!BC41+'[4]RB I'!BC41+'[4]SF I'!BC41</f>
        <v>368453.775774498</v>
      </c>
      <c r="BD41" s="226">
        <f>+[4]SLP!BD41+[4]ROSA!BD41+'[4]STA ANA'!BD41+[4]BOA!BD41+'[4]STA MARIA'!BD41+'[4]CB I'!BD41+'[4]CB II'!BD41+'[4]CB III'!BD41+[4]IG!BD41+[4]PN!BD41+[4]MJ!BD41+'[4]RB I'!BD41+'[4]SF I'!BD41</f>
        <v>51628.057282733782</v>
      </c>
      <c r="BE41" s="226">
        <f>+[4]SLP!BE41+[4]ROSA!BE41+'[4]STA ANA'!BE41+[4]BOA!BE41+'[4]STA MARIA'!BE41+'[4]CB I'!BE41+'[4]CB II'!BE41+'[4]CB III'!BE41+[4]IG!BE41+[4]PN!BE41+[4]MJ!BE41+'[4]RB I'!BE41+'[4]SF I'!BE41</f>
        <v>0</v>
      </c>
      <c r="BF41" s="226">
        <f>+[4]SLP!BF41+[4]ROSA!BF41+'[4]STA ANA'!BF41+[4]BOA!BF41+'[4]STA MARIA'!BF41+'[4]CB I'!BF41+'[4]CB II'!BF41+'[4]CB III'!BF41+[4]IG!BF41+[4]PN!BF41+[4]MJ!BF41+'[4]RB I'!BF41+'[4]SF I'!BF41</f>
        <v>0</v>
      </c>
      <c r="BG41" s="166">
        <f>+[4]SLP!BG41+[4]ROSA!BG41+'[4]STA ANA'!BG41+[4]BOA!BG41+'[4]STA MARIA'!BG41+'[4]CB I'!BG41+'[4]CB II'!BG41+'[4]CB III'!BG41+[4]IG!BG41+[4]PN!BG41+[4]MJ!BG41+'[4]RB I'!BG41+'[4]SÃO FRANCISCO'!BG41</f>
        <v>0</v>
      </c>
      <c r="BH41" s="224">
        <f t="shared" si="9"/>
        <v>-1</v>
      </c>
      <c r="BI41" s="225">
        <f>+[4]SLP!BI41+[4]ROSA!BI41+'[4]STA ANA'!BI41+[4]BOA!BI41+'[4]STA MARIA'!BI41+'[4]CB I'!BI41+'[4]CB II'!BI41+'[4]CB III'!BI41+[4]IG!BI41+[4]PN!BI41+[4]MJ!BI41+'[4]RB I'!BI41+'[4]SF I'!BI41</f>
        <v>420081.83305723174</v>
      </c>
      <c r="BJ41" s="226">
        <f>+[4]SLP!BJ41+[4]ROSA!BJ41+'[4]STA ANA'!BJ41+[4]BOA!BJ41+'[4]STA MARIA'!BJ41+'[4]CB I'!BJ41+'[4]CB II'!BJ41+'[4]CB III'!BJ41+[4]IG!BJ41+[4]PN!BJ41+[4]MJ!BJ41+'[4]RB I'!BJ41+'[4]SF I'!BJ41</f>
        <v>368453.775774498</v>
      </c>
      <c r="BK41" s="226">
        <f>+[4]SLP!BK41+[4]ROSA!BK41+'[4]STA ANA'!BK41+[4]BOA!BK41+'[4]STA MARIA'!BK41+'[4]CB I'!BK41+'[4]CB II'!BK41+'[4]CB III'!BK41+[4]IG!BK41+[4]PN!BK41+[4]MJ!BK41+'[4]RB I'!BK41+'[4]SF I'!BK41</f>
        <v>51628.057282733782</v>
      </c>
      <c r="BL41" s="226">
        <f>+[4]SLP!BL41+[4]ROSA!BL41+'[4]STA ANA'!BL41+[4]BOA!BL41+'[4]STA MARIA'!BL41+'[4]CB I'!BL41+'[4]CB II'!BL41+'[4]CB III'!BL41+[4]IG!BL41+[4]PN!BL41+[4]MJ!BL41+'[4]RB I'!BL41+'[4]SF I'!BL41</f>
        <v>0</v>
      </c>
      <c r="BM41" s="226">
        <f>+[4]SLP!BM41+[4]ROSA!BM41+'[4]STA ANA'!BM41+[4]BOA!BM41+'[4]STA MARIA'!BM41+'[4]CB I'!BM41+'[4]CB II'!BM41+'[4]CB III'!BM41+[4]IG!BM41+[4]PN!BM41+[4]MJ!BM41+'[4]RB I'!BM41+'[4]SF I'!BM41</f>
        <v>0</v>
      </c>
      <c r="BN41" s="166">
        <f>+[4]SLP!BN41+[4]ROSA!BN41+'[4]STA ANA'!BN41+[4]BOA!BN41+'[4]STA MARIA'!BN41+'[4]CB I'!BN41+'[4]CB II'!BN41+'[4]CB III'!BN41+[4]IG!BN41+[4]PN!BN41+[4]MJ!BN41+'[4]RB I'!BN41+'[4]SÃO FRANCISCO'!BN41</f>
        <v>0</v>
      </c>
      <c r="BO41" s="224">
        <f t="shared" si="10"/>
        <v>-1</v>
      </c>
      <c r="BP41" s="225">
        <f>+[4]SLP!BP41+[4]ROSA!BP41+'[4]STA ANA'!BP41+[4]BOA!BP41+'[4]STA MARIA'!BP41+'[4]CB I'!BP41+'[4]CB II'!BP41+'[4]CB III'!BP41+[4]IG!BP41+[4]PN!BP41+[4]MJ!BP41+'[4]RB I'!BP41+'[4]SF I'!BP41</f>
        <v>420081.83305723174</v>
      </c>
      <c r="BQ41" s="226">
        <f>+[4]SLP!BQ41+[4]ROSA!BQ41+'[4]STA ANA'!BQ41+[4]BOA!BQ41+'[4]STA MARIA'!BQ41+'[4]CB I'!BQ41+'[4]CB II'!BQ41+'[4]CB III'!BQ41+[4]IG!BQ41+[4]PN!BQ41+[4]MJ!BQ41+'[4]RB I'!BQ41+'[4]SF I'!BQ41</f>
        <v>368453.775774498</v>
      </c>
      <c r="BR41" s="226">
        <f>+[4]SLP!BR41+[4]ROSA!BR41+'[4]STA ANA'!BR41+[4]BOA!BR41+'[4]STA MARIA'!BR41+'[4]CB I'!BR41+'[4]CB II'!BR41+'[4]CB III'!BR41+[4]IG!BR41+[4]PN!BR41+[4]MJ!BR41+'[4]RB I'!BR41+'[4]SF I'!BR41</f>
        <v>51628.057282733782</v>
      </c>
      <c r="BS41" s="226">
        <f>+[4]SLP!BS41+[4]ROSA!BS41+'[4]STA ANA'!BS41+[4]BOA!BS41+'[4]STA MARIA'!BS41+'[4]CB I'!BS41+'[4]CB II'!BS41+'[4]CB III'!BS41+[4]IG!BS41+[4]PN!BS41+[4]MJ!BS41+'[4]RB I'!BS41+'[4]SF I'!BS41</f>
        <v>0</v>
      </c>
      <c r="BT41" s="226">
        <f>+[4]SLP!BT41+[4]ROSA!BT41+'[4]STA ANA'!BT41+[4]BOA!BT41+'[4]STA MARIA'!BT41+'[4]CB I'!BT41+'[4]CB II'!BT41+'[4]CB III'!BT41+[4]IG!BT41+[4]PN!BT41+[4]MJ!BT41+'[4]RB I'!BT41+'[4]SF I'!BT41</f>
        <v>0</v>
      </c>
      <c r="BU41" s="166">
        <f>+[4]SLP!BU41+[4]ROSA!BU41+'[4]STA ANA'!BU41+[4]BOA!BU41+'[4]STA MARIA'!BU41+'[4]CB I'!BU41+'[4]CB II'!BU41+'[4]CB III'!BU41+[4]IG!BU41+[4]PN!BU41+[4]MJ!BU41+'[4]RB I'!BU41+'[4]SÃO FRANCISCO'!BU41</f>
        <v>0</v>
      </c>
      <c r="BV41" s="224">
        <f t="shared" si="11"/>
        <v>-1</v>
      </c>
      <c r="BW41" s="225">
        <f>+[4]SLP!BW41+[4]ROSA!BW41+'[4]STA ANA'!BW41+[4]BOA!BW41+'[4]STA MARIA'!BW41+'[4]CB I'!BW41+'[4]CB II'!BW41+'[4]CB III'!BW41+[4]IG!BW41+[4]PN!BW41+[4]MJ!BW41+'[4]RB I'!BW41+'[4]SF I'!BW41</f>
        <v>420081.83305723174</v>
      </c>
      <c r="BX41" s="226">
        <f>+[4]SLP!BX41+[4]ROSA!BX41+'[4]STA ANA'!BX41+[4]BOA!BX41+'[4]STA MARIA'!BX41+'[4]CB I'!BX41+'[4]CB II'!BX41+'[4]CB III'!BX41+[4]IG!BX41+[4]PN!BX41+[4]MJ!BX41+'[4]RB I'!BX41+'[4]SF I'!BX41</f>
        <v>368453.775774498</v>
      </c>
      <c r="BY41" s="226">
        <f>+[4]SLP!BY41+[4]ROSA!BY41+'[4]STA ANA'!BY41+[4]BOA!BY41+'[4]STA MARIA'!BY41+'[4]CB I'!BY41+'[4]CB II'!BY41+'[4]CB III'!BY41+[4]IG!BY41+[4]PN!BY41+[4]MJ!BY41+'[4]RB I'!BY41+'[4]SF I'!BY41</f>
        <v>51628.057282733782</v>
      </c>
      <c r="BZ41" s="226">
        <f>+[4]SLP!BZ41+[4]ROSA!BZ41+'[4]STA ANA'!BZ41+[4]BOA!BZ41+'[4]STA MARIA'!BZ41+'[4]CB I'!BZ41+'[4]CB II'!BZ41+'[4]CB III'!BZ41+[4]IG!BZ41+[4]PN!BZ41+[4]MJ!BZ41+'[4]RB I'!BZ41+'[4]SF I'!BZ41</f>
        <v>0</v>
      </c>
      <c r="CA41" s="226">
        <f>+[4]SLP!CA41+[4]ROSA!CA41+'[4]STA ANA'!CA41+[4]BOA!CA41+'[4]STA MARIA'!CA41+'[4]CB I'!CA41+'[4]CB II'!CA41+'[4]CB III'!CA41+[4]IG!CA41+[4]PN!CA41+[4]MJ!CA41+'[4]RB I'!CA41+'[4]SF I'!CA41</f>
        <v>0</v>
      </c>
      <c r="CB41" s="166">
        <f>+[4]SLP!CB41+[4]ROSA!CB41+'[4]STA ANA'!CB41+[4]BOA!CB41+'[4]STA MARIA'!CB41+'[4]CB I'!CB41+'[4]CB II'!CB41+'[4]CB III'!CB41+[4]IG!CB41+[4]PN!CB41+[4]MJ!CB41+'[4]RB I'!CB41+'[4]SÃO FRANCISCO'!CB41</f>
        <v>0</v>
      </c>
      <c r="CC41" s="224">
        <f t="shared" si="12"/>
        <v>-1</v>
      </c>
      <c r="CD41" s="225">
        <f>+[4]SLP!CD41+[4]ROSA!CD41+'[4]STA ANA'!CD41+[4]BOA!CD41+'[4]STA MARIA'!CD41+'[4]CB I'!CD41+'[4]CB II'!CD41+'[4]CB III'!CD41+[4]IG!CD41+[4]PN!CD41+[4]MJ!CD41+'[4]RB I'!CD41+'[4]SF I'!CD41</f>
        <v>420081.83305723174</v>
      </c>
      <c r="CE41" s="226">
        <f>+[4]SLP!CE41+[4]ROSA!CE41+'[4]STA ANA'!CE41+[4]BOA!CE41+'[4]STA MARIA'!CE41+'[4]CB I'!CE41+'[4]CB II'!CE41+'[4]CB III'!CE41+[4]IG!CE41+[4]PN!CE41+[4]MJ!CE41+'[4]RB I'!CE41+'[4]SF I'!CE41</f>
        <v>368453.775774498</v>
      </c>
      <c r="CF41" s="226">
        <f>+[4]SLP!CF41+[4]ROSA!CF41+'[4]STA ANA'!CF41+[4]BOA!CF41+'[4]STA MARIA'!CF41+'[4]CB I'!CF41+'[4]CB II'!CF41+'[4]CB III'!CF41+[4]IG!CF41+[4]PN!CF41+[4]MJ!CF41+'[4]RB I'!CF41+'[4]SF I'!CF41</f>
        <v>51628.057282733782</v>
      </c>
      <c r="CG41" s="226">
        <f>+[4]SLP!CG41+[4]ROSA!CG41+'[4]STA ANA'!CG41+[4]BOA!CG41+'[4]STA MARIA'!CG41+'[4]CB I'!CG41+'[4]CB II'!CG41+'[4]CB III'!CG41+[4]IG!CG41+[4]PN!CG41+[4]MJ!CG41+'[4]RB I'!CG41+'[4]SF I'!CG41</f>
        <v>0</v>
      </c>
      <c r="CH41" s="226">
        <f>+[4]SLP!CH41+[4]ROSA!CH41+'[4]STA ANA'!CH41+[4]BOA!CH41+'[4]STA MARIA'!CH41+'[4]CB I'!CH41+'[4]CB II'!CH41+'[4]CB III'!CH41+[4]IG!CH41+[4]PN!CH41+[4]MJ!CH41+'[4]RB I'!CH41+'[4]SF I'!CH41</f>
        <v>0</v>
      </c>
      <c r="CI41" s="166">
        <f>+[4]SLP!CI41+[4]ROSA!CI41+'[4]STA ANA'!CI41+[4]BOA!CI41+'[4]STA MARIA'!CI41+'[4]CB I'!CI41+'[4]CB II'!CI41+'[4]CB III'!CI41+[4]IG!CI41+[4]PN!CI41+[4]MJ!CI41+'[4]RB I'!CI41+'[4]SÃO FRANCISCO'!CI41</f>
        <v>0</v>
      </c>
      <c r="CJ41" s="224">
        <f t="shared" si="13"/>
        <v>-1</v>
      </c>
      <c r="CK41" s="225">
        <f>+[4]SLP!CK41+[4]ROSA!CK41+'[4]STA ANA'!CK41+[4]BOA!CK41+'[4]STA MARIA'!CK41+'[4]CB I'!CK41+'[4]CB II'!CK41+'[4]CB III'!CK41+[4]IG!CK41+[4]PN!CK41+[4]MJ!CK41+'[4]RB I'!CK41+'[4]SF I'!CK41</f>
        <v>420081.83305723174</v>
      </c>
      <c r="CL41" s="226">
        <f>+[4]SLP!CL41+[4]ROSA!CL41+'[4]STA ANA'!CL41+[4]BOA!CL41+'[4]STA MARIA'!CL41+'[4]CB I'!CL41+'[4]CB II'!CL41+'[4]CB III'!CL41+[4]IG!CL41+[4]PN!CL41+[4]MJ!CL41+'[4]RB I'!CL41+'[4]SF I'!CL41</f>
        <v>368453.775774498</v>
      </c>
      <c r="CM41" s="226">
        <f>+[4]SLP!CM41+[4]ROSA!CM41+'[4]STA ANA'!CM41+[4]BOA!CM41+'[4]STA MARIA'!CM41+'[4]CB I'!CM41+'[4]CB II'!CM41+'[4]CB III'!CM41+[4]IG!CM41+[4]PN!CM41+[4]MJ!CM41+'[4]RB I'!CM41+'[4]SF I'!CM41</f>
        <v>51628.057282733782</v>
      </c>
      <c r="CN41" s="226">
        <f>+[4]SLP!CN41+[4]ROSA!CN41+'[4]STA ANA'!CN41+[4]BOA!CN41+'[4]STA MARIA'!CN41+'[4]CB I'!CN41+'[4]CB II'!CN41+'[4]CB III'!CN41+[4]IG!CN41+[4]PN!CN41+[4]MJ!CN41+'[4]RB I'!CN41+'[4]SF I'!CN41</f>
        <v>0</v>
      </c>
      <c r="CO41" s="226">
        <f>+[4]SLP!CO41+[4]ROSA!CO41+'[4]STA ANA'!CO41+[4]BOA!CO41+'[4]STA MARIA'!CO41+'[4]CB I'!CO41+'[4]CB II'!CO41+'[4]CB III'!CO41+[4]IG!CO41+[4]PN!CO41+[4]MJ!CO41+'[4]RB I'!CO41+'[4]SF I'!CO41</f>
        <v>0</v>
      </c>
      <c r="CP41" s="166">
        <f>+[4]SLP!CP41+[4]ROSA!CP41+'[4]STA ANA'!CP41+[4]BOA!CP41+'[4]STA MARIA'!CP41+'[4]CB I'!CP41+'[4]CB II'!CP41+'[4]CB III'!CP41+[4]IG!CP41+[4]PN!CP41+[4]MJ!CP41+'[4]RB I'!CP41+'[4]SÃO FRANCISCO'!CP41</f>
        <v>0</v>
      </c>
      <c r="CQ41" s="224">
        <f t="shared" si="14"/>
        <v>-1</v>
      </c>
      <c r="CR41" s="155"/>
      <c r="CS41" s="227" t="e">
        <f t="shared" si="15"/>
        <v>#VALUE!</v>
      </c>
    </row>
    <row r="42" spans="1:97" ht="16" customHeight="1" x14ac:dyDescent="0.2">
      <c r="A42" s="228" t="s">
        <v>66</v>
      </c>
      <c r="B42" s="30">
        <f t="shared" si="17"/>
        <v>7136107.1826439984</v>
      </c>
      <c r="C42" s="31">
        <f t="shared" si="17"/>
        <v>6259079.6098970519</v>
      </c>
      <c r="D42" s="32">
        <f t="shared" si="17"/>
        <v>877027.57274694764</v>
      </c>
      <c r="E42" s="30">
        <f t="shared" si="19"/>
        <v>3321204.8779879999</v>
      </c>
      <c r="F42" s="33">
        <f t="shared" si="19"/>
        <v>2913028.7984832749</v>
      </c>
      <c r="G42" s="34">
        <f t="shared" si="19"/>
        <v>408176.07950472517</v>
      </c>
      <c r="H42" s="31">
        <f t="shared" si="18"/>
        <v>2657830.87017</v>
      </c>
      <c r="I42" s="33">
        <f t="shared" si="18"/>
        <v>255800.35983</v>
      </c>
      <c r="J42" s="33">
        <f t="shared" si="18"/>
        <v>2913631.23</v>
      </c>
      <c r="K42" s="224">
        <f t="shared" si="2"/>
        <v>-0.12271861055283939</v>
      </c>
      <c r="L42" s="225">
        <f>+[4]SLP!L42+[4]ROSA!L42+'[4]STA ANA'!L42+[4]BOA!L42+'[4]STA MARIA'!L42+'[4]CB I'!L42+'[4]CB II'!L42+'[4]CB III'!L42+[4]IG!L42+[4]PN!L42+[4]MJ!L42+'[4]RB I'!L42+'[4]SF I'!L42</f>
        <v>1190107.3380819999</v>
      </c>
      <c r="M42" s="226">
        <f>+[4]SLP!M42+[4]ROSA!M42+'[4]STA ANA'!M42+[4]BOA!M42+'[4]STA MARIA'!M42+'[4]CB I'!M42+'[4]CB II'!M42+'[4]CB III'!M42+[4]IG!M42+[4]PN!M42+[4]MJ!M42+'[4]RB I'!M42+'[4]SF I'!M42</f>
        <v>1043843.1462317223</v>
      </c>
      <c r="N42" s="226">
        <f>+[4]SLP!N42+[4]ROSA!N42+'[4]STA ANA'!N42+[4]BOA!N42+'[4]STA MARIA'!N42+'[4]CB I'!N42+'[4]CB II'!N42+'[4]CB III'!N42+[4]IG!N42+[4]PN!N42+[4]MJ!N42+'[4]RB I'!N42+'[4]SF I'!N42</f>
        <v>146264.1918502778</v>
      </c>
      <c r="O42" s="226">
        <f>+[4]SLP!O42+[4]ROSA!O42+'[4]STA ANA'!O42+[4]BOA!O42+'[4]STA MARIA'!O42+'[4]CB I'!O42+'[4]CB II'!O42+'[4]CB III'!O42+[4]IG!O42+[4]PN!O42+[4]MJ!O42+'[4]RB I'!O42+'[4]SF I'!O42</f>
        <v>521377.61776400002</v>
      </c>
      <c r="P42" s="226">
        <f>+[4]SLP!P42+[4]ROSA!P42+'[4]STA ANA'!P42+[4]BOA!P42+'[4]STA MARIA'!P42+'[4]CB I'!P42+'[4]CB II'!P42+'[4]CB III'!P42+[4]IG!P42+[4]PN!P42+[4]MJ!P42+'[4]RB I'!P42+'[4]SF I'!P42</f>
        <v>38471.162235999996</v>
      </c>
      <c r="Q42" s="166">
        <f>+[4]SLP!Q42+[4]ROSA!Q42+'[4]STA ANA'!Q42+[4]BOA!Q42+'[4]STA MARIA'!Q42+'[4]CB I'!Q42+'[4]CB II'!Q42+'[4]CB III'!Q42+[4]IG!Q42+[4]PN!Q42+[4]MJ!Q42+'[4]RB I'!Q42+'[4]SF I'!Q42</f>
        <v>559848.77999999991</v>
      </c>
      <c r="R42" s="224">
        <f t="shared" si="3"/>
        <v>-0.52958127213780304</v>
      </c>
      <c r="S42" s="225">
        <f>+[4]SLP!S42+[4]ROSA!S42+'[4]STA ANA'!S42+[4]BOA!S42+'[4]STA MARIA'!S42+'[4]CB I'!S42+'[4]CB II'!S42+'[4]CB III'!S42+[4]IG!S42+[4]PN!S42+[4]MJ!S42+'[4]RB I'!S42+'[4]SF I'!S42</f>
        <v>1190107.3380819999</v>
      </c>
      <c r="T42" s="226">
        <f>+[4]SLP!T42+[4]ROSA!T42+'[4]STA ANA'!T42+[4]BOA!T42+'[4]STA MARIA'!T42+'[4]CB I'!T42+'[4]CB II'!T42+'[4]CB III'!T42+[4]IG!T42+[4]PN!T42+[4]MJ!T42+'[4]RB I'!T42+'[4]SF I'!T42</f>
        <v>1043843.1462317223</v>
      </c>
      <c r="U42" s="226">
        <f>+[4]SLP!U42+[4]ROSA!U42+'[4]STA ANA'!U42+[4]BOA!U42+'[4]STA MARIA'!U42+'[4]CB I'!U42+'[4]CB II'!U42+'[4]CB III'!U42+[4]IG!U42+[4]PN!U42+[4]MJ!U42+'[4]RB I'!U42+'[4]SF I'!U42</f>
        <v>146264.1918502778</v>
      </c>
      <c r="V42" s="226">
        <f>+[4]SLP!V42+[4]ROSA!V42+'[4]STA ANA'!V42+[4]BOA!V42+'[4]STA MARIA'!V42+'[4]CB I'!V42+'[4]CB II'!V42+'[4]CB III'!V42+[4]IG!V42+[4]PN!V42+[4]MJ!V42+'[4]RB I'!V42+'[4]SF I'!V42</f>
        <v>745850.80140400003</v>
      </c>
      <c r="W42" s="226">
        <f>+[4]SLP!W42+[4]ROSA!W42+'[4]STA ANA'!W42+[4]BOA!W42+'[4]STA MARIA'!W42+'[4]CB I'!W42+'[4]CB II'!W42+'[4]CB III'!W42+[4]IG!W42+[4]PN!W42+[4]MJ!W42+'[4]RB I'!W42+'[4]SF I'!W42</f>
        <v>79013.598596000011</v>
      </c>
      <c r="X42" s="166">
        <f>[4]SLP!X42+[4]ROSA!X42+'[4]STA ANA'!X42+[4]BOA!X42+'[4]STA MARIA'!X42+'[4]CB I'!X42+'[4]CB II'!X42+'[4]CB III'!X42+[4]IG!X42+[4]PN!X42+[4]MJ!X42+'[4]RB I'!X42+'[4]SF I'!X42</f>
        <v>824864.4</v>
      </c>
      <c r="Y42" s="224">
        <f t="shared" si="4"/>
        <v>-0.30689915639931475</v>
      </c>
      <c r="Z42" s="225">
        <f>+[4]SLP!Z42+[4]ROSA!Z42+'[4]STA ANA'!Z42+[4]BOA!Z42+'[4]STA MARIA'!Z42+'[4]CB I'!Z42+'[4]CB II'!Z42+'[4]CB III'!Z42+[4]IG!Z42+[4]PN!Z42+[4]MJ!Z42+'[4]RB I'!Z42+'[4]SF I'!Z42</f>
        <v>470882.86374200002</v>
      </c>
      <c r="AA42" s="226">
        <f>+[4]SLP!AA42+[4]ROSA!AA42+'[4]STA ANA'!AA42+[4]BOA!AA42+'[4]STA MARIA'!AA42+'[4]CB I'!AA42+'[4]CB II'!AA42+'[4]CB III'!AA42+[4]IG!AA42+[4]PN!AA42+[4]MJ!AA42+'[4]RB I'!AA42+'[4]SF I'!AA42</f>
        <v>413011.35978810815</v>
      </c>
      <c r="AB42" s="226">
        <f>+[4]SLP!AB42+[4]ROSA!AB42+'[4]STA ANA'!AB42+[4]BOA!AB42+'[4]STA MARIA'!AB42+'[4]CB I'!AB42+'[4]CB II'!AB42+'[4]CB III'!AB42+[4]IG!AB42+[4]PN!AB42+[4]MJ!AB42+'[4]RB I'!AB42+'[4]SF I'!AB42</f>
        <v>57871.503953891792</v>
      </c>
      <c r="AC42" s="226">
        <f>+[4]SLP!AC42+[4]ROSA!AC42+'[4]STA ANA'!AC42+[4]BOA!AC42+'[4]STA MARIA'!AC42+'[4]CB I'!AC42+'[4]CB II'!AC42+'[4]CB III'!AC42+[4]IG!AC42+[4]PN!AC42+[4]MJ!AC42+'[4]RB I'!AC42+'[4]SF I'!AC42</f>
        <v>840223.28254600009</v>
      </c>
      <c r="AD42" s="226">
        <f>+[4]SLP!AD42+[4]ROSA!AD42+'[4]STA ANA'!AD42+[4]BOA!AD42+'[4]STA MARIA'!AD42+'[4]CB I'!AD42+'[4]CB II'!AD42+'[4]CB III'!AD42+[4]IG!AD42+[4]PN!AD42+[4]MJ!AD42+'[4]RB I'!AD42+'[4]SF I'!AD42</f>
        <v>95206.447454000008</v>
      </c>
      <c r="AE42" s="166">
        <f>+[4]SLP!AE42+[4]ROSA!AE42+'[4]STA ANA'!AE42+[4]BOA!AE42+'[4]STA MARIA'!AE42+'[4]CB I'!AE42+'[4]CB II'!AE42+'[4]CB III'!AE42+[4]IG!AE42+[4]PN!AE42+[4]MJ!AE42+'[4]RB I'!AE42+'[4]SF I'!AE42</f>
        <v>935429.73000000021</v>
      </c>
      <c r="AF42" s="224">
        <f t="shared" si="5"/>
        <v>0.98654442968332057</v>
      </c>
      <c r="AG42" s="225">
        <f>+[4]SLP!AG42+[4]ROSA!AG42+'[4]STA ANA'!AG42+[4]BOA!AG42+'[4]STA MARIA'!AG42+'[4]CB I'!AG42+'[4]CB II'!AG42+'[4]CB III'!AG42+[4]IG!AG42+[4]PN!AG42+[4]MJ!AG42+'[4]RB I'!AG42+'[4]SF I'!AG42</f>
        <v>470107.33808199997</v>
      </c>
      <c r="AH42" s="226">
        <f>+[4]SLP!AH42+[4]ROSA!AH42+'[4]STA ANA'!AH42+[4]BOA!AH42+'[4]STA MARIA'!AH42+'[4]CB I'!AH42+'[4]CB II'!AH42+'[4]CB III'!AH42+[4]IG!AH42+[4]PN!AH42+[4]MJ!AH42+'[4]RB I'!AH42+'[4]SF I'!AH42</f>
        <v>412331.14623172214</v>
      </c>
      <c r="AI42" s="226">
        <f>+[4]SLP!AI42+[4]ROSA!AI42+'[4]STA ANA'!AI42+[4]BOA!AI42+'[4]STA MARIA'!AI42+'[4]CB I'!AI42+'[4]CB II'!AI42+'[4]CB III'!AI42+[4]IG!AI42+[4]PN!AI42+[4]MJ!AI42+'[4]RB I'!AI42+'[4]SF I'!AI42</f>
        <v>57776.191850277792</v>
      </c>
      <c r="AJ42" s="226">
        <f>+[4]SLP!AJ42+[4]ROSA!AJ42+'[4]STA ANA'!AJ42+[4]BOA!AJ42+'[4]STA MARIA'!AJ42+'[4]CB I'!AJ42+'[4]CB II'!AJ42+'[4]CB III'!AJ42+[4]IG!AJ42+[4]PN!AJ42+[4]MJ!AJ42+'[4]RB I'!AJ42+'[4]SF I'!AJ42</f>
        <v>550379.16845600004</v>
      </c>
      <c r="AK42" s="226">
        <f>+[4]SLP!AK42+[4]ROSA!AK42+'[4]STA ANA'!AK42+[4]BOA!AK42+'[4]STA MARIA'!AK42+'[4]CB I'!AK42+'[4]CB II'!AK42+'[4]CB III'!AK42+[4]IG!AK42+[4]PN!AK42+[4]MJ!AK42+'[4]RB I'!AK42+'[4]SF I'!AK42</f>
        <v>43109.151544</v>
      </c>
      <c r="AL42" s="166">
        <f>+[4]SLP!AL42+[4]ROSA!AL42+'[4]STA ANA'!AL42+[4]BOA!AL42+'[4]STA MARIA'!AL42+'[4]CB I'!AL42+'[4]CB II'!AL42+'[4]CB III'!AL42+[4]IG!AL42+[4]PN!AL42+[4]MJ!AL42+'[4]RB I'!AL42+'[4]SF I'!AL42</f>
        <v>593488.31999999995</v>
      </c>
      <c r="AM42" s="224">
        <f t="shared" si="6"/>
        <v>0.26245278880645517</v>
      </c>
      <c r="AN42" s="225">
        <f>+[4]SLP!AN42+[4]ROSA!AN42+'[4]STA ANA'!AN42+[4]BOA!AN42+'[4]STA MARIA'!AN42+'[4]CB I'!AN42+'[4]CB II'!AN42+'[4]CB III'!AN42+[4]IG!AN42+[4]PN!AN42+[4]MJ!AN42+'[4]RB I'!AN42+'[4]SF I'!AN42</f>
        <v>470107.33808199997</v>
      </c>
      <c r="AO42" s="226">
        <f>+[4]SLP!AO42+[4]ROSA!AO42+'[4]STA ANA'!AO42+[4]BOA!AO42+'[4]STA MARIA'!AO42+'[4]CB I'!AO42+'[4]CB II'!AO42+'[4]CB III'!AO42+[4]IG!AO42+[4]PN!AO42+[4]MJ!AO42+'[4]RB I'!AO42+'[4]SF I'!AO42</f>
        <v>412331.14623172214</v>
      </c>
      <c r="AP42" s="226">
        <f>+[4]SLP!AP42+[4]ROSA!AP42+'[4]STA ANA'!AP42+[4]BOA!AP42+'[4]STA MARIA'!AP42+'[4]CB I'!AP42+'[4]CB II'!AP42+'[4]CB III'!AP42+[4]IG!AP42+[4]PN!AP42+[4]MJ!AP42+'[4]RB I'!AP42+'[4]SF I'!AP42</f>
        <v>57776.191850277792</v>
      </c>
      <c r="AQ42" s="226">
        <f>+[4]SLP!AQ42+[4]ROSA!AQ42+'[4]STA ANA'!AQ42+[4]BOA!AQ42+'[4]STA MARIA'!AQ42+'[4]CB I'!AQ42+'[4]CB II'!AQ42+'[4]CB III'!AQ42+[4]IG!AQ42+[4]PN!AQ42+[4]MJ!AQ42+'[4]RB I'!AQ42+'[4]SF I'!AQ42</f>
        <v>0</v>
      </c>
      <c r="AR42" s="226">
        <f>+[4]SLP!AR42+[4]ROSA!AR42+'[4]STA ANA'!AR42+[4]BOA!AR42+'[4]STA MARIA'!AR42+'[4]CB I'!AR42+'[4]CB II'!AR42+'[4]CB III'!AR42+[4]IG!AR42+[4]PN!AR42+[4]MJ!AR42+'[4]RB I'!AR42+'[4]SF I'!AR42</f>
        <v>0</v>
      </c>
      <c r="AS42" s="166">
        <f>+[4]SLP!AS42+[4]ROSA!AS42+'[4]STA ANA'!AS42+[4]BOA!AS42+'[4]STA MARIA'!AS42+'[4]CB I'!AS42+'[4]CB II'!AS42+'[4]CB III'!AS42+[4]IG!AS42+[4]PN!AS42+[4]MJ!AS42+'[4]RB I'!AS42+'[4]SÃO FRANCISCO'!AS42</f>
        <v>0</v>
      </c>
      <c r="AT42" s="224">
        <f t="shared" si="7"/>
        <v>-1</v>
      </c>
      <c r="AU42" s="225">
        <f>+[4]SLP!AU42+[4]ROSA!AU42+'[4]STA ANA'!AU42+[4]BOA!AU42+'[4]STA MARIA'!AU42+'[4]CB I'!AU42+'[4]CB II'!AU42+'[4]CB III'!AU42+[4]IG!AU42+[4]PN!AU42+[4]MJ!AU42+'[4]RB I'!AU42+'[4]SF I'!AU42</f>
        <v>470107.33808199997</v>
      </c>
      <c r="AV42" s="226">
        <f>+[4]SLP!AV42+[4]ROSA!AV42+'[4]STA ANA'!AV42+[4]BOA!AV42+'[4]STA MARIA'!AV42+'[4]CB I'!AV42+'[4]CB II'!AV42+'[4]CB III'!AV42+[4]IG!AV42+[4]PN!AV42+[4]MJ!AV42+'[4]RB I'!AV42+'[4]SF I'!AV42</f>
        <v>412331.14623172214</v>
      </c>
      <c r="AW42" s="226">
        <f>+[4]SLP!AW42+[4]ROSA!AW42+'[4]STA ANA'!AW42+[4]BOA!AW42+'[4]STA MARIA'!AW42+'[4]CB I'!AW42+'[4]CB II'!AW42+'[4]CB III'!AW42+[4]IG!AW42+[4]PN!AW42+[4]MJ!AW42+'[4]RB I'!AW42+'[4]SF I'!AW42</f>
        <v>57776.191850277792</v>
      </c>
      <c r="AX42" s="226">
        <f>+[4]SLP!AX42+[4]ROSA!AX42+'[4]STA ANA'!AX42+[4]BOA!AX42+'[4]STA MARIA'!AX42+'[4]CB I'!AX42+'[4]CB II'!AX42+'[4]CB III'!AX42+[4]IG!AX42+[4]PN!AX42+[4]MJ!AX42+'[4]RB I'!AX42+'[4]SF I'!AX42</f>
        <v>0</v>
      </c>
      <c r="AY42" s="226">
        <f>+[4]SLP!AY42+[4]ROSA!AY42+'[4]STA ANA'!AY42+[4]BOA!AY42+'[4]STA MARIA'!AY42+'[4]CB I'!AY42+'[4]CB II'!AY42+'[4]CB III'!AY42+[4]IG!AY42+[4]PN!AY42+[4]MJ!AY42+'[4]RB I'!AY42+'[4]SF I'!AY42</f>
        <v>0</v>
      </c>
      <c r="AZ42" s="166">
        <f>+[4]SLP!AZ42+[4]ROSA!AZ42+'[4]STA ANA'!AZ42+[4]BOA!AZ42+'[4]STA MARIA'!AZ42+'[4]CB I'!AZ42+'[4]CB II'!AZ42+[4]IG!AZ42+[4]PN!AZ42+[4]MJ!AZ42+'[4]RB I'!AZ42+'[4]SÃO FRANCISCO'!AZ42</f>
        <v>0</v>
      </c>
      <c r="BA42" s="224">
        <f t="shared" si="8"/>
        <v>-1</v>
      </c>
      <c r="BB42" s="225">
        <f>+[4]SLP!BB42+[4]ROSA!BB42+'[4]STA ANA'!BB42+[4]BOA!BB42+'[4]STA MARIA'!BB42+'[4]CB I'!BB42+'[4]CB II'!BB42+'[4]CB III'!BB42+[4]IG!BB42+[4]PN!BB42+[4]MJ!BB42+'[4]RB I'!BB42+'[4]SF I'!BB42</f>
        <v>470107.33808199997</v>
      </c>
      <c r="BC42" s="226">
        <f>+[4]SLP!BC42+[4]ROSA!BC42+'[4]STA ANA'!BC42+[4]BOA!BC42+'[4]STA MARIA'!BC42+'[4]CB I'!BC42+'[4]CB II'!BC42+'[4]CB III'!BC42+[4]IG!BC42+[4]PN!BC42+[4]MJ!BC42+'[4]RB I'!BC42+'[4]SF I'!BC42</f>
        <v>412331.14623172214</v>
      </c>
      <c r="BD42" s="226">
        <f>+[4]SLP!BD42+[4]ROSA!BD42+'[4]STA ANA'!BD42+[4]BOA!BD42+'[4]STA MARIA'!BD42+'[4]CB I'!BD42+'[4]CB II'!BD42+'[4]CB III'!BD42+[4]IG!BD42+[4]PN!BD42+[4]MJ!BD42+'[4]RB I'!BD42+'[4]SF I'!BD42</f>
        <v>57776.191850277792</v>
      </c>
      <c r="BE42" s="226">
        <f>+[4]SLP!BE42+[4]ROSA!BE42+'[4]STA ANA'!BE42+[4]BOA!BE42+'[4]STA MARIA'!BE42+'[4]CB I'!BE42+'[4]CB II'!BE42+'[4]CB III'!BE42+[4]IG!BE42+[4]PN!BE42+[4]MJ!BE42+'[4]RB I'!BE42+'[4]SF I'!BE42</f>
        <v>0</v>
      </c>
      <c r="BF42" s="226">
        <f>+[4]SLP!BF42+[4]ROSA!BF42+'[4]STA ANA'!BF42+[4]BOA!BF42+'[4]STA MARIA'!BF42+'[4]CB I'!BF42+'[4]CB II'!BF42+'[4]CB III'!BF42+[4]IG!BF42+[4]PN!BF42+[4]MJ!BF42+'[4]RB I'!BF42+'[4]SF I'!BF42</f>
        <v>0</v>
      </c>
      <c r="BG42" s="166">
        <f>+[4]SLP!BG42+[4]ROSA!BG42+'[4]STA ANA'!BG42+[4]BOA!BG42+'[4]STA MARIA'!BG42+'[4]CB I'!BG42+'[4]CB II'!BG42+'[4]CB III'!BG42+[4]IG!BG42+[4]PN!BG42+[4]MJ!BG42+'[4]RB I'!BG42+'[4]SÃO FRANCISCO'!BG42</f>
        <v>0</v>
      </c>
      <c r="BH42" s="224">
        <f t="shared" si="9"/>
        <v>-1</v>
      </c>
      <c r="BI42" s="225">
        <f>+[4]SLP!BI42+[4]ROSA!BI42+'[4]STA ANA'!BI42+[4]BOA!BI42+'[4]STA MARIA'!BI42+'[4]CB I'!BI42+'[4]CB II'!BI42+'[4]CB III'!BI42+[4]IG!BI42+[4]PN!BI42+[4]MJ!BI42+'[4]RB I'!BI42+'[4]SF I'!BI42</f>
        <v>524150.93808199995</v>
      </c>
      <c r="BJ42" s="226">
        <f>+[4]SLP!BJ42+[4]ROSA!BJ42+'[4]STA ANA'!BJ42+[4]BOA!BJ42+'[4]STA MARIA'!BJ42+'[4]CB I'!BJ42+'[4]CB II'!BJ42+'[4]CB III'!BJ42+[4]IG!BJ42+[4]PN!BJ42+[4]MJ!BJ42+'[4]RB I'!BJ42+'[4]SF I'!BJ42</f>
        <v>459732.7877917221</v>
      </c>
      <c r="BK42" s="226">
        <f>+[4]SLP!BK42+[4]ROSA!BK42+'[4]STA ANA'!BK42+[4]BOA!BK42+'[4]STA MARIA'!BK42+'[4]CB I'!BK42+'[4]CB II'!BK42+'[4]CB III'!BK42+[4]IG!BK42+[4]PN!BK42+[4]MJ!BK42+'[4]RB I'!BK42+'[4]SF I'!BK42</f>
        <v>64418.150290277787</v>
      </c>
      <c r="BL42" s="226">
        <f>+[4]SLP!BL42+[4]ROSA!BL42+'[4]STA ANA'!BL42+[4]BOA!BL42+'[4]STA MARIA'!BL42+'[4]CB I'!BL42+'[4]CB II'!BL42+'[4]CB III'!BL42+[4]IG!BL42+[4]PN!BL42+[4]MJ!BL42+'[4]RB I'!BL42+'[4]SF I'!BL42</f>
        <v>0</v>
      </c>
      <c r="BM42" s="226">
        <f>+[4]SLP!BM42+[4]ROSA!BM42+'[4]STA ANA'!BM42+[4]BOA!BM42+'[4]STA MARIA'!BM42+'[4]CB I'!BM42+'[4]CB II'!BM42+'[4]CB III'!BM42+[4]IG!BM42+[4]PN!BM42+[4]MJ!BM42+'[4]RB I'!BM42+'[4]SF I'!BM42</f>
        <v>0</v>
      </c>
      <c r="BN42" s="166">
        <f>+[4]SLP!BN42+[4]ROSA!BN42+'[4]STA ANA'!BN42+[4]BOA!BN42+'[4]STA MARIA'!BN42+'[4]CB I'!BN42+'[4]CB II'!BN42+'[4]CB III'!BN42+[4]IG!BN42+[4]PN!BN42+[4]MJ!BN42+'[4]RB I'!BN42+'[4]SÃO FRANCISCO'!BN42</f>
        <v>0</v>
      </c>
      <c r="BO42" s="224">
        <f t="shared" si="10"/>
        <v>-1</v>
      </c>
      <c r="BP42" s="225">
        <f>+[4]SLP!BP42+[4]ROSA!BP42+'[4]STA ANA'!BP42+[4]BOA!BP42+'[4]STA MARIA'!BP42+'[4]CB I'!BP42+'[4]CB II'!BP42+'[4]CB III'!BP42+[4]IG!BP42+[4]PN!BP42+[4]MJ!BP42+'[4]RB I'!BP42+'[4]SF I'!BP42</f>
        <v>470107.33808199997</v>
      </c>
      <c r="BQ42" s="226">
        <f>+[4]SLP!BQ42+[4]ROSA!BQ42+'[4]STA ANA'!BQ42+[4]BOA!BQ42+'[4]STA MARIA'!BQ42+'[4]CB I'!BQ42+'[4]CB II'!BQ42+'[4]CB III'!BQ42+[4]IG!BQ42+[4]PN!BQ42+[4]MJ!BQ42+'[4]RB I'!BQ42+'[4]SF I'!BQ42</f>
        <v>412331.14623172214</v>
      </c>
      <c r="BR42" s="226">
        <f>+[4]SLP!BR42+[4]ROSA!BR42+'[4]STA ANA'!BR42+[4]BOA!BR42+'[4]STA MARIA'!BR42+'[4]CB I'!BR42+'[4]CB II'!BR42+'[4]CB III'!BR42+[4]IG!BR42+[4]PN!BR42+[4]MJ!BR42+'[4]RB I'!BR42+'[4]SF I'!BR42</f>
        <v>57776.191850277792</v>
      </c>
      <c r="BS42" s="226">
        <f>+[4]SLP!BS42+[4]ROSA!BS42+'[4]STA ANA'!BS42+[4]BOA!BS42+'[4]STA MARIA'!BS42+'[4]CB I'!BS42+'[4]CB II'!BS42+'[4]CB III'!BS42+[4]IG!BS42+[4]PN!BS42+[4]MJ!BS42+'[4]RB I'!BS42+'[4]SF I'!BS42</f>
        <v>0</v>
      </c>
      <c r="BT42" s="226">
        <f>+[4]SLP!BT42+[4]ROSA!BT42+'[4]STA ANA'!BT42+[4]BOA!BT42+'[4]STA MARIA'!BT42+'[4]CB I'!BT42+'[4]CB II'!BT42+'[4]CB III'!BT42+[4]IG!BT42+[4]PN!BT42+[4]MJ!BT42+'[4]RB I'!BT42+'[4]SF I'!BT42</f>
        <v>0</v>
      </c>
      <c r="BU42" s="166">
        <f>+[4]SLP!BU42+[4]ROSA!BU42+'[4]STA ANA'!BU42+[4]BOA!BU42+'[4]STA MARIA'!BU42+'[4]CB I'!BU42+'[4]CB II'!BU42+'[4]CB III'!BU42+[4]IG!BU42+[4]PN!BU42+[4]MJ!BU42+'[4]RB I'!BU42+'[4]SÃO FRANCISCO'!BU42</f>
        <v>0</v>
      </c>
      <c r="BV42" s="224">
        <f t="shared" si="11"/>
        <v>-1</v>
      </c>
      <c r="BW42" s="225">
        <f>+[4]SLP!BW42+[4]ROSA!BW42+'[4]STA ANA'!BW42+[4]BOA!BW42+'[4]STA MARIA'!BW42+'[4]CB I'!BW42+'[4]CB II'!BW42+'[4]CB III'!BW42+[4]IG!BW42+[4]PN!BW42+[4]MJ!BW42+'[4]RB I'!BW42+'[4]SF I'!BW42</f>
        <v>470107.33808199997</v>
      </c>
      <c r="BX42" s="226">
        <f>+[4]SLP!BX42+[4]ROSA!BX42+'[4]STA ANA'!BX42+[4]BOA!BX42+'[4]STA MARIA'!BX42+'[4]CB I'!BX42+'[4]CB II'!BX42+'[4]CB III'!BX42+[4]IG!BX42+[4]PN!BX42+[4]MJ!BX42+'[4]RB I'!BX42+'[4]SF I'!BX42</f>
        <v>412331.14623172214</v>
      </c>
      <c r="BY42" s="226">
        <f>+[4]SLP!BY42+[4]ROSA!BY42+'[4]STA ANA'!BY42+[4]BOA!BY42+'[4]STA MARIA'!BY42+'[4]CB I'!BY42+'[4]CB II'!BY42+'[4]CB III'!BY42+[4]IG!BY42+[4]PN!BY42+[4]MJ!BY42+'[4]RB I'!BY42+'[4]SF I'!BY42</f>
        <v>57776.191850277792</v>
      </c>
      <c r="BZ42" s="226">
        <f>+[4]SLP!BZ42+[4]ROSA!BZ42+'[4]STA ANA'!BZ42+[4]BOA!BZ42+'[4]STA MARIA'!BZ42+'[4]CB I'!BZ42+'[4]CB II'!BZ42+'[4]CB III'!BZ42+[4]IG!BZ42+[4]PN!BZ42+[4]MJ!BZ42+'[4]RB I'!BZ42+'[4]SF I'!BZ42</f>
        <v>0</v>
      </c>
      <c r="CA42" s="226">
        <f>+[4]SLP!CA42+[4]ROSA!CA42+'[4]STA ANA'!CA42+[4]BOA!CA42+'[4]STA MARIA'!CA42+'[4]CB I'!CA42+'[4]CB II'!CA42+'[4]CB III'!CA42+[4]IG!CA42+[4]PN!CA42+[4]MJ!CA42+'[4]RB I'!CA42+'[4]SF I'!CA42</f>
        <v>0</v>
      </c>
      <c r="CB42" s="166">
        <f>+[4]SLP!CB42+[4]ROSA!CB42+'[4]STA ANA'!CB42+[4]BOA!CB42+'[4]STA MARIA'!CB42+'[4]CB I'!CB42+'[4]CB II'!CB42+'[4]CB III'!CB42+[4]IG!CB42+[4]PN!CB42+[4]MJ!CB42+'[4]RB I'!CB42+'[4]SÃO FRANCISCO'!CB42</f>
        <v>0</v>
      </c>
      <c r="CC42" s="224">
        <f t="shared" si="12"/>
        <v>-1</v>
      </c>
      <c r="CD42" s="225">
        <f>+[4]SLP!CD42+[4]ROSA!CD42+'[4]STA ANA'!CD42+[4]BOA!CD42+'[4]STA MARIA'!CD42+'[4]CB I'!CD42+'[4]CB II'!CD42+'[4]CB III'!CD42+[4]IG!CD42+[4]PN!CD42+[4]MJ!CD42+'[4]RB I'!CD42+'[4]SF I'!CD42</f>
        <v>470107.33808199997</v>
      </c>
      <c r="CE42" s="226">
        <f>+[4]SLP!CE42+[4]ROSA!CE42+'[4]STA ANA'!CE42+[4]BOA!CE42+'[4]STA MARIA'!CE42+'[4]CB I'!CE42+'[4]CB II'!CE42+'[4]CB III'!CE42+[4]IG!CE42+[4]PN!CE42+[4]MJ!CE42+'[4]RB I'!CE42+'[4]SF I'!CE42</f>
        <v>412331.14623172214</v>
      </c>
      <c r="CF42" s="226">
        <f>+[4]SLP!CF42+[4]ROSA!CF42+'[4]STA ANA'!CF42+[4]BOA!CF42+'[4]STA MARIA'!CF42+'[4]CB I'!CF42+'[4]CB II'!CF42+'[4]CB III'!CF42+[4]IG!CF42+[4]PN!CF42+[4]MJ!CF42+'[4]RB I'!CF42+'[4]SF I'!CF42</f>
        <v>57776.191850277792</v>
      </c>
      <c r="CG42" s="226">
        <f>+[4]SLP!CG42+[4]ROSA!CG42+'[4]STA ANA'!CG42+[4]BOA!CG42+'[4]STA MARIA'!CG42+'[4]CB I'!CG42+'[4]CB II'!CG42+'[4]CB III'!CG42+[4]IG!CG42+[4]PN!CG42+[4]MJ!CG42+'[4]RB I'!CG42+'[4]SF I'!CG42</f>
        <v>0</v>
      </c>
      <c r="CH42" s="226">
        <f>+[4]SLP!CH42+[4]ROSA!CH42+'[4]STA ANA'!CH42+[4]BOA!CH42+'[4]STA MARIA'!CH42+'[4]CB I'!CH42+'[4]CB II'!CH42+'[4]CB III'!CH42+[4]IG!CH42+[4]PN!CH42+[4]MJ!CH42+'[4]RB I'!CH42+'[4]SF I'!CH42</f>
        <v>0</v>
      </c>
      <c r="CI42" s="166">
        <f>+[4]SLP!CI42+[4]ROSA!CI42+'[4]STA ANA'!CI42+[4]BOA!CI42+'[4]STA MARIA'!CI42+'[4]CB I'!CI42+'[4]CB II'!CI42+'[4]CB III'!CI42+[4]IG!CI42+[4]PN!CI42+[4]MJ!CI42+'[4]RB I'!CI42+'[4]SÃO FRANCISCO'!CI42</f>
        <v>0</v>
      </c>
      <c r="CJ42" s="224">
        <f t="shared" si="13"/>
        <v>-1</v>
      </c>
      <c r="CK42" s="225">
        <f>+[4]SLP!CK42+[4]ROSA!CK42+'[4]STA ANA'!CK42+[4]BOA!CK42+'[4]STA MARIA'!CK42+'[4]CB I'!CK42+'[4]CB II'!CK42+'[4]CB III'!CK42+[4]IG!CK42+[4]PN!CK42+[4]MJ!CK42+'[4]RB I'!CK42+'[4]SF I'!CK42</f>
        <v>470107.33808199997</v>
      </c>
      <c r="CL42" s="226">
        <f>+[4]SLP!CL42+[4]ROSA!CL42+'[4]STA ANA'!CL42+[4]BOA!CL42+'[4]STA MARIA'!CL42+'[4]CB I'!CL42+'[4]CB II'!CL42+'[4]CB III'!CL42+[4]IG!CL42+[4]PN!CL42+[4]MJ!CL42+'[4]RB I'!CL42+'[4]SF I'!CL42</f>
        <v>412331.14623172214</v>
      </c>
      <c r="CM42" s="226">
        <f>+[4]SLP!CM42+[4]ROSA!CM42+'[4]STA ANA'!CM42+[4]BOA!CM42+'[4]STA MARIA'!CM42+'[4]CB I'!CM42+'[4]CB II'!CM42+'[4]CB III'!CM42+[4]IG!CM42+[4]PN!CM42+[4]MJ!CM42+'[4]RB I'!CM42+'[4]SF I'!CM42</f>
        <v>57776.191850277792</v>
      </c>
      <c r="CN42" s="226">
        <f>+[4]SLP!CN42+[4]ROSA!CN42+'[4]STA ANA'!CN42+[4]BOA!CN42+'[4]STA MARIA'!CN42+'[4]CB I'!CN42+'[4]CB II'!CN42+'[4]CB III'!CN42+[4]IG!CN42+[4]PN!CN42+[4]MJ!CN42+'[4]RB I'!CN42+'[4]SF I'!CN42</f>
        <v>0</v>
      </c>
      <c r="CO42" s="226">
        <f>+[4]SLP!CO42+[4]ROSA!CO42+'[4]STA ANA'!CO42+[4]BOA!CO42+'[4]STA MARIA'!CO42+'[4]CB I'!CO42+'[4]CB II'!CO42+'[4]CB III'!CO42+[4]IG!CO42+[4]PN!CO42+[4]MJ!CO42+'[4]RB I'!CO42+'[4]SF I'!CO42</f>
        <v>0</v>
      </c>
      <c r="CP42" s="166">
        <f>+[4]SLP!CP42+[4]ROSA!CP42+'[4]STA ANA'!CP42+[4]BOA!CP42+'[4]STA MARIA'!CP42+'[4]CB I'!CP42+'[4]CB II'!CP42+'[4]CB III'!CP42+[4]IG!CP42+[4]PN!CP42+[4]MJ!CP42+'[4]RB I'!CP42+'[4]SÃO FRANCISCO'!CP42</f>
        <v>0</v>
      </c>
      <c r="CQ42" s="224">
        <f t="shared" si="14"/>
        <v>-1</v>
      </c>
      <c r="CR42" s="155"/>
      <c r="CS42" s="227" t="e">
        <f t="shared" si="15"/>
        <v>#VALUE!</v>
      </c>
    </row>
    <row r="43" spans="1:97" ht="16" customHeight="1" x14ac:dyDescent="0.2">
      <c r="A43" s="223" t="s">
        <v>67</v>
      </c>
      <c r="B43" s="30">
        <f t="shared" si="17"/>
        <v>777637.14185085113</v>
      </c>
      <c r="C43" s="31">
        <f t="shared" si="17"/>
        <v>682065.5371173817</v>
      </c>
      <c r="D43" s="32">
        <f t="shared" si="17"/>
        <v>95571.60473346962</v>
      </c>
      <c r="E43" s="30">
        <f t="shared" si="19"/>
        <v>259212.38061695045</v>
      </c>
      <c r="F43" s="33">
        <f t="shared" si="19"/>
        <v>227355.17903912725</v>
      </c>
      <c r="G43" s="34">
        <f t="shared" si="19"/>
        <v>31857.201577823209</v>
      </c>
      <c r="H43" s="31">
        <f t="shared" si="18"/>
        <v>294132.0350647131</v>
      </c>
      <c r="I43" s="33">
        <f t="shared" si="18"/>
        <v>29164.917774136069</v>
      </c>
      <c r="J43" s="33">
        <f t="shared" si="18"/>
        <v>323296.95283884916</v>
      </c>
      <c r="K43" s="224">
        <f t="shared" si="2"/>
        <v>0.24722805318700924</v>
      </c>
      <c r="L43" s="225">
        <f>+[4]SLP!L43+[4]ROSA!L43+'[4]STA ANA'!L43+[4]BOA!L43+'[4]STA MARIA'!L43+'[4]CB I'!L43+'[4]CB II'!L43+'[4]CB III'!L43+[4]IG!L43+[4]PN!L43+[4]MJ!L43+'[4]RB I'!L43+'[4]SF I'!L43</f>
        <v>64803.095154237613</v>
      </c>
      <c r="M43" s="226">
        <f>+[4]SLP!M43+[4]ROSA!M43+'[4]STA ANA'!M43+[4]BOA!M43+'[4]STA MARIA'!M43+'[4]CB I'!M43+'[4]CB II'!M43+'[4]CB III'!M43+[4]IG!M43+[4]PN!M43+[4]MJ!M43+'[4]RB I'!M43+'[4]SF I'!M43</f>
        <v>56838.794759781813</v>
      </c>
      <c r="N43" s="226">
        <f>+[4]SLP!N43+[4]ROSA!N43+'[4]STA ANA'!N43+[4]BOA!N43+'[4]STA MARIA'!N43+'[4]CB I'!N43+'[4]CB II'!N43+'[4]CB III'!N43+[4]IG!N43+[4]PN!N43+[4]MJ!N43+'[4]RB I'!N43+'[4]SF I'!N43</f>
        <v>7964.3003944558022</v>
      </c>
      <c r="O43" s="226">
        <f>+[4]SLP!O43+[4]ROSA!O43+'[4]STA ANA'!O43+[4]BOA!O43+'[4]STA MARIA'!O43+'[4]CB I'!O43+'[4]CB II'!O43+'[4]CB III'!O43+[4]IG!O43+[4]PN!O43+[4]MJ!O43+'[4]RB I'!O43+'[4]SF I'!O43</f>
        <v>73045.34899047295</v>
      </c>
      <c r="P43" s="226">
        <f>+[4]SLP!P43+[4]ROSA!P43+'[4]STA ANA'!P43+[4]BOA!P43+'[4]STA MARIA'!P43+'[4]CB I'!P43+'[4]CB II'!P43+'[4]CB III'!P43+[4]IG!P43+[4]PN!P43+[4]MJ!P43+'[4]RB I'!P43+'[4]SF I'!P43</f>
        <v>7475.5403389613057</v>
      </c>
      <c r="Q43" s="166">
        <f>+[4]SLP!Q43+[4]ROSA!Q43+'[4]STA ANA'!Q43+[4]BOA!Q43+'[4]STA MARIA'!Q43+'[4]CB I'!Q43+'[4]CB II'!Q43+'[4]CB III'!Q43+[4]IG!Q43+[4]PN!Q43+[4]MJ!Q43+'[4]RB I'!Q43+'[4]SF I'!Q43</f>
        <v>80520.889329434256</v>
      </c>
      <c r="R43" s="224">
        <f t="shared" si="3"/>
        <v>0.24254696689697886</v>
      </c>
      <c r="S43" s="225">
        <f>+[4]SLP!S43+[4]ROSA!S43+'[4]STA ANA'!S43+[4]BOA!S43+'[4]STA MARIA'!S43+'[4]CB I'!S43+'[4]CB II'!S43+'[4]CB III'!S43+[4]IG!S43+[4]PN!S43+[4]MJ!S43+'[4]RB I'!S43+'[4]SF I'!S43</f>
        <v>64803.095154237613</v>
      </c>
      <c r="T43" s="226">
        <f>+[4]SLP!T43+[4]ROSA!T43+'[4]STA ANA'!T43+[4]BOA!T43+'[4]STA MARIA'!T43+'[4]CB I'!T43+'[4]CB II'!T43+'[4]CB III'!T43+[4]IG!T43+[4]PN!T43+[4]MJ!T43+'[4]RB I'!T43+'[4]SF I'!T43</f>
        <v>56838.794759781813</v>
      </c>
      <c r="U43" s="226">
        <f>+[4]SLP!U43+[4]ROSA!U43+'[4]STA ANA'!U43+[4]BOA!U43+'[4]STA MARIA'!U43+'[4]CB I'!U43+'[4]CB II'!U43+'[4]CB III'!U43+[4]IG!U43+[4]PN!U43+[4]MJ!U43+'[4]RB I'!U43+'[4]SF I'!U43</f>
        <v>7964.3003944558022</v>
      </c>
      <c r="V43" s="226">
        <f>+[4]SLP!V43+[4]ROSA!V43+'[4]STA ANA'!V43+[4]BOA!V43+'[4]STA MARIA'!V43+'[4]CB I'!V43+'[4]CB II'!V43+'[4]CB III'!V43+[4]IG!V43+[4]PN!V43+[4]MJ!V43+'[4]RB I'!V43+'[4]SF I'!V43</f>
        <v>85724.261683166551</v>
      </c>
      <c r="W43" s="226">
        <f>+[4]SLP!W43+[4]ROSA!W43+'[4]STA ANA'!W43+[4]BOA!W43+'[4]STA MARIA'!W43+'[4]CB I'!W43+'[4]CB II'!W43+'[4]CB III'!W43+[4]IG!W43+[4]PN!W43+[4]MJ!W43+'[4]RB I'!W43+'[4]SF I'!W43</f>
        <v>7597.5061052338169</v>
      </c>
      <c r="X43" s="166">
        <f>[4]SLP!X43+[4]ROSA!X43+'[4]STA ANA'!X43+[4]BOA!X43+'[4]STA MARIA'!X43+'[4]CB I'!X43+'[4]CB II'!X43+'[4]CB III'!X43+[4]IG!X43+[4]PN!X43+[4]MJ!X43+'[4]RB I'!X43+'[4]SF I'!X43</f>
        <v>93321.767788400364</v>
      </c>
      <c r="Y43" s="224">
        <f t="shared" si="4"/>
        <v>0.4400819523556021</v>
      </c>
      <c r="Z43" s="225">
        <f>+[4]SLP!Z43+[4]ROSA!Z43+'[4]STA ANA'!Z43+[4]BOA!Z43+'[4]STA MARIA'!Z43+'[4]CB I'!Z43+'[4]CB II'!Z43+'[4]CB III'!Z43+[4]IG!Z43+[4]PN!Z43+[4]MJ!Z43+'[4]RB I'!Z43+'[4]SF I'!Z43</f>
        <v>64803.095154237613</v>
      </c>
      <c r="AA43" s="226">
        <f>+[4]SLP!AA43+[4]ROSA!AA43+'[4]STA ANA'!AA43+[4]BOA!AA43+'[4]STA MARIA'!AA43+'[4]CB I'!AA43+'[4]CB II'!AA43+'[4]CB III'!AA43+[4]IG!AA43+[4]PN!AA43+[4]MJ!AA43+'[4]RB I'!AA43+'[4]SF I'!AA43</f>
        <v>56838.794759781813</v>
      </c>
      <c r="AB43" s="226">
        <f>+[4]SLP!AB43+[4]ROSA!AB43+'[4]STA ANA'!AB43+[4]BOA!AB43+'[4]STA MARIA'!AB43+'[4]CB I'!AB43+'[4]CB II'!AB43+'[4]CB III'!AB43+[4]IG!AB43+[4]PN!AB43+[4]MJ!AB43+'[4]RB I'!AB43+'[4]SF I'!AB43</f>
        <v>7964.3003944558022</v>
      </c>
      <c r="AC43" s="226">
        <f>+[4]SLP!AC43+[4]ROSA!AC43+'[4]STA ANA'!AC43+[4]BOA!AC43+'[4]STA MARIA'!AC43+'[4]CB I'!AC43+'[4]CB II'!AC43+'[4]CB III'!AC43+[4]IG!AC43+[4]PN!AC43+[4]MJ!AC43+'[4]RB I'!AC43+'[4]SF I'!AC43</f>
        <v>65495.93239976863</v>
      </c>
      <c r="AD43" s="226">
        <f>+[4]SLP!AD43+[4]ROSA!AD43+'[4]STA ANA'!AD43+[4]BOA!AD43+'[4]STA MARIA'!AD43+'[4]CB I'!AD43+'[4]CB II'!AD43+'[4]CB III'!AD43+[4]IG!AD43+[4]PN!AD43+[4]MJ!AD43+'[4]RB I'!AD43+'[4]SF I'!AD43</f>
        <v>6793.9646469485224</v>
      </c>
      <c r="AE43" s="166">
        <f>+[4]SLP!AE43+[4]ROSA!AE43+'[4]STA ANA'!AE43+[4]BOA!AE43+'[4]STA MARIA'!AE43+'[4]CB I'!AE43+'[4]CB II'!AE43+'[4]CB III'!AE43+[4]IG!AE43+[4]PN!AE43+[4]MJ!AE43+'[4]RB I'!AE43+'[4]SF I'!AE43</f>
        <v>72289.89704671716</v>
      </c>
      <c r="AF43" s="224">
        <f t="shared" si="5"/>
        <v>0.11553154790925091</v>
      </c>
      <c r="AG43" s="225">
        <f>+[4]SLP!AG43+[4]ROSA!AG43+'[4]STA ANA'!AG43+[4]BOA!AG43+'[4]STA MARIA'!AG43+'[4]CB I'!AG43+'[4]CB II'!AG43+'[4]CB III'!AG43+[4]IG!AG43+[4]PN!AG43+[4]MJ!AG43+'[4]RB I'!AG43+'[4]SF I'!AG43</f>
        <v>64803.095154237613</v>
      </c>
      <c r="AH43" s="226">
        <f>+[4]SLP!AH43+[4]ROSA!AH43+'[4]STA ANA'!AH43+[4]BOA!AH43+'[4]STA MARIA'!AH43+'[4]CB I'!AH43+'[4]CB II'!AH43+'[4]CB III'!AH43+[4]IG!AH43+[4]PN!AH43+[4]MJ!AH43+'[4]RB I'!AH43+'[4]SF I'!AH43</f>
        <v>56838.794759781813</v>
      </c>
      <c r="AI43" s="226">
        <f>+[4]SLP!AI43+[4]ROSA!AI43+'[4]STA ANA'!AI43+[4]BOA!AI43+'[4]STA MARIA'!AI43+'[4]CB I'!AI43+'[4]CB II'!AI43+'[4]CB III'!AI43+[4]IG!AI43+[4]PN!AI43+[4]MJ!AI43+'[4]RB I'!AI43+'[4]SF I'!AI43</f>
        <v>7964.3003944558022</v>
      </c>
      <c r="AJ43" s="226">
        <f>+[4]SLP!AJ43+[4]ROSA!AJ43+'[4]STA ANA'!AJ43+[4]BOA!AJ43+'[4]STA MARIA'!AJ43+'[4]CB I'!AJ43+'[4]CB II'!AJ43+'[4]CB III'!AJ43+[4]IG!AJ43+[4]PN!AJ43+[4]MJ!AJ43+'[4]RB I'!AJ43+'[4]SF I'!AJ43</f>
        <v>69866.491991304938</v>
      </c>
      <c r="AK43" s="226">
        <f>+[4]SLP!AK43+[4]ROSA!AK43+'[4]STA ANA'!AK43+[4]BOA!AK43+'[4]STA MARIA'!AK43+'[4]CB I'!AK43+'[4]CB II'!AK43+'[4]CB III'!AK43+[4]IG!AK43+[4]PN!AK43+[4]MJ!AK43+'[4]RB I'!AK43+'[4]SF I'!AK43</f>
        <v>7297.9066829924222</v>
      </c>
      <c r="AL43" s="166">
        <f>+[4]SLP!AL43+[4]ROSA!AL43+'[4]STA ANA'!AL43+[4]BOA!AL43+'[4]STA MARIA'!AL43+'[4]CB I'!AL43+'[4]CB II'!AL43+'[4]CB III'!AL43+[4]IG!AL43+[4]PN!AL43+[4]MJ!AL43+'[4]RB I'!AL43+'[4]SF I'!AL43</f>
        <v>77164.398674297365</v>
      </c>
      <c r="AM43" s="224">
        <f t="shared" si="6"/>
        <v>0.19075174558620467</v>
      </c>
      <c r="AN43" s="225">
        <f>+[4]SLP!AN43+[4]ROSA!AN43+'[4]STA ANA'!AN43+[4]BOA!AN43+'[4]STA MARIA'!AN43+'[4]CB I'!AN43+'[4]CB II'!AN43+'[4]CB III'!AN43+[4]IG!AN43+[4]PN!AN43+[4]MJ!AN43+'[4]RB I'!AN43+'[4]SF I'!AN43</f>
        <v>64803.095154237613</v>
      </c>
      <c r="AO43" s="226">
        <f>+[4]SLP!AO43+[4]ROSA!AO43+'[4]STA ANA'!AO43+[4]BOA!AO43+'[4]STA MARIA'!AO43+'[4]CB I'!AO43+'[4]CB II'!AO43+'[4]CB III'!AO43+[4]IG!AO43+[4]PN!AO43+[4]MJ!AO43+'[4]RB I'!AO43+'[4]SF I'!AO43</f>
        <v>56838.794759781813</v>
      </c>
      <c r="AP43" s="226">
        <f>+[4]SLP!AP43+[4]ROSA!AP43+'[4]STA ANA'!AP43+[4]BOA!AP43+'[4]STA MARIA'!AP43+'[4]CB I'!AP43+'[4]CB II'!AP43+'[4]CB III'!AP43+[4]IG!AP43+[4]PN!AP43+[4]MJ!AP43+'[4]RB I'!AP43+'[4]SF I'!AP43</f>
        <v>7964.3003944558022</v>
      </c>
      <c r="AQ43" s="226">
        <f>+[4]SLP!AQ43+[4]ROSA!AQ43+'[4]STA ANA'!AQ43+[4]BOA!AQ43+'[4]STA MARIA'!AQ43+'[4]CB I'!AQ43+'[4]CB II'!AQ43+'[4]CB III'!AQ43+[4]IG!AQ43+[4]PN!AQ43+[4]MJ!AQ43+'[4]RB I'!AQ43+'[4]SF I'!AQ43</f>
        <v>0</v>
      </c>
      <c r="AR43" s="226">
        <f>+[4]SLP!AR43+[4]ROSA!AR43+'[4]STA ANA'!AR43+[4]BOA!AR43+'[4]STA MARIA'!AR43+'[4]CB I'!AR43+'[4]CB II'!AR43+'[4]CB III'!AR43+[4]IG!AR43+[4]PN!AR43+[4]MJ!AR43+'[4]RB I'!AR43+'[4]SF I'!AR43</f>
        <v>0</v>
      </c>
      <c r="AS43" s="166">
        <f>+[4]SLP!AS43+[4]ROSA!AS43+'[4]STA ANA'!AS43+[4]BOA!AS43+'[4]STA MARIA'!AS43+'[4]CB I'!AS43+'[4]CB II'!AS43+'[4]CB III'!AS43+[4]IG!AS43+[4]PN!AS43+[4]MJ!AS43+'[4]RB I'!AS43+'[4]SÃO FRANCISCO'!AS43</f>
        <v>0</v>
      </c>
      <c r="AT43" s="224">
        <f t="shared" si="7"/>
        <v>-1</v>
      </c>
      <c r="AU43" s="225">
        <f>+[4]SLP!AU43+[4]ROSA!AU43+'[4]STA ANA'!AU43+[4]BOA!AU43+'[4]STA MARIA'!AU43+'[4]CB I'!AU43+'[4]CB II'!AU43+'[4]CB III'!AU43+[4]IG!AU43+[4]PN!AU43+[4]MJ!AU43+'[4]RB I'!AU43+'[4]SF I'!AU43</f>
        <v>64803.095154237613</v>
      </c>
      <c r="AV43" s="226">
        <f>+[4]SLP!AV43+[4]ROSA!AV43+'[4]STA ANA'!AV43+[4]BOA!AV43+'[4]STA MARIA'!AV43+'[4]CB I'!AV43+'[4]CB II'!AV43+'[4]CB III'!AV43+[4]IG!AV43+[4]PN!AV43+[4]MJ!AV43+'[4]RB I'!AV43+'[4]SF I'!AV43</f>
        <v>56838.794759781813</v>
      </c>
      <c r="AW43" s="226">
        <f>+[4]SLP!AW43+[4]ROSA!AW43+'[4]STA ANA'!AW43+[4]BOA!AW43+'[4]STA MARIA'!AW43+'[4]CB I'!AW43+'[4]CB II'!AW43+'[4]CB III'!AW43+[4]IG!AW43+[4]PN!AW43+[4]MJ!AW43+'[4]RB I'!AW43+'[4]SF I'!AW43</f>
        <v>7964.3003944558022</v>
      </c>
      <c r="AX43" s="226">
        <f>+[4]SLP!AX43+[4]ROSA!AX43+'[4]STA ANA'!AX43+[4]BOA!AX43+'[4]STA MARIA'!AX43+'[4]CB I'!AX43+'[4]CB II'!AX43+'[4]CB III'!AX43+[4]IG!AX43+[4]PN!AX43+[4]MJ!AX43+'[4]RB I'!AX43+'[4]SF I'!AX43</f>
        <v>0</v>
      </c>
      <c r="AY43" s="226">
        <f>+[4]SLP!AY43+[4]ROSA!AY43+'[4]STA ANA'!AY43+[4]BOA!AY43+'[4]STA MARIA'!AY43+'[4]CB I'!AY43+'[4]CB II'!AY43+'[4]CB III'!AY43+[4]IG!AY43+[4]PN!AY43+[4]MJ!AY43+'[4]RB I'!AY43+'[4]SF I'!AY43</f>
        <v>0</v>
      </c>
      <c r="AZ43" s="166">
        <f>+[4]SLP!AZ43+[4]ROSA!AZ43+'[4]STA ANA'!AZ43+[4]BOA!AZ43+'[4]STA MARIA'!AZ43+'[4]CB I'!AZ43+'[4]CB II'!AZ43+[4]IG!AZ43+[4]PN!AZ43+[4]MJ!AZ43+'[4]RB I'!AZ43+'[4]SÃO FRANCISCO'!AZ43</f>
        <v>0</v>
      </c>
      <c r="BA43" s="224">
        <f t="shared" si="8"/>
        <v>-1</v>
      </c>
      <c r="BB43" s="225">
        <f>+[4]SLP!BB43+[4]ROSA!BB43+'[4]STA ANA'!BB43+[4]BOA!BB43+'[4]STA MARIA'!BB43+'[4]CB I'!BB43+'[4]CB II'!BB43+'[4]CB III'!BB43+[4]IG!BB43+[4]PN!BB43+[4]MJ!BB43+'[4]RB I'!BB43+'[4]SF I'!BB43</f>
        <v>64803.095154237613</v>
      </c>
      <c r="BC43" s="226">
        <f>+[4]SLP!BC43+[4]ROSA!BC43+'[4]STA ANA'!BC43+[4]BOA!BC43+'[4]STA MARIA'!BC43+'[4]CB I'!BC43+'[4]CB II'!BC43+'[4]CB III'!BC43+[4]IG!BC43+[4]PN!BC43+[4]MJ!BC43+'[4]RB I'!BC43+'[4]SF I'!BC43</f>
        <v>56838.794759781813</v>
      </c>
      <c r="BD43" s="226">
        <f>+[4]SLP!BD43+[4]ROSA!BD43+'[4]STA ANA'!BD43+[4]BOA!BD43+'[4]STA MARIA'!BD43+'[4]CB I'!BD43+'[4]CB II'!BD43+'[4]CB III'!BD43+[4]IG!BD43+[4]PN!BD43+[4]MJ!BD43+'[4]RB I'!BD43+'[4]SF I'!BD43</f>
        <v>7964.3003944558022</v>
      </c>
      <c r="BE43" s="226">
        <f>+[4]SLP!BE43+[4]ROSA!BE43+'[4]STA ANA'!BE43+[4]BOA!BE43+'[4]STA MARIA'!BE43+'[4]CB I'!BE43+'[4]CB II'!BE43+'[4]CB III'!BE43+[4]IG!BE43+[4]PN!BE43+[4]MJ!BE43+'[4]RB I'!BE43+'[4]SF I'!BE43</f>
        <v>0</v>
      </c>
      <c r="BF43" s="226">
        <f>+[4]SLP!BF43+[4]ROSA!BF43+'[4]STA ANA'!BF43+[4]BOA!BF43+'[4]STA MARIA'!BF43+'[4]CB I'!BF43+'[4]CB II'!BF43+'[4]CB III'!BF43+[4]IG!BF43+[4]PN!BF43+[4]MJ!BF43+'[4]RB I'!BF43+'[4]SF I'!BF43</f>
        <v>0</v>
      </c>
      <c r="BG43" s="166">
        <f>+[4]SLP!BG43+[4]ROSA!BG43+'[4]STA ANA'!BG43+[4]BOA!BG43+'[4]STA MARIA'!BG43+'[4]CB I'!BG43+'[4]CB II'!BG43+'[4]CB III'!BG43+[4]IG!BG43+[4]PN!BG43+[4]MJ!BG43+'[4]RB I'!BG43+'[4]SÃO FRANCISCO'!BG43</f>
        <v>0</v>
      </c>
      <c r="BH43" s="224">
        <f t="shared" si="9"/>
        <v>-1</v>
      </c>
      <c r="BI43" s="225">
        <f>+[4]SLP!BI43+[4]ROSA!BI43+'[4]STA ANA'!BI43+[4]BOA!BI43+'[4]STA MARIA'!BI43+'[4]CB I'!BI43+'[4]CB II'!BI43+'[4]CB III'!BI43+[4]IG!BI43+[4]PN!BI43+[4]MJ!BI43+'[4]RB I'!BI43+'[4]SF I'!BI43</f>
        <v>64803.095154237613</v>
      </c>
      <c r="BJ43" s="226">
        <f>+[4]SLP!BJ43+[4]ROSA!BJ43+'[4]STA ANA'!BJ43+[4]BOA!BJ43+'[4]STA MARIA'!BJ43+'[4]CB I'!BJ43+'[4]CB II'!BJ43+'[4]CB III'!BJ43+[4]IG!BJ43+[4]PN!BJ43+[4]MJ!BJ43+'[4]RB I'!BJ43+'[4]SF I'!BJ43</f>
        <v>56838.794759781813</v>
      </c>
      <c r="BK43" s="226">
        <f>+[4]SLP!BK43+[4]ROSA!BK43+'[4]STA ANA'!BK43+[4]BOA!BK43+'[4]STA MARIA'!BK43+'[4]CB I'!BK43+'[4]CB II'!BK43+'[4]CB III'!BK43+[4]IG!BK43+[4]PN!BK43+[4]MJ!BK43+'[4]RB I'!BK43+'[4]SF I'!BK43</f>
        <v>7964.3003944558022</v>
      </c>
      <c r="BL43" s="226">
        <f>+[4]SLP!BL43+[4]ROSA!BL43+'[4]STA ANA'!BL43+[4]BOA!BL43+'[4]STA MARIA'!BL43+'[4]CB I'!BL43+'[4]CB II'!BL43+'[4]CB III'!BL43+[4]IG!BL43+[4]PN!BL43+[4]MJ!BL43+'[4]RB I'!BL43+'[4]SF I'!BL43</f>
        <v>0</v>
      </c>
      <c r="BM43" s="226">
        <f>+[4]SLP!BM43+[4]ROSA!BM43+'[4]STA ANA'!BM43+[4]BOA!BM43+'[4]STA MARIA'!BM43+'[4]CB I'!BM43+'[4]CB II'!BM43+'[4]CB III'!BM43+[4]IG!BM43+[4]PN!BM43+[4]MJ!BM43+'[4]RB I'!BM43+'[4]SF I'!BM43</f>
        <v>0</v>
      </c>
      <c r="BN43" s="166">
        <f>+[4]SLP!BN43+[4]ROSA!BN43+'[4]STA ANA'!BN43+[4]BOA!BN43+'[4]STA MARIA'!BN43+'[4]CB I'!BN43+'[4]CB II'!BN43+'[4]CB III'!BN43+[4]IG!BN43+[4]PN!BN43+[4]MJ!BN43+'[4]RB I'!BN43+'[4]SÃO FRANCISCO'!BN43</f>
        <v>0</v>
      </c>
      <c r="BO43" s="224">
        <f t="shared" si="10"/>
        <v>-1</v>
      </c>
      <c r="BP43" s="225">
        <f>+[4]SLP!BP43+[4]ROSA!BP43+'[4]STA ANA'!BP43+[4]BOA!BP43+'[4]STA MARIA'!BP43+'[4]CB I'!BP43+'[4]CB II'!BP43+'[4]CB III'!BP43+[4]IG!BP43+[4]PN!BP43+[4]MJ!BP43+'[4]RB I'!BP43+'[4]SF I'!BP43</f>
        <v>64803.095154237613</v>
      </c>
      <c r="BQ43" s="226">
        <f>+[4]SLP!BQ43+[4]ROSA!BQ43+'[4]STA ANA'!BQ43+[4]BOA!BQ43+'[4]STA MARIA'!BQ43+'[4]CB I'!BQ43+'[4]CB II'!BQ43+'[4]CB III'!BQ43+[4]IG!BQ43+[4]PN!BQ43+[4]MJ!BQ43+'[4]RB I'!BQ43+'[4]SF I'!BQ43</f>
        <v>56838.794759781813</v>
      </c>
      <c r="BR43" s="226">
        <f>+[4]SLP!BR43+[4]ROSA!BR43+'[4]STA ANA'!BR43+[4]BOA!BR43+'[4]STA MARIA'!BR43+'[4]CB I'!BR43+'[4]CB II'!BR43+'[4]CB III'!BR43+[4]IG!BR43+[4]PN!BR43+[4]MJ!BR43+'[4]RB I'!BR43+'[4]SF I'!BR43</f>
        <v>7964.3003944558022</v>
      </c>
      <c r="BS43" s="226">
        <f>+[4]SLP!BS43+[4]ROSA!BS43+'[4]STA ANA'!BS43+[4]BOA!BS43+'[4]STA MARIA'!BS43+'[4]CB I'!BS43+'[4]CB II'!BS43+'[4]CB III'!BS43+[4]IG!BS43+[4]PN!BS43+[4]MJ!BS43+'[4]RB I'!BS43+'[4]SF I'!BS43</f>
        <v>0</v>
      </c>
      <c r="BT43" s="226">
        <f>+[4]SLP!BT43+[4]ROSA!BT43+'[4]STA ANA'!BT43+[4]BOA!BT43+'[4]STA MARIA'!BT43+'[4]CB I'!BT43+'[4]CB II'!BT43+'[4]CB III'!BT43+[4]IG!BT43+[4]PN!BT43+[4]MJ!BT43+'[4]RB I'!BT43+'[4]SF I'!BT43</f>
        <v>0</v>
      </c>
      <c r="BU43" s="166">
        <f>+[4]SLP!BU43+[4]ROSA!BU43+'[4]STA ANA'!BU43+[4]BOA!BU43+'[4]STA MARIA'!BU43+'[4]CB I'!BU43+'[4]CB II'!BU43+'[4]CB III'!BU43+[4]IG!BU43+[4]PN!BU43+[4]MJ!BU43+'[4]RB I'!BU43+'[4]SÃO FRANCISCO'!BU43</f>
        <v>0</v>
      </c>
      <c r="BV43" s="224">
        <f t="shared" si="11"/>
        <v>-1</v>
      </c>
      <c r="BW43" s="225">
        <f>+[4]SLP!BW43+[4]ROSA!BW43+'[4]STA ANA'!BW43+[4]BOA!BW43+'[4]STA MARIA'!BW43+'[4]CB I'!BW43+'[4]CB II'!BW43+'[4]CB III'!BW43+[4]IG!BW43+[4]PN!BW43+[4]MJ!BW43+'[4]RB I'!BW43+'[4]SF I'!BW43</f>
        <v>64803.095154237613</v>
      </c>
      <c r="BX43" s="226">
        <f>+[4]SLP!BX43+[4]ROSA!BX43+'[4]STA ANA'!BX43+[4]BOA!BX43+'[4]STA MARIA'!BX43+'[4]CB I'!BX43+'[4]CB II'!BX43+'[4]CB III'!BX43+[4]IG!BX43+[4]PN!BX43+[4]MJ!BX43+'[4]RB I'!BX43+'[4]SF I'!BX43</f>
        <v>56838.794759781813</v>
      </c>
      <c r="BY43" s="226">
        <f>+[4]SLP!BY43+[4]ROSA!BY43+'[4]STA ANA'!BY43+[4]BOA!BY43+'[4]STA MARIA'!BY43+'[4]CB I'!BY43+'[4]CB II'!BY43+'[4]CB III'!BY43+[4]IG!BY43+[4]PN!BY43+[4]MJ!BY43+'[4]RB I'!BY43+'[4]SF I'!BY43</f>
        <v>7964.3003944558022</v>
      </c>
      <c r="BZ43" s="226">
        <f>+[4]SLP!BZ43+[4]ROSA!BZ43+'[4]STA ANA'!BZ43+[4]BOA!BZ43+'[4]STA MARIA'!BZ43+'[4]CB I'!BZ43+'[4]CB II'!BZ43+'[4]CB III'!BZ43+[4]IG!BZ43+[4]PN!BZ43+[4]MJ!BZ43+'[4]RB I'!BZ43+'[4]SF I'!BZ43</f>
        <v>0</v>
      </c>
      <c r="CA43" s="226">
        <f>+[4]SLP!CA43+[4]ROSA!CA43+'[4]STA ANA'!CA43+[4]BOA!CA43+'[4]STA MARIA'!CA43+'[4]CB I'!CA43+'[4]CB II'!CA43+'[4]CB III'!CA43+[4]IG!CA43+[4]PN!CA43+[4]MJ!CA43+'[4]RB I'!CA43+'[4]SF I'!CA43</f>
        <v>0</v>
      </c>
      <c r="CB43" s="166">
        <f>+[4]SLP!CB43+[4]ROSA!CB43+'[4]STA ANA'!CB43+[4]BOA!CB43+'[4]STA MARIA'!CB43+'[4]CB I'!CB43+'[4]CB II'!CB43+'[4]CB III'!CB43+[4]IG!CB43+[4]PN!CB43+[4]MJ!CB43+'[4]RB I'!CB43+'[4]SÃO FRANCISCO'!CB43</f>
        <v>0</v>
      </c>
      <c r="CC43" s="224">
        <f t="shared" si="12"/>
        <v>-1</v>
      </c>
      <c r="CD43" s="225">
        <f>+[4]SLP!CD43+[4]ROSA!CD43+'[4]STA ANA'!CD43+[4]BOA!CD43+'[4]STA MARIA'!CD43+'[4]CB I'!CD43+'[4]CB II'!CD43+'[4]CB III'!CD43+[4]IG!CD43+[4]PN!CD43+[4]MJ!CD43+'[4]RB I'!CD43+'[4]SF I'!CD43</f>
        <v>64803.095154237613</v>
      </c>
      <c r="CE43" s="226">
        <f>+[4]SLP!CE43+[4]ROSA!CE43+'[4]STA ANA'!CE43+[4]BOA!CE43+'[4]STA MARIA'!CE43+'[4]CB I'!CE43+'[4]CB II'!CE43+'[4]CB III'!CE43+[4]IG!CE43+[4]PN!CE43+[4]MJ!CE43+'[4]RB I'!CE43+'[4]SF I'!CE43</f>
        <v>56838.794759781813</v>
      </c>
      <c r="CF43" s="226">
        <f>+[4]SLP!CF43+[4]ROSA!CF43+'[4]STA ANA'!CF43+[4]BOA!CF43+'[4]STA MARIA'!CF43+'[4]CB I'!CF43+'[4]CB II'!CF43+'[4]CB III'!CF43+[4]IG!CF43+[4]PN!CF43+[4]MJ!CF43+'[4]RB I'!CF43+'[4]SF I'!CF43</f>
        <v>7964.3003944558022</v>
      </c>
      <c r="CG43" s="226">
        <f>+[4]SLP!CG43+[4]ROSA!CG43+'[4]STA ANA'!CG43+[4]BOA!CG43+'[4]STA MARIA'!CG43+'[4]CB I'!CG43+'[4]CB II'!CG43+'[4]CB III'!CG43+[4]IG!CG43+[4]PN!CG43+[4]MJ!CG43+'[4]RB I'!CG43+'[4]SF I'!CG43</f>
        <v>0</v>
      </c>
      <c r="CH43" s="226">
        <f>+[4]SLP!CH43+[4]ROSA!CH43+'[4]STA ANA'!CH43+[4]BOA!CH43+'[4]STA MARIA'!CH43+'[4]CB I'!CH43+'[4]CB II'!CH43+'[4]CB III'!CH43+[4]IG!CH43+[4]PN!CH43+[4]MJ!CH43+'[4]RB I'!CH43+'[4]SF I'!CH43</f>
        <v>0</v>
      </c>
      <c r="CI43" s="166">
        <f>+[4]SLP!CI43+[4]ROSA!CI43+'[4]STA ANA'!CI43+[4]BOA!CI43+'[4]STA MARIA'!CI43+'[4]CB I'!CI43+'[4]CB II'!CI43+'[4]CB III'!CI43+[4]IG!CI43+[4]PN!CI43+[4]MJ!CI43+'[4]RB I'!CI43+'[4]SÃO FRANCISCO'!CI43</f>
        <v>0</v>
      </c>
      <c r="CJ43" s="224">
        <f t="shared" si="13"/>
        <v>-1</v>
      </c>
      <c r="CK43" s="225">
        <f>+[4]SLP!CK43+[4]ROSA!CK43+'[4]STA ANA'!CK43+[4]BOA!CK43+'[4]STA MARIA'!CK43+'[4]CB I'!CK43+'[4]CB II'!CK43+'[4]CB III'!CK43+[4]IG!CK43+[4]PN!CK43+[4]MJ!CK43+'[4]RB I'!CK43+'[4]SF I'!CK43</f>
        <v>64803.095154237613</v>
      </c>
      <c r="CL43" s="226">
        <f>+[4]SLP!CL43+[4]ROSA!CL43+'[4]STA ANA'!CL43+[4]BOA!CL43+'[4]STA MARIA'!CL43+'[4]CB I'!CL43+'[4]CB II'!CL43+'[4]CB III'!CL43+[4]IG!CL43+[4]PN!CL43+[4]MJ!CL43+'[4]RB I'!CL43+'[4]SF I'!CL43</f>
        <v>56838.794759781813</v>
      </c>
      <c r="CM43" s="226">
        <f>+[4]SLP!CM43+[4]ROSA!CM43+'[4]STA ANA'!CM43+[4]BOA!CM43+'[4]STA MARIA'!CM43+'[4]CB I'!CM43+'[4]CB II'!CM43+'[4]CB III'!CM43+[4]IG!CM43+[4]PN!CM43+[4]MJ!CM43+'[4]RB I'!CM43+'[4]SF I'!CM43</f>
        <v>7964.3003944558022</v>
      </c>
      <c r="CN43" s="226">
        <f>+[4]SLP!CN43+[4]ROSA!CN43+'[4]STA ANA'!CN43+[4]BOA!CN43+'[4]STA MARIA'!CN43+'[4]CB I'!CN43+'[4]CB II'!CN43+'[4]CB III'!CN43+[4]IG!CN43+[4]PN!CN43+[4]MJ!CN43+'[4]RB I'!CN43+'[4]SF I'!CN43</f>
        <v>0</v>
      </c>
      <c r="CO43" s="226">
        <f>+[4]SLP!CO43+[4]ROSA!CO43+'[4]STA ANA'!CO43+[4]BOA!CO43+'[4]STA MARIA'!CO43+'[4]CB I'!CO43+'[4]CB II'!CO43+'[4]CB III'!CO43+[4]IG!CO43+[4]PN!CO43+[4]MJ!CO43+'[4]RB I'!CO43+'[4]SF I'!CO43</f>
        <v>0</v>
      </c>
      <c r="CP43" s="166">
        <f>+[4]SLP!CP43+[4]ROSA!CP43+'[4]STA ANA'!CP43+[4]BOA!CP43+'[4]STA MARIA'!CP43+'[4]CB I'!CP43+'[4]CB II'!CP43+'[4]CB III'!CP43+[4]IG!CP43+[4]PN!CP43+[4]MJ!CP43+'[4]RB I'!CP43+'[4]SÃO FRANCISCO'!CP43</f>
        <v>0</v>
      </c>
      <c r="CQ43" s="224">
        <f t="shared" si="14"/>
        <v>-1</v>
      </c>
      <c r="CR43" s="155"/>
      <c r="CS43" s="227" t="e">
        <f t="shared" si="15"/>
        <v>#VALUE!</v>
      </c>
    </row>
    <row r="44" spans="1:97" ht="16" customHeight="1" x14ac:dyDescent="0.2">
      <c r="A44" s="223" t="s">
        <v>68</v>
      </c>
      <c r="B44" s="30">
        <f t="shared" si="17"/>
        <v>0</v>
      </c>
      <c r="C44" s="31">
        <f t="shared" si="17"/>
        <v>0</v>
      </c>
      <c r="D44" s="32">
        <f t="shared" si="17"/>
        <v>0</v>
      </c>
      <c r="E44" s="30">
        <f t="shared" si="19"/>
        <v>0</v>
      </c>
      <c r="F44" s="33">
        <f t="shared" si="19"/>
        <v>0</v>
      </c>
      <c r="G44" s="34">
        <f t="shared" si="19"/>
        <v>0</v>
      </c>
      <c r="H44" s="31">
        <f t="shared" si="18"/>
        <v>0</v>
      </c>
      <c r="I44" s="33">
        <f t="shared" si="18"/>
        <v>0</v>
      </c>
      <c r="J44" s="33">
        <f t="shared" si="18"/>
        <v>0</v>
      </c>
      <c r="K44" s="224" t="str">
        <f t="shared" si="2"/>
        <v/>
      </c>
      <c r="L44" s="225">
        <f>+[4]SLP!L44+[4]ROSA!L44+'[4]STA ANA'!L44+[4]BOA!L44+'[4]STA MARIA'!L44+'[4]CB I'!L44+'[4]CB II'!L44+'[4]CB III'!L44+[4]IG!L44+[4]PN!L44+[4]MJ!L44+'[4]RB I'!L44+'[4]SF I'!L44</f>
        <v>0</v>
      </c>
      <c r="M44" s="226">
        <f>+[4]SLP!M44+[4]ROSA!M44+'[4]STA ANA'!M44+[4]BOA!M44+'[4]STA MARIA'!M44+'[4]CB I'!M44+'[4]CB II'!M44+'[4]CB III'!M44+[4]IG!M44+[4]PN!M44+[4]MJ!M44+'[4]RB I'!M44+'[4]SF I'!M44</f>
        <v>0</v>
      </c>
      <c r="N44" s="226">
        <f>+[4]SLP!N44+[4]ROSA!N44+'[4]STA ANA'!N44+[4]BOA!N44+'[4]STA MARIA'!N44+'[4]CB I'!N44+'[4]CB II'!N44+'[4]CB III'!N44+[4]IG!N44+[4]PN!N44+[4]MJ!N44+'[4]RB I'!N44+'[4]SF I'!N44</f>
        <v>0</v>
      </c>
      <c r="O44" s="226">
        <f>+[4]SLP!O44+[4]ROSA!O44+'[4]STA ANA'!O44+[4]BOA!O44+'[4]STA MARIA'!O44+'[4]CB I'!O44+'[4]CB II'!O44+'[4]CB III'!O44+[4]IG!O44+[4]PN!O44+[4]MJ!O44+'[4]RB I'!O44+'[4]SF I'!O44</f>
        <v>0</v>
      </c>
      <c r="P44" s="226">
        <f>+[4]SLP!P44+[4]ROSA!P44+'[4]STA ANA'!P44+[4]BOA!P44+'[4]STA MARIA'!P44+'[4]CB I'!P44+'[4]CB II'!P44+'[4]CB III'!P44+[4]IG!P44+[4]PN!P44+[4]MJ!P44+'[4]RB I'!P44+'[4]SF I'!P44</f>
        <v>0</v>
      </c>
      <c r="Q44" s="166">
        <f>+[4]SLP!Q44+[4]ROSA!Q44+'[4]STA ANA'!Q44+[4]BOA!Q44+'[4]STA MARIA'!Q44+'[4]CB I'!Q44+'[4]CB II'!Q44+'[4]CB III'!Q44+[4]IG!Q44+[4]PN!Q44+[4]MJ!Q44+'[4]RB I'!Q44+'[4]SF I'!Q44</f>
        <v>0</v>
      </c>
      <c r="R44" s="224" t="str">
        <f t="shared" si="3"/>
        <v/>
      </c>
      <c r="S44" s="225">
        <f>+[4]SLP!S44+[4]ROSA!S44+'[4]STA ANA'!S44+[4]BOA!S44+'[4]STA MARIA'!S44+'[4]CB I'!S44+'[4]CB II'!S44+'[4]CB III'!S44+[4]IG!S44+[4]PN!S44+[4]MJ!S44+'[4]RB I'!S44+'[4]SF I'!S44</f>
        <v>0</v>
      </c>
      <c r="T44" s="226">
        <f>+[4]SLP!T44+[4]ROSA!T44+'[4]STA ANA'!T44+[4]BOA!T44+'[4]STA MARIA'!T44+'[4]CB I'!T44+'[4]CB II'!T44+'[4]CB III'!T44+[4]IG!T44+[4]PN!T44+[4]MJ!T44+'[4]RB I'!T44+'[4]SF I'!T44</f>
        <v>0</v>
      </c>
      <c r="U44" s="226">
        <f>+[4]SLP!U44+[4]ROSA!U44+'[4]STA ANA'!U44+[4]BOA!U44+'[4]STA MARIA'!U44+'[4]CB I'!U44+'[4]CB II'!U44+'[4]CB III'!U44+[4]IG!U44+[4]PN!U44+[4]MJ!U44+'[4]RB I'!U44+'[4]SF I'!U44</f>
        <v>0</v>
      </c>
      <c r="V44" s="226">
        <f>+[4]SLP!V44+[4]ROSA!V44+'[4]STA ANA'!V44+[4]BOA!V44+'[4]STA MARIA'!V44+'[4]CB I'!V44+'[4]CB II'!V44+'[4]CB III'!V44+[4]IG!V44+[4]PN!V44+[4]MJ!V44+'[4]RB I'!V44+'[4]SF I'!V44</f>
        <v>0</v>
      </c>
      <c r="W44" s="226">
        <f>+[4]SLP!W44+[4]ROSA!W44+'[4]STA ANA'!W44+[4]BOA!W44+'[4]STA MARIA'!W44+'[4]CB I'!W44+'[4]CB II'!W44+'[4]CB III'!W44+[4]IG!W44+[4]PN!W44+[4]MJ!W44+'[4]RB I'!W44+'[4]SF I'!W44</f>
        <v>0</v>
      </c>
      <c r="X44" s="166">
        <f>[4]SLP!X44+[4]ROSA!X44+'[4]STA ANA'!X44+[4]BOA!X44+'[4]STA MARIA'!X44+'[4]CB I'!X44+'[4]CB II'!X44+'[4]CB III'!X44+[4]IG!X44+[4]PN!X44+[4]MJ!X44+'[4]RB I'!X44+'[4]SF I'!X44</f>
        <v>0</v>
      </c>
      <c r="Y44" s="224" t="str">
        <f t="shared" si="4"/>
        <v/>
      </c>
      <c r="Z44" s="225">
        <f>+[4]SLP!Z44+[4]ROSA!Z44+'[4]STA ANA'!Z44+[4]BOA!Z44+'[4]STA MARIA'!Z44+'[4]CB I'!Z44+'[4]CB II'!Z44+'[4]CB III'!Z44+[4]IG!Z44+[4]PN!Z44+[4]MJ!Z44+'[4]RB I'!Z44+'[4]SF I'!Z44</f>
        <v>0</v>
      </c>
      <c r="AA44" s="226">
        <f>+[4]SLP!AA44+[4]ROSA!AA44+'[4]STA ANA'!AA44+[4]BOA!AA44+'[4]STA MARIA'!AA44+'[4]CB I'!AA44+'[4]CB II'!AA44+'[4]CB III'!AA44+[4]IG!AA44+[4]PN!AA44+[4]MJ!AA44+'[4]RB I'!AA44+'[4]SF I'!AA44</f>
        <v>0</v>
      </c>
      <c r="AB44" s="226">
        <f>+[4]SLP!AB44+[4]ROSA!AB44+'[4]STA ANA'!AB44+[4]BOA!AB44+'[4]STA MARIA'!AB44+'[4]CB I'!AB44+'[4]CB II'!AB44+'[4]CB III'!AB44+[4]IG!AB44+[4]PN!AB44+[4]MJ!AB44+'[4]RB I'!AB44+'[4]SF I'!AB44</f>
        <v>0</v>
      </c>
      <c r="AC44" s="226">
        <f>+[4]SLP!AC44+[4]ROSA!AC44+'[4]STA ANA'!AC44+[4]BOA!AC44+'[4]STA MARIA'!AC44+'[4]CB I'!AC44+'[4]CB II'!AC44+'[4]CB III'!AC44+[4]IG!AC44+[4]PN!AC44+[4]MJ!AC44+'[4]RB I'!AC44+'[4]SF I'!AC44</f>
        <v>0</v>
      </c>
      <c r="AD44" s="226">
        <f>+[4]SLP!AD44+[4]ROSA!AD44+'[4]STA ANA'!AD44+[4]BOA!AD44+'[4]STA MARIA'!AD44+'[4]CB I'!AD44+'[4]CB II'!AD44+'[4]CB III'!AD44+[4]IG!AD44+[4]PN!AD44+[4]MJ!AD44+'[4]RB I'!AD44+'[4]SF I'!AD44</f>
        <v>0</v>
      </c>
      <c r="AE44" s="166">
        <f>+[4]SLP!AE44+[4]ROSA!AE44+'[4]STA ANA'!AE44+[4]BOA!AE44+'[4]STA MARIA'!AE44+'[4]CB I'!AE44+'[4]CB II'!AE44+'[4]CB III'!AE44+[4]IG!AE44+[4]PN!AE44+[4]MJ!AE44+'[4]RB I'!AE44+'[4]SF I'!AE44</f>
        <v>0</v>
      </c>
      <c r="AF44" s="224" t="str">
        <f t="shared" si="5"/>
        <v/>
      </c>
      <c r="AG44" s="225">
        <f>+[4]SLP!AG44+[4]ROSA!AG44+'[4]STA ANA'!AG44+[4]BOA!AG44+'[4]STA MARIA'!AG44+'[4]CB I'!AG44+'[4]CB II'!AG44+'[4]CB III'!AG44+[4]IG!AG44+[4]PN!AG44+[4]MJ!AG44+'[4]RB I'!AG44+'[4]SF I'!AG44</f>
        <v>0</v>
      </c>
      <c r="AH44" s="226">
        <f>+[4]SLP!AH44+[4]ROSA!AH44+'[4]STA ANA'!AH44+[4]BOA!AH44+'[4]STA MARIA'!AH44+'[4]CB I'!AH44+'[4]CB II'!AH44+'[4]CB III'!AH44+[4]IG!AH44+[4]PN!AH44+[4]MJ!AH44+'[4]RB I'!AH44+'[4]SF I'!AH44</f>
        <v>0</v>
      </c>
      <c r="AI44" s="226">
        <f>+[4]SLP!AI44+[4]ROSA!AI44+'[4]STA ANA'!AI44+[4]BOA!AI44+'[4]STA MARIA'!AI44+'[4]CB I'!AI44+'[4]CB II'!AI44+'[4]CB III'!AI44+[4]IG!AI44+[4]PN!AI44+[4]MJ!AI44+'[4]RB I'!AI44+'[4]SF I'!AI44</f>
        <v>0</v>
      </c>
      <c r="AJ44" s="226">
        <f>+[4]SLP!AJ44+[4]ROSA!AJ44+'[4]STA ANA'!AJ44+[4]BOA!AJ44+'[4]STA MARIA'!AJ44+'[4]CB I'!AJ44+'[4]CB II'!AJ44+'[4]CB III'!AJ44+[4]IG!AJ44+[4]PN!AJ44+[4]MJ!AJ44+'[4]RB I'!AJ44+'[4]SF I'!AJ44</f>
        <v>0</v>
      </c>
      <c r="AK44" s="226">
        <f>+[4]SLP!AK44+[4]ROSA!AK44+'[4]STA ANA'!AK44+[4]BOA!AK44+'[4]STA MARIA'!AK44+'[4]CB I'!AK44+'[4]CB II'!AK44+'[4]CB III'!AK44+[4]IG!AK44+[4]PN!AK44+[4]MJ!AK44+'[4]RB I'!AK44+'[4]SF I'!AK44</f>
        <v>0</v>
      </c>
      <c r="AL44" s="166">
        <f>+[4]SLP!AL44+[4]ROSA!AL44+'[4]STA ANA'!AL44+[4]BOA!AL44+'[4]STA MARIA'!AL44+'[4]CB I'!AL44+'[4]CB II'!AL44+'[4]CB III'!AL44+[4]IG!AL44+[4]PN!AL44+[4]MJ!AL44+'[4]RB I'!AL44+'[4]SF I'!AL44</f>
        <v>0</v>
      </c>
      <c r="AM44" s="224" t="str">
        <f t="shared" si="6"/>
        <v/>
      </c>
      <c r="AN44" s="225">
        <f>+[4]SLP!AN44+[4]ROSA!AN44+'[4]STA ANA'!AN44+[4]BOA!AN44+'[4]STA MARIA'!AN44+'[4]CB I'!AN44+'[4]CB II'!AN44+'[4]CB III'!AN44+[4]IG!AN44+[4]PN!AN44+[4]MJ!AN44+'[4]RB I'!AN44+'[4]SF I'!AN44</f>
        <v>0</v>
      </c>
      <c r="AO44" s="226">
        <f>+[4]SLP!AO44+[4]ROSA!AO44+'[4]STA ANA'!AO44+[4]BOA!AO44+'[4]STA MARIA'!AO44+'[4]CB I'!AO44+'[4]CB II'!AO44+'[4]CB III'!AO44+[4]IG!AO44+[4]PN!AO44+[4]MJ!AO44+'[4]RB I'!AO44+'[4]SF I'!AO44</f>
        <v>0</v>
      </c>
      <c r="AP44" s="226">
        <f>+[4]SLP!AP44+[4]ROSA!AP44+'[4]STA ANA'!AP44+[4]BOA!AP44+'[4]STA MARIA'!AP44+'[4]CB I'!AP44+'[4]CB II'!AP44+'[4]CB III'!AP44+[4]IG!AP44+[4]PN!AP44+[4]MJ!AP44+'[4]RB I'!AP44+'[4]SF I'!AP44</f>
        <v>0</v>
      </c>
      <c r="AQ44" s="226">
        <f>+[4]SLP!AQ44+[4]ROSA!AQ44+'[4]STA ANA'!AQ44+[4]BOA!AQ44+'[4]STA MARIA'!AQ44+'[4]CB I'!AQ44+'[4]CB II'!AQ44+'[4]CB III'!AQ44+[4]IG!AQ44+[4]PN!AQ44+[4]MJ!AQ44+'[4]RB I'!AQ44+'[4]SF I'!AQ44</f>
        <v>0</v>
      </c>
      <c r="AR44" s="226">
        <f>+[4]SLP!AR44+[4]ROSA!AR44+'[4]STA ANA'!AR44+[4]BOA!AR44+'[4]STA MARIA'!AR44+'[4]CB I'!AR44+'[4]CB II'!AR44+'[4]CB III'!AR44+[4]IG!AR44+[4]PN!AR44+[4]MJ!AR44+'[4]RB I'!AR44+'[4]SF I'!AR44</f>
        <v>0</v>
      </c>
      <c r="AS44" s="166">
        <f>+[4]SLP!AS44+[4]ROSA!AS44+'[4]STA ANA'!AS44+[4]BOA!AS44+'[4]STA MARIA'!AS44+'[4]CB I'!AS44+'[4]CB II'!AS44+'[4]CB III'!AS44+[4]IG!AS44+[4]PN!AS44+[4]MJ!AS44+'[4]RB I'!AS44+'[4]SÃO FRANCISCO'!AS44</f>
        <v>0</v>
      </c>
      <c r="AT44" s="224" t="str">
        <f t="shared" si="7"/>
        <v/>
      </c>
      <c r="AU44" s="225">
        <f>+[4]SLP!AU44+[4]ROSA!AU44+'[4]STA ANA'!AU44+[4]BOA!AU44+'[4]STA MARIA'!AU44+'[4]CB I'!AU44+'[4]CB II'!AU44+'[4]CB III'!AU44+[4]IG!AU44+[4]PN!AU44+[4]MJ!AU44+'[4]RB I'!AU44+'[4]SF I'!AU44</f>
        <v>0</v>
      </c>
      <c r="AV44" s="226">
        <f>+[4]SLP!AV44+[4]ROSA!AV44+'[4]STA ANA'!AV44+[4]BOA!AV44+'[4]STA MARIA'!AV44+'[4]CB I'!AV44+'[4]CB II'!AV44+'[4]CB III'!AV44+[4]IG!AV44+[4]PN!AV44+[4]MJ!AV44+'[4]RB I'!AV44+'[4]SF I'!AV44</f>
        <v>0</v>
      </c>
      <c r="AW44" s="226">
        <f>+[4]SLP!AW44+[4]ROSA!AW44+'[4]STA ANA'!AW44+[4]BOA!AW44+'[4]STA MARIA'!AW44+'[4]CB I'!AW44+'[4]CB II'!AW44+'[4]CB III'!AW44+[4]IG!AW44+[4]PN!AW44+[4]MJ!AW44+'[4]RB I'!AW44+'[4]SF I'!AW44</f>
        <v>0</v>
      </c>
      <c r="AX44" s="226">
        <f>+[4]SLP!AX44+[4]ROSA!AX44+'[4]STA ANA'!AX44+[4]BOA!AX44+'[4]STA MARIA'!AX44+'[4]CB I'!AX44+'[4]CB II'!AX44+'[4]CB III'!AX44+[4]IG!AX44+[4]PN!AX44+[4]MJ!AX44+'[4]RB I'!AX44+'[4]SF I'!AX44</f>
        <v>0</v>
      </c>
      <c r="AY44" s="226">
        <f>+[4]SLP!AY44+[4]ROSA!AY44+'[4]STA ANA'!AY44+[4]BOA!AY44+'[4]STA MARIA'!AY44+'[4]CB I'!AY44+'[4]CB II'!AY44+'[4]CB III'!AY44+[4]IG!AY44+[4]PN!AY44+[4]MJ!AY44+'[4]RB I'!AY44+'[4]SF I'!AY44</f>
        <v>0</v>
      </c>
      <c r="AZ44" s="166">
        <f>+[4]SLP!AZ44+[4]ROSA!AZ44+'[4]STA ANA'!AZ44+[4]BOA!AZ44+'[4]STA MARIA'!AZ44+'[4]CB I'!AZ44+'[4]CB II'!AZ44+[4]IG!AZ44+[4]PN!AZ44+[4]MJ!AZ44+'[4]RB I'!AZ44+'[4]SÃO FRANCISCO'!AZ44</f>
        <v>0</v>
      </c>
      <c r="BA44" s="224" t="str">
        <f t="shared" si="8"/>
        <v/>
      </c>
      <c r="BB44" s="225">
        <f>+[4]SLP!BB44+[4]ROSA!BB44+'[4]STA ANA'!BB44+[4]BOA!BB44+'[4]STA MARIA'!BB44+'[4]CB I'!BB44+'[4]CB II'!BB44+'[4]CB III'!BB44+[4]IG!BB44+[4]PN!BB44+[4]MJ!BB44+'[4]RB I'!BB44+'[4]SF I'!BB44</f>
        <v>0</v>
      </c>
      <c r="BC44" s="226">
        <f>+[4]SLP!BC44+[4]ROSA!BC44+'[4]STA ANA'!BC44+[4]BOA!BC44+'[4]STA MARIA'!BC44+'[4]CB I'!BC44+'[4]CB II'!BC44+'[4]CB III'!BC44+[4]IG!BC44+[4]PN!BC44+[4]MJ!BC44+'[4]RB I'!BC44+'[4]SF I'!BC44</f>
        <v>0</v>
      </c>
      <c r="BD44" s="226">
        <f>+[4]SLP!BD44+[4]ROSA!BD44+'[4]STA ANA'!BD44+[4]BOA!BD44+'[4]STA MARIA'!BD44+'[4]CB I'!BD44+'[4]CB II'!BD44+'[4]CB III'!BD44+[4]IG!BD44+[4]PN!BD44+[4]MJ!BD44+'[4]RB I'!BD44+'[4]SF I'!BD44</f>
        <v>0</v>
      </c>
      <c r="BE44" s="226">
        <f>+[4]SLP!BE44+[4]ROSA!BE44+'[4]STA ANA'!BE44+[4]BOA!BE44+'[4]STA MARIA'!BE44+'[4]CB I'!BE44+'[4]CB II'!BE44+'[4]CB III'!BE44+[4]IG!BE44+[4]PN!BE44+[4]MJ!BE44+'[4]RB I'!BE44+'[4]SF I'!BE44</f>
        <v>0</v>
      </c>
      <c r="BF44" s="226">
        <f>+[4]SLP!BF44+[4]ROSA!BF44+'[4]STA ANA'!BF44+[4]BOA!BF44+'[4]STA MARIA'!BF44+'[4]CB I'!BF44+'[4]CB II'!BF44+'[4]CB III'!BF44+[4]IG!BF44+[4]PN!BF44+[4]MJ!BF44+'[4]RB I'!BF44+'[4]SF I'!BF44</f>
        <v>0</v>
      </c>
      <c r="BG44" s="166">
        <f>+[4]SLP!BG44+[4]ROSA!BG44+'[4]STA ANA'!BG44+[4]BOA!BG44+'[4]STA MARIA'!BG44+'[4]CB I'!BG44+'[4]CB II'!BG44+'[4]CB III'!BG44+[4]IG!BG44+[4]PN!BG44+[4]MJ!BG44+'[4]RB I'!BG44+'[4]SÃO FRANCISCO'!BG44</f>
        <v>0</v>
      </c>
      <c r="BH44" s="224" t="str">
        <f t="shared" si="9"/>
        <v/>
      </c>
      <c r="BI44" s="225">
        <f>+[4]SLP!BI44+[4]ROSA!BI44+'[4]STA ANA'!BI44+[4]BOA!BI44+'[4]STA MARIA'!BI44+'[4]CB I'!BI44+'[4]CB II'!BI44+'[4]CB III'!BI44+[4]IG!BI44+[4]PN!BI44+[4]MJ!BI44+'[4]RB I'!BI44+'[4]SF I'!BI44</f>
        <v>0</v>
      </c>
      <c r="BJ44" s="226">
        <f>+[4]SLP!BJ44+[4]ROSA!BJ44+'[4]STA ANA'!BJ44+[4]BOA!BJ44+'[4]STA MARIA'!BJ44+'[4]CB I'!BJ44+'[4]CB II'!BJ44+'[4]CB III'!BJ44+[4]IG!BJ44+[4]PN!BJ44+[4]MJ!BJ44+'[4]RB I'!BJ44+'[4]SF I'!BJ44</f>
        <v>0</v>
      </c>
      <c r="BK44" s="226">
        <f>+[4]SLP!BK44+[4]ROSA!BK44+'[4]STA ANA'!BK44+[4]BOA!BK44+'[4]STA MARIA'!BK44+'[4]CB I'!BK44+'[4]CB II'!BK44+'[4]CB III'!BK44+[4]IG!BK44+[4]PN!BK44+[4]MJ!BK44+'[4]RB I'!BK44+'[4]SF I'!BK44</f>
        <v>0</v>
      </c>
      <c r="BL44" s="226">
        <f>+[4]SLP!BL44+[4]ROSA!BL44+'[4]STA ANA'!BL44+[4]BOA!BL44+'[4]STA MARIA'!BL44+'[4]CB I'!BL44+'[4]CB II'!BL44+'[4]CB III'!BL44+[4]IG!BL44+[4]PN!BL44+[4]MJ!BL44+'[4]RB I'!BL44+'[4]SF I'!BL44</f>
        <v>0</v>
      </c>
      <c r="BM44" s="226">
        <f>+[4]SLP!BM44+[4]ROSA!BM44+'[4]STA ANA'!BM44+[4]BOA!BM44+'[4]STA MARIA'!BM44+'[4]CB I'!BM44+'[4]CB II'!BM44+'[4]CB III'!BM44+[4]IG!BM44+[4]PN!BM44+[4]MJ!BM44+'[4]RB I'!BM44+'[4]SF I'!BM44</f>
        <v>0</v>
      </c>
      <c r="BN44" s="166">
        <f>+[4]SLP!BN44+[4]ROSA!BN44+'[4]STA ANA'!BN44+[4]BOA!BN44+'[4]STA MARIA'!BN44+'[4]CB I'!BN44+'[4]CB II'!BN44+'[4]CB III'!BN44+[4]IG!BN44+[4]PN!BN44+[4]MJ!BN44+'[4]RB I'!BN44+'[4]SÃO FRANCISCO'!BN44</f>
        <v>0</v>
      </c>
      <c r="BO44" s="224" t="str">
        <f t="shared" si="10"/>
        <v/>
      </c>
      <c r="BP44" s="225">
        <f>+[4]SLP!BP44+[4]ROSA!BP44+'[4]STA ANA'!BP44+[4]BOA!BP44+'[4]STA MARIA'!BP44+'[4]CB I'!BP44+'[4]CB II'!BP44+'[4]CB III'!BP44+[4]IG!BP44+[4]PN!BP44+[4]MJ!BP44+'[4]RB I'!BP44+'[4]SF I'!BP44</f>
        <v>0</v>
      </c>
      <c r="BQ44" s="226">
        <f>+[4]SLP!BQ44+[4]ROSA!BQ44+'[4]STA ANA'!BQ44+[4]BOA!BQ44+'[4]STA MARIA'!BQ44+'[4]CB I'!BQ44+'[4]CB II'!BQ44+'[4]CB III'!BQ44+[4]IG!BQ44+[4]PN!BQ44+[4]MJ!BQ44+'[4]RB I'!BQ44+'[4]SF I'!BQ44</f>
        <v>0</v>
      </c>
      <c r="BR44" s="226">
        <f>+[4]SLP!BR44+[4]ROSA!BR44+'[4]STA ANA'!BR44+[4]BOA!BR44+'[4]STA MARIA'!BR44+'[4]CB I'!BR44+'[4]CB II'!BR44+'[4]CB III'!BR44+[4]IG!BR44+[4]PN!BR44+[4]MJ!BR44+'[4]RB I'!BR44+'[4]SF I'!BR44</f>
        <v>0</v>
      </c>
      <c r="BS44" s="226">
        <f>+[4]SLP!BS44+[4]ROSA!BS44+'[4]STA ANA'!BS44+[4]BOA!BS44+'[4]STA MARIA'!BS44+'[4]CB I'!BS44+'[4]CB II'!BS44+'[4]CB III'!BS44+[4]IG!BS44+[4]PN!BS44+[4]MJ!BS44+'[4]RB I'!BS44+'[4]SF I'!BS44</f>
        <v>0</v>
      </c>
      <c r="BT44" s="226">
        <f>+[4]SLP!BT44+[4]ROSA!BT44+'[4]STA ANA'!BT44+[4]BOA!BT44+'[4]STA MARIA'!BT44+'[4]CB I'!BT44+'[4]CB II'!BT44+'[4]CB III'!BT44+[4]IG!BT44+[4]PN!BT44+[4]MJ!BT44+'[4]RB I'!BT44+'[4]SF I'!BT44</f>
        <v>0</v>
      </c>
      <c r="BU44" s="166">
        <f>+[4]SLP!BU44+[4]ROSA!BU44+'[4]STA ANA'!BU44+[4]BOA!BU44+'[4]STA MARIA'!BU44+'[4]CB I'!BU44+'[4]CB II'!BU44+'[4]CB III'!BU44+[4]IG!BU44+[4]PN!BU44+[4]MJ!BU44+'[4]RB I'!BU44+'[4]SÃO FRANCISCO'!BU44</f>
        <v>0</v>
      </c>
      <c r="BV44" s="224" t="str">
        <f t="shared" si="11"/>
        <v/>
      </c>
      <c r="BW44" s="225">
        <f>+[4]SLP!BW44+[4]ROSA!BW44+'[4]STA ANA'!BW44+[4]BOA!BW44+'[4]STA MARIA'!BW44+'[4]CB I'!BW44+'[4]CB II'!BW44+'[4]CB III'!BW44+[4]IG!BW44+[4]PN!BW44+[4]MJ!BW44+'[4]RB I'!BW44+'[4]SF I'!BW44</f>
        <v>0</v>
      </c>
      <c r="BX44" s="226">
        <f>+[4]SLP!BX44+[4]ROSA!BX44+'[4]STA ANA'!BX44+[4]BOA!BX44+'[4]STA MARIA'!BX44+'[4]CB I'!BX44+'[4]CB II'!BX44+'[4]CB III'!BX44+[4]IG!BX44+[4]PN!BX44+[4]MJ!BX44+'[4]RB I'!BX44+'[4]SF I'!BX44</f>
        <v>0</v>
      </c>
      <c r="BY44" s="226">
        <f>+[4]SLP!BY44+[4]ROSA!BY44+'[4]STA ANA'!BY44+[4]BOA!BY44+'[4]STA MARIA'!BY44+'[4]CB I'!BY44+'[4]CB II'!BY44+'[4]CB III'!BY44+[4]IG!BY44+[4]PN!BY44+[4]MJ!BY44+'[4]RB I'!BY44+'[4]SF I'!BY44</f>
        <v>0</v>
      </c>
      <c r="BZ44" s="226">
        <f>+[4]SLP!BZ44+[4]ROSA!BZ44+'[4]STA ANA'!BZ44+[4]BOA!BZ44+'[4]STA MARIA'!BZ44+'[4]CB I'!BZ44+'[4]CB II'!BZ44+'[4]CB III'!BZ44+[4]IG!BZ44+[4]PN!BZ44+[4]MJ!BZ44+'[4]RB I'!BZ44+'[4]SF I'!BZ44</f>
        <v>0</v>
      </c>
      <c r="CA44" s="226">
        <f>+[4]SLP!CA44+[4]ROSA!CA44+'[4]STA ANA'!CA44+[4]BOA!CA44+'[4]STA MARIA'!CA44+'[4]CB I'!CA44+'[4]CB II'!CA44+'[4]CB III'!CA44+[4]IG!CA44+[4]PN!CA44+[4]MJ!CA44+'[4]RB I'!CA44+'[4]SF I'!CA44</f>
        <v>0</v>
      </c>
      <c r="CB44" s="166">
        <f>+[4]SLP!CB44+[4]ROSA!CB44+'[4]STA ANA'!CB44+[4]BOA!CB44+'[4]STA MARIA'!CB44+'[4]CB I'!CB44+'[4]CB II'!CB44+'[4]CB III'!CB44+[4]IG!CB44+[4]PN!CB44+[4]MJ!CB44+'[4]RB I'!CB44+'[4]SÃO FRANCISCO'!CB44</f>
        <v>0</v>
      </c>
      <c r="CC44" s="224" t="str">
        <f t="shared" si="12"/>
        <v/>
      </c>
      <c r="CD44" s="225">
        <f>+[4]SLP!CD44+[4]ROSA!CD44+'[4]STA ANA'!CD44+[4]BOA!CD44+'[4]STA MARIA'!CD44+'[4]CB I'!CD44+'[4]CB II'!CD44+'[4]CB III'!CD44+[4]IG!CD44+[4]PN!CD44+[4]MJ!CD44+'[4]RB I'!CD44+'[4]SF I'!CD44</f>
        <v>0</v>
      </c>
      <c r="CE44" s="226">
        <f>+[4]SLP!CE44+[4]ROSA!CE44+'[4]STA ANA'!CE44+[4]BOA!CE44+'[4]STA MARIA'!CE44+'[4]CB I'!CE44+'[4]CB II'!CE44+'[4]CB III'!CE44+[4]IG!CE44+[4]PN!CE44+[4]MJ!CE44+'[4]RB I'!CE44+'[4]SF I'!CE44</f>
        <v>0</v>
      </c>
      <c r="CF44" s="226">
        <f>+[4]SLP!CF44+[4]ROSA!CF44+'[4]STA ANA'!CF44+[4]BOA!CF44+'[4]STA MARIA'!CF44+'[4]CB I'!CF44+'[4]CB II'!CF44+'[4]CB III'!CF44+[4]IG!CF44+[4]PN!CF44+[4]MJ!CF44+'[4]RB I'!CF44+'[4]SF I'!CF44</f>
        <v>0</v>
      </c>
      <c r="CG44" s="226">
        <f>+[4]SLP!CG44+[4]ROSA!CG44+'[4]STA ANA'!CG44+[4]BOA!CG44+'[4]STA MARIA'!CG44+'[4]CB I'!CG44+'[4]CB II'!CG44+'[4]CB III'!CG44+[4]IG!CG44+[4]PN!CG44+[4]MJ!CG44+'[4]RB I'!CG44+'[4]SF I'!CG44</f>
        <v>0</v>
      </c>
      <c r="CH44" s="226">
        <f>+[4]SLP!CH44+[4]ROSA!CH44+'[4]STA ANA'!CH44+[4]BOA!CH44+'[4]STA MARIA'!CH44+'[4]CB I'!CH44+'[4]CB II'!CH44+'[4]CB III'!CH44+[4]IG!CH44+[4]PN!CH44+[4]MJ!CH44+'[4]RB I'!CH44+'[4]SF I'!CH44</f>
        <v>0</v>
      </c>
      <c r="CI44" s="166">
        <f>+[4]SLP!CI44+[4]ROSA!CI44+'[4]STA ANA'!CI44+[4]BOA!CI44+'[4]STA MARIA'!CI44+'[4]CB I'!CI44+'[4]CB II'!CI44+'[4]CB III'!CI44+[4]IG!CI44+[4]PN!CI44+[4]MJ!CI44+'[4]RB I'!CI44+'[4]SÃO FRANCISCO'!CI44</f>
        <v>0</v>
      </c>
      <c r="CJ44" s="224" t="str">
        <f t="shared" si="13"/>
        <v/>
      </c>
      <c r="CK44" s="225">
        <f>+[4]SLP!CK44+[4]ROSA!CK44+'[4]STA ANA'!CK44+[4]BOA!CK44+'[4]STA MARIA'!CK44+'[4]CB I'!CK44+'[4]CB II'!CK44+'[4]CB III'!CK44+[4]IG!CK44+[4]PN!CK44+[4]MJ!CK44+'[4]RB I'!CK44+'[4]SF I'!CK44</f>
        <v>0</v>
      </c>
      <c r="CL44" s="226">
        <f>+[4]SLP!CL44+[4]ROSA!CL44+'[4]STA ANA'!CL44+[4]BOA!CL44+'[4]STA MARIA'!CL44+'[4]CB I'!CL44+'[4]CB II'!CL44+'[4]CB III'!CL44+[4]IG!CL44+[4]PN!CL44+[4]MJ!CL44+'[4]RB I'!CL44+'[4]SF I'!CL44</f>
        <v>0</v>
      </c>
      <c r="CM44" s="226">
        <f>+[4]SLP!CM44+[4]ROSA!CM44+'[4]STA ANA'!CM44+[4]BOA!CM44+'[4]STA MARIA'!CM44+'[4]CB I'!CM44+'[4]CB II'!CM44+'[4]CB III'!CM44+[4]IG!CM44+[4]PN!CM44+[4]MJ!CM44+'[4]RB I'!CM44+'[4]SF I'!CM44</f>
        <v>0</v>
      </c>
      <c r="CN44" s="226">
        <f>+[4]SLP!CN44+[4]ROSA!CN44+'[4]STA ANA'!CN44+[4]BOA!CN44+'[4]STA MARIA'!CN44+'[4]CB I'!CN44+'[4]CB II'!CN44+'[4]CB III'!CN44+[4]IG!CN44+[4]PN!CN44+[4]MJ!CN44+'[4]RB I'!CN44+'[4]SF I'!CN44</f>
        <v>0</v>
      </c>
      <c r="CO44" s="226">
        <f>+[4]SLP!CO44+[4]ROSA!CO44+'[4]STA ANA'!CO44+[4]BOA!CO44+'[4]STA MARIA'!CO44+'[4]CB I'!CO44+'[4]CB II'!CO44+'[4]CB III'!CO44+[4]IG!CO44+[4]PN!CO44+[4]MJ!CO44+'[4]RB I'!CO44+'[4]SF I'!CO44</f>
        <v>0</v>
      </c>
      <c r="CP44" s="166">
        <f>+[4]SLP!CP44+[4]ROSA!CP44+'[4]STA ANA'!CP44+[4]BOA!CP44+'[4]STA MARIA'!CP44+'[4]CB I'!CP44+'[4]CB II'!CP44+'[4]CB III'!CP44+[4]IG!CP44+[4]PN!CP44+[4]MJ!CP44+'[4]RB I'!CP44+'[4]SÃO FRANCISCO'!CP44</f>
        <v>0</v>
      </c>
      <c r="CQ44" s="224" t="str">
        <f t="shared" si="14"/>
        <v/>
      </c>
      <c r="CR44" s="155"/>
      <c r="CS44" s="227" t="e">
        <f t="shared" si="15"/>
        <v>#VALUE!</v>
      </c>
    </row>
    <row r="45" spans="1:97" ht="16" customHeight="1" x14ac:dyDescent="0.2">
      <c r="A45" s="228" t="s">
        <v>69</v>
      </c>
      <c r="B45" s="30">
        <f t="shared" si="17"/>
        <v>0</v>
      </c>
      <c r="C45" s="31">
        <f t="shared" si="17"/>
        <v>0</v>
      </c>
      <c r="D45" s="32">
        <f t="shared" si="17"/>
        <v>0</v>
      </c>
      <c r="E45" s="30">
        <f t="shared" si="19"/>
        <v>0</v>
      </c>
      <c r="F45" s="33">
        <f t="shared" si="19"/>
        <v>0</v>
      </c>
      <c r="G45" s="34">
        <f t="shared" si="19"/>
        <v>0</v>
      </c>
      <c r="H45" s="31">
        <f t="shared" si="18"/>
        <v>0</v>
      </c>
      <c r="I45" s="33">
        <f t="shared" si="18"/>
        <v>0</v>
      </c>
      <c r="J45" s="33">
        <f t="shared" si="18"/>
        <v>0</v>
      </c>
      <c r="K45" s="224" t="str">
        <f t="shared" si="2"/>
        <v/>
      </c>
      <c r="L45" s="225">
        <f>+[4]SLP!L45+[4]ROSA!L45+'[4]STA ANA'!L45+[4]BOA!L45+'[4]STA MARIA'!L45+'[4]CB I'!L45+'[4]CB II'!L45+'[4]CB III'!L45+[4]IG!L45+[4]PN!L45+[4]MJ!L45+'[4]RB I'!L45+'[4]SF I'!L45</f>
        <v>0</v>
      </c>
      <c r="M45" s="226">
        <f>+[4]SLP!M45+[4]ROSA!M45+'[4]STA ANA'!M45+[4]BOA!M45+'[4]STA MARIA'!M45+'[4]CB I'!M45+'[4]CB II'!M45+'[4]CB III'!M45+[4]IG!M45+[4]PN!M45+[4]MJ!M45+'[4]RB I'!M45+'[4]SF I'!M45</f>
        <v>0</v>
      </c>
      <c r="N45" s="226">
        <f>+[4]SLP!N45+[4]ROSA!N45+'[4]STA ANA'!N45+[4]BOA!N45+'[4]STA MARIA'!N45+'[4]CB I'!N45+'[4]CB II'!N45+'[4]CB III'!N45+[4]IG!N45+[4]PN!N45+[4]MJ!N45+'[4]RB I'!N45+'[4]SF I'!N45</f>
        <v>0</v>
      </c>
      <c r="O45" s="226">
        <f>+[4]SLP!O45+[4]ROSA!O45+'[4]STA ANA'!O45+[4]BOA!O45+'[4]STA MARIA'!O45+'[4]CB I'!O45+'[4]CB II'!O45+'[4]CB III'!O45+[4]IG!O45+[4]PN!O45+[4]MJ!O45+'[4]RB I'!O45+'[4]SF I'!O45</f>
        <v>0</v>
      </c>
      <c r="P45" s="226">
        <f>+[4]SLP!P45+[4]ROSA!P45+'[4]STA ANA'!P45+[4]BOA!P45+'[4]STA MARIA'!P45+'[4]CB I'!P45+'[4]CB II'!P45+'[4]CB III'!P45+[4]IG!P45+[4]PN!P45+[4]MJ!P45+'[4]RB I'!P45+'[4]SF I'!P45</f>
        <v>0</v>
      </c>
      <c r="Q45" s="166">
        <f>+[4]SLP!Q45+[4]ROSA!Q45+'[4]STA ANA'!Q45+[4]BOA!Q45+'[4]STA MARIA'!Q45+'[4]CB I'!Q45+'[4]CB II'!Q45+'[4]CB III'!Q45+[4]IG!Q45+[4]PN!Q45+[4]MJ!Q45+'[4]RB I'!Q45+'[4]SF I'!Q45</f>
        <v>0</v>
      </c>
      <c r="R45" s="224" t="str">
        <f t="shared" si="3"/>
        <v/>
      </c>
      <c r="S45" s="225">
        <f>+[4]SLP!S45+[4]ROSA!S45+'[4]STA ANA'!S45+[4]BOA!S45+'[4]STA MARIA'!S45+'[4]CB I'!S45+'[4]CB II'!S45+'[4]CB III'!S45+[4]IG!S45+[4]PN!S45+[4]MJ!S45+'[4]RB I'!S45+'[4]SF I'!S45</f>
        <v>0</v>
      </c>
      <c r="T45" s="226">
        <f>+[4]SLP!T45+[4]ROSA!T45+'[4]STA ANA'!T45+[4]BOA!T45+'[4]STA MARIA'!T45+'[4]CB I'!T45+'[4]CB II'!T45+'[4]CB III'!T45+[4]IG!T45+[4]PN!T45+[4]MJ!T45+'[4]RB I'!T45+'[4]SF I'!T45</f>
        <v>0</v>
      </c>
      <c r="U45" s="226">
        <f>+[4]SLP!U45+[4]ROSA!U45+'[4]STA ANA'!U45+[4]BOA!U45+'[4]STA MARIA'!U45+'[4]CB I'!U45+'[4]CB II'!U45+'[4]CB III'!U45+[4]IG!U45+[4]PN!U45+[4]MJ!U45+'[4]RB I'!U45+'[4]SF I'!U45</f>
        <v>0</v>
      </c>
      <c r="V45" s="226">
        <f>+[4]SLP!V45+[4]ROSA!V45+'[4]STA ANA'!V45+[4]BOA!V45+'[4]STA MARIA'!V45+'[4]CB I'!V45+'[4]CB II'!V45+'[4]CB III'!V45+[4]IG!V45+[4]PN!V45+[4]MJ!V45+'[4]RB I'!V45+'[4]SF I'!V45</f>
        <v>0</v>
      </c>
      <c r="W45" s="226">
        <f>+[4]SLP!W45+[4]ROSA!W45+'[4]STA ANA'!W45+[4]BOA!W45+'[4]STA MARIA'!W45+'[4]CB I'!W45+'[4]CB II'!W45+'[4]CB III'!W45+[4]IG!W45+[4]PN!W45+[4]MJ!W45+'[4]RB I'!W45+'[4]SF I'!W45</f>
        <v>0</v>
      </c>
      <c r="X45" s="166">
        <f>[4]SLP!X45+[4]ROSA!X45+'[4]STA ANA'!X45+[4]BOA!X45+'[4]STA MARIA'!X45+'[4]CB I'!X45+'[4]CB II'!X45+'[4]CB III'!X45+[4]IG!X45+[4]PN!X45+[4]MJ!X45+'[4]RB I'!X45+'[4]SF I'!X45</f>
        <v>0</v>
      </c>
      <c r="Y45" s="224" t="str">
        <f t="shared" si="4"/>
        <v/>
      </c>
      <c r="Z45" s="225">
        <f>+[4]SLP!Z45+[4]ROSA!Z45+'[4]STA ANA'!Z45+[4]BOA!Z45+'[4]STA MARIA'!Z45+'[4]CB I'!Z45+'[4]CB II'!Z45+'[4]CB III'!Z45+[4]IG!Z45+[4]PN!Z45+[4]MJ!Z45+'[4]RB I'!Z45+'[4]SF I'!Z45</f>
        <v>0</v>
      </c>
      <c r="AA45" s="226">
        <f>+[4]SLP!AA45+[4]ROSA!AA45+'[4]STA ANA'!AA45+[4]BOA!AA45+'[4]STA MARIA'!AA45+'[4]CB I'!AA45+'[4]CB II'!AA45+'[4]CB III'!AA45+[4]IG!AA45+[4]PN!AA45+[4]MJ!AA45+'[4]RB I'!AA45+'[4]SF I'!AA45</f>
        <v>0</v>
      </c>
      <c r="AB45" s="226">
        <f>+[4]SLP!AB45+[4]ROSA!AB45+'[4]STA ANA'!AB45+[4]BOA!AB45+'[4]STA MARIA'!AB45+'[4]CB I'!AB45+'[4]CB II'!AB45+'[4]CB III'!AB45+[4]IG!AB45+[4]PN!AB45+[4]MJ!AB45+'[4]RB I'!AB45+'[4]SF I'!AB45</f>
        <v>0</v>
      </c>
      <c r="AC45" s="226">
        <f>+[4]SLP!AC45+[4]ROSA!AC45+'[4]STA ANA'!AC45+[4]BOA!AC45+'[4]STA MARIA'!AC45+'[4]CB I'!AC45+'[4]CB II'!AC45+'[4]CB III'!AC45+[4]IG!AC45+[4]PN!AC45+[4]MJ!AC45+'[4]RB I'!AC45+'[4]SF I'!AC45</f>
        <v>0</v>
      </c>
      <c r="AD45" s="226">
        <f>+[4]SLP!AD45+[4]ROSA!AD45+'[4]STA ANA'!AD45+[4]BOA!AD45+'[4]STA MARIA'!AD45+'[4]CB I'!AD45+'[4]CB II'!AD45+'[4]CB III'!AD45+[4]IG!AD45+[4]PN!AD45+[4]MJ!AD45+'[4]RB I'!AD45+'[4]SF I'!AD45</f>
        <v>0</v>
      </c>
      <c r="AE45" s="166">
        <f>+[4]SLP!AE45+[4]ROSA!AE45+'[4]STA ANA'!AE45+[4]BOA!AE45+'[4]STA MARIA'!AE45+'[4]CB I'!AE45+'[4]CB II'!AE45+'[4]CB III'!AE45+[4]IG!AE45+[4]PN!AE45+[4]MJ!AE45+'[4]RB I'!AE45+'[4]SF I'!AE45</f>
        <v>0</v>
      </c>
      <c r="AF45" s="224" t="str">
        <f t="shared" si="5"/>
        <v/>
      </c>
      <c r="AG45" s="225">
        <f>+[4]SLP!AG45+[4]ROSA!AG45+'[4]STA ANA'!AG45+[4]BOA!AG45+'[4]STA MARIA'!AG45+'[4]CB I'!AG45+'[4]CB II'!AG45+'[4]CB III'!AG45+[4]IG!AG45+[4]PN!AG45+[4]MJ!AG45+'[4]RB I'!AG45+'[4]SF I'!AG45</f>
        <v>0</v>
      </c>
      <c r="AH45" s="226">
        <f>+[4]SLP!AH45+[4]ROSA!AH45+'[4]STA ANA'!AH45+[4]BOA!AH45+'[4]STA MARIA'!AH45+'[4]CB I'!AH45+'[4]CB II'!AH45+'[4]CB III'!AH45+[4]IG!AH45+[4]PN!AH45+[4]MJ!AH45+'[4]RB I'!AH45+'[4]SF I'!AH45</f>
        <v>0</v>
      </c>
      <c r="AI45" s="226">
        <f>+[4]SLP!AI45+[4]ROSA!AI45+'[4]STA ANA'!AI45+[4]BOA!AI45+'[4]STA MARIA'!AI45+'[4]CB I'!AI45+'[4]CB II'!AI45+'[4]CB III'!AI45+[4]IG!AI45+[4]PN!AI45+[4]MJ!AI45+'[4]RB I'!AI45+'[4]SF I'!AI45</f>
        <v>0</v>
      </c>
      <c r="AJ45" s="226">
        <f>+[4]SLP!AJ45+[4]ROSA!AJ45+'[4]STA ANA'!AJ45+[4]BOA!AJ45+'[4]STA MARIA'!AJ45+'[4]CB I'!AJ45+'[4]CB II'!AJ45+'[4]CB III'!AJ45+[4]IG!AJ45+[4]PN!AJ45+[4]MJ!AJ45+'[4]RB I'!AJ45+'[4]SF I'!AJ45</f>
        <v>0</v>
      </c>
      <c r="AK45" s="226">
        <f>+[4]SLP!AK45+[4]ROSA!AK45+'[4]STA ANA'!AK45+[4]BOA!AK45+'[4]STA MARIA'!AK45+'[4]CB I'!AK45+'[4]CB II'!AK45+'[4]CB III'!AK45+[4]IG!AK45+[4]PN!AK45+[4]MJ!AK45+'[4]RB I'!AK45+'[4]SF I'!AK45</f>
        <v>0</v>
      </c>
      <c r="AL45" s="166">
        <f>+[4]SLP!AL45+[4]ROSA!AL45+'[4]STA ANA'!AL45+[4]BOA!AL45+'[4]STA MARIA'!AL45+'[4]CB I'!AL45+'[4]CB II'!AL45+'[4]CB III'!AL45+[4]IG!AL45+[4]PN!AL45+[4]MJ!AL45+'[4]RB I'!AL45+'[4]SF I'!AL45</f>
        <v>0</v>
      </c>
      <c r="AM45" s="224" t="str">
        <f t="shared" si="6"/>
        <v/>
      </c>
      <c r="AN45" s="225">
        <f>+[4]SLP!AN45+[4]ROSA!AN45+'[4]STA ANA'!AN45+[4]BOA!AN45+'[4]STA MARIA'!AN45+'[4]CB I'!AN45+'[4]CB II'!AN45+'[4]CB III'!AN45+[4]IG!AN45+[4]PN!AN45+[4]MJ!AN45+'[4]RB I'!AN45+'[4]SF I'!AN45</f>
        <v>0</v>
      </c>
      <c r="AO45" s="226">
        <f>+[4]SLP!AO45+[4]ROSA!AO45+'[4]STA ANA'!AO45+[4]BOA!AO45+'[4]STA MARIA'!AO45+'[4]CB I'!AO45+'[4]CB II'!AO45+'[4]CB III'!AO45+[4]IG!AO45+[4]PN!AO45+[4]MJ!AO45+'[4]RB I'!AO45+'[4]SF I'!AO45</f>
        <v>0</v>
      </c>
      <c r="AP45" s="226">
        <f>+[4]SLP!AP45+[4]ROSA!AP45+'[4]STA ANA'!AP45+[4]BOA!AP45+'[4]STA MARIA'!AP45+'[4]CB I'!AP45+'[4]CB II'!AP45+'[4]CB III'!AP45+[4]IG!AP45+[4]PN!AP45+[4]MJ!AP45+'[4]RB I'!AP45+'[4]SF I'!AP45</f>
        <v>0</v>
      </c>
      <c r="AQ45" s="226">
        <f>+[4]SLP!AQ45+[4]ROSA!AQ45+'[4]STA ANA'!AQ45+[4]BOA!AQ45+'[4]STA MARIA'!AQ45+'[4]CB I'!AQ45+'[4]CB II'!AQ45+'[4]CB III'!AQ45+[4]IG!AQ45+[4]PN!AQ45+[4]MJ!AQ45+'[4]RB I'!AQ45+'[4]SF I'!AQ45</f>
        <v>0</v>
      </c>
      <c r="AR45" s="226">
        <f>+[4]SLP!AR45+[4]ROSA!AR45+'[4]STA ANA'!AR45+[4]BOA!AR45+'[4]STA MARIA'!AR45+'[4]CB I'!AR45+'[4]CB II'!AR45+'[4]CB III'!AR45+[4]IG!AR45+[4]PN!AR45+[4]MJ!AR45+'[4]RB I'!AR45+'[4]SF I'!AR45</f>
        <v>0</v>
      </c>
      <c r="AS45" s="166">
        <f>+[4]SLP!AS45+[4]ROSA!AS45+'[4]STA ANA'!AS45+[4]BOA!AS45+'[4]STA MARIA'!AS45+'[4]CB I'!AS45+'[4]CB II'!AS45+'[4]CB III'!AS45+[4]IG!AS45+[4]PN!AS45+[4]MJ!AS45+'[4]RB I'!AS45+'[4]SÃO FRANCISCO'!AS45</f>
        <v>0</v>
      </c>
      <c r="AT45" s="224" t="str">
        <f t="shared" si="7"/>
        <v/>
      </c>
      <c r="AU45" s="225">
        <f>+[4]SLP!AU45+[4]ROSA!AU45+'[4]STA ANA'!AU45+[4]BOA!AU45+'[4]STA MARIA'!AU45+'[4]CB I'!AU45+'[4]CB II'!AU45+'[4]CB III'!AU45+[4]IG!AU45+[4]PN!AU45+[4]MJ!AU45+'[4]RB I'!AU45+'[4]SF I'!AU45</f>
        <v>0</v>
      </c>
      <c r="AV45" s="226">
        <f>+[4]SLP!AV45+[4]ROSA!AV45+'[4]STA ANA'!AV45+[4]BOA!AV45+'[4]STA MARIA'!AV45+'[4]CB I'!AV45+'[4]CB II'!AV45+'[4]CB III'!AV45+[4]IG!AV45+[4]PN!AV45+[4]MJ!AV45+'[4]RB I'!AV45+'[4]SF I'!AV45</f>
        <v>0</v>
      </c>
      <c r="AW45" s="226">
        <f>+[4]SLP!AW45+[4]ROSA!AW45+'[4]STA ANA'!AW45+[4]BOA!AW45+'[4]STA MARIA'!AW45+'[4]CB I'!AW45+'[4]CB II'!AW45+'[4]CB III'!AW45+[4]IG!AW45+[4]PN!AW45+[4]MJ!AW45+'[4]RB I'!AW45+'[4]SF I'!AW45</f>
        <v>0</v>
      </c>
      <c r="AX45" s="226">
        <f>+[4]SLP!AX45+[4]ROSA!AX45+'[4]STA ANA'!AX45+[4]BOA!AX45+'[4]STA MARIA'!AX45+'[4]CB I'!AX45+'[4]CB II'!AX45+'[4]CB III'!AX45+[4]IG!AX45+[4]PN!AX45+[4]MJ!AX45+'[4]RB I'!AX45+'[4]SF I'!AX45</f>
        <v>0</v>
      </c>
      <c r="AY45" s="226">
        <f>+[4]SLP!AY45+[4]ROSA!AY45+'[4]STA ANA'!AY45+[4]BOA!AY45+'[4]STA MARIA'!AY45+'[4]CB I'!AY45+'[4]CB II'!AY45+'[4]CB III'!AY45+[4]IG!AY45+[4]PN!AY45+[4]MJ!AY45+'[4]RB I'!AY45+'[4]SF I'!AY45</f>
        <v>0</v>
      </c>
      <c r="AZ45" s="166">
        <f>+[4]SLP!AZ45+[4]ROSA!AZ45+'[4]STA ANA'!AZ45+[4]BOA!AZ45+'[4]STA MARIA'!AZ45+'[4]CB I'!AZ45+'[4]CB II'!AZ45+[4]IG!AZ45+[4]PN!AZ45+[4]MJ!AZ45+'[4]RB I'!AZ45+'[4]SÃO FRANCISCO'!AZ45</f>
        <v>0</v>
      </c>
      <c r="BA45" s="224" t="str">
        <f t="shared" si="8"/>
        <v/>
      </c>
      <c r="BB45" s="225">
        <f>+[4]SLP!BB45+[4]ROSA!BB45+'[4]STA ANA'!BB45+[4]BOA!BB45+'[4]STA MARIA'!BB45+'[4]CB I'!BB45+'[4]CB II'!BB45+'[4]CB III'!BB45+[4]IG!BB45+[4]PN!BB45+[4]MJ!BB45+'[4]RB I'!BB45+'[4]SF I'!BB45</f>
        <v>0</v>
      </c>
      <c r="BC45" s="226">
        <f>+[4]SLP!BC45+[4]ROSA!BC45+'[4]STA ANA'!BC45+[4]BOA!BC45+'[4]STA MARIA'!BC45+'[4]CB I'!BC45+'[4]CB II'!BC45+'[4]CB III'!BC45+[4]IG!BC45+[4]PN!BC45+[4]MJ!BC45+'[4]RB I'!BC45+'[4]SF I'!BC45</f>
        <v>0</v>
      </c>
      <c r="BD45" s="226">
        <f>+[4]SLP!BD45+[4]ROSA!BD45+'[4]STA ANA'!BD45+[4]BOA!BD45+'[4]STA MARIA'!BD45+'[4]CB I'!BD45+'[4]CB II'!BD45+'[4]CB III'!BD45+[4]IG!BD45+[4]PN!BD45+[4]MJ!BD45+'[4]RB I'!BD45+'[4]SF I'!BD45</f>
        <v>0</v>
      </c>
      <c r="BE45" s="226">
        <f>+[4]SLP!BE45+[4]ROSA!BE45+'[4]STA ANA'!BE45+[4]BOA!BE45+'[4]STA MARIA'!BE45+'[4]CB I'!BE45+'[4]CB II'!BE45+'[4]CB III'!BE45+[4]IG!BE45+[4]PN!BE45+[4]MJ!BE45+'[4]RB I'!BE45+'[4]SF I'!BE45</f>
        <v>0</v>
      </c>
      <c r="BF45" s="226">
        <f>+[4]SLP!BF45+[4]ROSA!BF45+'[4]STA ANA'!BF45+[4]BOA!BF45+'[4]STA MARIA'!BF45+'[4]CB I'!BF45+'[4]CB II'!BF45+'[4]CB III'!BF45+[4]IG!BF45+[4]PN!BF45+[4]MJ!BF45+'[4]RB I'!BF45+'[4]SF I'!BF45</f>
        <v>0</v>
      </c>
      <c r="BG45" s="166">
        <f>+[4]SLP!BG45+[4]ROSA!BG45+'[4]STA ANA'!BG45+[4]BOA!BG45+'[4]STA MARIA'!BG45+'[4]CB I'!BG45+'[4]CB II'!BG45+'[4]CB III'!BG45+[4]IG!BG45+[4]PN!BG45+[4]MJ!BG45+'[4]RB I'!BG45+'[4]SÃO FRANCISCO'!BG45</f>
        <v>0</v>
      </c>
      <c r="BH45" s="224" t="str">
        <f t="shared" si="9"/>
        <v/>
      </c>
      <c r="BI45" s="225">
        <f>+[4]SLP!BI45+[4]ROSA!BI45+'[4]STA ANA'!BI45+[4]BOA!BI45+'[4]STA MARIA'!BI45+'[4]CB I'!BI45+'[4]CB II'!BI45+'[4]CB III'!BI45+[4]IG!BI45+[4]PN!BI45+[4]MJ!BI45+'[4]RB I'!BI45+'[4]SF I'!BI45</f>
        <v>0</v>
      </c>
      <c r="BJ45" s="226">
        <f>+[4]SLP!BJ45+[4]ROSA!BJ45+'[4]STA ANA'!BJ45+[4]BOA!BJ45+'[4]STA MARIA'!BJ45+'[4]CB I'!BJ45+'[4]CB II'!BJ45+'[4]CB III'!BJ45+[4]IG!BJ45+[4]PN!BJ45+[4]MJ!BJ45+'[4]RB I'!BJ45+'[4]SF I'!BJ45</f>
        <v>0</v>
      </c>
      <c r="BK45" s="226">
        <f>+[4]SLP!BK45+[4]ROSA!BK45+'[4]STA ANA'!BK45+[4]BOA!BK45+'[4]STA MARIA'!BK45+'[4]CB I'!BK45+'[4]CB II'!BK45+'[4]CB III'!BK45+[4]IG!BK45+[4]PN!BK45+[4]MJ!BK45+'[4]RB I'!BK45+'[4]SF I'!BK45</f>
        <v>0</v>
      </c>
      <c r="BL45" s="226">
        <f>+[4]SLP!BL45+[4]ROSA!BL45+'[4]STA ANA'!BL45+[4]BOA!BL45+'[4]STA MARIA'!BL45+'[4]CB I'!BL45+'[4]CB II'!BL45+'[4]CB III'!BL45+[4]IG!BL45+[4]PN!BL45+[4]MJ!BL45+'[4]RB I'!BL45+'[4]SF I'!BL45</f>
        <v>0</v>
      </c>
      <c r="BM45" s="226">
        <f>+[4]SLP!BM45+[4]ROSA!BM45+'[4]STA ANA'!BM45+[4]BOA!BM45+'[4]STA MARIA'!BM45+'[4]CB I'!BM45+'[4]CB II'!BM45+'[4]CB III'!BM45+[4]IG!BM45+[4]PN!BM45+[4]MJ!BM45+'[4]RB I'!BM45+'[4]SF I'!BM45</f>
        <v>0</v>
      </c>
      <c r="BN45" s="166">
        <f>+[4]SLP!BN45+[4]ROSA!BN45+'[4]STA ANA'!BN45+[4]BOA!BN45+'[4]STA MARIA'!BN45+'[4]CB I'!BN45+'[4]CB II'!BN45+'[4]CB III'!BN45+[4]IG!BN45+[4]PN!BN45+[4]MJ!BN45+'[4]RB I'!BN45+'[4]SÃO FRANCISCO'!BN45</f>
        <v>0</v>
      </c>
      <c r="BO45" s="224" t="str">
        <f t="shared" si="10"/>
        <v/>
      </c>
      <c r="BP45" s="225">
        <f>+[4]SLP!BP45+[4]ROSA!BP45+'[4]STA ANA'!BP45+[4]BOA!BP45+'[4]STA MARIA'!BP45+'[4]CB I'!BP45+'[4]CB II'!BP45+'[4]CB III'!BP45+[4]IG!BP45+[4]PN!BP45+[4]MJ!BP45+'[4]RB I'!BP45+'[4]SF I'!BP45</f>
        <v>0</v>
      </c>
      <c r="BQ45" s="226">
        <f>+[4]SLP!BQ45+[4]ROSA!BQ45+'[4]STA ANA'!BQ45+[4]BOA!BQ45+'[4]STA MARIA'!BQ45+'[4]CB I'!BQ45+'[4]CB II'!BQ45+'[4]CB III'!BQ45+[4]IG!BQ45+[4]PN!BQ45+[4]MJ!BQ45+'[4]RB I'!BQ45+'[4]SF I'!BQ45</f>
        <v>0</v>
      </c>
      <c r="BR45" s="226">
        <f>+[4]SLP!BR45+[4]ROSA!BR45+'[4]STA ANA'!BR45+[4]BOA!BR45+'[4]STA MARIA'!BR45+'[4]CB I'!BR45+'[4]CB II'!BR45+'[4]CB III'!BR45+[4]IG!BR45+[4]PN!BR45+[4]MJ!BR45+'[4]RB I'!BR45+'[4]SF I'!BR45</f>
        <v>0</v>
      </c>
      <c r="BS45" s="226">
        <f>+[4]SLP!BS45+[4]ROSA!BS45+'[4]STA ANA'!BS45+[4]BOA!BS45+'[4]STA MARIA'!BS45+'[4]CB I'!BS45+'[4]CB II'!BS45+'[4]CB III'!BS45+[4]IG!BS45+[4]PN!BS45+[4]MJ!BS45+'[4]RB I'!BS45+'[4]SF I'!BS45</f>
        <v>0</v>
      </c>
      <c r="BT45" s="226">
        <f>+[4]SLP!BT45+[4]ROSA!BT45+'[4]STA ANA'!BT45+[4]BOA!BT45+'[4]STA MARIA'!BT45+'[4]CB I'!BT45+'[4]CB II'!BT45+'[4]CB III'!BT45+[4]IG!BT45+[4]PN!BT45+[4]MJ!BT45+'[4]RB I'!BT45+'[4]SF I'!BT45</f>
        <v>0</v>
      </c>
      <c r="BU45" s="166">
        <f>+[4]SLP!BU45+[4]ROSA!BU45+'[4]STA ANA'!BU45+[4]BOA!BU45+'[4]STA MARIA'!BU45+'[4]CB I'!BU45+'[4]CB II'!BU45+'[4]CB III'!BU45+[4]IG!BU45+[4]PN!BU45+[4]MJ!BU45+'[4]RB I'!BU45+'[4]SÃO FRANCISCO'!BU45</f>
        <v>0</v>
      </c>
      <c r="BV45" s="224" t="str">
        <f t="shared" si="11"/>
        <v/>
      </c>
      <c r="BW45" s="225">
        <f>+[4]SLP!BW45+[4]ROSA!BW45+'[4]STA ANA'!BW45+[4]BOA!BW45+'[4]STA MARIA'!BW45+'[4]CB I'!BW45+'[4]CB II'!BW45+'[4]CB III'!BW45+[4]IG!BW45+[4]PN!BW45+[4]MJ!BW45+'[4]RB I'!BW45+'[4]SF I'!BW45</f>
        <v>0</v>
      </c>
      <c r="BX45" s="226">
        <f>+[4]SLP!BX45+[4]ROSA!BX45+'[4]STA ANA'!BX45+[4]BOA!BX45+'[4]STA MARIA'!BX45+'[4]CB I'!BX45+'[4]CB II'!BX45+'[4]CB III'!BX45+[4]IG!BX45+[4]PN!BX45+[4]MJ!BX45+'[4]RB I'!BX45+'[4]SF I'!BX45</f>
        <v>0</v>
      </c>
      <c r="BY45" s="226">
        <f>+[4]SLP!BY45+[4]ROSA!BY45+'[4]STA ANA'!BY45+[4]BOA!BY45+'[4]STA MARIA'!BY45+'[4]CB I'!BY45+'[4]CB II'!BY45+'[4]CB III'!BY45+[4]IG!BY45+[4]PN!BY45+[4]MJ!BY45+'[4]RB I'!BY45+'[4]SF I'!BY45</f>
        <v>0</v>
      </c>
      <c r="BZ45" s="226">
        <f>+[4]SLP!BZ45+[4]ROSA!BZ45+'[4]STA ANA'!BZ45+[4]BOA!BZ45+'[4]STA MARIA'!BZ45+'[4]CB I'!BZ45+'[4]CB II'!BZ45+'[4]CB III'!BZ45+[4]IG!BZ45+[4]PN!BZ45+[4]MJ!BZ45+'[4]RB I'!BZ45+'[4]SF I'!BZ45</f>
        <v>0</v>
      </c>
      <c r="CA45" s="226">
        <f>+[4]SLP!CA45+[4]ROSA!CA45+'[4]STA ANA'!CA45+[4]BOA!CA45+'[4]STA MARIA'!CA45+'[4]CB I'!CA45+'[4]CB II'!CA45+'[4]CB III'!CA45+[4]IG!CA45+[4]PN!CA45+[4]MJ!CA45+'[4]RB I'!CA45+'[4]SF I'!CA45</f>
        <v>0</v>
      </c>
      <c r="CB45" s="166">
        <f>+[4]SLP!CB45+[4]ROSA!CB45+'[4]STA ANA'!CB45+[4]BOA!CB45+'[4]STA MARIA'!CB45+'[4]CB I'!CB45+'[4]CB II'!CB45+'[4]CB III'!CB45+[4]IG!CB45+[4]PN!CB45+[4]MJ!CB45+'[4]RB I'!CB45+'[4]SÃO FRANCISCO'!CB45</f>
        <v>0</v>
      </c>
      <c r="CC45" s="224" t="str">
        <f t="shared" si="12"/>
        <v/>
      </c>
      <c r="CD45" s="225">
        <f>+[4]SLP!CD45+[4]ROSA!CD45+'[4]STA ANA'!CD45+[4]BOA!CD45+'[4]STA MARIA'!CD45+'[4]CB I'!CD45+'[4]CB II'!CD45+'[4]CB III'!CD45+[4]IG!CD45+[4]PN!CD45+[4]MJ!CD45+'[4]RB I'!CD45+'[4]SF I'!CD45</f>
        <v>0</v>
      </c>
      <c r="CE45" s="226">
        <f>+[4]SLP!CE45+[4]ROSA!CE45+'[4]STA ANA'!CE45+[4]BOA!CE45+'[4]STA MARIA'!CE45+'[4]CB I'!CE45+'[4]CB II'!CE45+'[4]CB III'!CE45+[4]IG!CE45+[4]PN!CE45+[4]MJ!CE45+'[4]RB I'!CE45+'[4]SF I'!CE45</f>
        <v>0</v>
      </c>
      <c r="CF45" s="226">
        <f>+[4]SLP!CF45+[4]ROSA!CF45+'[4]STA ANA'!CF45+[4]BOA!CF45+'[4]STA MARIA'!CF45+'[4]CB I'!CF45+'[4]CB II'!CF45+'[4]CB III'!CF45+[4]IG!CF45+[4]PN!CF45+[4]MJ!CF45+'[4]RB I'!CF45+'[4]SF I'!CF45</f>
        <v>0</v>
      </c>
      <c r="CG45" s="226">
        <f>+[4]SLP!CG45+[4]ROSA!CG45+'[4]STA ANA'!CG45+[4]BOA!CG45+'[4]STA MARIA'!CG45+'[4]CB I'!CG45+'[4]CB II'!CG45+'[4]CB III'!CG45+[4]IG!CG45+[4]PN!CG45+[4]MJ!CG45+'[4]RB I'!CG45+'[4]SF I'!CG45</f>
        <v>0</v>
      </c>
      <c r="CH45" s="226">
        <f>+[4]SLP!CH45+[4]ROSA!CH45+'[4]STA ANA'!CH45+[4]BOA!CH45+'[4]STA MARIA'!CH45+'[4]CB I'!CH45+'[4]CB II'!CH45+'[4]CB III'!CH45+[4]IG!CH45+[4]PN!CH45+[4]MJ!CH45+'[4]RB I'!CH45+'[4]SF I'!CH45</f>
        <v>0</v>
      </c>
      <c r="CI45" s="166">
        <f>+[4]SLP!CI45+[4]ROSA!CI45+'[4]STA ANA'!CI45+[4]BOA!CI45+'[4]STA MARIA'!CI45+'[4]CB I'!CI45+'[4]CB II'!CI45+'[4]CB III'!CI45+[4]IG!CI45+[4]PN!CI45+[4]MJ!CI45+'[4]RB I'!CI45+'[4]SÃO FRANCISCO'!CI45</f>
        <v>0</v>
      </c>
      <c r="CJ45" s="224" t="str">
        <f t="shared" si="13"/>
        <v/>
      </c>
      <c r="CK45" s="225">
        <f>+[4]SLP!CK45+[4]ROSA!CK45+'[4]STA ANA'!CK45+[4]BOA!CK45+'[4]STA MARIA'!CK45+'[4]CB I'!CK45+'[4]CB II'!CK45+'[4]CB III'!CK45+[4]IG!CK45+[4]PN!CK45+[4]MJ!CK45+'[4]RB I'!CK45+'[4]SF I'!CK45</f>
        <v>0</v>
      </c>
      <c r="CL45" s="226">
        <f>+[4]SLP!CL45+[4]ROSA!CL45+'[4]STA ANA'!CL45+[4]BOA!CL45+'[4]STA MARIA'!CL45+'[4]CB I'!CL45+'[4]CB II'!CL45+'[4]CB III'!CL45+[4]IG!CL45+[4]PN!CL45+[4]MJ!CL45+'[4]RB I'!CL45+'[4]SF I'!CL45</f>
        <v>0</v>
      </c>
      <c r="CM45" s="226">
        <f>+[4]SLP!CM45+[4]ROSA!CM45+'[4]STA ANA'!CM45+[4]BOA!CM45+'[4]STA MARIA'!CM45+'[4]CB I'!CM45+'[4]CB II'!CM45+'[4]CB III'!CM45+[4]IG!CM45+[4]PN!CM45+[4]MJ!CM45+'[4]RB I'!CM45+'[4]SF I'!CM45</f>
        <v>0</v>
      </c>
      <c r="CN45" s="226">
        <f>+[4]SLP!CN45+[4]ROSA!CN45+'[4]STA ANA'!CN45+[4]BOA!CN45+'[4]STA MARIA'!CN45+'[4]CB I'!CN45+'[4]CB II'!CN45+'[4]CB III'!CN45+[4]IG!CN45+[4]PN!CN45+[4]MJ!CN45+'[4]RB I'!CN45+'[4]SF I'!CN45</f>
        <v>0</v>
      </c>
      <c r="CO45" s="226">
        <f>+[4]SLP!CO45+[4]ROSA!CO45+'[4]STA ANA'!CO45+[4]BOA!CO45+'[4]STA MARIA'!CO45+'[4]CB I'!CO45+'[4]CB II'!CO45+'[4]CB III'!CO45+[4]IG!CO45+[4]PN!CO45+[4]MJ!CO45+'[4]RB I'!CO45+'[4]SF I'!CO45</f>
        <v>0</v>
      </c>
      <c r="CP45" s="166">
        <f>+[4]SLP!CP45+[4]ROSA!CP45+'[4]STA ANA'!CP45+[4]BOA!CP45+'[4]STA MARIA'!CP45+'[4]CB I'!CP45+'[4]CB II'!CP45+'[4]CB III'!CP45+[4]IG!CP45+[4]PN!CP45+[4]MJ!CP45+'[4]RB I'!CP45+'[4]SÃO FRANCISCO'!CP45</f>
        <v>0</v>
      </c>
      <c r="CQ45" s="224" t="str">
        <f t="shared" si="14"/>
        <v/>
      </c>
      <c r="CR45" s="155"/>
      <c r="CS45" s="227" t="e">
        <f t="shared" si="15"/>
        <v>#VALUE!</v>
      </c>
    </row>
    <row r="46" spans="1:97" ht="16" customHeight="1" x14ac:dyDescent="0.2">
      <c r="A46" s="228" t="s">
        <v>70</v>
      </c>
      <c r="B46" s="30">
        <f t="shared" si="17"/>
        <v>0</v>
      </c>
      <c r="C46" s="31">
        <f t="shared" si="17"/>
        <v>0</v>
      </c>
      <c r="D46" s="32">
        <f t="shared" si="17"/>
        <v>0</v>
      </c>
      <c r="E46" s="30">
        <f t="shared" si="19"/>
        <v>0</v>
      </c>
      <c r="F46" s="33">
        <f t="shared" si="19"/>
        <v>0</v>
      </c>
      <c r="G46" s="34">
        <f t="shared" si="19"/>
        <v>0</v>
      </c>
      <c r="H46" s="31">
        <f t="shared" si="18"/>
        <v>0</v>
      </c>
      <c r="I46" s="33">
        <f t="shared" si="18"/>
        <v>0</v>
      </c>
      <c r="J46" s="33">
        <f t="shared" si="18"/>
        <v>0</v>
      </c>
      <c r="K46" s="224" t="str">
        <f t="shared" si="2"/>
        <v/>
      </c>
      <c r="L46" s="225">
        <f>+[4]SLP!L46+[4]ROSA!L46+'[4]STA ANA'!L46+[4]BOA!L46+'[4]STA MARIA'!L46+'[4]CB I'!L46+'[4]CB II'!L46+'[4]CB III'!L46+[4]IG!L46+[4]PN!L46+[4]MJ!L46+'[4]RB I'!L46+'[4]SF I'!L46</f>
        <v>0</v>
      </c>
      <c r="M46" s="226">
        <f>+[4]SLP!M46+[4]ROSA!M46+'[4]STA ANA'!M46+[4]BOA!M46+'[4]STA MARIA'!M46+'[4]CB I'!M46+'[4]CB II'!M46+'[4]CB III'!M46+[4]IG!M46+[4]PN!M46+[4]MJ!M46+'[4]RB I'!M46+'[4]SF I'!M46</f>
        <v>0</v>
      </c>
      <c r="N46" s="226">
        <f>+[4]SLP!N46+[4]ROSA!N46+'[4]STA ANA'!N46+[4]BOA!N46+'[4]STA MARIA'!N46+'[4]CB I'!N46+'[4]CB II'!N46+'[4]CB III'!N46+[4]IG!N46+[4]PN!N46+[4]MJ!N46+'[4]RB I'!N46+'[4]SF I'!N46</f>
        <v>0</v>
      </c>
      <c r="O46" s="226">
        <f>+[4]SLP!O46+[4]ROSA!O46+'[4]STA ANA'!O46+[4]BOA!O46+'[4]STA MARIA'!O46+'[4]CB I'!O46+'[4]CB II'!O46+'[4]CB III'!O46+[4]IG!O46+[4]PN!O46+[4]MJ!O46+'[4]RB I'!O46+'[4]SF I'!O46</f>
        <v>0</v>
      </c>
      <c r="P46" s="226">
        <f>+[4]SLP!P46+[4]ROSA!P46+'[4]STA ANA'!P46+[4]BOA!P46+'[4]STA MARIA'!P46+'[4]CB I'!P46+'[4]CB II'!P46+'[4]CB III'!P46+[4]IG!P46+[4]PN!P46+[4]MJ!P46+'[4]RB I'!P46+'[4]SF I'!P46</f>
        <v>0</v>
      </c>
      <c r="Q46" s="166">
        <f>+[4]SLP!Q46+[4]ROSA!Q46+'[4]STA ANA'!Q46+[4]BOA!Q46+'[4]STA MARIA'!Q46+'[4]CB I'!Q46+'[4]CB II'!Q46+'[4]CB III'!Q46+[4]IG!Q46+[4]PN!Q46+[4]MJ!Q46+'[4]RB I'!Q46+'[4]SF I'!Q46</f>
        <v>0</v>
      </c>
      <c r="R46" s="224" t="str">
        <f t="shared" si="3"/>
        <v/>
      </c>
      <c r="S46" s="225">
        <f>+[4]SLP!S46+[4]ROSA!S46+'[4]STA ANA'!S46+[4]BOA!S46+'[4]STA MARIA'!S46+'[4]CB I'!S46+'[4]CB II'!S46+'[4]CB III'!S46+[4]IG!S46+[4]PN!S46+[4]MJ!S46+'[4]RB I'!S46+'[4]SF I'!S46</f>
        <v>0</v>
      </c>
      <c r="T46" s="226">
        <f>+[4]SLP!T46+[4]ROSA!T46+'[4]STA ANA'!T46+[4]BOA!T46+'[4]STA MARIA'!T46+'[4]CB I'!T46+'[4]CB II'!T46+'[4]CB III'!T46+[4]IG!T46+[4]PN!T46+[4]MJ!T46+'[4]RB I'!T46+'[4]SF I'!T46</f>
        <v>0</v>
      </c>
      <c r="U46" s="226">
        <f>+[4]SLP!U46+[4]ROSA!U46+'[4]STA ANA'!U46+[4]BOA!U46+'[4]STA MARIA'!U46+'[4]CB I'!U46+'[4]CB II'!U46+'[4]CB III'!U46+[4]IG!U46+[4]PN!U46+[4]MJ!U46+'[4]RB I'!U46+'[4]SF I'!U46</f>
        <v>0</v>
      </c>
      <c r="V46" s="226">
        <f>+[4]SLP!V46+[4]ROSA!V46+'[4]STA ANA'!V46+[4]BOA!V46+'[4]STA MARIA'!V46+'[4]CB I'!V46+'[4]CB II'!V46+'[4]CB III'!V46+[4]IG!V46+[4]PN!V46+[4]MJ!V46+'[4]RB I'!V46+'[4]SF I'!V46</f>
        <v>0</v>
      </c>
      <c r="W46" s="226">
        <f>+[4]SLP!W46+[4]ROSA!W46+'[4]STA ANA'!W46+[4]BOA!W46+'[4]STA MARIA'!W46+'[4]CB I'!W46+'[4]CB II'!W46+'[4]CB III'!W46+[4]IG!W46+[4]PN!W46+[4]MJ!W46+'[4]RB I'!W46+'[4]SF I'!W46</f>
        <v>0</v>
      </c>
      <c r="X46" s="166">
        <f>[4]SLP!X46+[4]ROSA!X46+'[4]STA ANA'!X46+[4]BOA!X46+'[4]STA MARIA'!X46+'[4]CB I'!X46+'[4]CB II'!X46+'[4]CB III'!X46+[4]IG!X46+[4]PN!X46+[4]MJ!X46+'[4]RB I'!X46+'[4]SF I'!X46</f>
        <v>0</v>
      </c>
      <c r="Y46" s="224" t="str">
        <f t="shared" si="4"/>
        <v/>
      </c>
      <c r="Z46" s="225">
        <f>+[4]SLP!Z46+[4]ROSA!Z46+'[4]STA ANA'!Z46+[4]BOA!Z46+'[4]STA MARIA'!Z46+'[4]CB I'!Z46+'[4]CB II'!Z46+'[4]CB III'!Z46+[4]IG!Z46+[4]PN!Z46+[4]MJ!Z46+'[4]RB I'!Z46+'[4]SF I'!Z46</f>
        <v>0</v>
      </c>
      <c r="AA46" s="226">
        <f>+[4]SLP!AA46+[4]ROSA!AA46+'[4]STA ANA'!AA46+[4]BOA!AA46+'[4]STA MARIA'!AA46+'[4]CB I'!AA46+'[4]CB II'!AA46+'[4]CB III'!AA46+[4]IG!AA46+[4]PN!AA46+[4]MJ!AA46+'[4]RB I'!AA46+'[4]SF I'!AA46</f>
        <v>0</v>
      </c>
      <c r="AB46" s="226">
        <f>+[4]SLP!AB46+[4]ROSA!AB46+'[4]STA ANA'!AB46+[4]BOA!AB46+'[4]STA MARIA'!AB46+'[4]CB I'!AB46+'[4]CB II'!AB46+'[4]CB III'!AB46+[4]IG!AB46+[4]PN!AB46+[4]MJ!AB46+'[4]RB I'!AB46+'[4]SF I'!AB46</f>
        <v>0</v>
      </c>
      <c r="AC46" s="226">
        <f>+[4]SLP!AC46+[4]ROSA!AC46+'[4]STA ANA'!AC46+[4]BOA!AC46+'[4]STA MARIA'!AC46+'[4]CB I'!AC46+'[4]CB II'!AC46+'[4]CB III'!AC46+[4]IG!AC46+[4]PN!AC46+[4]MJ!AC46+'[4]RB I'!AC46+'[4]SF I'!AC46</f>
        <v>0</v>
      </c>
      <c r="AD46" s="226">
        <f>+[4]SLP!AD46+[4]ROSA!AD46+'[4]STA ANA'!AD46+[4]BOA!AD46+'[4]STA MARIA'!AD46+'[4]CB I'!AD46+'[4]CB II'!AD46+'[4]CB III'!AD46+[4]IG!AD46+[4]PN!AD46+[4]MJ!AD46+'[4]RB I'!AD46+'[4]SF I'!AD46</f>
        <v>0</v>
      </c>
      <c r="AE46" s="166">
        <f>+[4]SLP!AE46+[4]ROSA!AE46+'[4]STA ANA'!AE46+[4]BOA!AE46+'[4]STA MARIA'!AE46+'[4]CB I'!AE46+'[4]CB II'!AE46+'[4]CB III'!AE46+[4]IG!AE46+[4]PN!AE46+[4]MJ!AE46+'[4]RB I'!AE46+'[4]SF I'!AE46</f>
        <v>0</v>
      </c>
      <c r="AF46" s="224" t="str">
        <f t="shared" si="5"/>
        <v/>
      </c>
      <c r="AG46" s="225">
        <f>+[4]SLP!AG46+[4]ROSA!AG46+'[4]STA ANA'!AG46+[4]BOA!AG46+'[4]STA MARIA'!AG46+'[4]CB I'!AG46+'[4]CB II'!AG46+'[4]CB III'!AG46+[4]IG!AG46+[4]PN!AG46+[4]MJ!AG46+'[4]RB I'!AG46+'[4]SF I'!AG46</f>
        <v>0</v>
      </c>
      <c r="AH46" s="226">
        <f>+[4]SLP!AH46+[4]ROSA!AH46+'[4]STA ANA'!AH46+[4]BOA!AH46+'[4]STA MARIA'!AH46+'[4]CB I'!AH46+'[4]CB II'!AH46+'[4]CB III'!AH46+[4]IG!AH46+[4]PN!AH46+[4]MJ!AH46+'[4]RB I'!AH46+'[4]SF I'!AH46</f>
        <v>0</v>
      </c>
      <c r="AI46" s="226">
        <f>+[4]SLP!AI46+[4]ROSA!AI46+'[4]STA ANA'!AI46+[4]BOA!AI46+'[4]STA MARIA'!AI46+'[4]CB I'!AI46+'[4]CB II'!AI46+'[4]CB III'!AI46+[4]IG!AI46+[4]PN!AI46+[4]MJ!AI46+'[4]RB I'!AI46+'[4]SF I'!AI46</f>
        <v>0</v>
      </c>
      <c r="AJ46" s="226">
        <f>+[4]SLP!AJ46+[4]ROSA!AJ46+'[4]STA ANA'!AJ46+[4]BOA!AJ46+'[4]STA MARIA'!AJ46+'[4]CB I'!AJ46+'[4]CB II'!AJ46+'[4]CB III'!AJ46+[4]IG!AJ46+[4]PN!AJ46+[4]MJ!AJ46+'[4]RB I'!AJ46+'[4]SF I'!AJ46</f>
        <v>0</v>
      </c>
      <c r="AK46" s="226">
        <f>+[4]SLP!AK46+[4]ROSA!AK46+'[4]STA ANA'!AK46+[4]BOA!AK46+'[4]STA MARIA'!AK46+'[4]CB I'!AK46+'[4]CB II'!AK46+'[4]CB III'!AK46+[4]IG!AK46+[4]PN!AK46+[4]MJ!AK46+'[4]RB I'!AK46+'[4]SF I'!AK46</f>
        <v>0</v>
      </c>
      <c r="AL46" s="166">
        <f>+[4]SLP!AL46+[4]ROSA!AL46+'[4]STA ANA'!AL46+[4]BOA!AL46+'[4]STA MARIA'!AL46+'[4]CB I'!AL46+'[4]CB II'!AL46+'[4]CB III'!AL46+[4]IG!AL46+[4]PN!AL46+[4]MJ!AL46+'[4]RB I'!AL46+'[4]SF I'!AL46</f>
        <v>0</v>
      </c>
      <c r="AM46" s="224" t="str">
        <f t="shared" si="6"/>
        <v/>
      </c>
      <c r="AN46" s="225">
        <f>+[4]SLP!AN46+[4]ROSA!AN46+'[4]STA ANA'!AN46+[4]BOA!AN46+'[4]STA MARIA'!AN46+'[4]CB I'!AN46+'[4]CB II'!AN46+'[4]CB III'!AN46+[4]IG!AN46+[4]PN!AN46+[4]MJ!AN46+'[4]RB I'!AN46+'[4]SF I'!AN46</f>
        <v>0</v>
      </c>
      <c r="AO46" s="226">
        <f>+[4]SLP!AO46+[4]ROSA!AO46+'[4]STA ANA'!AO46+[4]BOA!AO46+'[4]STA MARIA'!AO46+'[4]CB I'!AO46+'[4]CB II'!AO46+'[4]CB III'!AO46+[4]IG!AO46+[4]PN!AO46+[4]MJ!AO46+'[4]RB I'!AO46+'[4]SF I'!AO46</f>
        <v>0</v>
      </c>
      <c r="AP46" s="226">
        <f>+[4]SLP!AP46+[4]ROSA!AP46+'[4]STA ANA'!AP46+[4]BOA!AP46+'[4]STA MARIA'!AP46+'[4]CB I'!AP46+'[4]CB II'!AP46+'[4]CB III'!AP46+[4]IG!AP46+[4]PN!AP46+[4]MJ!AP46+'[4]RB I'!AP46+'[4]SF I'!AP46</f>
        <v>0</v>
      </c>
      <c r="AQ46" s="226">
        <f>+[4]SLP!AQ46+[4]ROSA!AQ46+'[4]STA ANA'!AQ46+[4]BOA!AQ46+'[4]STA MARIA'!AQ46+'[4]CB I'!AQ46+'[4]CB II'!AQ46+'[4]CB III'!AQ46+[4]IG!AQ46+[4]PN!AQ46+[4]MJ!AQ46+'[4]RB I'!AQ46+'[4]SF I'!AQ46</f>
        <v>0</v>
      </c>
      <c r="AR46" s="226">
        <f>+[4]SLP!AR46+[4]ROSA!AR46+'[4]STA ANA'!AR46+[4]BOA!AR46+'[4]STA MARIA'!AR46+'[4]CB I'!AR46+'[4]CB II'!AR46+'[4]CB III'!AR46+[4]IG!AR46+[4]PN!AR46+[4]MJ!AR46+'[4]RB I'!AR46+'[4]SF I'!AR46</f>
        <v>0</v>
      </c>
      <c r="AS46" s="166">
        <f>+[4]SLP!AS46+[4]ROSA!AS46+'[4]STA ANA'!AS46+[4]BOA!AS46+'[4]STA MARIA'!AS46+'[4]CB I'!AS46+'[4]CB II'!AS46+'[4]CB III'!AS46+[4]IG!AS46+[4]PN!AS46+[4]MJ!AS46+'[4]RB I'!AS46+'[4]SÃO FRANCISCO'!AS46</f>
        <v>0</v>
      </c>
      <c r="AT46" s="224" t="str">
        <f t="shared" si="7"/>
        <v/>
      </c>
      <c r="AU46" s="225">
        <f>+[4]SLP!AU46+[4]ROSA!AU46+'[4]STA ANA'!AU46+[4]BOA!AU46+'[4]STA MARIA'!AU46+'[4]CB I'!AU46+'[4]CB II'!AU46+'[4]CB III'!AU46+[4]IG!AU46+[4]PN!AU46+[4]MJ!AU46+'[4]RB I'!AU46+'[4]SF I'!AU46</f>
        <v>0</v>
      </c>
      <c r="AV46" s="226">
        <f>+[4]SLP!AV46+[4]ROSA!AV46+'[4]STA ANA'!AV46+[4]BOA!AV46+'[4]STA MARIA'!AV46+'[4]CB I'!AV46+'[4]CB II'!AV46+'[4]CB III'!AV46+[4]IG!AV46+[4]PN!AV46+[4]MJ!AV46+'[4]RB I'!AV46+'[4]SF I'!AV46</f>
        <v>0</v>
      </c>
      <c r="AW46" s="226">
        <f>+[4]SLP!AW46+[4]ROSA!AW46+'[4]STA ANA'!AW46+[4]BOA!AW46+'[4]STA MARIA'!AW46+'[4]CB I'!AW46+'[4]CB II'!AW46+'[4]CB III'!AW46+[4]IG!AW46+[4]PN!AW46+[4]MJ!AW46+'[4]RB I'!AW46+'[4]SF I'!AW46</f>
        <v>0</v>
      </c>
      <c r="AX46" s="226">
        <f>+[4]SLP!AX46+[4]ROSA!AX46+'[4]STA ANA'!AX46+[4]BOA!AX46+'[4]STA MARIA'!AX46+'[4]CB I'!AX46+'[4]CB II'!AX46+'[4]CB III'!AX46+[4]IG!AX46+[4]PN!AX46+[4]MJ!AX46+'[4]RB I'!AX46+'[4]SF I'!AX46</f>
        <v>0</v>
      </c>
      <c r="AY46" s="226">
        <f>+[4]SLP!AY46+[4]ROSA!AY46+'[4]STA ANA'!AY46+[4]BOA!AY46+'[4]STA MARIA'!AY46+'[4]CB I'!AY46+'[4]CB II'!AY46+'[4]CB III'!AY46+[4]IG!AY46+[4]PN!AY46+[4]MJ!AY46+'[4]RB I'!AY46+'[4]SF I'!AY46</f>
        <v>0</v>
      </c>
      <c r="AZ46" s="166">
        <f>+[4]SLP!AZ46+[4]ROSA!AZ46+'[4]STA ANA'!AZ46+[4]BOA!AZ46+'[4]STA MARIA'!AZ46+'[4]CB I'!AZ46+'[4]CB II'!AZ46+[4]IG!AZ46+[4]PN!AZ46+[4]MJ!AZ46+'[4]RB I'!AZ46+'[4]SÃO FRANCISCO'!AZ46</f>
        <v>0</v>
      </c>
      <c r="BA46" s="224" t="str">
        <f t="shared" si="8"/>
        <v/>
      </c>
      <c r="BB46" s="225">
        <f>+[4]SLP!BB46+[4]ROSA!BB46+'[4]STA ANA'!BB46+[4]BOA!BB46+'[4]STA MARIA'!BB46+'[4]CB I'!BB46+'[4]CB II'!BB46+'[4]CB III'!BB46+[4]IG!BB46+[4]PN!BB46+[4]MJ!BB46+'[4]RB I'!BB46+'[4]SF I'!BB46</f>
        <v>0</v>
      </c>
      <c r="BC46" s="226">
        <f>+[4]SLP!BC46+[4]ROSA!BC46+'[4]STA ANA'!BC46+[4]BOA!BC46+'[4]STA MARIA'!BC46+'[4]CB I'!BC46+'[4]CB II'!BC46+'[4]CB III'!BC46+[4]IG!BC46+[4]PN!BC46+[4]MJ!BC46+'[4]RB I'!BC46+'[4]SF I'!BC46</f>
        <v>0</v>
      </c>
      <c r="BD46" s="226">
        <f>+[4]SLP!BD46+[4]ROSA!BD46+'[4]STA ANA'!BD46+[4]BOA!BD46+'[4]STA MARIA'!BD46+'[4]CB I'!BD46+'[4]CB II'!BD46+'[4]CB III'!BD46+[4]IG!BD46+[4]PN!BD46+[4]MJ!BD46+'[4]RB I'!BD46+'[4]SF I'!BD46</f>
        <v>0</v>
      </c>
      <c r="BE46" s="226">
        <f>+[4]SLP!BE46+[4]ROSA!BE46+'[4]STA ANA'!BE46+[4]BOA!BE46+'[4]STA MARIA'!BE46+'[4]CB I'!BE46+'[4]CB II'!BE46+'[4]CB III'!BE46+[4]IG!BE46+[4]PN!BE46+[4]MJ!BE46+'[4]RB I'!BE46+'[4]SF I'!BE46</f>
        <v>0</v>
      </c>
      <c r="BF46" s="226">
        <f>+[4]SLP!BF46+[4]ROSA!BF46+'[4]STA ANA'!BF46+[4]BOA!BF46+'[4]STA MARIA'!BF46+'[4]CB I'!BF46+'[4]CB II'!BF46+'[4]CB III'!BF46+[4]IG!BF46+[4]PN!BF46+[4]MJ!BF46+'[4]RB I'!BF46+'[4]SF I'!BF46</f>
        <v>0</v>
      </c>
      <c r="BG46" s="166">
        <f>+[4]SLP!BG46+[4]ROSA!BG46+'[4]STA ANA'!BG46+[4]BOA!BG46+'[4]STA MARIA'!BG46+'[4]CB I'!BG46+'[4]CB II'!BG46+'[4]CB III'!BG46+[4]IG!BG46+[4]PN!BG46+[4]MJ!BG46+'[4]RB I'!BG46+'[4]SÃO FRANCISCO'!BG46</f>
        <v>0</v>
      </c>
      <c r="BH46" s="224" t="str">
        <f t="shared" si="9"/>
        <v/>
      </c>
      <c r="BI46" s="225">
        <f>+[4]SLP!BI46+[4]ROSA!BI46+'[4]STA ANA'!BI46+[4]BOA!BI46+'[4]STA MARIA'!BI46+'[4]CB I'!BI46+'[4]CB II'!BI46+'[4]CB III'!BI46+[4]IG!BI46+[4]PN!BI46+[4]MJ!BI46+'[4]RB I'!BI46+'[4]SF I'!BI46</f>
        <v>0</v>
      </c>
      <c r="BJ46" s="226">
        <f>+[4]SLP!BJ46+[4]ROSA!BJ46+'[4]STA ANA'!BJ46+[4]BOA!BJ46+'[4]STA MARIA'!BJ46+'[4]CB I'!BJ46+'[4]CB II'!BJ46+'[4]CB III'!BJ46+[4]IG!BJ46+[4]PN!BJ46+[4]MJ!BJ46+'[4]RB I'!BJ46+'[4]SF I'!BJ46</f>
        <v>0</v>
      </c>
      <c r="BK46" s="226">
        <f>+[4]SLP!BK46+[4]ROSA!BK46+'[4]STA ANA'!BK46+[4]BOA!BK46+'[4]STA MARIA'!BK46+'[4]CB I'!BK46+'[4]CB II'!BK46+'[4]CB III'!BK46+[4]IG!BK46+[4]PN!BK46+[4]MJ!BK46+'[4]RB I'!BK46+'[4]SF I'!BK46</f>
        <v>0</v>
      </c>
      <c r="BL46" s="226">
        <f>+[4]SLP!BL46+[4]ROSA!BL46+'[4]STA ANA'!BL46+[4]BOA!BL46+'[4]STA MARIA'!BL46+'[4]CB I'!BL46+'[4]CB II'!BL46+'[4]CB III'!BL46+[4]IG!BL46+[4]PN!BL46+[4]MJ!BL46+'[4]RB I'!BL46+'[4]SF I'!BL46</f>
        <v>0</v>
      </c>
      <c r="BM46" s="226">
        <f>+[4]SLP!BM46+[4]ROSA!BM46+'[4]STA ANA'!BM46+[4]BOA!BM46+'[4]STA MARIA'!BM46+'[4]CB I'!BM46+'[4]CB II'!BM46+'[4]CB III'!BM46+[4]IG!BM46+[4]PN!BM46+[4]MJ!BM46+'[4]RB I'!BM46+'[4]SF I'!BM46</f>
        <v>0</v>
      </c>
      <c r="BN46" s="166">
        <f>+[4]SLP!BN46+[4]ROSA!BN46+'[4]STA ANA'!BN46+[4]BOA!BN46+'[4]STA MARIA'!BN46+'[4]CB I'!BN46+'[4]CB II'!BN46+'[4]CB III'!BN46+[4]IG!BN46+[4]PN!BN46+[4]MJ!BN46+'[4]RB I'!BN46+'[4]SÃO FRANCISCO'!BN46</f>
        <v>0</v>
      </c>
      <c r="BO46" s="224" t="str">
        <f t="shared" si="10"/>
        <v/>
      </c>
      <c r="BP46" s="225">
        <f>+[4]SLP!BP46+[4]ROSA!BP46+'[4]STA ANA'!BP46+[4]BOA!BP46+'[4]STA MARIA'!BP46+'[4]CB I'!BP46+'[4]CB II'!BP46+'[4]CB III'!BP46+[4]IG!BP46+[4]PN!BP46+[4]MJ!BP46+'[4]RB I'!BP46+'[4]SF I'!BP46</f>
        <v>0</v>
      </c>
      <c r="BQ46" s="226">
        <f>+[4]SLP!BQ46+[4]ROSA!BQ46+'[4]STA ANA'!BQ46+[4]BOA!BQ46+'[4]STA MARIA'!BQ46+'[4]CB I'!BQ46+'[4]CB II'!BQ46+'[4]CB III'!BQ46+[4]IG!BQ46+[4]PN!BQ46+[4]MJ!BQ46+'[4]RB I'!BQ46+'[4]SF I'!BQ46</f>
        <v>0</v>
      </c>
      <c r="BR46" s="226">
        <f>+[4]SLP!BR46+[4]ROSA!BR46+'[4]STA ANA'!BR46+[4]BOA!BR46+'[4]STA MARIA'!BR46+'[4]CB I'!BR46+'[4]CB II'!BR46+'[4]CB III'!BR46+[4]IG!BR46+[4]PN!BR46+[4]MJ!BR46+'[4]RB I'!BR46+'[4]SF I'!BR46</f>
        <v>0</v>
      </c>
      <c r="BS46" s="226">
        <f>+[4]SLP!BS46+[4]ROSA!BS46+'[4]STA ANA'!BS46+[4]BOA!BS46+'[4]STA MARIA'!BS46+'[4]CB I'!BS46+'[4]CB II'!BS46+'[4]CB III'!BS46+[4]IG!BS46+[4]PN!BS46+[4]MJ!BS46+'[4]RB I'!BS46+'[4]SF I'!BS46</f>
        <v>0</v>
      </c>
      <c r="BT46" s="226">
        <f>+[4]SLP!BT46+[4]ROSA!BT46+'[4]STA ANA'!BT46+[4]BOA!BT46+'[4]STA MARIA'!BT46+'[4]CB I'!BT46+'[4]CB II'!BT46+'[4]CB III'!BT46+[4]IG!BT46+[4]PN!BT46+[4]MJ!BT46+'[4]RB I'!BT46+'[4]SF I'!BT46</f>
        <v>0</v>
      </c>
      <c r="BU46" s="166">
        <f>+[4]SLP!BU46+[4]ROSA!BU46+'[4]STA ANA'!BU46+[4]BOA!BU46+'[4]STA MARIA'!BU46+'[4]CB I'!BU46+'[4]CB II'!BU46+'[4]CB III'!BU46+[4]IG!BU46+[4]PN!BU46+[4]MJ!BU46+'[4]RB I'!BU46+'[4]SÃO FRANCISCO'!BU46</f>
        <v>0</v>
      </c>
      <c r="BV46" s="224" t="str">
        <f t="shared" si="11"/>
        <v/>
      </c>
      <c r="BW46" s="225">
        <f>+[4]SLP!BW46+[4]ROSA!BW46+'[4]STA ANA'!BW46+[4]BOA!BW46+'[4]STA MARIA'!BW46+'[4]CB I'!BW46+'[4]CB II'!BW46+'[4]CB III'!BW46+[4]IG!BW46+[4]PN!BW46+[4]MJ!BW46+'[4]RB I'!BW46+'[4]SF I'!BW46</f>
        <v>0</v>
      </c>
      <c r="BX46" s="226">
        <f>+[4]SLP!BX46+[4]ROSA!BX46+'[4]STA ANA'!BX46+[4]BOA!BX46+'[4]STA MARIA'!BX46+'[4]CB I'!BX46+'[4]CB II'!BX46+'[4]CB III'!BX46+[4]IG!BX46+[4]PN!BX46+[4]MJ!BX46+'[4]RB I'!BX46+'[4]SF I'!BX46</f>
        <v>0</v>
      </c>
      <c r="BY46" s="226">
        <f>+[4]SLP!BY46+[4]ROSA!BY46+'[4]STA ANA'!BY46+[4]BOA!BY46+'[4]STA MARIA'!BY46+'[4]CB I'!BY46+'[4]CB II'!BY46+'[4]CB III'!BY46+[4]IG!BY46+[4]PN!BY46+[4]MJ!BY46+'[4]RB I'!BY46+'[4]SF I'!BY46</f>
        <v>0</v>
      </c>
      <c r="BZ46" s="226">
        <f>+[4]SLP!BZ46+[4]ROSA!BZ46+'[4]STA ANA'!BZ46+[4]BOA!BZ46+'[4]STA MARIA'!BZ46+'[4]CB I'!BZ46+'[4]CB II'!BZ46+'[4]CB III'!BZ46+[4]IG!BZ46+[4]PN!BZ46+[4]MJ!BZ46+'[4]RB I'!BZ46+'[4]SF I'!BZ46</f>
        <v>0</v>
      </c>
      <c r="CA46" s="226">
        <f>+[4]SLP!CA46+[4]ROSA!CA46+'[4]STA ANA'!CA46+[4]BOA!CA46+'[4]STA MARIA'!CA46+'[4]CB I'!CA46+'[4]CB II'!CA46+'[4]CB III'!CA46+[4]IG!CA46+[4]PN!CA46+[4]MJ!CA46+'[4]RB I'!CA46+'[4]SF I'!CA46</f>
        <v>0</v>
      </c>
      <c r="CB46" s="166">
        <f>+[4]SLP!CB46+[4]ROSA!CB46+'[4]STA ANA'!CB46+[4]BOA!CB46+'[4]STA MARIA'!CB46+'[4]CB I'!CB46+'[4]CB II'!CB46+'[4]CB III'!CB46+[4]IG!CB46+[4]PN!CB46+[4]MJ!CB46+'[4]RB I'!CB46+'[4]SÃO FRANCISCO'!CB46</f>
        <v>0</v>
      </c>
      <c r="CC46" s="224" t="str">
        <f t="shared" si="12"/>
        <v/>
      </c>
      <c r="CD46" s="225">
        <f>+[4]SLP!CD46+[4]ROSA!CD46+'[4]STA ANA'!CD46+[4]BOA!CD46+'[4]STA MARIA'!CD46+'[4]CB I'!CD46+'[4]CB II'!CD46+'[4]CB III'!CD46+[4]IG!CD46+[4]PN!CD46+[4]MJ!CD46+'[4]RB I'!CD46+'[4]SF I'!CD46</f>
        <v>0</v>
      </c>
      <c r="CE46" s="226">
        <f>+[4]SLP!CE46+[4]ROSA!CE46+'[4]STA ANA'!CE46+[4]BOA!CE46+'[4]STA MARIA'!CE46+'[4]CB I'!CE46+'[4]CB II'!CE46+'[4]CB III'!CE46+[4]IG!CE46+[4]PN!CE46+[4]MJ!CE46+'[4]RB I'!CE46+'[4]SF I'!CE46</f>
        <v>0</v>
      </c>
      <c r="CF46" s="226">
        <f>+[4]SLP!CF46+[4]ROSA!CF46+'[4]STA ANA'!CF46+[4]BOA!CF46+'[4]STA MARIA'!CF46+'[4]CB I'!CF46+'[4]CB II'!CF46+'[4]CB III'!CF46+[4]IG!CF46+[4]PN!CF46+[4]MJ!CF46+'[4]RB I'!CF46+'[4]SF I'!CF46</f>
        <v>0</v>
      </c>
      <c r="CG46" s="226">
        <f>+[4]SLP!CG46+[4]ROSA!CG46+'[4]STA ANA'!CG46+[4]BOA!CG46+'[4]STA MARIA'!CG46+'[4]CB I'!CG46+'[4]CB II'!CG46+'[4]CB III'!CG46+[4]IG!CG46+[4]PN!CG46+[4]MJ!CG46+'[4]RB I'!CG46+'[4]SF I'!CG46</f>
        <v>0</v>
      </c>
      <c r="CH46" s="226">
        <f>+[4]SLP!CH46+[4]ROSA!CH46+'[4]STA ANA'!CH46+[4]BOA!CH46+'[4]STA MARIA'!CH46+'[4]CB I'!CH46+'[4]CB II'!CH46+'[4]CB III'!CH46+[4]IG!CH46+[4]PN!CH46+[4]MJ!CH46+'[4]RB I'!CH46+'[4]SF I'!CH46</f>
        <v>0</v>
      </c>
      <c r="CI46" s="166">
        <f>+[4]SLP!CI46+[4]ROSA!CI46+'[4]STA ANA'!CI46+[4]BOA!CI46+'[4]STA MARIA'!CI46+'[4]CB I'!CI46+'[4]CB II'!CI46+'[4]CB III'!CI46+[4]IG!CI46+[4]PN!CI46+[4]MJ!CI46+'[4]RB I'!CI46+'[4]SÃO FRANCISCO'!CI46</f>
        <v>0</v>
      </c>
      <c r="CJ46" s="224" t="str">
        <f t="shared" si="13"/>
        <v/>
      </c>
      <c r="CK46" s="225">
        <f>+[4]SLP!CK46+[4]ROSA!CK46+'[4]STA ANA'!CK46+[4]BOA!CK46+'[4]STA MARIA'!CK46+'[4]CB I'!CK46+'[4]CB II'!CK46+'[4]CB III'!CK46+[4]IG!CK46+[4]PN!CK46+[4]MJ!CK46+'[4]RB I'!CK46+'[4]SF I'!CK46</f>
        <v>0</v>
      </c>
      <c r="CL46" s="226">
        <f>+[4]SLP!CL46+[4]ROSA!CL46+'[4]STA ANA'!CL46+[4]BOA!CL46+'[4]STA MARIA'!CL46+'[4]CB I'!CL46+'[4]CB II'!CL46+'[4]CB III'!CL46+[4]IG!CL46+[4]PN!CL46+[4]MJ!CL46+'[4]RB I'!CL46+'[4]SF I'!CL46</f>
        <v>0</v>
      </c>
      <c r="CM46" s="226">
        <f>+[4]SLP!CM46+[4]ROSA!CM46+'[4]STA ANA'!CM46+[4]BOA!CM46+'[4]STA MARIA'!CM46+'[4]CB I'!CM46+'[4]CB II'!CM46+'[4]CB III'!CM46+[4]IG!CM46+[4]PN!CM46+[4]MJ!CM46+'[4]RB I'!CM46+'[4]SF I'!CM46</f>
        <v>0</v>
      </c>
      <c r="CN46" s="226">
        <f>+[4]SLP!CN46+[4]ROSA!CN46+'[4]STA ANA'!CN46+[4]BOA!CN46+'[4]STA MARIA'!CN46+'[4]CB I'!CN46+'[4]CB II'!CN46+'[4]CB III'!CN46+[4]IG!CN46+[4]PN!CN46+[4]MJ!CN46+'[4]RB I'!CN46+'[4]SF I'!CN46</f>
        <v>0</v>
      </c>
      <c r="CO46" s="226">
        <f>+[4]SLP!CO46+[4]ROSA!CO46+'[4]STA ANA'!CO46+[4]BOA!CO46+'[4]STA MARIA'!CO46+'[4]CB I'!CO46+'[4]CB II'!CO46+'[4]CB III'!CO46+[4]IG!CO46+[4]PN!CO46+[4]MJ!CO46+'[4]RB I'!CO46+'[4]SF I'!CO46</f>
        <v>0</v>
      </c>
      <c r="CP46" s="166">
        <f>+[4]SLP!CP46+[4]ROSA!CP46+'[4]STA ANA'!CP46+[4]BOA!CP46+'[4]STA MARIA'!CP46+'[4]CB I'!CP46+'[4]CB II'!CP46+'[4]CB III'!CP46+[4]IG!CP46+[4]PN!CP46+[4]MJ!CP46+'[4]RB I'!CP46+'[4]SÃO FRANCISCO'!CP46</f>
        <v>0</v>
      </c>
      <c r="CQ46" s="224" t="str">
        <f t="shared" si="14"/>
        <v/>
      </c>
      <c r="CR46" s="155"/>
      <c r="CS46" s="227" t="e">
        <f t="shared" si="15"/>
        <v>#VALUE!</v>
      </c>
    </row>
    <row r="47" spans="1:97" ht="16" customHeight="1" x14ac:dyDescent="0.2">
      <c r="A47" s="223" t="s">
        <v>71</v>
      </c>
      <c r="B47" s="30">
        <f t="shared" si="17"/>
        <v>0</v>
      </c>
      <c r="C47" s="31">
        <f t="shared" si="17"/>
        <v>0</v>
      </c>
      <c r="D47" s="32">
        <f t="shared" si="17"/>
        <v>0</v>
      </c>
      <c r="E47" s="30">
        <f t="shared" si="19"/>
        <v>0</v>
      </c>
      <c r="F47" s="33">
        <f t="shared" si="19"/>
        <v>0</v>
      </c>
      <c r="G47" s="34">
        <f t="shared" si="19"/>
        <v>0</v>
      </c>
      <c r="H47" s="31">
        <f t="shared" si="18"/>
        <v>0</v>
      </c>
      <c r="I47" s="33">
        <f t="shared" si="18"/>
        <v>0</v>
      </c>
      <c r="J47" s="33">
        <f t="shared" si="18"/>
        <v>0</v>
      </c>
      <c r="K47" s="224" t="str">
        <f t="shared" si="2"/>
        <v/>
      </c>
      <c r="L47" s="225">
        <f>+[4]SLP!L47+[4]ROSA!L47+'[4]STA ANA'!L47+[4]BOA!L47+'[4]STA MARIA'!L47+'[4]CB I'!L47+'[4]CB II'!L47+'[4]CB III'!L47+[4]IG!L47+[4]PN!L47+[4]MJ!L47+'[4]RB I'!L47+'[4]SF I'!L47</f>
        <v>0</v>
      </c>
      <c r="M47" s="226">
        <f>+[4]SLP!M47+[4]ROSA!M47+'[4]STA ANA'!M47+[4]BOA!M47+'[4]STA MARIA'!M47+'[4]CB I'!M47+'[4]CB II'!M47+'[4]CB III'!M47+[4]IG!M47+[4]PN!M47+[4]MJ!M47+'[4]RB I'!M47+'[4]SF I'!M47</f>
        <v>0</v>
      </c>
      <c r="N47" s="226">
        <f>+[4]SLP!N47+[4]ROSA!N47+'[4]STA ANA'!N47+[4]BOA!N47+'[4]STA MARIA'!N47+'[4]CB I'!N47+'[4]CB II'!N47+'[4]CB III'!N47+[4]IG!N47+[4]PN!N47+[4]MJ!N47+'[4]RB I'!N47+'[4]SF I'!N47</f>
        <v>0</v>
      </c>
      <c r="O47" s="226">
        <f>+[4]SLP!O47+[4]ROSA!O47+'[4]STA ANA'!O47+[4]BOA!O47+'[4]STA MARIA'!O47+'[4]CB I'!O47+'[4]CB II'!O47+'[4]CB III'!O47+[4]IG!O47+[4]PN!O47+[4]MJ!O47+'[4]RB I'!O47+'[4]SF I'!O47</f>
        <v>0</v>
      </c>
      <c r="P47" s="226">
        <f>+[4]SLP!P47+[4]ROSA!P47+'[4]STA ANA'!P47+[4]BOA!P47+'[4]STA MARIA'!P47+'[4]CB I'!P47+'[4]CB II'!P47+'[4]CB III'!P47+[4]IG!P47+[4]PN!P47+[4]MJ!P47+'[4]RB I'!P47+'[4]SF I'!P47</f>
        <v>0</v>
      </c>
      <c r="Q47" s="166">
        <f>+[4]SLP!Q47+[4]ROSA!Q47+'[4]STA ANA'!Q47+[4]BOA!Q47+'[4]STA MARIA'!Q47+'[4]CB I'!Q47+'[4]CB II'!Q47+'[4]CB III'!Q47+[4]IG!Q47+[4]PN!Q47+[4]MJ!Q47+'[4]RB I'!Q47+'[4]SF I'!Q47</f>
        <v>0</v>
      </c>
      <c r="R47" s="224" t="str">
        <f t="shared" si="3"/>
        <v/>
      </c>
      <c r="S47" s="225">
        <f>+[4]SLP!S47+[4]ROSA!S47+'[4]STA ANA'!S47+[4]BOA!S47+'[4]STA MARIA'!S47+'[4]CB I'!S47+'[4]CB II'!S47+'[4]CB III'!S47+[4]IG!S47+[4]PN!S47+[4]MJ!S47+'[4]RB I'!S47+'[4]SF I'!S47</f>
        <v>0</v>
      </c>
      <c r="T47" s="226">
        <f>+[4]SLP!T47+[4]ROSA!T47+'[4]STA ANA'!T47+[4]BOA!T47+'[4]STA MARIA'!T47+'[4]CB I'!T47+'[4]CB II'!T47+'[4]CB III'!T47+[4]IG!T47+[4]PN!T47+[4]MJ!T47+'[4]RB I'!T47+'[4]SF I'!T47</f>
        <v>0</v>
      </c>
      <c r="U47" s="226">
        <f>+[4]SLP!U47+[4]ROSA!U47+'[4]STA ANA'!U47+[4]BOA!U47+'[4]STA MARIA'!U47+'[4]CB I'!U47+'[4]CB II'!U47+'[4]CB III'!U47+[4]IG!U47+[4]PN!U47+[4]MJ!U47+'[4]RB I'!U47+'[4]SF I'!U47</f>
        <v>0</v>
      </c>
      <c r="V47" s="226">
        <f>+[4]SLP!V47+[4]ROSA!V47+'[4]STA ANA'!V47+[4]BOA!V47+'[4]STA MARIA'!V47+'[4]CB I'!V47+'[4]CB II'!V47+'[4]CB III'!V47+[4]IG!V47+[4]PN!V47+[4]MJ!V47+'[4]RB I'!V47+'[4]SF I'!V47</f>
        <v>0</v>
      </c>
      <c r="W47" s="226">
        <f>+[4]SLP!W47+[4]ROSA!W47+'[4]STA ANA'!W47+[4]BOA!W47+'[4]STA MARIA'!W47+'[4]CB I'!W47+'[4]CB II'!W47+'[4]CB III'!W47+[4]IG!W47+[4]PN!W47+[4]MJ!W47+'[4]RB I'!W47+'[4]SF I'!W47</f>
        <v>0</v>
      </c>
      <c r="X47" s="166">
        <f>[4]SLP!X47+[4]ROSA!X47+'[4]STA ANA'!X47+[4]BOA!X47+'[4]STA MARIA'!X47+'[4]CB I'!X47+'[4]CB II'!X47+'[4]CB III'!X47+[4]IG!X47+[4]PN!X47+[4]MJ!X47+'[4]RB I'!X47+'[4]SF I'!X47</f>
        <v>0</v>
      </c>
      <c r="Y47" s="224" t="str">
        <f t="shared" si="4"/>
        <v/>
      </c>
      <c r="Z47" s="225">
        <f>+[4]SLP!Z47+[4]ROSA!Z47+'[4]STA ANA'!Z47+[4]BOA!Z47+'[4]STA MARIA'!Z47+'[4]CB I'!Z47+'[4]CB II'!Z47+'[4]CB III'!Z47+[4]IG!Z47+[4]PN!Z47+[4]MJ!Z47+'[4]RB I'!Z47+'[4]SF I'!Z47</f>
        <v>0</v>
      </c>
      <c r="AA47" s="226">
        <f>+[4]SLP!AA47+[4]ROSA!AA47+'[4]STA ANA'!AA47+[4]BOA!AA47+'[4]STA MARIA'!AA47+'[4]CB I'!AA47+'[4]CB II'!AA47+'[4]CB III'!AA47+[4]IG!AA47+[4]PN!AA47+[4]MJ!AA47+'[4]RB I'!AA47+'[4]SF I'!AA47</f>
        <v>0</v>
      </c>
      <c r="AB47" s="226">
        <f>+[4]SLP!AB47+[4]ROSA!AB47+'[4]STA ANA'!AB47+[4]BOA!AB47+'[4]STA MARIA'!AB47+'[4]CB I'!AB47+'[4]CB II'!AB47+'[4]CB III'!AB47+[4]IG!AB47+[4]PN!AB47+[4]MJ!AB47+'[4]RB I'!AB47+'[4]SF I'!AB47</f>
        <v>0</v>
      </c>
      <c r="AC47" s="226">
        <f>+[4]SLP!AC47+[4]ROSA!AC47+'[4]STA ANA'!AC47+[4]BOA!AC47+'[4]STA MARIA'!AC47+'[4]CB I'!AC47+'[4]CB II'!AC47+'[4]CB III'!AC47+[4]IG!AC47+[4]PN!AC47+[4]MJ!AC47+'[4]RB I'!AC47+'[4]SF I'!AC47</f>
        <v>0</v>
      </c>
      <c r="AD47" s="226">
        <f>+[4]SLP!AD47+[4]ROSA!AD47+'[4]STA ANA'!AD47+[4]BOA!AD47+'[4]STA MARIA'!AD47+'[4]CB I'!AD47+'[4]CB II'!AD47+'[4]CB III'!AD47+[4]IG!AD47+[4]PN!AD47+[4]MJ!AD47+'[4]RB I'!AD47+'[4]SF I'!AD47</f>
        <v>0</v>
      </c>
      <c r="AE47" s="166">
        <f>+[4]SLP!AE47+[4]ROSA!AE47+'[4]STA ANA'!AE47+[4]BOA!AE47+'[4]STA MARIA'!AE47+'[4]CB I'!AE47+'[4]CB II'!AE47+'[4]CB III'!AE47+[4]IG!AE47+[4]PN!AE47+[4]MJ!AE47+'[4]RB I'!AE47+'[4]SF I'!AE47</f>
        <v>0</v>
      </c>
      <c r="AF47" s="224" t="str">
        <f t="shared" si="5"/>
        <v/>
      </c>
      <c r="AG47" s="225">
        <f>+[4]SLP!AG47+[4]ROSA!AG47+'[4]STA ANA'!AG47+[4]BOA!AG47+'[4]STA MARIA'!AG47+'[4]CB I'!AG47+'[4]CB II'!AG47+'[4]CB III'!AG47+[4]IG!AG47+[4]PN!AG47+[4]MJ!AG47+'[4]RB I'!AG47+'[4]SF I'!AG47</f>
        <v>0</v>
      </c>
      <c r="AH47" s="226">
        <f>+[4]SLP!AH47+[4]ROSA!AH47+'[4]STA ANA'!AH47+[4]BOA!AH47+'[4]STA MARIA'!AH47+'[4]CB I'!AH47+'[4]CB II'!AH47+'[4]CB III'!AH47+[4]IG!AH47+[4]PN!AH47+[4]MJ!AH47+'[4]RB I'!AH47+'[4]SF I'!AH47</f>
        <v>0</v>
      </c>
      <c r="AI47" s="226">
        <f>+[4]SLP!AI47+[4]ROSA!AI47+'[4]STA ANA'!AI47+[4]BOA!AI47+'[4]STA MARIA'!AI47+'[4]CB I'!AI47+'[4]CB II'!AI47+'[4]CB III'!AI47+[4]IG!AI47+[4]PN!AI47+[4]MJ!AI47+'[4]RB I'!AI47+'[4]SF I'!AI47</f>
        <v>0</v>
      </c>
      <c r="AJ47" s="226">
        <f>+[4]SLP!AJ47+[4]ROSA!AJ47+'[4]STA ANA'!AJ47+[4]BOA!AJ47+'[4]STA MARIA'!AJ47+'[4]CB I'!AJ47+'[4]CB II'!AJ47+'[4]CB III'!AJ47+[4]IG!AJ47+[4]PN!AJ47+[4]MJ!AJ47+'[4]RB I'!AJ47+'[4]SF I'!AJ47</f>
        <v>0</v>
      </c>
      <c r="AK47" s="226">
        <f>+[4]SLP!AK47+[4]ROSA!AK47+'[4]STA ANA'!AK47+[4]BOA!AK47+'[4]STA MARIA'!AK47+'[4]CB I'!AK47+'[4]CB II'!AK47+'[4]CB III'!AK47+[4]IG!AK47+[4]PN!AK47+[4]MJ!AK47+'[4]RB I'!AK47+'[4]SF I'!AK47</f>
        <v>0</v>
      </c>
      <c r="AL47" s="166">
        <f>+[4]SLP!AL47+[4]ROSA!AL47+'[4]STA ANA'!AL47+[4]BOA!AL47+'[4]STA MARIA'!AL47+'[4]CB I'!AL47+'[4]CB II'!AL47+'[4]CB III'!AL47+[4]IG!AL47+[4]PN!AL47+[4]MJ!AL47+'[4]RB I'!AL47+'[4]SF I'!AL47</f>
        <v>0</v>
      </c>
      <c r="AM47" s="224" t="str">
        <f t="shared" si="6"/>
        <v/>
      </c>
      <c r="AN47" s="225">
        <f>+[4]SLP!AN47+[4]ROSA!AN47+'[4]STA ANA'!AN47+[4]BOA!AN47+'[4]STA MARIA'!AN47+'[4]CB I'!AN47+'[4]CB II'!AN47+'[4]CB III'!AN47+[4]IG!AN47+[4]PN!AN47+[4]MJ!AN47+'[4]RB I'!AN47+'[4]SF I'!AN47</f>
        <v>0</v>
      </c>
      <c r="AO47" s="226">
        <f>+[4]SLP!AO47+[4]ROSA!AO47+'[4]STA ANA'!AO47+[4]BOA!AO47+'[4]STA MARIA'!AO47+'[4]CB I'!AO47+'[4]CB II'!AO47+'[4]CB III'!AO47+[4]IG!AO47+[4]PN!AO47+[4]MJ!AO47+'[4]RB I'!AO47+'[4]SF I'!AO47</f>
        <v>0</v>
      </c>
      <c r="AP47" s="226">
        <f>+[4]SLP!AP47+[4]ROSA!AP47+'[4]STA ANA'!AP47+[4]BOA!AP47+'[4]STA MARIA'!AP47+'[4]CB I'!AP47+'[4]CB II'!AP47+'[4]CB III'!AP47+[4]IG!AP47+[4]PN!AP47+[4]MJ!AP47+'[4]RB I'!AP47+'[4]SF I'!AP47</f>
        <v>0</v>
      </c>
      <c r="AQ47" s="226">
        <f>+[4]SLP!AQ47+[4]ROSA!AQ47+'[4]STA ANA'!AQ47+[4]BOA!AQ47+'[4]STA MARIA'!AQ47+'[4]CB I'!AQ47+'[4]CB II'!AQ47+'[4]CB III'!AQ47+[4]IG!AQ47+[4]PN!AQ47+[4]MJ!AQ47+'[4]RB I'!AQ47+'[4]SF I'!AQ47</f>
        <v>0</v>
      </c>
      <c r="AR47" s="226">
        <f>+[4]SLP!AR47+[4]ROSA!AR47+'[4]STA ANA'!AR47+[4]BOA!AR47+'[4]STA MARIA'!AR47+'[4]CB I'!AR47+'[4]CB II'!AR47+'[4]CB III'!AR47+[4]IG!AR47+[4]PN!AR47+[4]MJ!AR47+'[4]RB I'!AR47+'[4]SF I'!AR47</f>
        <v>0</v>
      </c>
      <c r="AS47" s="166">
        <f>+[4]SLP!AS47+[4]ROSA!AS47+'[4]STA ANA'!AS47+[4]BOA!AS47+'[4]STA MARIA'!AS47+'[4]CB I'!AS47+'[4]CB II'!AS47+'[4]CB III'!AS47+[4]IG!AS47+[4]PN!AS47+[4]MJ!AS47+'[4]RB I'!AS47+'[4]SÃO FRANCISCO'!AS47</f>
        <v>0</v>
      </c>
      <c r="AT47" s="224" t="str">
        <f t="shared" si="7"/>
        <v/>
      </c>
      <c r="AU47" s="225">
        <f>+[4]SLP!AU47+[4]ROSA!AU47+'[4]STA ANA'!AU47+[4]BOA!AU47+'[4]STA MARIA'!AU47+'[4]CB I'!AU47+'[4]CB II'!AU47+'[4]CB III'!AU47+[4]IG!AU47+[4]PN!AU47+[4]MJ!AU47+'[4]RB I'!AU47+'[4]SF I'!AU47</f>
        <v>0</v>
      </c>
      <c r="AV47" s="226">
        <f>+[4]SLP!AV47+[4]ROSA!AV47+'[4]STA ANA'!AV47+[4]BOA!AV47+'[4]STA MARIA'!AV47+'[4]CB I'!AV47+'[4]CB II'!AV47+'[4]CB III'!AV47+[4]IG!AV47+[4]PN!AV47+[4]MJ!AV47+'[4]RB I'!AV47+'[4]SF I'!AV47</f>
        <v>0</v>
      </c>
      <c r="AW47" s="226">
        <f>+[4]SLP!AW47+[4]ROSA!AW47+'[4]STA ANA'!AW47+[4]BOA!AW47+'[4]STA MARIA'!AW47+'[4]CB I'!AW47+'[4]CB II'!AW47+'[4]CB III'!AW47+[4]IG!AW47+[4]PN!AW47+[4]MJ!AW47+'[4]RB I'!AW47+'[4]SF I'!AW47</f>
        <v>0</v>
      </c>
      <c r="AX47" s="226">
        <f>+[4]SLP!AX47+[4]ROSA!AX47+'[4]STA ANA'!AX47+[4]BOA!AX47+'[4]STA MARIA'!AX47+'[4]CB I'!AX47+'[4]CB II'!AX47+'[4]CB III'!AX47+[4]IG!AX47+[4]PN!AX47+[4]MJ!AX47+'[4]RB I'!AX47+'[4]SF I'!AX47</f>
        <v>0</v>
      </c>
      <c r="AY47" s="226">
        <f>+[4]SLP!AY47+[4]ROSA!AY47+'[4]STA ANA'!AY47+[4]BOA!AY47+'[4]STA MARIA'!AY47+'[4]CB I'!AY47+'[4]CB II'!AY47+'[4]CB III'!AY47+[4]IG!AY47+[4]PN!AY47+[4]MJ!AY47+'[4]RB I'!AY47+'[4]SF I'!AY47</f>
        <v>0</v>
      </c>
      <c r="AZ47" s="166">
        <f>+[4]SLP!AZ47+[4]ROSA!AZ47+'[4]STA ANA'!AZ47+[4]BOA!AZ47+'[4]STA MARIA'!AZ47+'[4]CB I'!AZ47+'[4]CB II'!AZ47+[4]IG!AZ47+[4]PN!AZ47+[4]MJ!AZ47+'[4]RB I'!AZ47+'[4]SÃO FRANCISCO'!AZ47</f>
        <v>0</v>
      </c>
      <c r="BA47" s="224" t="str">
        <f t="shared" si="8"/>
        <v/>
      </c>
      <c r="BB47" s="225">
        <f>+[4]SLP!BB47+[4]ROSA!BB47+'[4]STA ANA'!BB47+[4]BOA!BB47+'[4]STA MARIA'!BB47+'[4]CB I'!BB47+'[4]CB II'!BB47+'[4]CB III'!BB47+[4]IG!BB47+[4]PN!BB47+[4]MJ!BB47+'[4]RB I'!BB47+'[4]SF I'!BB47</f>
        <v>0</v>
      </c>
      <c r="BC47" s="226">
        <f>+[4]SLP!BC47+[4]ROSA!BC47+'[4]STA ANA'!BC47+[4]BOA!BC47+'[4]STA MARIA'!BC47+'[4]CB I'!BC47+'[4]CB II'!BC47+'[4]CB III'!BC47+[4]IG!BC47+[4]PN!BC47+[4]MJ!BC47+'[4]RB I'!BC47+'[4]SF I'!BC47</f>
        <v>0</v>
      </c>
      <c r="BD47" s="226">
        <f>+[4]SLP!BD47+[4]ROSA!BD47+'[4]STA ANA'!BD47+[4]BOA!BD47+'[4]STA MARIA'!BD47+'[4]CB I'!BD47+'[4]CB II'!BD47+'[4]CB III'!BD47+[4]IG!BD47+[4]PN!BD47+[4]MJ!BD47+'[4]RB I'!BD47+'[4]SF I'!BD47</f>
        <v>0</v>
      </c>
      <c r="BE47" s="226">
        <f>+[4]SLP!BE47+[4]ROSA!BE47+'[4]STA ANA'!BE47+[4]BOA!BE47+'[4]STA MARIA'!BE47+'[4]CB I'!BE47+'[4]CB II'!BE47+'[4]CB III'!BE47+[4]IG!BE47+[4]PN!BE47+[4]MJ!BE47+'[4]RB I'!BE47+'[4]SF I'!BE47</f>
        <v>0</v>
      </c>
      <c r="BF47" s="226">
        <f>+[4]SLP!BF47+[4]ROSA!BF47+'[4]STA ANA'!BF47+[4]BOA!BF47+'[4]STA MARIA'!BF47+'[4]CB I'!BF47+'[4]CB II'!BF47+'[4]CB III'!BF47+[4]IG!BF47+[4]PN!BF47+[4]MJ!BF47+'[4]RB I'!BF47+'[4]SF I'!BF47</f>
        <v>0</v>
      </c>
      <c r="BG47" s="166">
        <f>+[4]SLP!BG47+[4]ROSA!BG47+'[4]STA ANA'!BG47+[4]BOA!BG47+'[4]STA MARIA'!BG47+'[4]CB I'!BG47+'[4]CB II'!BG47+'[4]CB III'!BG47+[4]IG!BG47+[4]PN!BG47+[4]MJ!BG47+'[4]RB I'!BG47+'[4]SÃO FRANCISCO'!BG47</f>
        <v>0</v>
      </c>
      <c r="BH47" s="224" t="str">
        <f t="shared" si="9"/>
        <v/>
      </c>
      <c r="BI47" s="225">
        <f>+[4]SLP!BI47+[4]ROSA!BI47+'[4]STA ANA'!BI47+[4]BOA!BI47+'[4]STA MARIA'!BI47+'[4]CB I'!BI47+'[4]CB II'!BI47+'[4]CB III'!BI47+[4]IG!BI47+[4]PN!BI47+[4]MJ!BI47+'[4]RB I'!BI47+'[4]SF I'!BI47</f>
        <v>0</v>
      </c>
      <c r="BJ47" s="226">
        <f>+[4]SLP!BJ47+[4]ROSA!BJ47+'[4]STA ANA'!BJ47+[4]BOA!BJ47+'[4]STA MARIA'!BJ47+'[4]CB I'!BJ47+'[4]CB II'!BJ47+'[4]CB III'!BJ47+[4]IG!BJ47+[4]PN!BJ47+[4]MJ!BJ47+'[4]RB I'!BJ47+'[4]SF I'!BJ47</f>
        <v>0</v>
      </c>
      <c r="BK47" s="226">
        <f>+[4]SLP!BK47+[4]ROSA!BK47+'[4]STA ANA'!BK47+[4]BOA!BK47+'[4]STA MARIA'!BK47+'[4]CB I'!BK47+'[4]CB II'!BK47+'[4]CB III'!BK47+[4]IG!BK47+[4]PN!BK47+[4]MJ!BK47+'[4]RB I'!BK47+'[4]SF I'!BK47</f>
        <v>0</v>
      </c>
      <c r="BL47" s="226">
        <f>+[4]SLP!BL47+[4]ROSA!BL47+'[4]STA ANA'!BL47+[4]BOA!BL47+'[4]STA MARIA'!BL47+'[4]CB I'!BL47+'[4]CB II'!BL47+'[4]CB III'!BL47+[4]IG!BL47+[4]PN!BL47+[4]MJ!BL47+'[4]RB I'!BL47+'[4]SF I'!BL47</f>
        <v>0</v>
      </c>
      <c r="BM47" s="226">
        <f>+[4]SLP!BM47+[4]ROSA!BM47+'[4]STA ANA'!BM47+[4]BOA!BM47+'[4]STA MARIA'!BM47+'[4]CB I'!BM47+'[4]CB II'!BM47+'[4]CB III'!BM47+[4]IG!BM47+[4]PN!BM47+[4]MJ!BM47+'[4]RB I'!BM47+'[4]SF I'!BM47</f>
        <v>0</v>
      </c>
      <c r="BN47" s="166">
        <f>+[4]SLP!BN47+[4]ROSA!BN47+'[4]STA ANA'!BN47+[4]BOA!BN47+'[4]STA MARIA'!BN47+'[4]CB I'!BN47+'[4]CB II'!BN47+'[4]CB III'!BN47+[4]IG!BN47+[4]PN!BN47+[4]MJ!BN47+'[4]RB I'!BN47+'[4]SÃO FRANCISCO'!BN47</f>
        <v>0</v>
      </c>
      <c r="BO47" s="224" t="str">
        <f t="shared" si="10"/>
        <v/>
      </c>
      <c r="BP47" s="225">
        <f>+[4]SLP!BP47+[4]ROSA!BP47+'[4]STA ANA'!BP47+[4]BOA!BP47+'[4]STA MARIA'!BP47+'[4]CB I'!BP47+'[4]CB II'!BP47+'[4]CB III'!BP47+[4]IG!BP47+[4]PN!BP47+[4]MJ!BP47+'[4]RB I'!BP47+'[4]SF I'!BP47</f>
        <v>0</v>
      </c>
      <c r="BQ47" s="226">
        <f>+[4]SLP!BQ47+[4]ROSA!BQ47+'[4]STA ANA'!BQ47+[4]BOA!BQ47+'[4]STA MARIA'!BQ47+'[4]CB I'!BQ47+'[4]CB II'!BQ47+'[4]CB III'!BQ47+[4]IG!BQ47+[4]PN!BQ47+[4]MJ!BQ47+'[4]RB I'!BQ47+'[4]SF I'!BQ47</f>
        <v>0</v>
      </c>
      <c r="BR47" s="226">
        <f>+[4]SLP!BR47+[4]ROSA!BR47+'[4]STA ANA'!BR47+[4]BOA!BR47+'[4]STA MARIA'!BR47+'[4]CB I'!BR47+'[4]CB II'!BR47+'[4]CB III'!BR47+[4]IG!BR47+[4]PN!BR47+[4]MJ!BR47+'[4]RB I'!BR47+'[4]SF I'!BR47</f>
        <v>0</v>
      </c>
      <c r="BS47" s="226">
        <f>+[4]SLP!BS47+[4]ROSA!BS47+'[4]STA ANA'!BS47+[4]BOA!BS47+'[4]STA MARIA'!BS47+'[4]CB I'!BS47+'[4]CB II'!BS47+'[4]CB III'!BS47+[4]IG!BS47+[4]PN!BS47+[4]MJ!BS47+'[4]RB I'!BS47+'[4]SF I'!BS47</f>
        <v>0</v>
      </c>
      <c r="BT47" s="226">
        <f>+[4]SLP!BT47+[4]ROSA!BT47+'[4]STA ANA'!BT47+[4]BOA!BT47+'[4]STA MARIA'!BT47+'[4]CB I'!BT47+'[4]CB II'!BT47+'[4]CB III'!BT47+[4]IG!BT47+[4]PN!BT47+[4]MJ!BT47+'[4]RB I'!BT47+'[4]SF I'!BT47</f>
        <v>0</v>
      </c>
      <c r="BU47" s="166">
        <f>+[4]SLP!BU47+[4]ROSA!BU47+'[4]STA ANA'!BU47+[4]BOA!BU47+'[4]STA MARIA'!BU47+'[4]CB I'!BU47+'[4]CB II'!BU47+'[4]CB III'!BU47+[4]IG!BU47+[4]PN!BU47+[4]MJ!BU47+'[4]RB I'!BU47+'[4]SÃO FRANCISCO'!BU47</f>
        <v>0</v>
      </c>
      <c r="BV47" s="224" t="str">
        <f t="shared" si="11"/>
        <v/>
      </c>
      <c r="BW47" s="225">
        <f>+[4]SLP!BW47+[4]ROSA!BW47+'[4]STA ANA'!BW47+[4]BOA!BW47+'[4]STA MARIA'!BW47+'[4]CB I'!BW47+'[4]CB II'!BW47+'[4]CB III'!BW47+[4]IG!BW47+[4]PN!BW47+[4]MJ!BW47+'[4]RB I'!BW47+'[4]SF I'!BW47</f>
        <v>0</v>
      </c>
      <c r="BX47" s="226">
        <f>+[4]SLP!BX47+[4]ROSA!BX47+'[4]STA ANA'!BX47+[4]BOA!BX47+'[4]STA MARIA'!BX47+'[4]CB I'!BX47+'[4]CB II'!BX47+'[4]CB III'!BX47+[4]IG!BX47+[4]PN!BX47+[4]MJ!BX47+'[4]RB I'!BX47+'[4]SF I'!BX47</f>
        <v>0</v>
      </c>
      <c r="BY47" s="226">
        <f>+[4]SLP!BY47+[4]ROSA!BY47+'[4]STA ANA'!BY47+[4]BOA!BY47+'[4]STA MARIA'!BY47+'[4]CB I'!BY47+'[4]CB II'!BY47+'[4]CB III'!BY47+[4]IG!BY47+[4]PN!BY47+[4]MJ!BY47+'[4]RB I'!BY47+'[4]SF I'!BY47</f>
        <v>0</v>
      </c>
      <c r="BZ47" s="226">
        <f>+[4]SLP!BZ47+[4]ROSA!BZ47+'[4]STA ANA'!BZ47+[4]BOA!BZ47+'[4]STA MARIA'!BZ47+'[4]CB I'!BZ47+'[4]CB II'!BZ47+'[4]CB III'!BZ47+[4]IG!BZ47+[4]PN!BZ47+[4]MJ!BZ47+'[4]RB I'!BZ47+'[4]SF I'!BZ47</f>
        <v>0</v>
      </c>
      <c r="CA47" s="226">
        <f>+[4]SLP!CA47+[4]ROSA!CA47+'[4]STA ANA'!CA47+[4]BOA!CA47+'[4]STA MARIA'!CA47+'[4]CB I'!CA47+'[4]CB II'!CA47+'[4]CB III'!CA47+[4]IG!CA47+[4]PN!CA47+[4]MJ!CA47+'[4]RB I'!CA47+'[4]SF I'!CA47</f>
        <v>0</v>
      </c>
      <c r="CB47" s="166">
        <f>+[4]SLP!CB47+[4]ROSA!CB47+'[4]STA ANA'!CB47+[4]BOA!CB47+'[4]STA MARIA'!CB47+'[4]CB I'!CB47+'[4]CB II'!CB47+'[4]CB III'!CB47+[4]IG!CB47+[4]PN!CB47+[4]MJ!CB47+'[4]RB I'!CB47+'[4]SÃO FRANCISCO'!CB47</f>
        <v>0</v>
      </c>
      <c r="CC47" s="224" t="str">
        <f t="shared" si="12"/>
        <v/>
      </c>
      <c r="CD47" s="225">
        <f>+[4]SLP!CD47+[4]ROSA!CD47+'[4]STA ANA'!CD47+[4]BOA!CD47+'[4]STA MARIA'!CD47+'[4]CB I'!CD47+'[4]CB II'!CD47+'[4]CB III'!CD47+[4]IG!CD47+[4]PN!CD47+[4]MJ!CD47+'[4]RB I'!CD47+'[4]SF I'!CD47</f>
        <v>0</v>
      </c>
      <c r="CE47" s="226">
        <f>+[4]SLP!CE47+[4]ROSA!CE47+'[4]STA ANA'!CE47+[4]BOA!CE47+'[4]STA MARIA'!CE47+'[4]CB I'!CE47+'[4]CB II'!CE47+'[4]CB III'!CE47+[4]IG!CE47+[4]PN!CE47+[4]MJ!CE47+'[4]RB I'!CE47+'[4]SF I'!CE47</f>
        <v>0</v>
      </c>
      <c r="CF47" s="226">
        <f>+[4]SLP!CF47+[4]ROSA!CF47+'[4]STA ANA'!CF47+[4]BOA!CF47+'[4]STA MARIA'!CF47+'[4]CB I'!CF47+'[4]CB II'!CF47+'[4]CB III'!CF47+[4]IG!CF47+[4]PN!CF47+[4]MJ!CF47+'[4]RB I'!CF47+'[4]SF I'!CF47</f>
        <v>0</v>
      </c>
      <c r="CG47" s="226">
        <f>+[4]SLP!CG47+[4]ROSA!CG47+'[4]STA ANA'!CG47+[4]BOA!CG47+'[4]STA MARIA'!CG47+'[4]CB I'!CG47+'[4]CB II'!CG47+'[4]CB III'!CG47+[4]IG!CG47+[4]PN!CG47+[4]MJ!CG47+'[4]RB I'!CG47+'[4]SF I'!CG47</f>
        <v>0</v>
      </c>
      <c r="CH47" s="226">
        <f>+[4]SLP!CH47+[4]ROSA!CH47+'[4]STA ANA'!CH47+[4]BOA!CH47+'[4]STA MARIA'!CH47+'[4]CB I'!CH47+'[4]CB II'!CH47+'[4]CB III'!CH47+[4]IG!CH47+[4]PN!CH47+[4]MJ!CH47+'[4]RB I'!CH47+'[4]SF I'!CH47</f>
        <v>0</v>
      </c>
      <c r="CI47" s="166">
        <f>+[4]SLP!CI47+[4]ROSA!CI47+'[4]STA ANA'!CI47+[4]BOA!CI47+'[4]STA MARIA'!CI47+'[4]CB I'!CI47+'[4]CB II'!CI47+'[4]CB III'!CI47+[4]IG!CI47+[4]PN!CI47+[4]MJ!CI47+'[4]RB I'!CI47+'[4]SÃO FRANCISCO'!CI47</f>
        <v>0</v>
      </c>
      <c r="CJ47" s="224" t="str">
        <f t="shared" si="13"/>
        <v/>
      </c>
      <c r="CK47" s="225">
        <f>+[4]SLP!CK47+[4]ROSA!CK47+'[4]STA ANA'!CK47+[4]BOA!CK47+'[4]STA MARIA'!CK47+'[4]CB I'!CK47+'[4]CB II'!CK47+'[4]CB III'!CK47+[4]IG!CK47+[4]PN!CK47+[4]MJ!CK47+'[4]RB I'!CK47+'[4]SF I'!CK47</f>
        <v>0</v>
      </c>
      <c r="CL47" s="226">
        <f>+[4]SLP!CL47+[4]ROSA!CL47+'[4]STA ANA'!CL47+[4]BOA!CL47+'[4]STA MARIA'!CL47+'[4]CB I'!CL47+'[4]CB II'!CL47+'[4]CB III'!CL47+[4]IG!CL47+[4]PN!CL47+[4]MJ!CL47+'[4]RB I'!CL47+'[4]SF I'!CL47</f>
        <v>0</v>
      </c>
      <c r="CM47" s="226">
        <f>+[4]SLP!CM47+[4]ROSA!CM47+'[4]STA ANA'!CM47+[4]BOA!CM47+'[4]STA MARIA'!CM47+'[4]CB I'!CM47+'[4]CB II'!CM47+'[4]CB III'!CM47+[4]IG!CM47+[4]PN!CM47+[4]MJ!CM47+'[4]RB I'!CM47+'[4]SF I'!CM47</f>
        <v>0</v>
      </c>
      <c r="CN47" s="226">
        <f>+[4]SLP!CN47+[4]ROSA!CN47+'[4]STA ANA'!CN47+[4]BOA!CN47+'[4]STA MARIA'!CN47+'[4]CB I'!CN47+'[4]CB II'!CN47+'[4]CB III'!CN47+[4]IG!CN47+[4]PN!CN47+[4]MJ!CN47+'[4]RB I'!CN47+'[4]SF I'!CN47</f>
        <v>0</v>
      </c>
      <c r="CO47" s="226">
        <f>+[4]SLP!CO47+[4]ROSA!CO47+'[4]STA ANA'!CO47+[4]BOA!CO47+'[4]STA MARIA'!CO47+'[4]CB I'!CO47+'[4]CB II'!CO47+'[4]CB III'!CO47+[4]IG!CO47+[4]PN!CO47+[4]MJ!CO47+'[4]RB I'!CO47+'[4]SF I'!CO47</f>
        <v>0</v>
      </c>
      <c r="CP47" s="166">
        <f>+[4]SLP!CP47+[4]ROSA!CP47+'[4]STA ANA'!CP47+[4]BOA!CP47+'[4]STA MARIA'!CP47+'[4]CB I'!CP47+'[4]CB II'!CP47+'[4]CB III'!CP47+[4]IG!CP47+[4]PN!CP47+[4]MJ!CP47+'[4]RB I'!CP47+'[4]SÃO FRANCISCO'!CP47</f>
        <v>0</v>
      </c>
      <c r="CQ47" s="224" t="str">
        <f t="shared" si="14"/>
        <v/>
      </c>
      <c r="CR47" s="155"/>
      <c r="CS47" s="227" t="e">
        <f t="shared" si="15"/>
        <v>#VALUE!</v>
      </c>
    </row>
    <row r="48" spans="1:97" ht="16" customHeight="1" x14ac:dyDescent="0.2">
      <c r="A48" s="228" t="s">
        <v>72</v>
      </c>
      <c r="B48" s="30">
        <f t="shared" si="17"/>
        <v>455134.99019871611</v>
      </c>
      <c r="C48" s="31">
        <f t="shared" si="17"/>
        <v>399198.89990329399</v>
      </c>
      <c r="D48" s="32">
        <f t="shared" si="17"/>
        <v>55936.090295422218</v>
      </c>
      <c r="E48" s="30">
        <f t="shared" si="19"/>
        <v>151711.66339957208</v>
      </c>
      <c r="F48" s="33">
        <f t="shared" si="19"/>
        <v>133066.29996776467</v>
      </c>
      <c r="G48" s="34">
        <f t="shared" si="19"/>
        <v>18645.363431807407</v>
      </c>
      <c r="H48" s="31">
        <f t="shared" si="18"/>
        <v>76931.544261091112</v>
      </c>
      <c r="I48" s="33">
        <f t="shared" si="18"/>
        <v>10191.69694741652</v>
      </c>
      <c r="J48" s="33">
        <f t="shared" si="18"/>
        <v>87123.241208507636</v>
      </c>
      <c r="K48" s="224">
        <f t="shared" si="2"/>
        <v>-0.42573142198668046</v>
      </c>
      <c r="L48" s="225">
        <f>+[4]SLP!L48+[4]ROSA!L48+'[4]STA ANA'!L48+[4]BOA!L48+'[4]STA MARIA'!L48+'[4]CB I'!L48+'[4]CB II'!L48+'[4]CB III'!L48+[4]IG!L48+[4]PN!L48+[4]MJ!L48+'[4]RB I'!L48+'[4]SF I'!L48</f>
        <v>37927.915849893019</v>
      </c>
      <c r="M48" s="226">
        <f>+[4]SLP!M48+[4]ROSA!M48+'[4]STA ANA'!M48+[4]BOA!M48+'[4]STA MARIA'!M48+'[4]CB I'!M48+'[4]CB II'!M48+'[4]CB III'!M48+[4]IG!M48+[4]PN!M48+[4]MJ!M48+'[4]RB I'!M48+'[4]SF I'!M48</f>
        <v>33266.574991941168</v>
      </c>
      <c r="N48" s="226">
        <f>+[4]SLP!N48+[4]ROSA!N48+'[4]STA ANA'!N48+[4]BOA!N48+'[4]STA MARIA'!N48+'[4]CB I'!N48+'[4]CB II'!N48+'[4]CB III'!N48+[4]IG!N48+[4]PN!N48+[4]MJ!N48+'[4]RB I'!N48+'[4]SF I'!N48</f>
        <v>4661.3408579518518</v>
      </c>
      <c r="O48" s="226">
        <f>+[4]SLP!O48+[4]ROSA!O48+'[4]STA ANA'!O48+[4]BOA!O48+'[4]STA MARIA'!O48+'[4]CB I'!O48+'[4]CB II'!O48+'[4]CB III'!O48+[4]IG!O48+[4]PN!O48+[4]MJ!O48+'[4]RB I'!O48+'[4]SF I'!O48</f>
        <v>17716.116622701451</v>
      </c>
      <c r="P48" s="226">
        <f>+[4]SLP!P48+[4]ROSA!P48+'[4]STA ANA'!P48+[4]BOA!P48+'[4]STA MARIA'!P48+'[4]CB I'!P48+'[4]CB II'!P48+'[4]CB III'!P48+[4]IG!P48+[4]PN!P48+[4]MJ!P48+'[4]RB I'!P48+'[4]SF I'!P48</f>
        <v>2562.3555276295733</v>
      </c>
      <c r="Q48" s="166">
        <f>+[4]SLP!Q48+[4]ROSA!Q48+'[4]STA ANA'!Q48+[4]BOA!Q48+'[4]STA MARIA'!Q48+'[4]CB I'!Q48+'[4]CB II'!Q48+'[4]CB III'!Q48+[4]IG!Q48+[4]PN!Q48+[4]MJ!Q48+'[4]RB I'!Q48+'[4]SF I'!Q48</f>
        <v>20278.472150331025</v>
      </c>
      <c r="R48" s="224">
        <f t="shared" si="3"/>
        <v>-0.46534177541980015</v>
      </c>
      <c r="S48" s="225">
        <f>+[4]SLP!S48+[4]ROSA!S48+'[4]STA ANA'!S48+[4]BOA!S48+'[4]STA MARIA'!S48+'[4]CB I'!S48+'[4]CB II'!S48+'[4]CB III'!S48+[4]IG!S48+[4]PN!S48+[4]MJ!S48+'[4]RB I'!S48+'[4]SF I'!S48</f>
        <v>37927.915849893019</v>
      </c>
      <c r="T48" s="226">
        <f>+[4]SLP!T48+[4]ROSA!T48+'[4]STA ANA'!T48+[4]BOA!T48+'[4]STA MARIA'!T48+'[4]CB I'!T48+'[4]CB II'!T48+'[4]CB III'!T48+[4]IG!T48+[4]PN!T48+[4]MJ!T48+'[4]RB I'!T48+'[4]SF I'!T48</f>
        <v>33266.574991941168</v>
      </c>
      <c r="U48" s="226">
        <f>+[4]SLP!U48+[4]ROSA!U48+'[4]STA ANA'!U48+[4]BOA!U48+'[4]STA MARIA'!U48+'[4]CB I'!U48+'[4]CB II'!U48+'[4]CB III'!U48+[4]IG!U48+[4]PN!U48+[4]MJ!U48+'[4]RB I'!U48+'[4]SF I'!U48</f>
        <v>4661.3408579518518</v>
      </c>
      <c r="V48" s="226">
        <f>+[4]SLP!V48+[4]ROSA!V48+'[4]STA ANA'!V48+[4]BOA!V48+'[4]STA MARIA'!V48+'[4]CB I'!V48+'[4]CB II'!V48+'[4]CB III'!V48+[4]IG!V48+[4]PN!V48+[4]MJ!V48+'[4]RB I'!V48+'[4]SF I'!V48</f>
        <v>23106.389318455509</v>
      </c>
      <c r="W48" s="226">
        <f>+[4]SLP!W48+[4]ROSA!W48+'[4]STA ANA'!W48+[4]BOA!W48+'[4]STA MARIA'!W48+'[4]CB I'!W48+'[4]CB II'!W48+'[4]CB III'!W48+[4]IG!W48+[4]PN!W48+[4]MJ!W48+'[4]RB I'!W48+'[4]SF I'!W48</f>
        <v>3580.8843540525854</v>
      </c>
      <c r="X48" s="166">
        <f>[4]SLP!X48+[4]ROSA!X48+'[4]STA ANA'!X48+[4]BOA!X48+'[4]STA MARIA'!X48+'[4]CB I'!X48+'[4]CB II'!X48+'[4]CB III'!X48+[4]IG!X48+[4]PN!X48+[4]MJ!X48+'[4]RB I'!X48+'[4]SF I'!X48</f>
        <v>26687.27367250809</v>
      </c>
      <c r="Y48" s="224">
        <f t="shared" si="4"/>
        <v>-0.29636856983842508</v>
      </c>
      <c r="Z48" s="225">
        <f>+[4]SLP!Z48+[4]ROSA!Z48+'[4]STA ANA'!Z48+[4]BOA!Z48+'[4]STA MARIA'!Z48+'[4]CB I'!Z48+'[4]CB II'!Z48+'[4]CB III'!Z48+[4]IG!Z48+[4]PN!Z48+[4]MJ!Z48+'[4]RB I'!Z48+'[4]SF I'!Z48</f>
        <v>37927.915849893019</v>
      </c>
      <c r="AA48" s="226">
        <f>+[4]SLP!AA48+[4]ROSA!AA48+'[4]STA ANA'!AA48+[4]BOA!AA48+'[4]STA MARIA'!AA48+'[4]CB I'!AA48+'[4]CB II'!AA48+'[4]CB III'!AA48+[4]IG!AA48+[4]PN!AA48+[4]MJ!AA48+'[4]RB I'!AA48+'[4]SF I'!AA48</f>
        <v>33266.574991941168</v>
      </c>
      <c r="AB48" s="226">
        <f>+[4]SLP!AB48+[4]ROSA!AB48+'[4]STA ANA'!AB48+[4]BOA!AB48+'[4]STA MARIA'!AB48+'[4]CB I'!AB48+'[4]CB II'!AB48+'[4]CB III'!AB48+[4]IG!AB48+[4]PN!AB48+[4]MJ!AB48+'[4]RB I'!AB48+'[4]SF I'!AB48</f>
        <v>4661.3408579518518</v>
      </c>
      <c r="AC48" s="226">
        <f>+[4]SLP!AC48+[4]ROSA!AC48+'[4]STA ANA'!AC48+[4]BOA!AC48+'[4]STA MARIA'!AC48+'[4]CB I'!AC48+'[4]CB II'!AC48+'[4]CB III'!AC48+[4]IG!AC48+[4]PN!AC48+[4]MJ!AC48+'[4]RB I'!AC48+'[4]SF I'!AC48</f>
        <v>19617.128825676038</v>
      </c>
      <c r="AD48" s="226">
        <f>+[4]SLP!AD48+[4]ROSA!AD48+'[4]STA ANA'!AD48+[4]BOA!AD48+'[4]STA MARIA'!AD48+'[4]CB I'!AD48+'[4]CB II'!AD48+'[4]CB III'!AD48+[4]IG!AD48+[4]PN!AD48+[4]MJ!AD48+'[4]RB I'!AD48+'[4]SF I'!AD48</f>
        <v>2289.107381697791</v>
      </c>
      <c r="AE48" s="166">
        <f>+[4]SLP!AE48+[4]ROSA!AE48+'[4]STA ANA'!AE48+[4]BOA!AE48+'[4]STA MARIA'!AE48+'[4]CB I'!AE48+'[4]CB II'!AE48+'[4]CB III'!AE48+[4]IG!AE48+[4]PN!AE48+[4]MJ!AE48+'[4]RB I'!AE48+'[4]SF I'!AE48</f>
        <v>21906.23620737383</v>
      </c>
      <c r="AF48" s="224">
        <f t="shared" si="5"/>
        <v>-0.42242446713729409</v>
      </c>
      <c r="AG48" s="225">
        <f>+[4]SLP!AG48+[4]ROSA!AG48+'[4]STA ANA'!AG48+[4]BOA!AG48+'[4]STA MARIA'!AG48+'[4]CB I'!AG48+'[4]CB II'!AG48+'[4]CB III'!AG48+[4]IG!AG48+[4]PN!AG48+[4]MJ!AG48+'[4]RB I'!AG48+'[4]SF I'!AG48</f>
        <v>37927.915849893019</v>
      </c>
      <c r="AH48" s="226">
        <f>+[4]SLP!AH48+[4]ROSA!AH48+'[4]STA ANA'!AH48+[4]BOA!AH48+'[4]STA MARIA'!AH48+'[4]CB I'!AH48+'[4]CB II'!AH48+'[4]CB III'!AH48+[4]IG!AH48+[4]PN!AH48+[4]MJ!AH48+'[4]RB I'!AH48+'[4]SF I'!AH48</f>
        <v>33266.574991941168</v>
      </c>
      <c r="AI48" s="226">
        <f>+[4]SLP!AI48+[4]ROSA!AI48+'[4]STA ANA'!AI48+[4]BOA!AI48+'[4]STA MARIA'!AI48+'[4]CB I'!AI48+'[4]CB II'!AI48+'[4]CB III'!AI48+[4]IG!AI48+[4]PN!AI48+[4]MJ!AI48+'[4]RB I'!AI48+'[4]SF I'!AI48</f>
        <v>4661.3408579518518</v>
      </c>
      <c r="AJ48" s="226">
        <f>+[4]SLP!AJ48+[4]ROSA!AJ48+'[4]STA ANA'!AJ48+[4]BOA!AJ48+'[4]STA MARIA'!AJ48+'[4]CB I'!AJ48+'[4]CB II'!AJ48+'[4]CB III'!AJ48+[4]IG!AJ48+[4]PN!AJ48+[4]MJ!AJ48+'[4]RB I'!AJ48+'[4]SF I'!AJ48</f>
        <v>16491.909494258114</v>
      </c>
      <c r="AK48" s="226">
        <f>+[4]SLP!AK48+[4]ROSA!AK48+'[4]STA ANA'!AK48+[4]BOA!AK48+'[4]STA MARIA'!AK48+'[4]CB I'!AK48+'[4]CB II'!AK48+'[4]CB III'!AK48+[4]IG!AK48+[4]PN!AK48+[4]MJ!AK48+'[4]RB I'!AK48+'[4]SF I'!AK48</f>
        <v>1759.3496840365694</v>
      </c>
      <c r="AL48" s="166">
        <f>+[4]SLP!AL48+[4]ROSA!AL48+'[4]STA ANA'!AL48+[4]BOA!AL48+'[4]STA MARIA'!AL48+'[4]CB I'!AL48+'[4]CB II'!AL48+'[4]CB III'!AL48+[4]IG!AL48+[4]PN!AL48+[4]MJ!AL48+'[4]RB I'!AL48+'[4]SF I'!AL48</f>
        <v>18251.25917829468</v>
      </c>
      <c r="AM48" s="224">
        <f t="shared" si="6"/>
        <v>-0.51879087555120273</v>
      </c>
      <c r="AN48" s="225">
        <f>+[4]SLP!AN48+[4]ROSA!AN48+'[4]STA ANA'!AN48+[4]BOA!AN48+'[4]STA MARIA'!AN48+'[4]CB I'!AN48+'[4]CB II'!AN48+'[4]CB III'!AN48+[4]IG!AN48+[4]PN!AN48+[4]MJ!AN48+'[4]RB I'!AN48+'[4]SF I'!AN48</f>
        <v>37927.915849893019</v>
      </c>
      <c r="AO48" s="226">
        <f>+[4]SLP!AO48+[4]ROSA!AO48+'[4]STA ANA'!AO48+[4]BOA!AO48+'[4]STA MARIA'!AO48+'[4]CB I'!AO48+'[4]CB II'!AO48+'[4]CB III'!AO48+[4]IG!AO48+[4]PN!AO48+[4]MJ!AO48+'[4]RB I'!AO48+'[4]SF I'!AO48</f>
        <v>33266.574991941168</v>
      </c>
      <c r="AP48" s="226">
        <f>+[4]SLP!AP48+[4]ROSA!AP48+'[4]STA ANA'!AP48+[4]BOA!AP48+'[4]STA MARIA'!AP48+'[4]CB I'!AP48+'[4]CB II'!AP48+'[4]CB III'!AP48+[4]IG!AP48+[4]PN!AP48+[4]MJ!AP48+'[4]RB I'!AP48+'[4]SF I'!AP48</f>
        <v>4661.3408579518518</v>
      </c>
      <c r="AQ48" s="226">
        <f>+[4]SLP!AQ48+[4]ROSA!AQ48+'[4]STA ANA'!AQ48+[4]BOA!AQ48+'[4]STA MARIA'!AQ48+'[4]CB I'!AQ48+'[4]CB II'!AQ48+'[4]CB III'!AQ48+[4]IG!AQ48+[4]PN!AQ48+[4]MJ!AQ48+'[4]RB I'!AQ48+'[4]SF I'!AQ48</f>
        <v>0</v>
      </c>
      <c r="AR48" s="226">
        <f>+[4]SLP!AR48+[4]ROSA!AR48+'[4]STA ANA'!AR48+[4]BOA!AR48+'[4]STA MARIA'!AR48+'[4]CB I'!AR48+'[4]CB II'!AR48+'[4]CB III'!AR48+[4]IG!AR48+[4]PN!AR48+[4]MJ!AR48+'[4]RB I'!AR48+'[4]SF I'!AR48</f>
        <v>0</v>
      </c>
      <c r="AS48" s="166">
        <f>+[4]SLP!AS48+[4]ROSA!AS48+'[4]STA ANA'!AS48+[4]BOA!AS48+'[4]STA MARIA'!AS48+'[4]CB I'!AS48+'[4]CB II'!AS48+'[4]CB III'!AS48+[4]IG!AS48+[4]PN!AS48+[4]MJ!AS48+'[4]RB I'!AS48+'[4]SÃO FRANCISCO'!AS48</f>
        <v>0</v>
      </c>
      <c r="AT48" s="224">
        <f t="shared" si="7"/>
        <v>-1</v>
      </c>
      <c r="AU48" s="225">
        <f>+[4]SLP!AU48+[4]ROSA!AU48+'[4]STA ANA'!AU48+[4]BOA!AU48+'[4]STA MARIA'!AU48+'[4]CB I'!AU48+'[4]CB II'!AU48+'[4]CB III'!AU48+[4]IG!AU48+[4]PN!AU48+[4]MJ!AU48+'[4]RB I'!AU48+'[4]SF I'!AU48</f>
        <v>37927.915849893019</v>
      </c>
      <c r="AV48" s="226">
        <f>+[4]SLP!AV48+[4]ROSA!AV48+'[4]STA ANA'!AV48+[4]BOA!AV48+'[4]STA MARIA'!AV48+'[4]CB I'!AV48+'[4]CB II'!AV48+'[4]CB III'!AV48+[4]IG!AV48+[4]PN!AV48+[4]MJ!AV48+'[4]RB I'!AV48+'[4]SF I'!AV48</f>
        <v>33266.574991941168</v>
      </c>
      <c r="AW48" s="226">
        <f>+[4]SLP!AW48+[4]ROSA!AW48+'[4]STA ANA'!AW48+[4]BOA!AW48+'[4]STA MARIA'!AW48+'[4]CB I'!AW48+'[4]CB II'!AW48+'[4]CB III'!AW48+[4]IG!AW48+[4]PN!AW48+[4]MJ!AW48+'[4]RB I'!AW48+'[4]SF I'!AW48</f>
        <v>4661.3408579518518</v>
      </c>
      <c r="AX48" s="226">
        <f>+[4]SLP!AX48+[4]ROSA!AX48+'[4]STA ANA'!AX48+[4]BOA!AX48+'[4]STA MARIA'!AX48+'[4]CB I'!AX48+'[4]CB II'!AX48+'[4]CB III'!AX48+[4]IG!AX48+[4]PN!AX48+[4]MJ!AX48+'[4]RB I'!AX48+'[4]SF I'!AX48</f>
        <v>0</v>
      </c>
      <c r="AY48" s="226">
        <f>+[4]SLP!AY48+[4]ROSA!AY48+'[4]STA ANA'!AY48+[4]BOA!AY48+'[4]STA MARIA'!AY48+'[4]CB I'!AY48+'[4]CB II'!AY48+'[4]CB III'!AY48+[4]IG!AY48+[4]PN!AY48+[4]MJ!AY48+'[4]RB I'!AY48+'[4]SF I'!AY48</f>
        <v>0</v>
      </c>
      <c r="AZ48" s="166">
        <f>+[4]SLP!AZ48+[4]ROSA!AZ48+'[4]STA ANA'!AZ48+[4]BOA!AZ48+'[4]STA MARIA'!AZ48+'[4]CB I'!AZ48+'[4]CB II'!AZ48+[4]IG!AZ48+[4]PN!AZ48+[4]MJ!AZ48+'[4]RB I'!AZ48+'[4]SÃO FRANCISCO'!AZ48</f>
        <v>0</v>
      </c>
      <c r="BA48" s="224">
        <f t="shared" si="8"/>
        <v>-1</v>
      </c>
      <c r="BB48" s="225">
        <f>+[4]SLP!BB48+[4]ROSA!BB48+'[4]STA ANA'!BB48+[4]BOA!BB48+'[4]STA MARIA'!BB48+'[4]CB I'!BB48+'[4]CB II'!BB48+'[4]CB III'!BB48+[4]IG!BB48+[4]PN!BB48+[4]MJ!BB48+'[4]RB I'!BB48+'[4]SF I'!BB48</f>
        <v>37927.915849893019</v>
      </c>
      <c r="BC48" s="226">
        <f>+[4]SLP!BC48+[4]ROSA!BC48+'[4]STA ANA'!BC48+[4]BOA!BC48+'[4]STA MARIA'!BC48+'[4]CB I'!BC48+'[4]CB II'!BC48+'[4]CB III'!BC48+[4]IG!BC48+[4]PN!BC48+[4]MJ!BC48+'[4]RB I'!BC48+'[4]SF I'!BC48</f>
        <v>33266.574991941168</v>
      </c>
      <c r="BD48" s="226">
        <f>+[4]SLP!BD48+[4]ROSA!BD48+'[4]STA ANA'!BD48+[4]BOA!BD48+'[4]STA MARIA'!BD48+'[4]CB I'!BD48+'[4]CB II'!BD48+'[4]CB III'!BD48+[4]IG!BD48+[4]PN!BD48+[4]MJ!BD48+'[4]RB I'!BD48+'[4]SF I'!BD48</f>
        <v>4661.3408579518518</v>
      </c>
      <c r="BE48" s="226">
        <f>+[4]SLP!BE48+[4]ROSA!BE48+'[4]STA ANA'!BE48+[4]BOA!BE48+'[4]STA MARIA'!BE48+'[4]CB I'!BE48+'[4]CB II'!BE48+'[4]CB III'!BE48+[4]IG!BE48+[4]PN!BE48+[4]MJ!BE48+'[4]RB I'!BE48+'[4]SF I'!BE48</f>
        <v>0</v>
      </c>
      <c r="BF48" s="226">
        <f>+[4]SLP!BF48+[4]ROSA!BF48+'[4]STA ANA'!BF48+[4]BOA!BF48+'[4]STA MARIA'!BF48+'[4]CB I'!BF48+'[4]CB II'!BF48+'[4]CB III'!BF48+[4]IG!BF48+[4]PN!BF48+[4]MJ!BF48+'[4]RB I'!BF48+'[4]SF I'!BF48</f>
        <v>0</v>
      </c>
      <c r="BG48" s="166">
        <f>+[4]SLP!BG48+[4]ROSA!BG48+'[4]STA ANA'!BG48+[4]BOA!BG48+'[4]STA MARIA'!BG48+'[4]CB I'!BG48+'[4]CB II'!BG48+'[4]CB III'!BG48+[4]IG!BG48+[4]PN!BG48+[4]MJ!BG48+'[4]RB I'!BG48+'[4]SÃO FRANCISCO'!BG48</f>
        <v>0</v>
      </c>
      <c r="BH48" s="224">
        <f t="shared" si="9"/>
        <v>-1</v>
      </c>
      <c r="BI48" s="225">
        <f>+[4]SLP!BI48+[4]ROSA!BI48+'[4]STA ANA'!BI48+[4]BOA!BI48+'[4]STA MARIA'!BI48+'[4]CB I'!BI48+'[4]CB II'!BI48+'[4]CB III'!BI48+[4]IG!BI48+[4]PN!BI48+[4]MJ!BI48+'[4]RB I'!BI48+'[4]SF I'!BI48</f>
        <v>37927.915849893019</v>
      </c>
      <c r="BJ48" s="226">
        <f>+[4]SLP!BJ48+[4]ROSA!BJ48+'[4]STA ANA'!BJ48+[4]BOA!BJ48+'[4]STA MARIA'!BJ48+'[4]CB I'!BJ48+'[4]CB II'!BJ48+'[4]CB III'!BJ48+[4]IG!BJ48+[4]PN!BJ48+[4]MJ!BJ48+'[4]RB I'!BJ48+'[4]SF I'!BJ48</f>
        <v>33266.574991941168</v>
      </c>
      <c r="BK48" s="226">
        <f>+[4]SLP!BK48+[4]ROSA!BK48+'[4]STA ANA'!BK48+[4]BOA!BK48+'[4]STA MARIA'!BK48+'[4]CB I'!BK48+'[4]CB II'!BK48+'[4]CB III'!BK48+[4]IG!BK48+[4]PN!BK48+[4]MJ!BK48+'[4]RB I'!BK48+'[4]SF I'!BK48</f>
        <v>4661.3408579518518</v>
      </c>
      <c r="BL48" s="226">
        <f>+[4]SLP!BL48+[4]ROSA!BL48+'[4]STA ANA'!BL48+[4]BOA!BL48+'[4]STA MARIA'!BL48+'[4]CB I'!BL48+'[4]CB II'!BL48+'[4]CB III'!BL48+[4]IG!BL48+[4]PN!BL48+[4]MJ!BL48+'[4]RB I'!BL48+'[4]SF I'!BL48</f>
        <v>0</v>
      </c>
      <c r="BM48" s="226">
        <f>+[4]SLP!BM48+[4]ROSA!BM48+'[4]STA ANA'!BM48+[4]BOA!BM48+'[4]STA MARIA'!BM48+'[4]CB I'!BM48+'[4]CB II'!BM48+'[4]CB III'!BM48+[4]IG!BM48+[4]PN!BM48+[4]MJ!BM48+'[4]RB I'!BM48+'[4]SF I'!BM48</f>
        <v>0</v>
      </c>
      <c r="BN48" s="166">
        <f>+[4]SLP!BN48+[4]ROSA!BN48+'[4]STA ANA'!BN48+[4]BOA!BN48+'[4]STA MARIA'!BN48+'[4]CB I'!BN48+'[4]CB II'!BN48+'[4]CB III'!BN48+[4]IG!BN48+[4]PN!BN48+[4]MJ!BN48+'[4]RB I'!BN48+'[4]SÃO FRANCISCO'!BN48</f>
        <v>0</v>
      </c>
      <c r="BO48" s="224">
        <f t="shared" si="10"/>
        <v>-1</v>
      </c>
      <c r="BP48" s="225">
        <f>+[4]SLP!BP48+[4]ROSA!BP48+'[4]STA ANA'!BP48+[4]BOA!BP48+'[4]STA MARIA'!BP48+'[4]CB I'!BP48+'[4]CB II'!BP48+'[4]CB III'!BP48+[4]IG!BP48+[4]PN!BP48+[4]MJ!BP48+'[4]RB I'!BP48+'[4]SF I'!BP48</f>
        <v>37927.915849893019</v>
      </c>
      <c r="BQ48" s="226">
        <f>+[4]SLP!BQ48+[4]ROSA!BQ48+'[4]STA ANA'!BQ48+[4]BOA!BQ48+'[4]STA MARIA'!BQ48+'[4]CB I'!BQ48+'[4]CB II'!BQ48+'[4]CB III'!BQ48+[4]IG!BQ48+[4]PN!BQ48+[4]MJ!BQ48+'[4]RB I'!BQ48+'[4]SF I'!BQ48</f>
        <v>33266.574991941168</v>
      </c>
      <c r="BR48" s="226">
        <f>+[4]SLP!BR48+[4]ROSA!BR48+'[4]STA ANA'!BR48+[4]BOA!BR48+'[4]STA MARIA'!BR48+'[4]CB I'!BR48+'[4]CB II'!BR48+'[4]CB III'!BR48+[4]IG!BR48+[4]PN!BR48+[4]MJ!BR48+'[4]RB I'!BR48+'[4]SF I'!BR48</f>
        <v>4661.3408579518518</v>
      </c>
      <c r="BS48" s="226">
        <f>+[4]SLP!BS48+[4]ROSA!BS48+'[4]STA ANA'!BS48+[4]BOA!BS48+'[4]STA MARIA'!BS48+'[4]CB I'!BS48+'[4]CB II'!BS48+'[4]CB III'!BS48+[4]IG!BS48+[4]PN!BS48+[4]MJ!BS48+'[4]RB I'!BS48+'[4]SF I'!BS48</f>
        <v>0</v>
      </c>
      <c r="BT48" s="226">
        <f>+[4]SLP!BT48+[4]ROSA!BT48+'[4]STA ANA'!BT48+[4]BOA!BT48+'[4]STA MARIA'!BT48+'[4]CB I'!BT48+'[4]CB II'!BT48+'[4]CB III'!BT48+[4]IG!BT48+[4]PN!BT48+[4]MJ!BT48+'[4]RB I'!BT48+'[4]SF I'!BT48</f>
        <v>0</v>
      </c>
      <c r="BU48" s="166">
        <f>+[4]SLP!BU48+[4]ROSA!BU48+'[4]STA ANA'!BU48+[4]BOA!BU48+'[4]STA MARIA'!BU48+'[4]CB I'!BU48+'[4]CB II'!BU48+'[4]CB III'!BU48+[4]IG!BU48+[4]PN!BU48+[4]MJ!BU48+'[4]RB I'!BU48+'[4]SÃO FRANCISCO'!BU48</f>
        <v>0</v>
      </c>
      <c r="BV48" s="224">
        <f t="shared" si="11"/>
        <v>-1</v>
      </c>
      <c r="BW48" s="225">
        <f>+[4]SLP!BW48+[4]ROSA!BW48+'[4]STA ANA'!BW48+[4]BOA!BW48+'[4]STA MARIA'!BW48+'[4]CB I'!BW48+'[4]CB II'!BW48+'[4]CB III'!BW48+[4]IG!BW48+[4]PN!BW48+[4]MJ!BW48+'[4]RB I'!BW48+'[4]SF I'!BW48</f>
        <v>37927.915849893019</v>
      </c>
      <c r="BX48" s="226">
        <f>+[4]SLP!BX48+[4]ROSA!BX48+'[4]STA ANA'!BX48+[4]BOA!BX48+'[4]STA MARIA'!BX48+'[4]CB I'!BX48+'[4]CB II'!BX48+'[4]CB III'!BX48+[4]IG!BX48+[4]PN!BX48+[4]MJ!BX48+'[4]RB I'!BX48+'[4]SF I'!BX48</f>
        <v>33266.574991941168</v>
      </c>
      <c r="BY48" s="226">
        <f>+[4]SLP!BY48+[4]ROSA!BY48+'[4]STA ANA'!BY48+[4]BOA!BY48+'[4]STA MARIA'!BY48+'[4]CB I'!BY48+'[4]CB II'!BY48+'[4]CB III'!BY48+[4]IG!BY48+[4]PN!BY48+[4]MJ!BY48+'[4]RB I'!BY48+'[4]SF I'!BY48</f>
        <v>4661.3408579518518</v>
      </c>
      <c r="BZ48" s="226">
        <f>+[4]SLP!BZ48+[4]ROSA!BZ48+'[4]STA ANA'!BZ48+[4]BOA!BZ48+'[4]STA MARIA'!BZ48+'[4]CB I'!BZ48+'[4]CB II'!BZ48+'[4]CB III'!BZ48+[4]IG!BZ48+[4]PN!BZ48+[4]MJ!BZ48+'[4]RB I'!BZ48+'[4]SF I'!BZ48</f>
        <v>0</v>
      </c>
      <c r="CA48" s="226">
        <f>+[4]SLP!CA48+[4]ROSA!CA48+'[4]STA ANA'!CA48+[4]BOA!CA48+'[4]STA MARIA'!CA48+'[4]CB I'!CA48+'[4]CB II'!CA48+'[4]CB III'!CA48+[4]IG!CA48+[4]PN!CA48+[4]MJ!CA48+'[4]RB I'!CA48+'[4]SF I'!CA48</f>
        <v>0</v>
      </c>
      <c r="CB48" s="166">
        <f>+[4]SLP!CB48+[4]ROSA!CB48+'[4]STA ANA'!CB48+[4]BOA!CB48+'[4]STA MARIA'!CB48+'[4]CB I'!CB48+'[4]CB II'!CB48+'[4]CB III'!CB48+[4]IG!CB48+[4]PN!CB48+[4]MJ!CB48+'[4]RB I'!CB48+'[4]SÃO FRANCISCO'!CB48</f>
        <v>0</v>
      </c>
      <c r="CC48" s="224">
        <f t="shared" si="12"/>
        <v>-1</v>
      </c>
      <c r="CD48" s="225">
        <f>+[4]SLP!CD48+[4]ROSA!CD48+'[4]STA ANA'!CD48+[4]BOA!CD48+'[4]STA MARIA'!CD48+'[4]CB I'!CD48+'[4]CB II'!CD48+'[4]CB III'!CD48+[4]IG!CD48+[4]PN!CD48+[4]MJ!CD48+'[4]RB I'!CD48+'[4]SF I'!CD48</f>
        <v>37927.915849893019</v>
      </c>
      <c r="CE48" s="226">
        <f>+[4]SLP!CE48+[4]ROSA!CE48+'[4]STA ANA'!CE48+[4]BOA!CE48+'[4]STA MARIA'!CE48+'[4]CB I'!CE48+'[4]CB II'!CE48+'[4]CB III'!CE48+[4]IG!CE48+[4]PN!CE48+[4]MJ!CE48+'[4]RB I'!CE48+'[4]SF I'!CE48</f>
        <v>33266.574991941168</v>
      </c>
      <c r="CF48" s="226">
        <f>+[4]SLP!CF48+[4]ROSA!CF48+'[4]STA ANA'!CF48+[4]BOA!CF48+'[4]STA MARIA'!CF48+'[4]CB I'!CF48+'[4]CB II'!CF48+'[4]CB III'!CF48+[4]IG!CF48+[4]PN!CF48+[4]MJ!CF48+'[4]RB I'!CF48+'[4]SF I'!CF48</f>
        <v>4661.3408579518518</v>
      </c>
      <c r="CG48" s="226">
        <f>+[4]SLP!CG48+[4]ROSA!CG48+'[4]STA ANA'!CG48+[4]BOA!CG48+'[4]STA MARIA'!CG48+'[4]CB I'!CG48+'[4]CB II'!CG48+'[4]CB III'!CG48+[4]IG!CG48+[4]PN!CG48+[4]MJ!CG48+'[4]RB I'!CG48+'[4]SF I'!CG48</f>
        <v>0</v>
      </c>
      <c r="CH48" s="226">
        <f>+[4]SLP!CH48+[4]ROSA!CH48+'[4]STA ANA'!CH48+[4]BOA!CH48+'[4]STA MARIA'!CH48+'[4]CB I'!CH48+'[4]CB II'!CH48+'[4]CB III'!CH48+[4]IG!CH48+[4]PN!CH48+[4]MJ!CH48+'[4]RB I'!CH48+'[4]SF I'!CH48</f>
        <v>0</v>
      </c>
      <c r="CI48" s="166">
        <f>+[4]SLP!CI48+[4]ROSA!CI48+'[4]STA ANA'!CI48+[4]BOA!CI48+'[4]STA MARIA'!CI48+'[4]CB I'!CI48+'[4]CB II'!CI48+'[4]CB III'!CI48+[4]IG!CI48+[4]PN!CI48+[4]MJ!CI48+'[4]RB I'!CI48+'[4]SÃO FRANCISCO'!CI48</f>
        <v>0</v>
      </c>
      <c r="CJ48" s="224">
        <f t="shared" si="13"/>
        <v>-1</v>
      </c>
      <c r="CK48" s="225">
        <f>+[4]SLP!CK48+[4]ROSA!CK48+'[4]STA ANA'!CK48+[4]BOA!CK48+'[4]STA MARIA'!CK48+'[4]CB I'!CK48+'[4]CB II'!CK48+'[4]CB III'!CK48+[4]IG!CK48+[4]PN!CK48+[4]MJ!CK48+'[4]RB I'!CK48+'[4]SF I'!CK48</f>
        <v>37927.915849893019</v>
      </c>
      <c r="CL48" s="226">
        <f>+[4]SLP!CL48+[4]ROSA!CL48+'[4]STA ANA'!CL48+[4]BOA!CL48+'[4]STA MARIA'!CL48+'[4]CB I'!CL48+'[4]CB II'!CL48+'[4]CB III'!CL48+[4]IG!CL48+[4]PN!CL48+[4]MJ!CL48+'[4]RB I'!CL48+'[4]SF I'!CL48</f>
        <v>33266.574991941168</v>
      </c>
      <c r="CM48" s="226">
        <f>+[4]SLP!CM48+[4]ROSA!CM48+'[4]STA ANA'!CM48+[4]BOA!CM48+'[4]STA MARIA'!CM48+'[4]CB I'!CM48+'[4]CB II'!CM48+'[4]CB III'!CM48+[4]IG!CM48+[4]PN!CM48+[4]MJ!CM48+'[4]RB I'!CM48+'[4]SF I'!CM48</f>
        <v>4661.3408579518518</v>
      </c>
      <c r="CN48" s="226">
        <f>+[4]SLP!CN48+[4]ROSA!CN48+'[4]STA ANA'!CN48+[4]BOA!CN48+'[4]STA MARIA'!CN48+'[4]CB I'!CN48+'[4]CB II'!CN48+'[4]CB III'!CN48+[4]IG!CN48+[4]PN!CN48+[4]MJ!CN48+'[4]RB I'!CN48+'[4]SF I'!CN48</f>
        <v>0</v>
      </c>
      <c r="CO48" s="226">
        <f>+[4]SLP!CO48+[4]ROSA!CO48+'[4]STA ANA'!CO48+[4]BOA!CO48+'[4]STA MARIA'!CO48+'[4]CB I'!CO48+'[4]CB II'!CO48+'[4]CB III'!CO48+[4]IG!CO48+[4]PN!CO48+[4]MJ!CO48+'[4]RB I'!CO48+'[4]SF I'!CO48</f>
        <v>0</v>
      </c>
      <c r="CP48" s="166">
        <f>+[4]SLP!CP48+[4]ROSA!CP48+'[4]STA ANA'!CP48+[4]BOA!CP48+'[4]STA MARIA'!CP48+'[4]CB I'!CP48+'[4]CB II'!CP48+'[4]CB III'!CP48+[4]IG!CP48+[4]PN!CP48+[4]MJ!CP48+'[4]RB I'!CP48+'[4]SÃO FRANCISCO'!CP48</f>
        <v>0</v>
      </c>
      <c r="CQ48" s="224">
        <f t="shared" si="14"/>
        <v>-1</v>
      </c>
      <c r="CR48" s="155"/>
      <c r="CS48" s="227" t="e">
        <f t="shared" si="15"/>
        <v>#VALUE!</v>
      </c>
    </row>
    <row r="49" spans="1:101" ht="16" customHeight="1" x14ac:dyDescent="0.2">
      <c r="A49" s="223" t="s">
        <v>73</v>
      </c>
      <c r="B49" s="30">
        <f t="shared" si="17"/>
        <v>1242135.0136526118</v>
      </c>
      <c r="C49" s="31">
        <f t="shared" si="17"/>
        <v>1089476.6204747057</v>
      </c>
      <c r="D49" s="32">
        <f t="shared" si="17"/>
        <v>152658.39317790602</v>
      </c>
      <c r="E49" s="30">
        <f t="shared" si="19"/>
        <v>414045.00455087057</v>
      </c>
      <c r="F49" s="33">
        <f t="shared" si="19"/>
        <v>363158.87349156867</v>
      </c>
      <c r="G49" s="34">
        <f t="shared" si="19"/>
        <v>50886.131059301995</v>
      </c>
      <c r="H49" s="31">
        <f t="shared" si="18"/>
        <v>507429.80892797909</v>
      </c>
      <c r="I49" s="33">
        <f t="shared" si="18"/>
        <v>47717.425366018484</v>
      </c>
      <c r="J49" s="33">
        <f t="shared" si="18"/>
        <v>555147.2342939974</v>
      </c>
      <c r="K49" s="224">
        <f t="shared" si="2"/>
        <v>0.34078959579813173</v>
      </c>
      <c r="L49" s="225">
        <f>+[4]SLP!L49+[4]ROSA!L49+'[4]STA ANA'!L49+[4]BOA!L49+'[4]STA MARIA'!L49+'[4]CB I'!L49+'[4]CB II'!L49+'[4]CB III'!L49+[4]IG!L49+[4]PN!L49+[4]MJ!L49+'[4]RB I'!L49+'[4]SF I'!L49</f>
        <v>103511.25113771764</v>
      </c>
      <c r="M49" s="226">
        <f>+[4]SLP!M49+[4]ROSA!M49+'[4]STA ANA'!M49+[4]BOA!M49+'[4]STA MARIA'!M49+'[4]CB I'!M49+'[4]CB II'!M49+'[4]CB III'!M49+[4]IG!M49+[4]PN!M49+[4]MJ!M49+'[4]RB I'!M49+'[4]SF I'!M49</f>
        <v>90789.718372892166</v>
      </c>
      <c r="N49" s="226">
        <f>+[4]SLP!N49+[4]ROSA!N49+'[4]STA ANA'!N49+[4]BOA!N49+'[4]STA MARIA'!N49+'[4]CB I'!N49+'[4]CB II'!N49+'[4]CB III'!N49+[4]IG!N49+[4]PN!N49+[4]MJ!N49+'[4]RB I'!N49+'[4]SF I'!N49</f>
        <v>12721.532764825499</v>
      </c>
      <c r="O49" s="226">
        <f>+[4]SLP!O49+[4]ROSA!O49+'[4]STA ANA'!O49+[4]BOA!O49+'[4]STA MARIA'!O49+'[4]CB I'!O49+'[4]CB II'!O49+'[4]CB III'!O49+[4]IG!O49+[4]PN!O49+[4]MJ!O49+'[4]RB I'!O49+'[4]SF I'!O49</f>
        <v>162766.10175063452</v>
      </c>
      <c r="P49" s="226">
        <f>+[4]SLP!P49+[4]ROSA!P49+'[4]STA ANA'!P49+[4]BOA!P49+'[4]STA MARIA'!P49+'[4]CB I'!P49+'[4]CB II'!P49+'[4]CB III'!P49+[4]IG!P49+[4]PN!P49+[4]MJ!P49+'[4]RB I'!P49+'[4]SF I'!P49</f>
        <v>14804.672734303131</v>
      </c>
      <c r="Q49" s="166">
        <f>+[4]SLP!Q49+[4]ROSA!Q49+'[4]STA ANA'!Q49+[4]BOA!Q49+'[4]STA MARIA'!Q49+'[4]CB I'!Q49+'[4]CB II'!Q49+'[4]CB III'!Q49+[4]IG!Q49+[4]PN!Q49+[4]MJ!Q49+'[4]RB I'!Q49+'[4]SF I'!Q49</f>
        <v>177570.7744849376</v>
      </c>
      <c r="R49" s="224">
        <f t="shared" si="3"/>
        <v>0.7154731735266795</v>
      </c>
      <c r="S49" s="225">
        <f>+[4]SLP!S49+[4]ROSA!S49+'[4]STA ANA'!S49+[4]BOA!S49+'[4]STA MARIA'!S49+'[4]CB I'!S49+'[4]CB II'!S49+'[4]CB III'!S49+[4]IG!S49+[4]PN!S49+[4]MJ!S49+'[4]RB I'!S49+'[4]SF I'!S49</f>
        <v>103511.25113771764</v>
      </c>
      <c r="T49" s="226">
        <f>+[4]SLP!T49+[4]ROSA!T49+'[4]STA ANA'!T49+[4]BOA!T49+'[4]STA MARIA'!T49+'[4]CB I'!T49+'[4]CB II'!T49+'[4]CB III'!T49+[4]IG!T49+[4]PN!T49+[4]MJ!T49+'[4]RB I'!T49+'[4]SF I'!T49</f>
        <v>90789.718372892166</v>
      </c>
      <c r="U49" s="226">
        <f>+[4]SLP!U49+[4]ROSA!U49+'[4]STA ANA'!U49+[4]BOA!U49+'[4]STA MARIA'!U49+'[4]CB I'!U49+'[4]CB II'!U49+'[4]CB III'!U49+[4]IG!U49+[4]PN!U49+[4]MJ!U49+'[4]RB I'!U49+'[4]SF I'!U49</f>
        <v>12721.532764825499</v>
      </c>
      <c r="V49" s="226">
        <f>+[4]SLP!V49+[4]ROSA!V49+'[4]STA ANA'!V49+[4]BOA!V49+'[4]STA MARIA'!V49+'[4]CB I'!V49+'[4]CB II'!V49+'[4]CB III'!V49+[4]IG!V49+[4]PN!V49+[4]MJ!V49+'[4]RB I'!V49+'[4]SF I'!V49</f>
        <v>124315.0305674368</v>
      </c>
      <c r="W49" s="226">
        <f>+[4]SLP!W49+[4]ROSA!W49+'[4]STA ANA'!W49+[4]BOA!W49+'[4]STA MARIA'!W49+'[4]CB I'!W49+'[4]CB II'!W49+'[4]CB III'!W49+[4]IG!W49+[4]PN!W49+[4]MJ!W49+'[4]RB I'!W49+'[4]SF I'!W49</f>
        <v>11568.03606504026</v>
      </c>
      <c r="X49" s="166">
        <f>[4]SLP!X49+[4]ROSA!X49+'[4]STA ANA'!X49+[4]BOA!X49+'[4]STA MARIA'!X49+'[4]CB I'!X49+'[4]CB II'!X49+'[4]CB III'!X49+[4]IG!X49+[4]PN!X49+[4]MJ!X49+'[4]RB I'!X49+'[4]SF I'!X49</f>
        <v>135883.06663247704</v>
      </c>
      <c r="Y49" s="224">
        <f t="shared" si="4"/>
        <v>0.31273716759243864</v>
      </c>
      <c r="Z49" s="225">
        <f>+[4]SLP!Z49+[4]ROSA!Z49+'[4]STA ANA'!Z49+[4]BOA!Z49+'[4]STA MARIA'!Z49+'[4]CB I'!Z49+'[4]CB II'!Z49+'[4]CB III'!Z49+[4]IG!Z49+[4]PN!Z49+[4]MJ!Z49+'[4]RB I'!Z49+'[4]SF I'!Z49</f>
        <v>103511.25113771764</v>
      </c>
      <c r="AA49" s="226">
        <f>+[4]SLP!AA49+[4]ROSA!AA49+'[4]STA ANA'!AA49+[4]BOA!AA49+'[4]STA MARIA'!AA49+'[4]CB I'!AA49+'[4]CB II'!AA49+'[4]CB III'!AA49+[4]IG!AA49+[4]PN!AA49+[4]MJ!AA49+'[4]RB I'!AA49+'[4]SF I'!AA49</f>
        <v>90789.718372892166</v>
      </c>
      <c r="AB49" s="226">
        <f>+[4]SLP!AB49+[4]ROSA!AB49+'[4]STA ANA'!AB49+[4]BOA!AB49+'[4]STA MARIA'!AB49+'[4]CB I'!AB49+'[4]CB II'!AB49+'[4]CB III'!AB49+[4]IG!AB49+[4]PN!AB49+[4]MJ!AB49+'[4]RB I'!AB49+'[4]SF I'!AB49</f>
        <v>12721.532764825499</v>
      </c>
      <c r="AC49" s="226">
        <f>+[4]SLP!AC49+[4]ROSA!AC49+'[4]STA ANA'!AC49+[4]BOA!AC49+'[4]STA MARIA'!AC49+'[4]CB I'!AC49+'[4]CB II'!AC49+'[4]CB III'!AC49+[4]IG!AC49+[4]PN!AC49+[4]MJ!AC49+'[4]RB I'!AC49+'[4]SF I'!AC49</f>
        <v>101931.53695384189</v>
      </c>
      <c r="AD49" s="226">
        <f>+[4]SLP!AD49+[4]ROSA!AD49+'[4]STA ANA'!AD49+[4]BOA!AD49+'[4]STA MARIA'!AD49+'[4]CB I'!AD49+'[4]CB II'!AD49+'[4]CB III'!AD49+[4]IG!AD49+[4]PN!AD49+[4]MJ!AD49+'[4]RB I'!AD49+'[4]SF I'!AD49</f>
        <v>10656.092546660508</v>
      </c>
      <c r="AE49" s="166">
        <f>+[4]SLP!AE49+[4]ROSA!AE49+'[4]STA ANA'!AE49+[4]BOA!AE49+'[4]STA MARIA'!AE49+'[4]CB I'!AE49+'[4]CB II'!AE49+'[4]CB III'!AE49+[4]IG!AE49+[4]PN!AE49+[4]MJ!AE49+'[4]RB I'!AE49+'[4]SF I'!AE49</f>
        <v>112587.6295005024</v>
      </c>
      <c r="AF49" s="224">
        <f t="shared" si="5"/>
        <v>8.7684944998964287E-2</v>
      </c>
      <c r="AG49" s="225">
        <f>+[4]SLP!AG49+[4]ROSA!AG49+'[4]STA ANA'!AG49+[4]BOA!AG49+'[4]STA MARIA'!AG49+'[4]CB I'!AG49+'[4]CB II'!AG49+'[4]CB III'!AG49+[4]IG!AG49+[4]PN!AG49+[4]MJ!AG49+'[4]RB I'!AG49+'[4]SF I'!AG49</f>
        <v>103511.25113771764</v>
      </c>
      <c r="AH49" s="226">
        <f>+[4]SLP!AH49+[4]ROSA!AH49+'[4]STA ANA'!AH49+[4]BOA!AH49+'[4]STA MARIA'!AH49+'[4]CB I'!AH49+'[4]CB II'!AH49+'[4]CB III'!AH49+[4]IG!AH49+[4]PN!AH49+[4]MJ!AH49+'[4]RB I'!AH49+'[4]SF I'!AH49</f>
        <v>90789.718372892166</v>
      </c>
      <c r="AI49" s="226">
        <f>+[4]SLP!AI49+[4]ROSA!AI49+'[4]STA ANA'!AI49+[4]BOA!AI49+'[4]STA MARIA'!AI49+'[4]CB I'!AI49+'[4]CB II'!AI49+'[4]CB III'!AI49+[4]IG!AI49+[4]PN!AI49+[4]MJ!AI49+'[4]RB I'!AI49+'[4]SF I'!AI49</f>
        <v>12721.532764825499</v>
      </c>
      <c r="AJ49" s="226">
        <f>+[4]SLP!AJ49+[4]ROSA!AJ49+'[4]STA ANA'!AJ49+[4]BOA!AJ49+'[4]STA MARIA'!AJ49+'[4]CB I'!AJ49+'[4]CB II'!AJ49+'[4]CB III'!AJ49+[4]IG!AJ49+[4]PN!AJ49+[4]MJ!AJ49+'[4]RB I'!AJ49+'[4]SF I'!AJ49</f>
        <v>118417.13965606583</v>
      </c>
      <c r="AK49" s="226">
        <f>+[4]SLP!AK49+[4]ROSA!AK49+'[4]STA ANA'!AK49+[4]BOA!AK49+'[4]STA MARIA'!AK49+'[4]CB I'!AK49+'[4]CB II'!AK49+'[4]CB III'!AK49+[4]IG!AK49+[4]PN!AK49+[4]MJ!AK49+'[4]RB I'!AK49+'[4]SF I'!AK49</f>
        <v>10688.624020014589</v>
      </c>
      <c r="AL49" s="166">
        <f>+[4]SLP!AL49+[4]ROSA!AL49+'[4]STA ANA'!AL49+[4]BOA!AL49+'[4]STA MARIA'!AL49+'[4]CB I'!AL49+'[4]CB II'!AL49+'[4]CB III'!AL49+[4]IG!AL49+[4]PN!AL49+[4]MJ!AL49+'[4]RB I'!AL49+'[4]SF I'!AL49</f>
        <v>129105.76367608043</v>
      </c>
      <c r="AM49" s="224">
        <f t="shared" si="6"/>
        <v>0.2472630970744456</v>
      </c>
      <c r="AN49" s="225">
        <f>+[4]SLP!AN49+[4]ROSA!AN49+'[4]STA ANA'!AN49+[4]BOA!AN49+'[4]STA MARIA'!AN49+'[4]CB I'!AN49+'[4]CB II'!AN49+'[4]CB III'!AN49+[4]IG!AN49+[4]PN!AN49+[4]MJ!AN49+'[4]RB I'!AN49+'[4]SF I'!AN49</f>
        <v>103511.25113771764</v>
      </c>
      <c r="AO49" s="226">
        <f>+[4]SLP!AO49+[4]ROSA!AO49+'[4]STA ANA'!AO49+[4]BOA!AO49+'[4]STA MARIA'!AO49+'[4]CB I'!AO49+'[4]CB II'!AO49+'[4]CB III'!AO49+[4]IG!AO49+[4]PN!AO49+[4]MJ!AO49+'[4]RB I'!AO49+'[4]SF I'!AO49</f>
        <v>90789.718372892166</v>
      </c>
      <c r="AP49" s="226">
        <f>+[4]SLP!AP49+[4]ROSA!AP49+'[4]STA ANA'!AP49+[4]BOA!AP49+'[4]STA MARIA'!AP49+'[4]CB I'!AP49+'[4]CB II'!AP49+'[4]CB III'!AP49+[4]IG!AP49+[4]PN!AP49+[4]MJ!AP49+'[4]RB I'!AP49+'[4]SF I'!AP49</f>
        <v>12721.532764825499</v>
      </c>
      <c r="AQ49" s="226">
        <f>+[4]SLP!AQ49+[4]ROSA!AQ49+'[4]STA ANA'!AQ49+[4]BOA!AQ49+'[4]STA MARIA'!AQ49+'[4]CB I'!AQ49+'[4]CB II'!AQ49+'[4]CB III'!AQ49+[4]IG!AQ49+[4]PN!AQ49+[4]MJ!AQ49+'[4]RB I'!AQ49+'[4]SF I'!AQ49</f>
        <v>0</v>
      </c>
      <c r="AR49" s="226">
        <f>+[4]SLP!AR49+[4]ROSA!AR49+'[4]STA ANA'!AR49+[4]BOA!AR49+'[4]STA MARIA'!AR49+'[4]CB I'!AR49+'[4]CB II'!AR49+'[4]CB III'!AR49+[4]IG!AR49+[4]PN!AR49+[4]MJ!AR49+'[4]RB I'!AR49+'[4]SF I'!AR49</f>
        <v>0</v>
      </c>
      <c r="AS49" s="166">
        <f>+[4]SLP!AS49+[4]ROSA!AS49+'[4]STA ANA'!AS49+[4]BOA!AS49+'[4]STA MARIA'!AS49+'[4]CB I'!AS49+'[4]CB II'!AS49+'[4]CB III'!AS49+[4]IG!AS49+[4]PN!AS49+[4]MJ!AS49+'[4]RB I'!AS49+'[4]SÃO FRANCISCO'!AS49</f>
        <v>0</v>
      </c>
      <c r="AT49" s="224">
        <f t="shared" si="7"/>
        <v>-1</v>
      </c>
      <c r="AU49" s="225">
        <f>+[4]SLP!AU49+[4]ROSA!AU49+'[4]STA ANA'!AU49+[4]BOA!AU49+'[4]STA MARIA'!AU49+'[4]CB I'!AU49+'[4]CB II'!AU49+'[4]CB III'!AU49+[4]IG!AU49+[4]PN!AU49+[4]MJ!AU49+'[4]RB I'!AU49+'[4]SF I'!AU49</f>
        <v>103511.25113771764</v>
      </c>
      <c r="AV49" s="226">
        <f>+[4]SLP!AV49+[4]ROSA!AV49+'[4]STA ANA'!AV49+[4]BOA!AV49+'[4]STA MARIA'!AV49+'[4]CB I'!AV49+'[4]CB II'!AV49+'[4]CB III'!AV49+[4]IG!AV49+[4]PN!AV49+[4]MJ!AV49+'[4]RB I'!AV49+'[4]SF I'!AV49</f>
        <v>90789.718372892166</v>
      </c>
      <c r="AW49" s="226">
        <f>+[4]SLP!AW49+[4]ROSA!AW49+'[4]STA ANA'!AW49+[4]BOA!AW49+'[4]STA MARIA'!AW49+'[4]CB I'!AW49+'[4]CB II'!AW49+'[4]CB III'!AW49+[4]IG!AW49+[4]PN!AW49+[4]MJ!AW49+'[4]RB I'!AW49+'[4]SF I'!AW49</f>
        <v>12721.532764825499</v>
      </c>
      <c r="AX49" s="226">
        <f>+[4]SLP!AX49+[4]ROSA!AX49+'[4]STA ANA'!AX49+[4]BOA!AX49+'[4]STA MARIA'!AX49+'[4]CB I'!AX49+'[4]CB II'!AX49+'[4]CB III'!AX49+[4]IG!AX49+[4]PN!AX49+[4]MJ!AX49+'[4]RB I'!AX49+'[4]SF I'!AX49</f>
        <v>0</v>
      </c>
      <c r="AY49" s="226">
        <f>+[4]SLP!AY49+[4]ROSA!AY49+'[4]STA ANA'!AY49+[4]BOA!AY49+'[4]STA MARIA'!AY49+'[4]CB I'!AY49+'[4]CB II'!AY49+'[4]CB III'!AY49+[4]IG!AY49+[4]PN!AY49+[4]MJ!AY49+'[4]RB I'!AY49+'[4]SF I'!AY49</f>
        <v>0</v>
      </c>
      <c r="AZ49" s="166">
        <f>+[4]SLP!AZ49+[4]ROSA!AZ49+'[4]STA ANA'!AZ49+[4]BOA!AZ49+'[4]STA MARIA'!AZ49+'[4]CB I'!AZ49+'[4]CB II'!AZ49+[4]IG!AZ49+[4]PN!AZ49+[4]MJ!AZ49+'[4]RB I'!AZ49+'[4]SÃO FRANCISCO'!AZ49</f>
        <v>0</v>
      </c>
      <c r="BA49" s="224">
        <f t="shared" si="8"/>
        <v>-1</v>
      </c>
      <c r="BB49" s="225">
        <f>+[4]SLP!BB49+[4]ROSA!BB49+'[4]STA ANA'!BB49+[4]BOA!BB49+'[4]STA MARIA'!BB49+'[4]CB I'!BB49+'[4]CB II'!BB49+'[4]CB III'!BB49+[4]IG!BB49+[4]PN!BB49+[4]MJ!BB49+'[4]RB I'!BB49+'[4]SF I'!BB49</f>
        <v>103511.25113771764</v>
      </c>
      <c r="BC49" s="226">
        <f>+[4]SLP!BC49+[4]ROSA!BC49+'[4]STA ANA'!BC49+[4]BOA!BC49+'[4]STA MARIA'!BC49+'[4]CB I'!BC49+'[4]CB II'!BC49+'[4]CB III'!BC49+[4]IG!BC49+[4]PN!BC49+[4]MJ!BC49+'[4]RB I'!BC49+'[4]SF I'!BC49</f>
        <v>90789.718372892166</v>
      </c>
      <c r="BD49" s="226">
        <f>+[4]SLP!BD49+[4]ROSA!BD49+'[4]STA ANA'!BD49+[4]BOA!BD49+'[4]STA MARIA'!BD49+'[4]CB I'!BD49+'[4]CB II'!BD49+'[4]CB III'!BD49+[4]IG!BD49+[4]PN!BD49+[4]MJ!BD49+'[4]RB I'!BD49+'[4]SF I'!BD49</f>
        <v>12721.532764825499</v>
      </c>
      <c r="BE49" s="226">
        <f>+[4]SLP!BE49+[4]ROSA!BE49+'[4]STA ANA'!BE49+[4]BOA!BE49+'[4]STA MARIA'!BE49+'[4]CB I'!BE49+'[4]CB II'!BE49+'[4]CB III'!BE49+[4]IG!BE49+[4]PN!BE49+[4]MJ!BE49+'[4]RB I'!BE49+'[4]SF I'!BE49</f>
        <v>0</v>
      </c>
      <c r="BF49" s="226">
        <f>+[4]SLP!BF49+[4]ROSA!BF49+'[4]STA ANA'!BF49+[4]BOA!BF49+'[4]STA MARIA'!BF49+'[4]CB I'!BF49+'[4]CB II'!BF49+'[4]CB III'!BF49+[4]IG!BF49+[4]PN!BF49+[4]MJ!BF49+'[4]RB I'!BF49+'[4]SF I'!BF49</f>
        <v>0</v>
      </c>
      <c r="BG49" s="166">
        <f>+[4]SLP!BG49+[4]ROSA!BG49+'[4]STA ANA'!BG49+[4]BOA!BG49+'[4]STA MARIA'!BG49+'[4]CB I'!BG49+'[4]CB II'!BG49+'[4]CB III'!BG49+[4]IG!BG49+[4]PN!BG49+[4]MJ!BG49+'[4]RB I'!BG49+'[4]SÃO FRANCISCO'!BG49</f>
        <v>0</v>
      </c>
      <c r="BH49" s="224">
        <f t="shared" si="9"/>
        <v>-1</v>
      </c>
      <c r="BI49" s="225">
        <f>+[4]SLP!BI49+[4]ROSA!BI49+'[4]STA ANA'!BI49+[4]BOA!BI49+'[4]STA MARIA'!BI49+'[4]CB I'!BI49+'[4]CB II'!BI49+'[4]CB III'!BI49+[4]IG!BI49+[4]PN!BI49+[4]MJ!BI49+'[4]RB I'!BI49+'[4]SF I'!BI49</f>
        <v>103511.25113771764</v>
      </c>
      <c r="BJ49" s="226">
        <f>+[4]SLP!BJ49+[4]ROSA!BJ49+'[4]STA ANA'!BJ49+[4]BOA!BJ49+'[4]STA MARIA'!BJ49+'[4]CB I'!BJ49+'[4]CB II'!BJ49+'[4]CB III'!BJ49+[4]IG!BJ49+[4]PN!BJ49+[4]MJ!BJ49+'[4]RB I'!BJ49+'[4]SF I'!BJ49</f>
        <v>90789.718372892166</v>
      </c>
      <c r="BK49" s="226">
        <f>+[4]SLP!BK49+[4]ROSA!BK49+'[4]STA ANA'!BK49+[4]BOA!BK49+'[4]STA MARIA'!BK49+'[4]CB I'!BK49+'[4]CB II'!BK49+'[4]CB III'!BK49+[4]IG!BK49+[4]PN!BK49+[4]MJ!BK49+'[4]RB I'!BK49+'[4]SF I'!BK49</f>
        <v>12721.532764825499</v>
      </c>
      <c r="BL49" s="226">
        <f>+[4]SLP!BL49+[4]ROSA!BL49+'[4]STA ANA'!BL49+[4]BOA!BL49+'[4]STA MARIA'!BL49+'[4]CB I'!BL49+'[4]CB II'!BL49+'[4]CB III'!BL49+[4]IG!BL49+[4]PN!BL49+[4]MJ!BL49+'[4]RB I'!BL49+'[4]SF I'!BL49</f>
        <v>0</v>
      </c>
      <c r="BM49" s="226">
        <f>+[4]SLP!BM49+[4]ROSA!BM49+'[4]STA ANA'!BM49+[4]BOA!BM49+'[4]STA MARIA'!BM49+'[4]CB I'!BM49+'[4]CB II'!BM49+'[4]CB III'!BM49+[4]IG!BM49+[4]PN!BM49+[4]MJ!BM49+'[4]RB I'!BM49+'[4]SF I'!BM49</f>
        <v>0</v>
      </c>
      <c r="BN49" s="166">
        <f>+[4]SLP!BN49+[4]ROSA!BN49+'[4]STA ANA'!BN49+[4]BOA!BN49+'[4]STA MARIA'!BN49+'[4]CB I'!BN49+'[4]CB II'!BN49+'[4]CB III'!BN49+[4]IG!BN49+[4]PN!BN49+[4]MJ!BN49+'[4]RB I'!BN49+'[4]SÃO FRANCISCO'!BN49</f>
        <v>0</v>
      </c>
      <c r="BO49" s="224">
        <f t="shared" si="10"/>
        <v>-1</v>
      </c>
      <c r="BP49" s="225">
        <f>+[4]SLP!BP49+[4]ROSA!BP49+'[4]STA ANA'!BP49+[4]BOA!BP49+'[4]STA MARIA'!BP49+'[4]CB I'!BP49+'[4]CB II'!BP49+'[4]CB III'!BP49+[4]IG!BP49+[4]PN!BP49+[4]MJ!BP49+'[4]RB I'!BP49+'[4]SF I'!BP49</f>
        <v>103511.25113771764</v>
      </c>
      <c r="BQ49" s="226">
        <f>+[4]SLP!BQ49+[4]ROSA!BQ49+'[4]STA ANA'!BQ49+[4]BOA!BQ49+'[4]STA MARIA'!BQ49+'[4]CB I'!BQ49+'[4]CB II'!BQ49+'[4]CB III'!BQ49+[4]IG!BQ49+[4]PN!BQ49+[4]MJ!BQ49+'[4]RB I'!BQ49+'[4]SF I'!BQ49</f>
        <v>90789.718372892166</v>
      </c>
      <c r="BR49" s="226">
        <f>+[4]SLP!BR49+[4]ROSA!BR49+'[4]STA ANA'!BR49+[4]BOA!BR49+'[4]STA MARIA'!BR49+'[4]CB I'!BR49+'[4]CB II'!BR49+'[4]CB III'!BR49+[4]IG!BR49+[4]PN!BR49+[4]MJ!BR49+'[4]RB I'!BR49+'[4]SF I'!BR49</f>
        <v>12721.532764825499</v>
      </c>
      <c r="BS49" s="226">
        <f>+[4]SLP!BS49+[4]ROSA!BS49+'[4]STA ANA'!BS49+[4]BOA!BS49+'[4]STA MARIA'!BS49+'[4]CB I'!BS49+'[4]CB II'!BS49+'[4]CB III'!BS49+[4]IG!BS49+[4]PN!BS49+[4]MJ!BS49+'[4]RB I'!BS49+'[4]SF I'!BS49</f>
        <v>0</v>
      </c>
      <c r="BT49" s="226">
        <f>+[4]SLP!BT49+[4]ROSA!BT49+'[4]STA ANA'!BT49+[4]BOA!BT49+'[4]STA MARIA'!BT49+'[4]CB I'!BT49+'[4]CB II'!BT49+'[4]CB III'!BT49+[4]IG!BT49+[4]PN!BT49+[4]MJ!BT49+'[4]RB I'!BT49+'[4]SF I'!BT49</f>
        <v>0</v>
      </c>
      <c r="BU49" s="166">
        <f>+[4]SLP!BU49+[4]ROSA!BU49+'[4]STA ANA'!BU49+[4]BOA!BU49+'[4]STA MARIA'!BU49+'[4]CB I'!BU49+'[4]CB II'!BU49+'[4]CB III'!BU49+[4]IG!BU49+[4]PN!BU49+[4]MJ!BU49+'[4]RB I'!BU49+'[4]SÃO FRANCISCO'!BU49</f>
        <v>0</v>
      </c>
      <c r="BV49" s="224">
        <f t="shared" si="11"/>
        <v>-1</v>
      </c>
      <c r="BW49" s="225">
        <f>+[4]SLP!BW49+[4]ROSA!BW49+'[4]STA ANA'!BW49+[4]BOA!BW49+'[4]STA MARIA'!BW49+'[4]CB I'!BW49+'[4]CB II'!BW49+'[4]CB III'!BW49+[4]IG!BW49+[4]PN!BW49+[4]MJ!BW49+'[4]RB I'!BW49+'[4]SF I'!BW49</f>
        <v>103511.25113771764</v>
      </c>
      <c r="BX49" s="226">
        <f>+[4]SLP!BX49+[4]ROSA!BX49+'[4]STA ANA'!BX49+[4]BOA!BX49+'[4]STA MARIA'!BX49+'[4]CB I'!BX49+'[4]CB II'!BX49+'[4]CB III'!BX49+[4]IG!BX49+[4]PN!BX49+[4]MJ!BX49+'[4]RB I'!BX49+'[4]SF I'!BX49</f>
        <v>90789.718372892166</v>
      </c>
      <c r="BY49" s="226">
        <f>+[4]SLP!BY49+[4]ROSA!BY49+'[4]STA ANA'!BY49+[4]BOA!BY49+'[4]STA MARIA'!BY49+'[4]CB I'!BY49+'[4]CB II'!BY49+'[4]CB III'!BY49+[4]IG!BY49+[4]PN!BY49+[4]MJ!BY49+'[4]RB I'!BY49+'[4]SF I'!BY49</f>
        <v>12721.532764825499</v>
      </c>
      <c r="BZ49" s="226">
        <f>+[4]SLP!BZ49+[4]ROSA!BZ49+'[4]STA ANA'!BZ49+[4]BOA!BZ49+'[4]STA MARIA'!BZ49+'[4]CB I'!BZ49+'[4]CB II'!BZ49+'[4]CB III'!BZ49+[4]IG!BZ49+[4]PN!BZ49+[4]MJ!BZ49+'[4]RB I'!BZ49+'[4]SF I'!BZ49</f>
        <v>0</v>
      </c>
      <c r="CA49" s="226">
        <f>+[4]SLP!CA49+[4]ROSA!CA49+'[4]STA ANA'!CA49+[4]BOA!CA49+'[4]STA MARIA'!CA49+'[4]CB I'!CA49+'[4]CB II'!CA49+'[4]CB III'!CA49+[4]IG!CA49+[4]PN!CA49+[4]MJ!CA49+'[4]RB I'!CA49+'[4]SF I'!CA49</f>
        <v>0</v>
      </c>
      <c r="CB49" s="166">
        <f>+[4]SLP!CB49+[4]ROSA!CB49+'[4]STA ANA'!CB49+[4]BOA!CB49+'[4]STA MARIA'!CB49+'[4]CB I'!CB49+'[4]CB II'!CB49+'[4]CB III'!CB49+[4]IG!CB49+[4]PN!CB49+[4]MJ!CB49+'[4]RB I'!CB49+'[4]SÃO FRANCISCO'!CB49</f>
        <v>0</v>
      </c>
      <c r="CC49" s="224">
        <f t="shared" si="12"/>
        <v>-1</v>
      </c>
      <c r="CD49" s="225">
        <f>+[4]SLP!CD49+[4]ROSA!CD49+'[4]STA ANA'!CD49+[4]BOA!CD49+'[4]STA MARIA'!CD49+'[4]CB I'!CD49+'[4]CB II'!CD49+'[4]CB III'!CD49+[4]IG!CD49+[4]PN!CD49+[4]MJ!CD49+'[4]RB I'!CD49+'[4]SF I'!CD49</f>
        <v>103511.25113771764</v>
      </c>
      <c r="CE49" s="226">
        <f>+[4]SLP!CE49+[4]ROSA!CE49+'[4]STA ANA'!CE49+[4]BOA!CE49+'[4]STA MARIA'!CE49+'[4]CB I'!CE49+'[4]CB II'!CE49+'[4]CB III'!CE49+[4]IG!CE49+[4]PN!CE49+[4]MJ!CE49+'[4]RB I'!CE49+'[4]SF I'!CE49</f>
        <v>90789.718372892166</v>
      </c>
      <c r="CF49" s="226">
        <f>+[4]SLP!CF49+[4]ROSA!CF49+'[4]STA ANA'!CF49+[4]BOA!CF49+'[4]STA MARIA'!CF49+'[4]CB I'!CF49+'[4]CB II'!CF49+'[4]CB III'!CF49+[4]IG!CF49+[4]PN!CF49+[4]MJ!CF49+'[4]RB I'!CF49+'[4]SF I'!CF49</f>
        <v>12721.532764825499</v>
      </c>
      <c r="CG49" s="226">
        <f>+[4]SLP!CG49+[4]ROSA!CG49+'[4]STA ANA'!CG49+[4]BOA!CG49+'[4]STA MARIA'!CG49+'[4]CB I'!CG49+'[4]CB II'!CG49+'[4]CB III'!CG49+[4]IG!CG49+[4]PN!CG49+[4]MJ!CG49+'[4]RB I'!CG49+'[4]SF I'!CG49</f>
        <v>0</v>
      </c>
      <c r="CH49" s="226">
        <f>+[4]SLP!CH49+[4]ROSA!CH49+'[4]STA ANA'!CH49+[4]BOA!CH49+'[4]STA MARIA'!CH49+'[4]CB I'!CH49+'[4]CB II'!CH49+'[4]CB III'!CH49+[4]IG!CH49+[4]PN!CH49+[4]MJ!CH49+'[4]RB I'!CH49+'[4]SF I'!CH49</f>
        <v>0</v>
      </c>
      <c r="CI49" s="166">
        <f>+[4]SLP!CI49+[4]ROSA!CI49+'[4]STA ANA'!CI49+[4]BOA!CI49+'[4]STA MARIA'!CI49+'[4]CB I'!CI49+'[4]CB II'!CI49+'[4]CB III'!CI49+[4]IG!CI49+[4]PN!CI49+[4]MJ!CI49+'[4]RB I'!CI49+'[4]SÃO FRANCISCO'!CI49</f>
        <v>0</v>
      </c>
      <c r="CJ49" s="224">
        <f t="shared" si="13"/>
        <v>-1</v>
      </c>
      <c r="CK49" s="225">
        <f>+[4]SLP!CK49+[4]ROSA!CK49+'[4]STA ANA'!CK49+[4]BOA!CK49+'[4]STA MARIA'!CK49+'[4]CB I'!CK49+'[4]CB II'!CK49+'[4]CB III'!CK49+[4]IG!CK49+[4]PN!CK49+[4]MJ!CK49+'[4]RB I'!CK49+'[4]SF I'!CK49</f>
        <v>103511.25113771764</v>
      </c>
      <c r="CL49" s="226">
        <f>+[4]SLP!CL49+[4]ROSA!CL49+'[4]STA ANA'!CL49+[4]BOA!CL49+'[4]STA MARIA'!CL49+'[4]CB I'!CL49+'[4]CB II'!CL49+'[4]CB III'!CL49+[4]IG!CL49+[4]PN!CL49+[4]MJ!CL49+'[4]RB I'!CL49+'[4]SF I'!CL49</f>
        <v>90789.718372892166</v>
      </c>
      <c r="CM49" s="226">
        <f>+[4]SLP!CM49+[4]ROSA!CM49+'[4]STA ANA'!CM49+[4]BOA!CM49+'[4]STA MARIA'!CM49+'[4]CB I'!CM49+'[4]CB II'!CM49+'[4]CB III'!CM49+[4]IG!CM49+[4]PN!CM49+[4]MJ!CM49+'[4]RB I'!CM49+'[4]SF I'!CM49</f>
        <v>12721.532764825499</v>
      </c>
      <c r="CN49" s="226">
        <f>+[4]SLP!CN49+[4]ROSA!CN49+'[4]STA ANA'!CN49+[4]BOA!CN49+'[4]STA MARIA'!CN49+'[4]CB I'!CN49+'[4]CB II'!CN49+'[4]CB III'!CN49+[4]IG!CN49+[4]PN!CN49+[4]MJ!CN49+'[4]RB I'!CN49+'[4]SF I'!CN49</f>
        <v>0</v>
      </c>
      <c r="CO49" s="226">
        <f>+[4]SLP!CO49+[4]ROSA!CO49+'[4]STA ANA'!CO49+[4]BOA!CO49+'[4]STA MARIA'!CO49+'[4]CB I'!CO49+'[4]CB II'!CO49+'[4]CB III'!CO49+[4]IG!CO49+[4]PN!CO49+[4]MJ!CO49+'[4]RB I'!CO49+'[4]SF I'!CO49</f>
        <v>0</v>
      </c>
      <c r="CP49" s="166">
        <f>+[4]SLP!CP49+[4]ROSA!CP49+'[4]STA ANA'!CP49+[4]BOA!CP49+'[4]STA MARIA'!CP49+'[4]CB I'!CP49+'[4]CB II'!CP49+'[4]CB III'!CP49+[4]IG!CP49+[4]PN!CP49+[4]MJ!CP49+'[4]RB I'!CP49+'[4]SÃO FRANCISCO'!CP49</f>
        <v>0</v>
      </c>
      <c r="CQ49" s="224">
        <f t="shared" si="14"/>
        <v>-1</v>
      </c>
      <c r="CR49" s="155"/>
      <c r="CS49" s="227" t="e">
        <f t="shared" si="15"/>
        <v>#VALUE!</v>
      </c>
    </row>
    <row r="50" spans="1:101" ht="16" customHeight="1" x14ac:dyDescent="0.2">
      <c r="A50" s="223" t="s">
        <v>74</v>
      </c>
      <c r="B50" s="30">
        <f t="shared" si="17"/>
        <v>87627.176879999999</v>
      </c>
      <c r="C50" s="31">
        <f t="shared" si="17"/>
        <v>76857.796841448013</v>
      </c>
      <c r="D50" s="32">
        <f t="shared" si="17"/>
        <v>10769.380038551999</v>
      </c>
      <c r="E50" s="30">
        <f t="shared" si="19"/>
        <v>29209.058960000002</v>
      </c>
      <c r="F50" s="33">
        <f t="shared" si="19"/>
        <v>25619.265613816002</v>
      </c>
      <c r="G50" s="34">
        <f t="shared" si="19"/>
        <v>3589.7933461839998</v>
      </c>
      <c r="H50" s="31">
        <f t="shared" si="18"/>
        <v>32565.500764322969</v>
      </c>
      <c r="I50" s="33">
        <f t="shared" si="18"/>
        <v>3583.1703286281368</v>
      </c>
      <c r="J50" s="33">
        <f t="shared" si="18"/>
        <v>36148.67109295111</v>
      </c>
      <c r="K50" s="224">
        <f t="shared" si="2"/>
        <v>0.23758424201390671</v>
      </c>
      <c r="L50" s="225">
        <f>+[4]SLP!L50+[4]ROSA!L50+'[4]STA ANA'!L50+[4]BOA!L50+'[4]STA MARIA'!L50+'[4]CB I'!L50+'[4]CB II'!L50+'[4]CB III'!L50+[4]IG!L50+[4]PN!L50+[4]MJ!L50+'[4]RB I'!L50+'[4]SF I'!L50</f>
        <v>7302.2647400000005</v>
      </c>
      <c r="M50" s="226">
        <f>+[4]SLP!M50+[4]ROSA!M50+'[4]STA ANA'!M50+[4]BOA!M50+'[4]STA MARIA'!M50+'[4]CB I'!M50+'[4]CB II'!M50+'[4]CB III'!M50+[4]IG!M50+[4]PN!M50+[4]MJ!M50+'[4]RB I'!M50+'[4]SF I'!M50</f>
        <v>6404.8164034540005</v>
      </c>
      <c r="N50" s="226">
        <f>+[4]SLP!N50+[4]ROSA!N50+'[4]STA ANA'!N50+[4]BOA!N50+'[4]STA MARIA'!N50+'[4]CB I'!N50+'[4]CB II'!N50+'[4]CB III'!N50+[4]IG!N50+[4]PN!N50+[4]MJ!N50+'[4]RB I'!N50+'[4]SF I'!N50</f>
        <v>897.44833654599995</v>
      </c>
      <c r="O50" s="226">
        <f>+[4]SLP!O50+[4]ROSA!O50+'[4]STA ANA'!O50+[4]BOA!O50+'[4]STA MARIA'!O50+'[4]CB I'!O50+'[4]CB II'!O50+'[4]CB III'!O50+[4]IG!O50+[4]PN!O50+[4]MJ!O50+'[4]RB I'!O50+'[4]SF I'!O50</f>
        <v>6136.0572837131449</v>
      </c>
      <c r="P50" s="226">
        <f>+[4]SLP!P50+[4]ROSA!P50+'[4]STA ANA'!P50+[4]BOA!P50+'[4]STA MARIA'!P50+'[4]CB I'!P50+'[4]CB II'!P50+'[4]CB III'!P50+[4]IG!P50+[4]PN!P50+[4]MJ!P50+'[4]RB I'!P50+'[4]SF I'!P50</f>
        <v>691.06030002976308</v>
      </c>
      <c r="Q50" s="166">
        <f>+[4]SLP!Q50+[4]ROSA!Q50+'[4]STA ANA'!Q50+[4]BOA!Q50+'[4]STA MARIA'!Q50+'[4]CB I'!Q50+'[4]CB II'!Q50+'[4]CB III'!Q50+[4]IG!Q50+[4]PN!Q50+[4]MJ!Q50+'[4]RB I'!Q50+'[4]SF I'!Q50</f>
        <v>6827.1175837429073</v>
      </c>
      <c r="R50" s="224">
        <f t="shared" si="3"/>
        <v>-6.5068464808507254E-2</v>
      </c>
      <c r="S50" s="225">
        <f>+[4]SLP!S50+[4]ROSA!S50+'[4]STA ANA'!S50+[4]BOA!S50+'[4]STA MARIA'!S50+'[4]CB I'!S50+'[4]CB II'!S50+'[4]CB III'!S50+[4]IG!S50+[4]PN!S50+[4]MJ!S50+'[4]RB I'!S50+'[4]SF I'!S50</f>
        <v>7302.2647400000005</v>
      </c>
      <c r="T50" s="226">
        <f>+[4]SLP!T50+[4]ROSA!T50+'[4]STA ANA'!T50+[4]BOA!T50+'[4]STA MARIA'!T50+'[4]CB I'!T50+'[4]CB II'!T50+'[4]CB III'!T50+[4]IG!T50+[4]PN!T50+[4]MJ!T50+'[4]RB I'!T50+'[4]SF I'!T50</f>
        <v>6404.8164034540005</v>
      </c>
      <c r="U50" s="226">
        <f>+[4]SLP!U50+[4]ROSA!U50+'[4]STA ANA'!U50+[4]BOA!U50+'[4]STA MARIA'!U50+'[4]CB I'!U50+'[4]CB II'!U50+'[4]CB III'!U50+[4]IG!U50+[4]PN!U50+[4]MJ!U50+'[4]RB I'!U50+'[4]SF I'!U50</f>
        <v>897.44833654599995</v>
      </c>
      <c r="V50" s="226">
        <f>+[4]SLP!V50+[4]ROSA!V50+'[4]STA ANA'!V50+[4]BOA!V50+'[4]STA MARIA'!V50+'[4]CB I'!V50+'[4]CB II'!V50+'[4]CB III'!V50+[4]IG!V50+[4]PN!V50+[4]MJ!V50+'[4]RB I'!V50+'[4]SF I'!V50</f>
        <v>7079.91616269321</v>
      </c>
      <c r="W50" s="226">
        <f>+[4]SLP!W50+[4]ROSA!W50+'[4]STA ANA'!W50+[4]BOA!W50+'[4]STA MARIA'!W50+'[4]CB I'!W50+'[4]CB II'!W50+'[4]CB III'!W50+[4]IG!W50+[4]PN!W50+[4]MJ!W50+'[4]RB I'!W50+'[4]SF I'!W50</f>
        <v>797.32072443122365</v>
      </c>
      <c r="X50" s="166">
        <f>[4]SLP!X50+[4]ROSA!X50+'[4]STA ANA'!X50+[4]BOA!X50+'[4]STA MARIA'!X50+'[4]CB I'!X50+'[4]CB II'!X50+'[4]CB III'!X50+[4]IG!X50+[4]PN!X50+[4]MJ!X50+'[4]RB I'!X50+'[4]SF I'!X50</f>
        <v>7877.2368871244325</v>
      </c>
      <c r="Y50" s="224">
        <f t="shared" si="4"/>
        <v>7.8738880004565859E-2</v>
      </c>
      <c r="Z50" s="225">
        <f>+[4]SLP!Z50+[4]ROSA!Z50+'[4]STA ANA'!Z50+[4]BOA!Z50+'[4]STA MARIA'!Z50+'[4]CB I'!Z50+'[4]CB II'!Z50+'[4]CB III'!Z50+[4]IG!Z50+[4]PN!Z50+[4]MJ!Z50+'[4]RB I'!Z50+'[4]SF I'!Z50</f>
        <v>7302.2647400000005</v>
      </c>
      <c r="AA50" s="226">
        <f>+[4]SLP!AA50+[4]ROSA!AA50+'[4]STA ANA'!AA50+[4]BOA!AA50+'[4]STA MARIA'!AA50+'[4]CB I'!AA50+'[4]CB II'!AA50+'[4]CB III'!AA50+[4]IG!AA50+[4]PN!AA50+[4]MJ!AA50+'[4]RB I'!AA50+'[4]SF I'!AA50</f>
        <v>6404.8164034540005</v>
      </c>
      <c r="AB50" s="226">
        <f>+[4]SLP!AB50+[4]ROSA!AB50+'[4]STA ANA'!AB50+[4]BOA!AB50+'[4]STA MARIA'!AB50+'[4]CB I'!AB50+'[4]CB II'!AB50+'[4]CB III'!AB50+[4]IG!AB50+[4]PN!AB50+[4]MJ!AB50+'[4]RB I'!AB50+'[4]SF I'!AB50</f>
        <v>897.44833654599995</v>
      </c>
      <c r="AC50" s="226">
        <f>+[4]SLP!AC50+[4]ROSA!AC50+'[4]STA ANA'!AC50+[4]BOA!AC50+'[4]STA MARIA'!AC50+'[4]CB I'!AC50+'[4]CB II'!AC50+'[4]CB III'!AC50+[4]IG!AC50+[4]PN!AC50+[4]MJ!AC50+'[4]RB I'!AC50+'[4]SF I'!AC50</f>
        <v>13546.616335492652</v>
      </c>
      <c r="AD50" s="226">
        <f>+[4]SLP!AD50+[4]ROSA!AD50+'[4]STA ANA'!AD50+[4]BOA!AD50+'[4]STA MARIA'!AD50+'[4]CB I'!AD50+'[4]CB II'!AD50+'[4]CB III'!AD50+[4]IG!AD50+[4]PN!AD50+[4]MJ!AD50+'[4]RB I'!AD50+'[4]SF I'!AD50</f>
        <v>1441.2505954585699</v>
      </c>
      <c r="AE50" s="166">
        <f>+[4]SLP!AE50+[4]ROSA!AE50+'[4]STA ANA'!AE50+[4]BOA!AE50+'[4]STA MARIA'!AE50+'[4]CB I'!AE50+'[4]CB II'!AE50+'[4]CB III'!AE50+[4]IG!AE50+[4]PN!AE50+[4]MJ!AE50+'[4]RB I'!AE50+'[4]SF I'!AE50</f>
        <v>14987.866930951226</v>
      </c>
      <c r="AF50" s="224">
        <f t="shared" si="5"/>
        <v>1.0524956934047318</v>
      </c>
      <c r="AG50" s="225">
        <f>+[4]SLP!AG50+[4]ROSA!AG50+'[4]STA ANA'!AG50+[4]BOA!AG50+'[4]STA MARIA'!AG50+'[4]CB I'!AG50+'[4]CB II'!AG50+'[4]CB III'!AG50+[4]IG!AG50+[4]PN!AG50+[4]MJ!AG50+'[4]RB I'!AG50+'[4]SF I'!AG50</f>
        <v>7302.2647400000005</v>
      </c>
      <c r="AH50" s="226">
        <f>+[4]SLP!AH50+[4]ROSA!AH50+'[4]STA ANA'!AH50+[4]BOA!AH50+'[4]STA MARIA'!AH50+'[4]CB I'!AH50+'[4]CB II'!AH50+'[4]CB III'!AH50+[4]IG!AH50+[4]PN!AH50+[4]MJ!AH50+'[4]RB I'!AH50+'[4]SF I'!AH50</f>
        <v>6404.8164034540005</v>
      </c>
      <c r="AI50" s="226">
        <f>+[4]SLP!AI50+[4]ROSA!AI50+'[4]STA ANA'!AI50+[4]BOA!AI50+'[4]STA MARIA'!AI50+'[4]CB I'!AI50+'[4]CB II'!AI50+'[4]CB III'!AI50+[4]IG!AI50+[4]PN!AI50+[4]MJ!AI50+'[4]RB I'!AI50+'[4]SF I'!AI50</f>
        <v>897.44833654599995</v>
      </c>
      <c r="AJ50" s="226">
        <f>+[4]SLP!AJ50+[4]ROSA!AJ50+'[4]STA ANA'!AJ50+[4]BOA!AJ50+'[4]STA MARIA'!AJ50+'[4]CB I'!AJ50+'[4]CB II'!AJ50+'[4]CB III'!AJ50+[4]IG!AJ50+[4]PN!AJ50+[4]MJ!AJ50+'[4]RB I'!AJ50+'[4]SF I'!AJ50</f>
        <v>5802.9109824239649</v>
      </c>
      <c r="AK50" s="226">
        <f>+[4]SLP!AK50+[4]ROSA!AK50+'[4]STA ANA'!AK50+[4]BOA!AK50+'[4]STA MARIA'!AK50+'[4]CB I'!AK50+'[4]CB II'!AK50+'[4]CB III'!AK50+[4]IG!AK50+[4]PN!AK50+[4]MJ!AK50+'[4]RB I'!AK50+'[4]SF I'!AK50</f>
        <v>653.53870870857997</v>
      </c>
      <c r="AL50" s="166">
        <f>+[4]SLP!AL50+[4]ROSA!AL50+'[4]STA ANA'!AL50+[4]BOA!AL50+'[4]STA MARIA'!AL50+'[4]CB I'!AL50+'[4]CB II'!AL50+'[4]CB III'!AL50+[4]IG!AL50+[4]PN!AL50+[4]MJ!AL50+'[4]RB I'!AL50+'[4]SF I'!AL50</f>
        <v>6456.4496911325441</v>
      </c>
      <c r="AM50" s="224">
        <f t="shared" si="6"/>
        <v>-0.11582914054516413</v>
      </c>
      <c r="AN50" s="225">
        <f>+[4]SLP!AN50+[4]ROSA!AN50+'[4]STA ANA'!AN50+[4]BOA!AN50+'[4]STA MARIA'!AN50+'[4]CB I'!AN50+'[4]CB II'!AN50+'[4]CB III'!AN50+[4]IG!AN50+[4]PN!AN50+[4]MJ!AN50+'[4]RB I'!AN50+'[4]SF I'!AN50</f>
        <v>7302.2647400000005</v>
      </c>
      <c r="AO50" s="226">
        <f>+[4]SLP!AO50+[4]ROSA!AO50+'[4]STA ANA'!AO50+[4]BOA!AO50+'[4]STA MARIA'!AO50+'[4]CB I'!AO50+'[4]CB II'!AO50+'[4]CB III'!AO50+[4]IG!AO50+[4]PN!AO50+[4]MJ!AO50+'[4]RB I'!AO50+'[4]SF I'!AO50</f>
        <v>6404.8164034540005</v>
      </c>
      <c r="AP50" s="226">
        <f>+[4]SLP!AP50+[4]ROSA!AP50+'[4]STA ANA'!AP50+[4]BOA!AP50+'[4]STA MARIA'!AP50+'[4]CB I'!AP50+'[4]CB II'!AP50+'[4]CB III'!AP50+[4]IG!AP50+[4]PN!AP50+[4]MJ!AP50+'[4]RB I'!AP50+'[4]SF I'!AP50</f>
        <v>897.44833654599995</v>
      </c>
      <c r="AQ50" s="226">
        <f>+[4]SLP!AQ50+[4]ROSA!AQ50+'[4]STA ANA'!AQ50+[4]BOA!AQ50+'[4]STA MARIA'!AQ50+'[4]CB I'!AQ50+'[4]CB II'!AQ50+'[4]CB III'!AQ50+[4]IG!AQ50+[4]PN!AQ50+[4]MJ!AQ50+'[4]RB I'!AQ50+'[4]SF I'!AQ50</f>
        <v>0</v>
      </c>
      <c r="AR50" s="226">
        <f>+[4]SLP!AR50+[4]ROSA!AR50+'[4]STA ANA'!AR50+[4]BOA!AR50+'[4]STA MARIA'!AR50+'[4]CB I'!AR50+'[4]CB II'!AR50+'[4]CB III'!AR50+[4]IG!AR50+[4]PN!AR50+[4]MJ!AR50+'[4]RB I'!AR50+'[4]SF I'!AR50</f>
        <v>0</v>
      </c>
      <c r="AS50" s="166">
        <f>+[4]SLP!AS50+[4]ROSA!AS50+'[4]STA ANA'!AS50+[4]BOA!AS50+'[4]STA MARIA'!AS50+'[4]CB I'!AS50+'[4]CB II'!AS50+'[4]CB III'!AS50+[4]IG!AS50+[4]PN!AS50+[4]MJ!AS50+'[4]RB I'!AS50+'[4]SÃO FRANCISCO'!AS50</f>
        <v>0</v>
      </c>
      <c r="AT50" s="224">
        <f t="shared" si="7"/>
        <v>-1</v>
      </c>
      <c r="AU50" s="225">
        <f>+[4]SLP!AU50+[4]ROSA!AU50+'[4]STA ANA'!AU50+[4]BOA!AU50+'[4]STA MARIA'!AU50+'[4]CB I'!AU50+'[4]CB II'!AU50+'[4]CB III'!AU50+[4]IG!AU50+[4]PN!AU50+[4]MJ!AU50+'[4]RB I'!AU50+'[4]SF I'!AU50</f>
        <v>7302.2647400000005</v>
      </c>
      <c r="AV50" s="226">
        <f>+[4]SLP!AV50+[4]ROSA!AV50+'[4]STA ANA'!AV50+[4]BOA!AV50+'[4]STA MARIA'!AV50+'[4]CB I'!AV50+'[4]CB II'!AV50+'[4]CB III'!AV50+[4]IG!AV50+[4]PN!AV50+[4]MJ!AV50+'[4]RB I'!AV50+'[4]SF I'!AV50</f>
        <v>6404.8164034540005</v>
      </c>
      <c r="AW50" s="226">
        <f>+[4]SLP!AW50+[4]ROSA!AW50+'[4]STA ANA'!AW50+[4]BOA!AW50+'[4]STA MARIA'!AW50+'[4]CB I'!AW50+'[4]CB II'!AW50+'[4]CB III'!AW50+[4]IG!AW50+[4]PN!AW50+[4]MJ!AW50+'[4]RB I'!AW50+'[4]SF I'!AW50</f>
        <v>897.44833654599995</v>
      </c>
      <c r="AX50" s="226">
        <f>+[4]SLP!AX50+[4]ROSA!AX50+'[4]STA ANA'!AX50+[4]BOA!AX50+'[4]STA MARIA'!AX50+'[4]CB I'!AX50+'[4]CB II'!AX50+'[4]CB III'!AX50+[4]IG!AX50+[4]PN!AX50+[4]MJ!AX50+'[4]RB I'!AX50+'[4]SF I'!AX50</f>
        <v>0</v>
      </c>
      <c r="AY50" s="226">
        <f>+[4]SLP!AY50+[4]ROSA!AY50+'[4]STA ANA'!AY50+[4]BOA!AY50+'[4]STA MARIA'!AY50+'[4]CB I'!AY50+'[4]CB II'!AY50+'[4]CB III'!AY50+[4]IG!AY50+[4]PN!AY50+[4]MJ!AY50+'[4]RB I'!AY50+'[4]SF I'!AY50</f>
        <v>0</v>
      </c>
      <c r="AZ50" s="166">
        <f>+[4]SLP!AZ50+[4]ROSA!AZ50+'[4]STA ANA'!AZ50+[4]BOA!AZ50+'[4]STA MARIA'!AZ50+'[4]CB I'!AZ50+'[4]CB II'!AZ50+[4]IG!AZ50+[4]PN!AZ50+[4]MJ!AZ50+'[4]RB I'!AZ50+'[4]SÃO FRANCISCO'!AZ50</f>
        <v>0</v>
      </c>
      <c r="BA50" s="224">
        <f t="shared" si="8"/>
        <v>-1</v>
      </c>
      <c r="BB50" s="225">
        <f>+[4]SLP!BB50+[4]ROSA!BB50+'[4]STA ANA'!BB50+[4]BOA!BB50+'[4]STA MARIA'!BB50+'[4]CB I'!BB50+'[4]CB II'!BB50+'[4]CB III'!BB50+[4]IG!BB50+[4]PN!BB50+[4]MJ!BB50+'[4]RB I'!BB50+'[4]SF I'!BB50</f>
        <v>7302.2647400000005</v>
      </c>
      <c r="BC50" s="226">
        <f>+[4]SLP!BC50+[4]ROSA!BC50+'[4]STA ANA'!BC50+[4]BOA!BC50+'[4]STA MARIA'!BC50+'[4]CB I'!BC50+'[4]CB II'!BC50+'[4]CB III'!BC50+[4]IG!BC50+[4]PN!BC50+[4]MJ!BC50+'[4]RB I'!BC50+'[4]SF I'!BC50</f>
        <v>6404.8164034540005</v>
      </c>
      <c r="BD50" s="226">
        <f>+[4]SLP!BD50+[4]ROSA!BD50+'[4]STA ANA'!BD50+[4]BOA!BD50+'[4]STA MARIA'!BD50+'[4]CB I'!BD50+'[4]CB II'!BD50+'[4]CB III'!BD50+[4]IG!BD50+[4]PN!BD50+[4]MJ!BD50+'[4]RB I'!BD50+'[4]SF I'!BD50</f>
        <v>897.44833654599995</v>
      </c>
      <c r="BE50" s="226">
        <f>+[4]SLP!BE50+[4]ROSA!BE50+'[4]STA ANA'!BE50+[4]BOA!BE50+'[4]STA MARIA'!BE50+'[4]CB I'!BE50+'[4]CB II'!BE50+'[4]CB III'!BE50+[4]IG!BE50+[4]PN!BE50+[4]MJ!BE50+'[4]RB I'!BE50+'[4]SF I'!BE50</f>
        <v>0</v>
      </c>
      <c r="BF50" s="226">
        <f>+[4]SLP!BF50+[4]ROSA!BF50+'[4]STA ANA'!BF50+[4]BOA!BF50+'[4]STA MARIA'!BF50+'[4]CB I'!BF50+'[4]CB II'!BF50+'[4]CB III'!BF50+[4]IG!BF50+[4]PN!BF50+[4]MJ!BF50+'[4]RB I'!BF50+'[4]SF I'!BF50</f>
        <v>0</v>
      </c>
      <c r="BG50" s="166">
        <f>+[4]SLP!BG50+[4]ROSA!BG50+'[4]STA ANA'!BG50+[4]BOA!BG50+'[4]STA MARIA'!BG50+'[4]CB I'!BG50+'[4]CB II'!BG50+'[4]CB III'!BG50+[4]IG!BG50+[4]PN!BG50+[4]MJ!BG50+'[4]RB I'!BG50+'[4]SÃO FRANCISCO'!BG50</f>
        <v>0</v>
      </c>
      <c r="BH50" s="224">
        <f t="shared" si="9"/>
        <v>-1</v>
      </c>
      <c r="BI50" s="225">
        <f>+[4]SLP!BI50+[4]ROSA!BI50+'[4]STA ANA'!BI50+[4]BOA!BI50+'[4]STA MARIA'!BI50+'[4]CB I'!BI50+'[4]CB II'!BI50+'[4]CB III'!BI50+[4]IG!BI50+[4]PN!BI50+[4]MJ!BI50+'[4]RB I'!BI50+'[4]SF I'!BI50</f>
        <v>7302.2647400000005</v>
      </c>
      <c r="BJ50" s="226">
        <f>+[4]SLP!BJ50+[4]ROSA!BJ50+'[4]STA ANA'!BJ50+[4]BOA!BJ50+'[4]STA MARIA'!BJ50+'[4]CB I'!BJ50+'[4]CB II'!BJ50+'[4]CB III'!BJ50+[4]IG!BJ50+[4]PN!BJ50+[4]MJ!BJ50+'[4]RB I'!BJ50+'[4]SF I'!BJ50</f>
        <v>6404.8164034540005</v>
      </c>
      <c r="BK50" s="226">
        <f>+[4]SLP!BK50+[4]ROSA!BK50+'[4]STA ANA'!BK50+[4]BOA!BK50+'[4]STA MARIA'!BK50+'[4]CB I'!BK50+'[4]CB II'!BK50+'[4]CB III'!BK50+[4]IG!BK50+[4]PN!BK50+[4]MJ!BK50+'[4]RB I'!BK50+'[4]SF I'!BK50</f>
        <v>897.44833654599995</v>
      </c>
      <c r="BL50" s="226">
        <f>+[4]SLP!BL50+[4]ROSA!BL50+'[4]STA ANA'!BL50+[4]BOA!BL50+'[4]STA MARIA'!BL50+'[4]CB I'!BL50+'[4]CB II'!BL50+'[4]CB III'!BL50+[4]IG!BL50+[4]PN!BL50+[4]MJ!BL50+'[4]RB I'!BL50+'[4]SF I'!BL50</f>
        <v>0</v>
      </c>
      <c r="BM50" s="226">
        <f>+[4]SLP!BM50+[4]ROSA!BM50+'[4]STA ANA'!BM50+[4]BOA!BM50+'[4]STA MARIA'!BM50+'[4]CB I'!BM50+'[4]CB II'!BM50+'[4]CB III'!BM50+[4]IG!BM50+[4]PN!BM50+[4]MJ!BM50+'[4]RB I'!BM50+'[4]SF I'!BM50</f>
        <v>0</v>
      </c>
      <c r="BN50" s="166">
        <f>+[4]SLP!BN50+[4]ROSA!BN50+'[4]STA ANA'!BN50+[4]BOA!BN50+'[4]STA MARIA'!BN50+'[4]CB I'!BN50+'[4]CB II'!BN50+'[4]CB III'!BN50+[4]IG!BN50+[4]PN!BN50+[4]MJ!BN50+'[4]RB I'!BN50+'[4]SÃO FRANCISCO'!BN50</f>
        <v>0</v>
      </c>
      <c r="BO50" s="224">
        <f t="shared" si="10"/>
        <v>-1</v>
      </c>
      <c r="BP50" s="225">
        <f>+[4]SLP!BP50+[4]ROSA!BP50+'[4]STA ANA'!BP50+[4]BOA!BP50+'[4]STA MARIA'!BP50+'[4]CB I'!BP50+'[4]CB II'!BP50+'[4]CB III'!BP50+[4]IG!BP50+[4]PN!BP50+[4]MJ!BP50+'[4]RB I'!BP50+'[4]SF I'!BP50</f>
        <v>7302.2647400000005</v>
      </c>
      <c r="BQ50" s="226">
        <f>+[4]SLP!BQ50+[4]ROSA!BQ50+'[4]STA ANA'!BQ50+[4]BOA!BQ50+'[4]STA MARIA'!BQ50+'[4]CB I'!BQ50+'[4]CB II'!BQ50+'[4]CB III'!BQ50+[4]IG!BQ50+[4]PN!BQ50+[4]MJ!BQ50+'[4]RB I'!BQ50+'[4]SF I'!BQ50</f>
        <v>6404.8164034540005</v>
      </c>
      <c r="BR50" s="226">
        <f>+[4]SLP!BR50+[4]ROSA!BR50+'[4]STA ANA'!BR50+[4]BOA!BR50+'[4]STA MARIA'!BR50+'[4]CB I'!BR50+'[4]CB II'!BR50+'[4]CB III'!BR50+[4]IG!BR50+[4]PN!BR50+[4]MJ!BR50+'[4]RB I'!BR50+'[4]SF I'!BR50</f>
        <v>897.44833654599995</v>
      </c>
      <c r="BS50" s="226">
        <f>+[4]SLP!BS50+[4]ROSA!BS50+'[4]STA ANA'!BS50+[4]BOA!BS50+'[4]STA MARIA'!BS50+'[4]CB I'!BS50+'[4]CB II'!BS50+'[4]CB III'!BS50+[4]IG!BS50+[4]PN!BS50+[4]MJ!BS50+'[4]RB I'!BS50+'[4]SF I'!BS50</f>
        <v>0</v>
      </c>
      <c r="BT50" s="226">
        <f>+[4]SLP!BT50+[4]ROSA!BT50+'[4]STA ANA'!BT50+[4]BOA!BT50+'[4]STA MARIA'!BT50+'[4]CB I'!BT50+'[4]CB II'!BT50+'[4]CB III'!BT50+[4]IG!BT50+[4]PN!BT50+[4]MJ!BT50+'[4]RB I'!BT50+'[4]SF I'!BT50</f>
        <v>0</v>
      </c>
      <c r="BU50" s="166">
        <f>+[4]SLP!BU50+[4]ROSA!BU50+'[4]STA ANA'!BU50+[4]BOA!BU50+'[4]STA MARIA'!BU50+'[4]CB I'!BU50+'[4]CB II'!BU50+'[4]CB III'!BU50+[4]IG!BU50+[4]PN!BU50+[4]MJ!BU50+'[4]RB I'!BU50+'[4]SÃO FRANCISCO'!BU50</f>
        <v>0</v>
      </c>
      <c r="BV50" s="224">
        <f t="shared" si="11"/>
        <v>-1</v>
      </c>
      <c r="BW50" s="225">
        <f>+[4]SLP!BW50+[4]ROSA!BW50+'[4]STA ANA'!BW50+[4]BOA!BW50+'[4]STA MARIA'!BW50+'[4]CB I'!BW50+'[4]CB II'!BW50+'[4]CB III'!BW50+[4]IG!BW50+[4]PN!BW50+[4]MJ!BW50+'[4]RB I'!BW50+'[4]SF I'!BW50</f>
        <v>7302.2647400000005</v>
      </c>
      <c r="BX50" s="226">
        <f>+[4]SLP!BX50+[4]ROSA!BX50+'[4]STA ANA'!BX50+[4]BOA!BX50+'[4]STA MARIA'!BX50+'[4]CB I'!BX50+'[4]CB II'!BX50+'[4]CB III'!BX50+[4]IG!BX50+[4]PN!BX50+[4]MJ!BX50+'[4]RB I'!BX50+'[4]SF I'!BX50</f>
        <v>6404.8164034540005</v>
      </c>
      <c r="BY50" s="226">
        <f>+[4]SLP!BY50+[4]ROSA!BY50+'[4]STA ANA'!BY50+[4]BOA!BY50+'[4]STA MARIA'!BY50+'[4]CB I'!BY50+'[4]CB II'!BY50+'[4]CB III'!BY50+[4]IG!BY50+[4]PN!BY50+[4]MJ!BY50+'[4]RB I'!BY50+'[4]SF I'!BY50</f>
        <v>897.44833654599995</v>
      </c>
      <c r="BZ50" s="226">
        <f>+[4]SLP!BZ50+[4]ROSA!BZ50+'[4]STA ANA'!BZ50+[4]BOA!BZ50+'[4]STA MARIA'!BZ50+'[4]CB I'!BZ50+'[4]CB II'!BZ50+'[4]CB III'!BZ50+[4]IG!BZ50+[4]PN!BZ50+[4]MJ!BZ50+'[4]RB I'!BZ50+'[4]SF I'!BZ50</f>
        <v>0</v>
      </c>
      <c r="CA50" s="226">
        <f>+[4]SLP!CA50+[4]ROSA!CA50+'[4]STA ANA'!CA50+[4]BOA!CA50+'[4]STA MARIA'!CA50+'[4]CB I'!CA50+'[4]CB II'!CA50+'[4]CB III'!CA50+[4]IG!CA50+[4]PN!CA50+[4]MJ!CA50+'[4]RB I'!CA50+'[4]SF I'!CA50</f>
        <v>0</v>
      </c>
      <c r="CB50" s="166">
        <f>+[4]SLP!CB50+[4]ROSA!CB50+'[4]STA ANA'!CB50+[4]BOA!CB50+'[4]STA MARIA'!CB50+'[4]CB I'!CB50+'[4]CB II'!CB50+'[4]CB III'!CB50+[4]IG!CB50+[4]PN!CB50+[4]MJ!CB50+'[4]RB I'!CB50+'[4]SÃO FRANCISCO'!CB50</f>
        <v>0</v>
      </c>
      <c r="CC50" s="224">
        <f t="shared" si="12"/>
        <v>-1</v>
      </c>
      <c r="CD50" s="225">
        <f>+[4]SLP!CD50+[4]ROSA!CD50+'[4]STA ANA'!CD50+[4]BOA!CD50+'[4]STA MARIA'!CD50+'[4]CB I'!CD50+'[4]CB II'!CD50+'[4]CB III'!CD50+[4]IG!CD50+[4]PN!CD50+[4]MJ!CD50+'[4]RB I'!CD50+'[4]SF I'!CD50</f>
        <v>7302.2647400000005</v>
      </c>
      <c r="CE50" s="226">
        <f>+[4]SLP!CE50+[4]ROSA!CE50+'[4]STA ANA'!CE50+[4]BOA!CE50+'[4]STA MARIA'!CE50+'[4]CB I'!CE50+'[4]CB II'!CE50+'[4]CB III'!CE50+[4]IG!CE50+[4]PN!CE50+[4]MJ!CE50+'[4]RB I'!CE50+'[4]SF I'!CE50</f>
        <v>6404.8164034540005</v>
      </c>
      <c r="CF50" s="226">
        <f>+[4]SLP!CF50+[4]ROSA!CF50+'[4]STA ANA'!CF50+[4]BOA!CF50+'[4]STA MARIA'!CF50+'[4]CB I'!CF50+'[4]CB II'!CF50+'[4]CB III'!CF50+[4]IG!CF50+[4]PN!CF50+[4]MJ!CF50+'[4]RB I'!CF50+'[4]SF I'!CF50</f>
        <v>897.44833654599995</v>
      </c>
      <c r="CG50" s="226">
        <f>+[4]SLP!CG50+[4]ROSA!CG50+'[4]STA ANA'!CG50+[4]BOA!CG50+'[4]STA MARIA'!CG50+'[4]CB I'!CG50+'[4]CB II'!CG50+'[4]CB III'!CG50+[4]IG!CG50+[4]PN!CG50+[4]MJ!CG50+'[4]RB I'!CG50+'[4]SF I'!CG50</f>
        <v>0</v>
      </c>
      <c r="CH50" s="226">
        <f>+[4]SLP!CH50+[4]ROSA!CH50+'[4]STA ANA'!CH50+[4]BOA!CH50+'[4]STA MARIA'!CH50+'[4]CB I'!CH50+'[4]CB II'!CH50+'[4]CB III'!CH50+[4]IG!CH50+[4]PN!CH50+[4]MJ!CH50+'[4]RB I'!CH50+'[4]SF I'!CH50</f>
        <v>0</v>
      </c>
      <c r="CI50" s="166">
        <f>+[4]SLP!CI50+[4]ROSA!CI50+'[4]STA ANA'!CI50+[4]BOA!CI50+'[4]STA MARIA'!CI50+'[4]CB I'!CI50+'[4]CB II'!CI50+'[4]CB III'!CI50+[4]IG!CI50+[4]PN!CI50+[4]MJ!CI50+'[4]RB I'!CI50+'[4]SÃO FRANCISCO'!CI50</f>
        <v>0</v>
      </c>
      <c r="CJ50" s="224">
        <f t="shared" si="13"/>
        <v>-1</v>
      </c>
      <c r="CK50" s="225">
        <f>+[4]SLP!CK50+[4]ROSA!CK50+'[4]STA ANA'!CK50+[4]BOA!CK50+'[4]STA MARIA'!CK50+'[4]CB I'!CK50+'[4]CB II'!CK50+'[4]CB III'!CK50+[4]IG!CK50+[4]PN!CK50+[4]MJ!CK50+'[4]RB I'!CK50+'[4]SF I'!CK50</f>
        <v>7302.2647400000005</v>
      </c>
      <c r="CL50" s="226">
        <f>+[4]SLP!CL50+[4]ROSA!CL50+'[4]STA ANA'!CL50+[4]BOA!CL50+'[4]STA MARIA'!CL50+'[4]CB I'!CL50+'[4]CB II'!CL50+'[4]CB III'!CL50+[4]IG!CL50+[4]PN!CL50+[4]MJ!CL50+'[4]RB I'!CL50+'[4]SF I'!CL50</f>
        <v>6404.8164034540005</v>
      </c>
      <c r="CM50" s="226">
        <f>+[4]SLP!CM50+[4]ROSA!CM50+'[4]STA ANA'!CM50+[4]BOA!CM50+'[4]STA MARIA'!CM50+'[4]CB I'!CM50+'[4]CB II'!CM50+'[4]CB III'!CM50+[4]IG!CM50+[4]PN!CM50+[4]MJ!CM50+'[4]RB I'!CM50+'[4]SF I'!CM50</f>
        <v>897.44833654599995</v>
      </c>
      <c r="CN50" s="226">
        <f>+[4]SLP!CN50+[4]ROSA!CN50+'[4]STA ANA'!CN50+[4]BOA!CN50+'[4]STA MARIA'!CN50+'[4]CB I'!CN50+'[4]CB II'!CN50+'[4]CB III'!CN50+[4]IG!CN50+[4]PN!CN50+[4]MJ!CN50+'[4]RB I'!CN50+'[4]SF I'!CN50</f>
        <v>0</v>
      </c>
      <c r="CO50" s="226">
        <f>+[4]SLP!CO50+[4]ROSA!CO50+'[4]STA ANA'!CO50+[4]BOA!CO50+'[4]STA MARIA'!CO50+'[4]CB I'!CO50+'[4]CB II'!CO50+'[4]CB III'!CO50+[4]IG!CO50+[4]PN!CO50+[4]MJ!CO50+'[4]RB I'!CO50+'[4]SF I'!CO50</f>
        <v>0</v>
      </c>
      <c r="CP50" s="166">
        <f>+[4]SLP!CP50+[4]ROSA!CP50+'[4]STA ANA'!CP50+[4]BOA!CP50+'[4]STA MARIA'!CP50+'[4]CB I'!CP50+'[4]CB II'!CP50+'[4]CB III'!CP50+[4]IG!CP50+[4]PN!CP50+[4]MJ!CP50+'[4]RB I'!CP50+'[4]SÃO FRANCISCO'!CP50</f>
        <v>0</v>
      </c>
      <c r="CQ50" s="224">
        <f t="shared" si="14"/>
        <v>-1</v>
      </c>
      <c r="CR50" s="155"/>
      <c r="CS50" s="227" t="e">
        <f t="shared" si="15"/>
        <v>#VALUE!</v>
      </c>
    </row>
    <row r="51" spans="1:101" ht="16" customHeight="1" x14ac:dyDescent="0.2">
      <c r="A51" s="223" t="s">
        <v>75</v>
      </c>
      <c r="B51" s="30">
        <f t="shared" si="17"/>
        <v>65861.743483079976</v>
      </c>
      <c r="C51" s="31">
        <f t="shared" si="17"/>
        <v>57767.335209009449</v>
      </c>
      <c r="D51" s="32">
        <f t="shared" si="17"/>
        <v>8094.4082740705308</v>
      </c>
      <c r="E51" s="30">
        <f t="shared" si="19"/>
        <v>21953.914494359997</v>
      </c>
      <c r="F51" s="33">
        <f t="shared" si="19"/>
        <v>19255.778403003154</v>
      </c>
      <c r="G51" s="34">
        <f t="shared" si="19"/>
        <v>2698.1360913568442</v>
      </c>
      <c r="H51" s="31">
        <f t="shared" si="18"/>
        <v>20028.593909780531</v>
      </c>
      <c r="I51" s="33">
        <f t="shared" si="18"/>
        <v>2270.7285782330036</v>
      </c>
      <c r="J51" s="33">
        <f t="shared" si="18"/>
        <v>22299.322488013539</v>
      </c>
      <c r="K51" s="224">
        <f t="shared" si="2"/>
        <v>1.5733321442163772E-2</v>
      </c>
      <c r="L51" s="225">
        <f>+[4]SLP!L51+[4]ROSA!L51+'[4]STA ANA'!L51+[4]BOA!L51+'[4]STA MARIA'!L51+'[4]CB I'!L51+'[4]CB II'!L51+'[4]CB III'!L51+[4]IG!L51+[4]PN!L51+[4]MJ!L51+'[4]RB I'!L51+'[4]SF I'!L51</f>
        <v>5488.4786235899992</v>
      </c>
      <c r="M51" s="226">
        <f>+[4]SLP!M51+[4]ROSA!M51+'[4]STA ANA'!M51+[4]BOA!M51+'[4]STA MARIA'!M51+'[4]CB I'!M51+'[4]CB II'!M51+'[4]CB III'!M51+[4]IG!M51+[4]PN!M51+[4]MJ!M51+'[4]RB I'!M51+'[4]SF I'!M51</f>
        <v>4813.9446007507886</v>
      </c>
      <c r="N51" s="226">
        <f>+[4]SLP!N51+[4]ROSA!N51+'[4]STA ANA'!N51+[4]BOA!N51+'[4]STA MARIA'!N51+'[4]CB I'!N51+'[4]CB II'!N51+'[4]CB III'!N51+[4]IG!N51+[4]PN!N51+[4]MJ!N51+'[4]RB I'!N51+'[4]SF I'!N51</f>
        <v>674.53402283921105</v>
      </c>
      <c r="O51" s="226">
        <f>+[4]SLP!O51+[4]ROSA!O51+'[4]STA ANA'!O51+[4]BOA!O51+'[4]STA MARIA'!O51+'[4]CB I'!O51+'[4]CB II'!O51+'[4]CB III'!O51+[4]IG!O51+[4]PN!O51+[4]MJ!O51+'[4]RB I'!O51+'[4]SF I'!O51</f>
        <v>4942.6478478339759</v>
      </c>
      <c r="P51" s="226">
        <f>+[4]SLP!P51+[4]ROSA!P51+'[4]STA ANA'!P51+[4]BOA!P51+'[4]STA MARIA'!P51+'[4]CB I'!P51+'[4]CB II'!P51+'[4]CB III'!P51+[4]IG!P51+[4]PN!P51+[4]MJ!P51+'[4]RB I'!P51+'[4]SF I'!P51</f>
        <v>571.69148183818527</v>
      </c>
      <c r="Q51" s="166">
        <f>+[4]SLP!Q51+[4]ROSA!Q51+'[4]STA ANA'!Q51+[4]BOA!Q51+'[4]STA MARIA'!Q51+'[4]CB I'!Q51+'[4]CB II'!Q51+'[4]CB III'!Q51+[4]IG!Q51+[4]PN!Q51+[4]MJ!Q51+'[4]RB I'!Q51+'[4]SF I'!Q51</f>
        <v>5514.3393296721624</v>
      </c>
      <c r="R51" s="224">
        <f t="shared" si="3"/>
        <v>4.7118168541300243E-3</v>
      </c>
      <c r="S51" s="225">
        <f>+[4]SLP!S51+[4]ROSA!S51+'[4]STA ANA'!S51+[4]BOA!S51+'[4]STA MARIA'!S51+'[4]CB I'!S51+'[4]CB II'!S51+'[4]CB III'!S51+[4]IG!S51+[4]PN!S51+[4]MJ!S51+'[4]RB I'!S51+'[4]SF I'!S51</f>
        <v>5488.4786235899992</v>
      </c>
      <c r="T51" s="226">
        <f>+[4]SLP!T51+[4]ROSA!T51+'[4]STA ANA'!T51+[4]BOA!T51+'[4]STA MARIA'!T51+'[4]CB I'!T51+'[4]CB II'!T51+'[4]CB III'!T51+[4]IG!T51+[4]PN!T51+[4]MJ!T51+'[4]RB I'!T51+'[4]SF I'!T51</f>
        <v>4813.9446007507886</v>
      </c>
      <c r="U51" s="226">
        <f>+[4]SLP!U51+[4]ROSA!U51+'[4]STA ANA'!U51+[4]BOA!U51+'[4]STA MARIA'!U51+'[4]CB I'!U51+'[4]CB II'!U51+'[4]CB III'!U51+[4]IG!U51+[4]PN!U51+[4]MJ!U51+'[4]RB I'!U51+'[4]SF I'!U51</f>
        <v>674.53402283921105</v>
      </c>
      <c r="V51" s="226">
        <f>+[4]SLP!V51+[4]ROSA!V51+'[4]STA ANA'!V51+[4]BOA!V51+'[4]STA MARIA'!V51+'[4]CB I'!V51+'[4]CB II'!V51+'[4]CB III'!V51+[4]IG!V51+[4]PN!V51+[4]MJ!V51+'[4]RB I'!V51+'[4]SF I'!V51</f>
        <v>4758.2759126703249</v>
      </c>
      <c r="W51" s="226">
        <f>+[4]SLP!W51+[4]ROSA!W51+'[4]STA ANA'!W51+[4]BOA!W51+'[4]STA MARIA'!W51+'[4]CB I'!W51+'[4]CB II'!W51+'[4]CB III'!W51+[4]IG!W51+[4]PN!W51+[4]MJ!W51+'[4]RB I'!W51+'[4]SF I'!W51</f>
        <v>535.89562791693788</v>
      </c>
      <c r="X51" s="166">
        <f>[4]SLP!X51+[4]ROSA!X51+'[4]STA ANA'!X51+[4]BOA!X51+'[4]STA MARIA'!X51+'[4]CB I'!X51+'[4]CB II'!X51+'[4]CB III'!X51+[4]IG!X51+[4]PN!X51+[4]MJ!X51+'[4]RB I'!X51+'[4]SF I'!X51</f>
        <v>5294.1715405872637</v>
      </c>
      <c r="Y51" s="224">
        <f t="shared" si="4"/>
        <v>-3.5402722016185884E-2</v>
      </c>
      <c r="Z51" s="225">
        <f>+[4]SLP!Z51+[4]ROSA!Z51+'[4]STA ANA'!Z51+[4]BOA!Z51+'[4]STA MARIA'!Z51+'[4]CB I'!Z51+'[4]CB II'!Z51+'[4]CB III'!Z51+[4]IG!Z51+[4]PN!Z51+[4]MJ!Z51+'[4]RB I'!Z51+'[4]SF I'!Z51</f>
        <v>5488.4786235899992</v>
      </c>
      <c r="AA51" s="226">
        <f>+[4]SLP!AA51+[4]ROSA!AA51+'[4]STA ANA'!AA51+[4]BOA!AA51+'[4]STA MARIA'!AA51+'[4]CB I'!AA51+'[4]CB II'!AA51+'[4]CB III'!AA51+[4]IG!AA51+[4]PN!AA51+[4]MJ!AA51+'[4]RB I'!AA51+'[4]SF I'!AA51</f>
        <v>4813.9446007507886</v>
      </c>
      <c r="AB51" s="226">
        <f>+[4]SLP!AB51+[4]ROSA!AB51+'[4]STA ANA'!AB51+[4]BOA!AB51+'[4]STA MARIA'!AB51+'[4]CB I'!AB51+'[4]CB II'!AB51+'[4]CB III'!AB51+[4]IG!AB51+[4]PN!AB51+[4]MJ!AB51+'[4]RB I'!AB51+'[4]SF I'!AB51</f>
        <v>674.53402283921105</v>
      </c>
      <c r="AC51" s="226">
        <f>+[4]SLP!AC51+[4]ROSA!AC51+'[4]STA ANA'!AC51+[4]BOA!AC51+'[4]STA MARIA'!AC51+'[4]CB I'!AC51+'[4]CB II'!AC51+'[4]CB III'!AC51+[4]IG!AC51+[4]PN!AC51+[4]MJ!AC51+'[4]RB I'!AC51+'[4]SF I'!AC51</f>
        <v>4425.5951651073092</v>
      </c>
      <c r="AD51" s="226">
        <f>+[4]SLP!AD51+[4]ROSA!AD51+'[4]STA ANA'!AD51+[4]BOA!AD51+'[4]STA MARIA'!AD51+'[4]CB I'!AD51+'[4]CB II'!AD51+'[4]CB III'!AD51+[4]IG!AD51+[4]PN!AD51+[4]MJ!AD51+'[4]RB I'!AD51+'[4]SF I'!AD51</f>
        <v>498.42741777044574</v>
      </c>
      <c r="AE51" s="166">
        <f>+[4]SLP!AE51+[4]ROSA!AE51+'[4]STA ANA'!AE51+[4]BOA!AE51+'[4]STA MARIA'!AE51+'[4]CB I'!AE51+'[4]CB II'!AE51+'[4]CB III'!AE51+[4]IG!AE51+[4]PN!AE51+[4]MJ!AE51+'[4]RB I'!AE51+'[4]SF I'!AE51</f>
        <v>4924.0225828777548</v>
      </c>
      <c r="AF51" s="224">
        <f t="shared" si="5"/>
        <v>-0.1028438078060756</v>
      </c>
      <c r="AG51" s="225">
        <f>+[4]SLP!AG51+[4]ROSA!AG51+'[4]STA ANA'!AG51+[4]BOA!AG51+'[4]STA MARIA'!AG51+'[4]CB I'!AG51+'[4]CB II'!AG51+'[4]CB III'!AG51+[4]IG!AG51+[4]PN!AG51+[4]MJ!AG51+'[4]RB I'!AG51+'[4]SF I'!AG51</f>
        <v>5488.4786235899992</v>
      </c>
      <c r="AH51" s="226">
        <f>+[4]SLP!AH51+[4]ROSA!AH51+'[4]STA ANA'!AH51+[4]BOA!AH51+'[4]STA MARIA'!AH51+'[4]CB I'!AH51+'[4]CB II'!AH51+'[4]CB III'!AH51+[4]IG!AH51+[4]PN!AH51+[4]MJ!AH51+'[4]RB I'!AH51+'[4]SF I'!AH51</f>
        <v>4813.9446007507886</v>
      </c>
      <c r="AI51" s="226">
        <f>+[4]SLP!AI51+[4]ROSA!AI51+'[4]STA ANA'!AI51+[4]BOA!AI51+'[4]STA MARIA'!AI51+'[4]CB I'!AI51+'[4]CB II'!AI51+'[4]CB III'!AI51+[4]IG!AI51+[4]PN!AI51+[4]MJ!AI51+'[4]RB I'!AI51+'[4]SF I'!AI51</f>
        <v>674.53402283921105</v>
      </c>
      <c r="AJ51" s="226">
        <f>+[4]SLP!AJ51+[4]ROSA!AJ51+'[4]STA ANA'!AJ51+[4]BOA!AJ51+'[4]STA MARIA'!AJ51+'[4]CB I'!AJ51+'[4]CB II'!AJ51+'[4]CB III'!AJ51+[4]IG!AJ51+[4]PN!AJ51+[4]MJ!AJ51+'[4]RB I'!AJ51+'[4]SF I'!AJ51</f>
        <v>5902.074984168923</v>
      </c>
      <c r="AK51" s="226">
        <f>+[4]SLP!AK51+[4]ROSA!AK51+'[4]STA ANA'!AK51+[4]BOA!AK51+'[4]STA MARIA'!AK51+'[4]CB I'!AK51+'[4]CB II'!AK51+'[4]CB III'!AK51+[4]IG!AK51+[4]PN!AK51+[4]MJ!AK51+'[4]RB I'!AK51+'[4]SF I'!AK51</f>
        <v>664.71405070743481</v>
      </c>
      <c r="AL51" s="166">
        <f>+[4]SLP!AL51+[4]ROSA!AL51+'[4]STA ANA'!AL51+[4]BOA!AL51+'[4]STA MARIA'!AL51+'[4]CB I'!AL51+'[4]CB II'!AL51+'[4]CB III'!AL51+[4]IG!AL51+[4]PN!AL51+[4]MJ!AL51+'[4]RB I'!AL51+'[4]SF I'!AL51</f>
        <v>6566.7890348763585</v>
      </c>
      <c r="AM51" s="224">
        <f t="shared" si="6"/>
        <v>0.19646799873678633</v>
      </c>
      <c r="AN51" s="225">
        <f>+[4]SLP!AN51+[4]ROSA!AN51+'[4]STA ANA'!AN51+[4]BOA!AN51+'[4]STA MARIA'!AN51+'[4]CB I'!AN51+'[4]CB II'!AN51+'[4]CB III'!AN51+[4]IG!AN51+[4]PN!AN51+[4]MJ!AN51+'[4]RB I'!AN51+'[4]SF I'!AN51</f>
        <v>5488.4786235899992</v>
      </c>
      <c r="AO51" s="226">
        <f>+[4]SLP!AO51+[4]ROSA!AO51+'[4]STA ANA'!AO51+[4]BOA!AO51+'[4]STA MARIA'!AO51+'[4]CB I'!AO51+'[4]CB II'!AO51+'[4]CB III'!AO51+[4]IG!AO51+[4]PN!AO51+[4]MJ!AO51+'[4]RB I'!AO51+'[4]SF I'!AO51</f>
        <v>4813.9446007507886</v>
      </c>
      <c r="AP51" s="226">
        <f>+[4]SLP!AP51+[4]ROSA!AP51+'[4]STA ANA'!AP51+[4]BOA!AP51+'[4]STA MARIA'!AP51+'[4]CB I'!AP51+'[4]CB II'!AP51+'[4]CB III'!AP51+[4]IG!AP51+[4]PN!AP51+[4]MJ!AP51+'[4]RB I'!AP51+'[4]SF I'!AP51</f>
        <v>674.53402283921105</v>
      </c>
      <c r="AQ51" s="226">
        <f>+[4]SLP!AQ51+[4]ROSA!AQ51+'[4]STA ANA'!AQ51+[4]BOA!AQ51+'[4]STA MARIA'!AQ51+'[4]CB I'!AQ51+'[4]CB II'!AQ51+'[4]CB III'!AQ51+[4]IG!AQ51+[4]PN!AQ51+[4]MJ!AQ51+'[4]RB I'!AQ51+'[4]SF I'!AQ51</f>
        <v>0</v>
      </c>
      <c r="AR51" s="226">
        <f>+[4]SLP!AR51+[4]ROSA!AR51+'[4]STA ANA'!AR51+[4]BOA!AR51+'[4]STA MARIA'!AR51+'[4]CB I'!AR51+'[4]CB II'!AR51+'[4]CB III'!AR51+[4]IG!AR51+[4]PN!AR51+[4]MJ!AR51+'[4]RB I'!AR51+'[4]SF I'!AR51</f>
        <v>0</v>
      </c>
      <c r="AS51" s="166">
        <f>+[4]SLP!AS51+[4]ROSA!AS51+'[4]STA ANA'!AS51+[4]BOA!AS51+'[4]STA MARIA'!AS51+'[4]CB I'!AS51+'[4]CB II'!AS51+'[4]CB III'!AS51+[4]IG!AS51+[4]PN!AS51+[4]MJ!AS51+'[4]RB I'!AS51+'[4]SÃO FRANCISCO'!AS51</f>
        <v>0</v>
      </c>
      <c r="AT51" s="224">
        <f t="shared" si="7"/>
        <v>-1</v>
      </c>
      <c r="AU51" s="225">
        <f>+[4]SLP!AU51+[4]ROSA!AU51+'[4]STA ANA'!AU51+[4]BOA!AU51+'[4]STA MARIA'!AU51+'[4]CB I'!AU51+'[4]CB II'!AU51+'[4]CB III'!AU51+[4]IG!AU51+[4]PN!AU51+[4]MJ!AU51+'[4]RB I'!AU51+'[4]SF I'!AU51</f>
        <v>5488.4786235899992</v>
      </c>
      <c r="AV51" s="226">
        <f>+[4]SLP!AV51+[4]ROSA!AV51+'[4]STA ANA'!AV51+[4]BOA!AV51+'[4]STA MARIA'!AV51+'[4]CB I'!AV51+'[4]CB II'!AV51+'[4]CB III'!AV51+[4]IG!AV51+[4]PN!AV51+[4]MJ!AV51+'[4]RB I'!AV51+'[4]SF I'!AV51</f>
        <v>4813.9446007507886</v>
      </c>
      <c r="AW51" s="226">
        <f>+[4]SLP!AW51+[4]ROSA!AW51+'[4]STA ANA'!AW51+[4]BOA!AW51+'[4]STA MARIA'!AW51+'[4]CB I'!AW51+'[4]CB II'!AW51+'[4]CB III'!AW51+[4]IG!AW51+[4]PN!AW51+[4]MJ!AW51+'[4]RB I'!AW51+'[4]SF I'!AW51</f>
        <v>674.53402283921105</v>
      </c>
      <c r="AX51" s="226">
        <f>+[4]SLP!AX51+[4]ROSA!AX51+'[4]STA ANA'!AX51+[4]BOA!AX51+'[4]STA MARIA'!AX51+'[4]CB I'!AX51+'[4]CB II'!AX51+'[4]CB III'!AX51+[4]IG!AX51+[4]PN!AX51+[4]MJ!AX51+'[4]RB I'!AX51+'[4]SF I'!AX51</f>
        <v>0</v>
      </c>
      <c r="AY51" s="226">
        <f>+[4]SLP!AY51+[4]ROSA!AY51+'[4]STA ANA'!AY51+[4]BOA!AY51+'[4]STA MARIA'!AY51+'[4]CB I'!AY51+'[4]CB II'!AY51+'[4]CB III'!AY51+[4]IG!AY51+[4]PN!AY51+[4]MJ!AY51+'[4]RB I'!AY51+'[4]SF I'!AY51</f>
        <v>0</v>
      </c>
      <c r="AZ51" s="166">
        <f>+[4]SLP!AZ51+[4]ROSA!AZ51+'[4]STA ANA'!AZ51+[4]BOA!AZ51+'[4]STA MARIA'!AZ51+'[4]CB I'!AZ51+'[4]CB II'!AZ51+[4]IG!AZ51+[4]PN!AZ51+[4]MJ!AZ51+'[4]RB I'!AZ51+'[4]SÃO FRANCISCO'!AZ51</f>
        <v>0</v>
      </c>
      <c r="BA51" s="224">
        <f t="shared" si="8"/>
        <v>-1</v>
      </c>
      <c r="BB51" s="225">
        <f>+[4]SLP!BB51+[4]ROSA!BB51+'[4]STA ANA'!BB51+[4]BOA!BB51+'[4]STA MARIA'!BB51+'[4]CB I'!BB51+'[4]CB II'!BB51+'[4]CB III'!BB51+[4]IG!BB51+[4]PN!BB51+[4]MJ!BB51+'[4]RB I'!BB51+'[4]SF I'!BB51</f>
        <v>5488.4786235899992</v>
      </c>
      <c r="BC51" s="226">
        <f>+[4]SLP!BC51+[4]ROSA!BC51+'[4]STA ANA'!BC51+[4]BOA!BC51+'[4]STA MARIA'!BC51+'[4]CB I'!BC51+'[4]CB II'!BC51+'[4]CB III'!BC51+[4]IG!BC51+[4]PN!BC51+[4]MJ!BC51+'[4]RB I'!BC51+'[4]SF I'!BC51</f>
        <v>4813.9446007507886</v>
      </c>
      <c r="BD51" s="226">
        <f>+[4]SLP!BD51+[4]ROSA!BD51+'[4]STA ANA'!BD51+[4]BOA!BD51+'[4]STA MARIA'!BD51+'[4]CB I'!BD51+'[4]CB II'!BD51+'[4]CB III'!BD51+[4]IG!BD51+[4]PN!BD51+[4]MJ!BD51+'[4]RB I'!BD51+'[4]SF I'!BD51</f>
        <v>674.53402283921105</v>
      </c>
      <c r="BE51" s="226">
        <f>+[4]SLP!BE51+[4]ROSA!BE51+'[4]STA ANA'!BE51+[4]BOA!BE51+'[4]STA MARIA'!BE51+'[4]CB I'!BE51+'[4]CB II'!BE51+'[4]CB III'!BE51+[4]IG!BE51+[4]PN!BE51+[4]MJ!BE51+'[4]RB I'!BE51+'[4]SF I'!BE51</f>
        <v>0</v>
      </c>
      <c r="BF51" s="226">
        <f>+[4]SLP!BF51+[4]ROSA!BF51+'[4]STA ANA'!BF51+[4]BOA!BF51+'[4]STA MARIA'!BF51+'[4]CB I'!BF51+'[4]CB II'!BF51+'[4]CB III'!BF51+[4]IG!BF51+[4]PN!BF51+[4]MJ!BF51+'[4]RB I'!BF51+'[4]SF I'!BF51</f>
        <v>0</v>
      </c>
      <c r="BG51" s="166">
        <f>+[4]SLP!BG51+[4]ROSA!BG51+'[4]STA ANA'!BG51+[4]BOA!BG51+'[4]STA MARIA'!BG51+'[4]CB I'!BG51+'[4]CB II'!BG51+'[4]CB III'!BG51+[4]IG!BG51+[4]PN!BG51+[4]MJ!BG51+'[4]RB I'!BG51+'[4]SÃO FRANCISCO'!BG51</f>
        <v>0</v>
      </c>
      <c r="BH51" s="224">
        <f t="shared" si="9"/>
        <v>-1</v>
      </c>
      <c r="BI51" s="225">
        <f>+[4]SLP!BI51+[4]ROSA!BI51+'[4]STA ANA'!BI51+[4]BOA!BI51+'[4]STA MARIA'!BI51+'[4]CB I'!BI51+'[4]CB II'!BI51+'[4]CB III'!BI51+[4]IG!BI51+[4]PN!BI51+[4]MJ!BI51+'[4]RB I'!BI51+'[4]SF I'!BI51</f>
        <v>5488.4786235899992</v>
      </c>
      <c r="BJ51" s="226">
        <f>+[4]SLP!BJ51+[4]ROSA!BJ51+'[4]STA ANA'!BJ51+[4]BOA!BJ51+'[4]STA MARIA'!BJ51+'[4]CB I'!BJ51+'[4]CB II'!BJ51+'[4]CB III'!BJ51+[4]IG!BJ51+[4]PN!BJ51+[4]MJ!BJ51+'[4]RB I'!BJ51+'[4]SF I'!BJ51</f>
        <v>4813.9446007507886</v>
      </c>
      <c r="BK51" s="226">
        <f>+[4]SLP!BK51+[4]ROSA!BK51+'[4]STA ANA'!BK51+[4]BOA!BK51+'[4]STA MARIA'!BK51+'[4]CB I'!BK51+'[4]CB II'!BK51+'[4]CB III'!BK51+[4]IG!BK51+[4]PN!BK51+[4]MJ!BK51+'[4]RB I'!BK51+'[4]SF I'!BK51</f>
        <v>674.53402283921105</v>
      </c>
      <c r="BL51" s="226">
        <f>+[4]SLP!BL51+[4]ROSA!BL51+'[4]STA ANA'!BL51+[4]BOA!BL51+'[4]STA MARIA'!BL51+'[4]CB I'!BL51+'[4]CB II'!BL51+'[4]CB III'!BL51+[4]IG!BL51+[4]PN!BL51+[4]MJ!BL51+'[4]RB I'!BL51+'[4]SF I'!BL51</f>
        <v>0</v>
      </c>
      <c r="BM51" s="226">
        <f>+[4]SLP!BM51+[4]ROSA!BM51+'[4]STA ANA'!BM51+[4]BOA!BM51+'[4]STA MARIA'!BM51+'[4]CB I'!BM51+'[4]CB II'!BM51+'[4]CB III'!BM51+[4]IG!BM51+[4]PN!BM51+[4]MJ!BM51+'[4]RB I'!BM51+'[4]SF I'!BM51</f>
        <v>0</v>
      </c>
      <c r="BN51" s="166">
        <f>+[4]SLP!BN51+[4]ROSA!BN51+'[4]STA ANA'!BN51+[4]BOA!BN51+'[4]STA MARIA'!BN51+'[4]CB I'!BN51+'[4]CB II'!BN51+'[4]CB III'!BN51+[4]IG!BN51+[4]PN!BN51+[4]MJ!BN51+'[4]RB I'!BN51+'[4]SÃO FRANCISCO'!BN51</f>
        <v>0</v>
      </c>
      <c r="BO51" s="224">
        <f t="shared" si="10"/>
        <v>-1</v>
      </c>
      <c r="BP51" s="225">
        <f>+[4]SLP!BP51+[4]ROSA!BP51+'[4]STA ANA'!BP51+[4]BOA!BP51+'[4]STA MARIA'!BP51+'[4]CB I'!BP51+'[4]CB II'!BP51+'[4]CB III'!BP51+[4]IG!BP51+[4]PN!BP51+[4]MJ!BP51+'[4]RB I'!BP51+'[4]SF I'!BP51</f>
        <v>5488.4786235899992</v>
      </c>
      <c r="BQ51" s="226">
        <f>+[4]SLP!BQ51+[4]ROSA!BQ51+'[4]STA ANA'!BQ51+[4]BOA!BQ51+'[4]STA MARIA'!BQ51+'[4]CB I'!BQ51+'[4]CB II'!BQ51+'[4]CB III'!BQ51+[4]IG!BQ51+[4]PN!BQ51+[4]MJ!BQ51+'[4]RB I'!BQ51+'[4]SF I'!BQ51</f>
        <v>4813.9446007507886</v>
      </c>
      <c r="BR51" s="226">
        <f>+[4]SLP!BR51+[4]ROSA!BR51+'[4]STA ANA'!BR51+[4]BOA!BR51+'[4]STA MARIA'!BR51+'[4]CB I'!BR51+'[4]CB II'!BR51+'[4]CB III'!BR51+[4]IG!BR51+[4]PN!BR51+[4]MJ!BR51+'[4]RB I'!BR51+'[4]SF I'!BR51</f>
        <v>674.53402283921105</v>
      </c>
      <c r="BS51" s="226">
        <f>+[4]SLP!BS51+[4]ROSA!BS51+'[4]STA ANA'!BS51+[4]BOA!BS51+'[4]STA MARIA'!BS51+'[4]CB I'!BS51+'[4]CB II'!BS51+'[4]CB III'!BS51+[4]IG!BS51+[4]PN!BS51+[4]MJ!BS51+'[4]RB I'!BS51+'[4]SF I'!BS51</f>
        <v>0</v>
      </c>
      <c r="BT51" s="226">
        <f>+[4]SLP!BT51+[4]ROSA!BT51+'[4]STA ANA'!BT51+[4]BOA!BT51+'[4]STA MARIA'!BT51+'[4]CB I'!BT51+'[4]CB II'!BT51+'[4]CB III'!BT51+[4]IG!BT51+[4]PN!BT51+[4]MJ!BT51+'[4]RB I'!BT51+'[4]SF I'!BT51</f>
        <v>0</v>
      </c>
      <c r="BU51" s="166">
        <f>+[4]SLP!BU51+[4]ROSA!BU51+'[4]STA ANA'!BU51+[4]BOA!BU51+'[4]STA MARIA'!BU51+'[4]CB I'!BU51+'[4]CB II'!BU51+'[4]CB III'!BU51+[4]IG!BU51+[4]PN!BU51+[4]MJ!BU51+'[4]RB I'!BU51+'[4]SÃO FRANCISCO'!BU51</f>
        <v>0</v>
      </c>
      <c r="BV51" s="224">
        <f t="shared" si="11"/>
        <v>-1</v>
      </c>
      <c r="BW51" s="225">
        <f>+[4]SLP!BW51+[4]ROSA!BW51+'[4]STA ANA'!BW51+[4]BOA!BW51+'[4]STA MARIA'!BW51+'[4]CB I'!BW51+'[4]CB II'!BW51+'[4]CB III'!BW51+[4]IG!BW51+[4]PN!BW51+[4]MJ!BW51+'[4]RB I'!BW51+'[4]SF I'!BW51</f>
        <v>5488.4786235899992</v>
      </c>
      <c r="BX51" s="226">
        <f>+[4]SLP!BX51+[4]ROSA!BX51+'[4]STA ANA'!BX51+[4]BOA!BX51+'[4]STA MARIA'!BX51+'[4]CB I'!BX51+'[4]CB II'!BX51+'[4]CB III'!BX51+[4]IG!BX51+[4]PN!BX51+[4]MJ!BX51+'[4]RB I'!BX51+'[4]SF I'!BX51</f>
        <v>4813.9446007507886</v>
      </c>
      <c r="BY51" s="226">
        <f>+[4]SLP!BY51+[4]ROSA!BY51+'[4]STA ANA'!BY51+[4]BOA!BY51+'[4]STA MARIA'!BY51+'[4]CB I'!BY51+'[4]CB II'!BY51+'[4]CB III'!BY51+[4]IG!BY51+[4]PN!BY51+[4]MJ!BY51+'[4]RB I'!BY51+'[4]SF I'!BY51</f>
        <v>674.53402283921105</v>
      </c>
      <c r="BZ51" s="226">
        <f>+[4]SLP!BZ51+[4]ROSA!BZ51+'[4]STA ANA'!BZ51+[4]BOA!BZ51+'[4]STA MARIA'!BZ51+'[4]CB I'!BZ51+'[4]CB II'!BZ51+'[4]CB III'!BZ51+[4]IG!BZ51+[4]PN!BZ51+[4]MJ!BZ51+'[4]RB I'!BZ51+'[4]SF I'!BZ51</f>
        <v>0</v>
      </c>
      <c r="CA51" s="226">
        <f>+[4]SLP!CA51+[4]ROSA!CA51+'[4]STA ANA'!CA51+[4]BOA!CA51+'[4]STA MARIA'!CA51+'[4]CB I'!CA51+'[4]CB II'!CA51+'[4]CB III'!CA51+[4]IG!CA51+[4]PN!CA51+[4]MJ!CA51+'[4]RB I'!CA51+'[4]SF I'!CA51</f>
        <v>0</v>
      </c>
      <c r="CB51" s="166">
        <f>+[4]SLP!CB51+[4]ROSA!CB51+'[4]STA ANA'!CB51+[4]BOA!CB51+'[4]STA MARIA'!CB51+'[4]CB I'!CB51+'[4]CB II'!CB51+'[4]CB III'!CB51+[4]IG!CB51+[4]PN!CB51+[4]MJ!CB51+'[4]RB I'!CB51+'[4]SÃO FRANCISCO'!CB51</f>
        <v>0</v>
      </c>
      <c r="CC51" s="224">
        <f t="shared" si="12"/>
        <v>-1</v>
      </c>
      <c r="CD51" s="225">
        <f>+[4]SLP!CD51+[4]ROSA!CD51+'[4]STA ANA'!CD51+[4]BOA!CD51+'[4]STA MARIA'!CD51+'[4]CB I'!CD51+'[4]CB II'!CD51+'[4]CB III'!CD51+[4]IG!CD51+[4]PN!CD51+[4]MJ!CD51+'[4]RB I'!CD51+'[4]SF I'!CD51</f>
        <v>5488.4786235899992</v>
      </c>
      <c r="CE51" s="226">
        <f>+[4]SLP!CE51+[4]ROSA!CE51+'[4]STA ANA'!CE51+[4]BOA!CE51+'[4]STA MARIA'!CE51+'[4]CB I'!CE51+'[4]CB II'!CE51+'[4]CB III'!CE51+[4]IG!CE51+[4]PN!CE51+[4]MJ!CE51+'[4]RB I'!CE51+'[4]SF I'!CE51</f>
        <v>4813.9446007507886</v>
      </c>
      <c r="CF51" s="226">
        <f>+[4]SLP!CF51+[4]ROSA!CF51+'[4]STA ANA'!CF51+[4]BOA!CF51+'[4]STA MARIA'!CF51+'[4]CB I'!CF51+'[4]CB II'!CF51+'[4]CB III'!CF51+[4]IG!CF51+[4]PN!CF51+[4]MJ!CF51+'[4]RB I'!CF51+'[4]SF I'!CF51</f>
        <v>674.53402283921105</v>
      </c>
      <c r="CG51" s="226">
        <f>+[4]SLP!CG51+[4]ROSA!CG51+'[4]STA ANA'!CG51+[4]BOA!CG51+'[4]STA MARIA'!CG51+'[4]CB I'!CG51+'[4]CB II'!CG51+'[4]CB III'!CG51+[4]IG!CG51+[4]PN!CG51+[4]MJ!CG51+'[4]RB I'!CG51+'[4]SF I'!CG51</f>
        <v>0</v>
      </c>
      <c r="CH51" s="226">
        <f>+[4]SLP!CH51+[4]ROSA!CH51+'[4]STA ANA'!CH51+[4]BOA!CH51+'[4]STA MARIA'!CH51+'[4]CB I'!CH51+'[4]CB II'!CH51+'[4]CB III'!CH51+[4]IG!CH51+[4]PN!CH51+[4]MJ!CH51+'[4]RB I'!CH51+'[4]SF I'!CH51</f>
        <v>0</v>
      </c>
      <c r="CI51" s="166">
        <f>+[4]SLP!CI51+[4]ROSA!CI51+'[4]STA ANA'!CI51+[4]BOA!CI51+'[4]STA MARIA'!CI51+'[4]CB I'!CI51+'[4]CB II'!CI51+'[4]CB III'!CI51+[4]IG!CI51+[4]PN!CI51+[4]MJ!CI51+'[4]RB I'!CI51+'[4]SÃO FRANCISCO'!CI51</f>
        <v>0</v>
      </c>
      <c r="CJ51" s="224">
        <f t="shared" si="13"/>
        <v>-1</v>
      </c>
      <c r="CK51" s="225">
        <f>+[4]SLP!CK51+[4]ROSA!CK51+'[4]STA ANA'!CK51+[4]BOA!CK51+'[4]STA MARIA'!CK51+'[4]CB I'!CK51+'[4]CB II'!CK51+'[4]CB III'!CK51+[4]IG!CK51+[4]PN!CK51+[4]MJ!CK51+'[4]RB I'!CK51+'[4]SF I'!CK51</f>
        <v>5488.4786235899992</v>
      </c>
      <c r="CL51" s="226">
        <f>+[4]SLP!CL51+[4]ROSA!CL51+'[4]STA ANA'!CL51+[4]BOA!CL51+'[4]STA MARIA'!CL51+'[4]CB I'!CL51+'[4]CB II'!CL51+'[4]CB III'!CL51+[4]IG!CL51+[4]PN!CL51+[4]MJ!CL51+'[4]RB I'!CL51+'[4]SF I'!CL51</f>
        <v>4813.9446007507886</v>
      </c>
      <c r="CM51" s="226">
        <f>+[4]SLP!CM51+[4]ROSA!CM51+'[4]STA ANA'!CM51+[4]BOA!CM51+'[4]STA MARIA'!CM51+'[4]CB I'!CM51+'[4]CB II'!CM51+'[4]CB III'!CM51+[4]IG!CM51+[4]PN!CM51+[4]MJ!CM51+'[4]RB I'!CM51+'[4]SF I'!CM51</f>
        <v>674.53402283921105</v>
      </c>
      <c r="CN51" s="226">
        <f>+[4]SLP!CN51+[4]ROSA!CN51+'[4]STA ANA'!CN51+[4]BOA!CN51+'[4]STA MARIA'!CN51+'[4]CB I'!CN51+'[4]CB II'!CN51+'[4]CB III'!CN51+[4]IG!CN51+[4]PN!CN51+[4]MJ!CN51+'[4]RB I'!CN51+'[4]SF I'!CN51</f>
        <v>0</v>
      </c>
      <c r="CO51" s="226">
        <f>+[4]SLP!CO51+[4]ROSA!CO51+'[4]STA ANA'!CO51+[4]BOA!CO51+'[4]STA MARIA'!CO51+'[4]CB I'!CO51+'[4]CB II'!CO51+'[4]CB III'!CO51+[4]IG!CO51+[4]PN!CO51+[4]MJ!CO51+'[4]RB I'!CO51+'[4]SF I'!CO51</f>
        <v>0</v>
      </c>
      <c r="CP51" s="166">
        <f>+[4]SLP!CP51+[4]ROSA!CP51+'[4]STA ANA'!CP51+[4]BOA!CP51+'[4]STA MARIA'!CP51+'[4]CB I'!CP51+'[4]CB II'!CP51+'[4]CB III'!CP51+[4]IG!CP51+[4]PN!CP51+[4]MJ!CP51+'[4]RB I'!CP51+'[4]SÃO FRANCISCO'!CP51</f>
        <v>0</v>
      </c>
      <c r="CQ51" s="224">
        <f t="shared" si="14"/>
        <v>-1</v>
      </c>
      <c r="CR51" s="155"/>
      <c r="CS51" s="227" t="e">
        <f t="shared" si="15"/>
        <v>#VALUE!</v>
      </c>
    </row>
    <row r="52" spans="1:101" ht="16" customHeight="1" x14ac:dyDescent="0.2">
      <c r="A52" s="223" t="s">
        <v>76</v>
      </c>
      <c r="B52" s="30">
        <f t="shared" si="17"/>
        <v>286057.22473767155</v>
      </c>
      <c r="C52" s="31">
        <f t="shared" si="17"/>
        <v>250900.79181741175</v>
      </c>
      <c r="D52" s="32">
        <f t="shared" si="17"/>
        <v>35156.432920259824</v>
      </c>
      <c r="E52" s="30">
        <f t="shared" si="19"/>
        <v>95352.408245890518</v>
      </c>
      <c r="F52" s="33">
        <f t="shared" si="19"/>
        <v>83633.597272470564</v>
      </c>
      <c r="G52" s="34">
        <f t="shared" si="19"/>
        <v>11718.810973419944</v>
      </c>
      <c r="H52" s="31">
        <f t="shared" si="18"/>
        <v>265143.30954400712</v>
      </c>
      <c r="I52" s="33">
        <f t="shared" si="18"/>
        <v>39111.411034005076</v>
      </c>
      <c r="J52" s="33">
        <f t="shared" si="18"/>
        <v>304254.72057801223</v>
      </c>
      <c r="K52" s="224">
        <f t="shared" si="2"/>
        <v>2.1908446380652893</v>
      </c>
      <c r="L52" s="225">
        <f>+[4]SLP!L52+[4]ROSA!L52+'[4]STA ANA'!L52+[4]BOA!L52+'[4]STA MARIA'!L52+'[4]CB I'!L52+'[4]CB II'!L52+'[4]CB III'!L52+[4]IG!L52+[4]PN!L52+[4]MJ!L52+'[4]RB I'!L52+'[4]SF I'!L52</f>
        <v>23838.102061472629</v>
      </c>
      <c r="M52" s="226">
        <f>+[4]SLP!M52+[4]ROSA!M52+'[4]STA ANA'!M52+[4]BOA!M52+'[4]STA MARIA'!M52+'[4]CB I'!M52+'[4]CB II'!M52+'[4]CB III'!M52+[4]IG!M52+[4]PN!M52+[4]MJ!M52+'[4]RB I'!M52+'[4]SF I'!M52</f>
        <v>20908.399318117641</v>
      </c>
      <c r="N52" s="226">
        <f>+[4]SLP!N52+[4]ROSA!N52+'[4]STA ANA'!N52+[4]BOA!N52+'[4]STA MARIA'!N52+'[4]CB I'!N52+'[4]CB II'!N52+'[4]CB III'!N52+[4]IG!N52+[4]PN!N52+[4]MJ!N52+'[4]RB I'!N52+'[4]SF I'!N52</f>
        <v>2929.7027433549861</v>
      </c>
      <c r="O52" s="226">
        <f>+[4]SLP!O52+[4]ROSA!O52+'[4]STA ANA'!O52+[4]BOA!O52+'[4]STA MARIA'!O52+'[4]CB I'!O52+'[4]CB II'!O52+'[4]CB III'!O52+[4]IG!O52+[4]PN!O52+[4]MJ!O52+'[4]RB I'!O52+'[4]SF I'!O52</f>
        <v>82682.064990003739</v>
      </c>
      <c r="P52" s="226">
        <f>+[4]SLP!P52+[4]ROSA!P52+'[4]STA ANA'!P52+[4]BOA!P52+'[4]STA MARIA'!P52+'[4]CB I'!P52+'[4]CB II'!P52+'[4]CB III'!P52+[4]IG!P52+[4]PN!P52+[4]MJ!P52+'[4]RB I'!P52+'[4]SF I'!P52</f>
        <v>8408.2937123765114</v>
      </c>
      <c r="Q52" s="166">
        <f>+[4]SLP!Q52+[4]ROSA!Q52+'[4]STA ANA'!Q52+[4]BOA!Q52+'[4]STA MARIA'!Q52+'[4]CB I'!Q52+'[4]CB II'!Q52+'[4]CB III'!Q52+[4]IG!Q52+[4]PN!Q52+[4]MJ!Q52+'[4]RB I'!Q52+'[4]SF I'!Q52</f>
        <v>91090.358702380239</v>
      </c>
      <c r="R52" s="224">
        <f t="shared" si="3"/>
        <v>2.8212085201867372</v>
      </c>
      <c r="S52" s="225">
        <f>+[4]SLP!S52+[4]ROSA!S52+'[4]STA ANA'!S52+[4]BOA!S52+'[4]STA MARIA'!S52+'[4]CB I'!S52+'[4]CB II'!S52+'[4]CB III'!S52+[4]IG!S52+[4]PN!S52+[4]MJ!S52+'[4]RB I'!S52+'[4]SF I'!S52</f>
        <v>23838.102061472629</v>
      </c>
      <c r="T52" s="226">
        <f>+[4]SLP!T52+[4]ROSA!T52+'[4]STA ANA'!T52+[4]BOA!T52+'[4]STA MARIA'!T52+'[4]CB I'!T52+'[4]CB II'!T52+'[4]CB III'!T52+[4]IG!T52+[4]PN!T52+[4]MJ!T52+'[4]RB I'!T52+'[4]SF I'!T52</f>
        <v>20908.399318117641</v>
      </c>
      <c r="U52" s="226">
        <f>+[4]SLP!U52+[4]ROSA!U52+'[4]STA ANA'!U52+[4]BOA!U52+'[4]STA MARIA'!U52+'[4]CB I'!U52+'[4]CB II'!U52+'[4]CB III'!U52+[4]IG!U52+[4]PN!U52+[4]MJ!U52+'[4]RB I'!U52+'[4]SF I'!U52</f>
        <v>2929.7027433549861</v>
      </c>
      <c r="V52" s="226">
        <f>+[4]SLP!V52+[4]ROSA!V52+'[4]STA ANA'!V52+[4]BOA!V52+'[4]STA MARIA'!V52+'[4]CB I'!V52+'[4]CB II'!V52+'[4]CB III'!V52+[4]IG!V52+[4]PN!V52+[4]MJ!V52+'[4]RB I'!V52+'[4]SF I'!V52</f>
        <v>55933.574603790927</v>
      </c>
      <c r="W52" s="226">
        <f>+[4]SLP!W52+[4]ROSA!W52+'[4]STA ANA'!W52+[4]BOA!W52+'[4]STA MARIA'!W52+'[4]CB I'!W52+'[4]CB II'!W52+'[4]CB III'!W52+[4]IG!W52+[4]PN!W52+[4]MJ!W52+'[4]RB I'!W52+'[4]SF I'!W52</f>
        <v>14613.843403916102</v>
      </c>
      <c r="X52" s="166">
        <f>[4]SLP!X52+[4]ROSA!X52+'[4]STA ANA'!X52+[4]BOA!X52+'[4]STA MARIA'!X52+'[4]CB I'!X52+'[4]CB II'!X52+'[4]CB III'!X52+[4]IG!X52+[4]PN!X52+[4]MJ!X52+'[4]RB I'!X52+'[4]SF I'!X52</f>
        <v>70547.418007707034</v>
      </c>
      <c r="Y52" s="224">
        <f t="shared" si="4"/>
        <v>1.9594393809449473</v>
      </c>
      <c r="Z52" s="225">
        <f>+[4]SLP!Z52+[4]ROSA!Z52+'[4]STA ANA'!Z52+[4]BOA!Z52+'[4]STA MARIA'!Z52+'[4]CB I'!Z52+'[4]CB II'!Z52+'[4]CB III'!Z52+[4]IG!Z52+[4]PN!Z52+[4]MJ!Z52+'[4]RB I'!Z52+'[4]SF I'!Z52</f>
        <v>23838.102061472629</v>
      </c>
      <c r="AA52" s="226">
        <f>+[4]SLP!AA52+[4]ROSA!AA52+'[4]STA ANA'!AA52+[4]BOA!AA52+'[4]STA MARIA'!AA52+'[4]CB I'!AA52+'[4]CB II'!AA52+'[4]CB III'!AA52+[4]IG!AA52+[4]PN!AA52+[4]MJ!AA52+'[4]RB I'!AA52+'[4]SF I'!AA52</f>
        <v>20908.399318117641</v>
      </c>
      <c r="AB52" s="226">
        <f>+[4]SLP!AB52+[4]ROSA!AB52+'[4]STA ANA'!AB52+[4]BOA!AB52+'[4]STA MARIA'!AB52+'[4]CB I'!AB52+'[4]CB II'!AB52+'[4]CB III'!AB52+[4]IG!AB52+[4]PN!AB52+[4]MJ!AB52+'[4]RB I'!AB52+'[4]SF I'!AB52</f>
        <v>2929.7027433549861</v>
      </c>
      <c r="AC52" s="226">
        <f>+[4]SLP!AC52+[4]ROSA!AC52+'[4]STA ANA'!AC52+[4]BOA!AC52+'[4]STA MARIA'!AC52+'[4]CB I'!AC52+'[4]CB II'!AC52+'[4]CB III'!AC52+[4]IG!AC52+[4]PN!AC52+[4]MJ!AC52+'[4]RB I'!AC52+'[4]SF I'!AC52</f>
        <v>78768.710160072907</v>
      </c>
      <c r="AD52" s="226">
        <f>+[4]SLP!AD52+[4]ROSA!AD52+'[4]STA ANA'!AD52+[4]BOA!AD52+'[4]STA MARIA'!AD52+'[4]CB I'!AD52+'[4]CB II'!AD52+'[4]CB III'!AD52+[4]IG!AD52+[4]PN!AD52+[4]MJ!AD52+'[4]RB I'!AD52+'[4]SF I'!AD52</f>
        <v>11010.896821466056</v>
      </c>
      <c r="AE52" s="166">
        <f>+[4]SLP!AE52+[4]ROSA!AE52+'[4]STA ANA'!AE52+[4]BOA!AE52+'[4]STA MARIA'!AE52+'[4]CB I'!AE52+'[4]CB II'!AE52+'[4]CB III'!AE52+[4]IG!AE52+[4]PN!AE52+[4]MJ!AE52+'[4]RB I'!AE52+'[4]SF I'!AE52</f>
        <v>89779.606981538964</v>
      </c>
      <c r="AF52" s="224">
        <f t="shared" si="5"/>
        <v>2.7662229463578658</v>
      </c>
      <c r="AG52" s="225">
        <f>+[4]SLP!AG52+[4]ROSA!AG52+'[4]STA ANA'!AG52+[4]BOA!AG52+'[4]STA MARIA'!AG52+'[4]CB I'!AG52+'[4]CB II'!AG52+'[4]CB III'!AG52+[4]IG!AG52+[4]PN!AG52+[4]MJ!AG52+'[4]RB I'!AG52+'[4]SF I'!AG52</f>
        <v>23838.102061472629</v>
      </c>
      <c r="AH52" s="226">
        <f>+[4]SLP!AH52+[4]ROSA!AH52+'[4]STA ANA'!AH52+[4]BOA!AH52+'[4]STA MARIA'!AH52+'[4]CB I'!AH52+'[4]CB II'!AH52+'[4]CB III'!AH52+[4]IG!AH52+[4]PN!AH52+[4]MJ!AH52+'[4]RB I'!AH52+'[4]SF I'!AH52</f>
        <v>20908.399318117641</v>
      </c>
      <c r="AI52" s="226">
        <f>+[4]SLP!AI52+[4]ROSA!AI52+'[4]STA ANA'!AI52+[4]BOA!AI52+'[4]STA MARIA'!AI52+'[4]CB I'!AI52+'[4]CB II'!AI52+'[4]CB III'!AI52+[4]IG!AI52+[4]PN!AI52+[4]MJ!AI52+'[4]RB I'!AI52+'[4]SF I'!AI52</f>
        <v>2929.7027433549861</v>
      </c>
      <c r="AJ52" s="226">
        <f>+[4]SLP!AJ52+[4]ROSA!AJ52+'[4]STA ANA'!AJ52+[4]BOA!AJ52+'[4]STA MARIA'!AJ52+'[4]CB I'!AJ52+'[4]CB II'!AJ52+'[4]CB III'!AJ52+[4]IG!AJ52+[4]PN!AJ52+[4]MJ!AJ52+'[4]RB I'!AJ52+'[4]SF I'!AJ52</f>
        <v>47758.95979013959</v>
      </c>
      <c r="AK52" s="226">
        <f>+[4]SLP!AK52+[4]ROSA!AK52+'[4]STA ANA'!AK52+[4]BOA!AK52+'[4]STA MARIA'!AK52+'[4]CB I'!AK52+'[4]CB II'!AK52+'[4]CB III'!AK52+[4]IG!AK52+[4]PN!AK52+[4]MJ!AK52+'[4]RB I'!AK52+'[4]SF I'!AK52</f>
        <v>5078.3770962464032</v>
      </c>
      <c r="AL52" s="166">
        <f>+[4]SLP!AL52+[4]ROSA!AL52+'[4]STA ANA'!AL52+[4]BOA!AL52+'[4]STA MARIA'!AL52+'[4]CB I'!AL52+'[4]CB II'!AL52+'[4]CB III'!AL52+[4]IG!AL52+[4]PN!AL52+[4]MJ!AL52+'[4]RB I'!AL52+'[4]SF I'!AL52</f>
        <v>52837.336886385994</v>
      </c>
      <c r="AM52" s="224">
        <f t="shared" si="6"/>
        <v>1.2165077047716064</v>
      </c>
      <c r="AN52" s="225">
        <f>+[4]SLP!AN52+[4]ROSA!AN52+'[4]STA ANA'!AN52+[4]BOA!AN52+'[4]STA MARIA'!AN52+'[4]CB I'!AN52+'[4]CB II'!AN52+'[4]CB III'!AN52+[4]IG!AN52+[4]PN!AN52+[4]MJ!AN52+'[4]RB I'!AN52+'[4]SF I'!AN52</f>
        <v>23838.102061472629</v>
      </c>
      <c r="AO52" s="226">
        <f>+[4]SLP!AO52+[4]ROSA!AO52+'[4]STA ANA'!AO52+[4]BOA!AO52+'[4]STA MARIA'!AO52+'[4]CB I'!AO52+'[4]CB II'!AO52+'[4]CB III'!AO52+[4]IG!AO52+[4]PN!AO52+[4]MJ!AO52+'[4]RB I'!AO52+'[4]SF I'!AO52</f>
        <v>20908.399318117641</v>
      </c>
      <c r="AP52" s="226">
        <f>+[4]SLP!AP52+[4]ROSA!AP52+'[4]STA ANA'!AP52+[4]BOA!AP52+'[4]STA MARIA'!AP52+'[4]CB I'!AP52+'[4]CB II'!AP52+'[4]CB III'!AP52+[4]IG!AP52+[4]PN!AP52+[4]MJ!AP52+'[4]RB I'!AP52+'[4]SF I'!AP52</f>
        <v>2929.7027433549861</v>
      </c>
      <c r="AQ52" s="226">
        <f>+[4]SLP!AQ52+[4]ROSA!AQ52+'[4]STA ANA'!AQ52+[4]BOA!AQ52+'[4]STA MARIA'!AQ52+'[4]CB I'!AQ52+'[4]CB II'!AQ52+'[4]CB III'!AQ52+[4]IG!AQ52+[4]PN!AQ52+[4]MJ!AQ52+'[4]RB I'!AQ52+'[4]SF I'!AQ52</f>
        <v>0</v>
      </c>
      <c r="AR52" s="226">
        <f>+[4]SLP!AR52+[4]ROSA!AR52+'[4]STA ANA'!AR52+[4]BOA!AR52+'[4]STA MARIA'!AR52+'[4]CB I'!AR52+'[4]CB II'!AR52+'[4]CB III'!AR52+[4]IG!AR52+[4]PN!AR52+[4]MJ!AR52+'[4]RB I'!AR52+'[4]SF I'!AR52</f>
        <v>0</v>
      </c>
      <c r="AS52" s="166">
        <f>+[4]SLP!AS52+[4]ROSA!AS52+'[4]STA ANA'!AS52+[4]BOA!AS52+'[4]STA MARIA'!AS52+'[4]CB I'!AS52+'[4]CB II'!AS52+'[4]CB III'!AS52+[4]IG!AS52+[4]PN!AS52+[4]MJ!AS52+'[4]RB I'!AS52+'[4]SÃO FRANCISCO'!AS52</f>
        <v>0</v>
      </c>
      <c r="AT52" s="224">
        <f t="shared" si="7"/>
        <v>-1</v>
      </c>
      <c r="AU52" s="225">
        <f>+[4]SLP!AU52+[4]ROSA!AU52+'[4]STA ANA'!AU52+[4]BOA!AU52+'[4]STA MARIA'!AU52+'[4]CB I'!AU52+'[4]CB II'!AU52+'[4]CB III'!AU52+[4]IG!AU52+[4]PN!AU52+[4]MJ!AU52+'[4]RB I'!AU52+'[4]SF I'!AU52</f>
        <v>23838.102061472629</v>
      </c>
      <c r="AV52" s="226">
        <f>+[4]SLP!AV52+[4]ROSA!AV52+'[4]STA ANA'!AV52+[4]BOA!AV52+'[4]STA MARIA'!AV52+'[4]CB I'!AV52+'[4]CB II'!AV52+'[4]CB III'!AV52+[4]IG!AV52+[4]PN!AV52+[4]MJ!AV52+'[4]RB I'!AV52+'[4]SF I'!AV52</f>
        <v>20908.399318117641</v>
      </c>
      <c r="AW52" s="226">
        <f>+[4]SLP!AW52+[4]ROSA!AW52+'[4]STA ANA'!AW52+[4]BOA!AW52+'[4]STA MARIA'!AW52+'[4]CB I'!AW52+'[4]CB II'!AW52+'[4]CB III'!AW52+[4]IG!AW52+[4]PN!AW52+[4]MJ!AW52+'[4]RB I'!AW52+'[4]SF I'!AW52</f>
        <v>2929.7027433549861</v>
      </c>
      <c r="AX52" s="226">
        <f>+[4]SLP!AX52+[4]ROSA!AX52+'[4]STA ANA'!AX52+[4]BOA!AX52+'[4]STA MARIA'!AX52+'[4]CB I'!AX52+'[4]CB II'!AX52+'[4]CB III'!AX52+[4]IG!AX52+[4]PN!AX52+[4]MJ!AX52+'[4]RB I'!AX52+'[4]SF I'!AX52</f>
        <v>0</v>
      </c>
      <c r="AY52" s="226">
        <f>+[4]SLP!AY52+[4]ROSA!AY52+'[4]STA ANA'!AY52+[4]BOA!AY52+'[4]STA MARIA'!AY52+'[4]CB I'!AY52+'[4]CB II'!AY52+'[4]CB III'!AY52+[4]IG!AY52+[4]PN!AY52+[4]MJ!AY52+'[4]RB I'!AY52+'[4]SF I'!AY52</f>
        <v>0</v>
      </c>
      <c r="AZ52" s="166">
        <f>+[4]SLP!AZ52+[4]ROSA!AZ52+'[4]STA ANA'!AZ52+[4]BOA!AZ52+'[4]STA MARIA'!AZ52+'[4]CB I'!AZ52+'[4]CB II'!AZ52+[4]IG!AZ52+[4]PN!AZ52+[4]MJ!AZ52+'[4]RB I'!AZ52+'[4]SÃO FRANCISCO'!AZ52</f>
        <v>0</v>
      </c>
      <c r="BA52" s="224">
        <f t="shared" si="8"/>
        <v>-1</v>
      </c>
      <c r="BB52" s="225">
        <f>+[4]SLP!BB52+[4]ROSA!BB52+'[4]STA ANA'!BB52+[4]BOA!BB52+'[4]STA MARIA'!BB52+'[4]CB I'!BB52+'[4]CB II'!BB52+'[4]CB III'!BB52+[4]IG!BB52+[4]PN!BB52+[4]MJ!BB52+'[4]RB I'!BB52+'[4]SF I'!BB52</f>
        <v>23838.102061472629</v>
      </c>
      <c r="BC52" s="226">
        <f>+[4]SLP!BC52+[4]ROSA!BC52+'[4]STA ANA'!BC52+[4]BOA!BC52+'[4]STA MARIA'!BC52+'[4]CB I'!BC52+'[4]CB II'!BC52+'[4]CB III'!BC52+[4]IG!BC52+[4]PN!BC52+[4]MJ!BC52+'[4]RB I'!BC52+'[4]SF I'!BC52</f>
        <v>20908.399318117641</v>
      </c>
      <c r="BD52" s="226">
        <f>+[4]SLP!BD52+[4]ROSA!BD52+'[4]STA ANA'!BD52+[4]BOA!BD52+'[4]STA MARIA'!BD52+'[4]CB I'!BD52+'[4]CB II'!BD52+'[4]CB III'!BD52+[4]IG!BD52+[4]PN!BD52+[4]MJ!BD52+'[4]RB I'!BD52+'[4]SF I'!BD52</f>
        <v>2929.7027433549861</v>
      </c>
      <c r="BE52" s="226">
        <f>+[4]SLP!BE52+[4]ROSA!BE52+'[4]STA ANA'!BE52+[4]BOA!BE52+'[4]STA MARIA'!BE52+'[4]CB I'!BE52+'[4]CB II'!BE52+'[4]CB III'!BE52+[4]IG!BE52+[4]PN!BE52+[4]MJ!BE52+'[4]RB I'!BE52+'[4]SF I'!BE52</f>
        <v>0</v>
      </c>
      <c r="BF52" s="226">
        <f>+[4]SLP!BF52+[4]ROSA!BF52+'[4]STA ANA'!BF52+[4]BOA!BF52+'[4]STA MARIA'!BF52+'[4]CB I'!BF52+'[4]CB II'!BF52+'[4]CB III'!BF52+[4]IG!BF52+[4]PN!BF52+[4]MJ!BF52+'[4]RB I'!BF52+'[4]SF I'!BF52</f>
        <v>0</v>
      </c>
      <c r="BG52" s="166">
        <f>+[4]SLP!BG52+[4]ROSA!BG52+'[4]STA ANA'!BG52+[4]BOA!BG52+'[4]STA MARIA'!BG52+'[4]CB I'!BG52+'[4]CB II'!BG52+'[4]CB III'!BG52+[4]IG!BG52+[4]PN!BG52+[4]MJ!BG52+'[4]RB I'!BG52+'[4]SÃO FRANCISCO'!BG52</f>
        <v>0</v>
      </c>
      <c r="BH52" s="224">
        <f t="shared" si="9"/>
        <v>-1</v>
      </c>
      <c r="BI52" s="225">
        <f>+[4]SLP!BI52+[4]ROSA!BI52+'[4]STA ANA'!BI52+[4]BOA!BI52+'[4]STA MARIA'!BI52+'[4]CB I'!BI52+'[4]CB II'!BI52+'[4]CB III'!BI52+[4]IG!BI52+[4]PN!BI52+[4]MJ!BI52+'[4]RB I'!BI52+'[4]SF I'!BI52</f>
        <v>23838.102061472629</v>
      </c>
      <c r="BJ52" s="226">
        <f>+[4]SLP!BJ52+[4]ROSA!BJ52+'[4]STA ANA'!BJ52+[4]BOA!BJ52+'[4]STA MARIA'!BJ52+'[4]CB I'!BJ52+'[4]CB II'!BJ52+'[4]CB III'!BJ52+[4]IG!BJ52+[4]PN!BJ52+[4]MJ!BJ52+'[4]RB I'!BJ52+'[4]SF I'!BJ52</f>
        <v>20908.399318117641</v>
      </c>
      <c r="BK52" s="226">
        <f>+[4]SLP!BK52+[4]ROSA!BK52+'[4]STA ANA'!BK52+[4]BOA!BK52+'[4]STA MARIA'!BK52+'[4]CB I'!BK52+'[4]CB II'!BK52+'[4]CB III'!BK52+[4]IG!BK52+[4]PN!BK52+[4]MJ!BK52+'[4]RB I'!BK52+'[4]SF I'!BK52</f>
        <v>2929.7027433549861</v>
      </c>
      <c r="BL52" s="226">
        <f>+[4]SLP!BL52+[4]ROSA!BL52+'[4]STA ANA'!BL52+[4]BOA!BL52+'[4]STA MARIA'!BL52+'[4]CB I'!BL52+'[4]CB II'!BL52+'[4]CB III'!BL52+[4]IG!BL52+[4]PN!BL52+[4]MJ!BL52+'[4]RB I'!BL52+'[4]SF I'!BL52</f>
        <v>0</v>
      </c>
      <c r="BM52" s="226">
        <f>+[4]SLP!BM52+[4]ROSA!BM52+'[4]STA ANA'!BM52+[4]BOA!BM52+'[4]STA MARIA'!BM52+'[4]CB I'!BM52+'[4]CB II'!BM52+'[4]CB III'!BM52+[4]IG!BM52+[4]PN!BM52+[4]MJ!BM52+'[4]RB I'!BM52+'[4]SF I'!BM52</f>
        <v>0</v>
      </c>
      <c r="BN52" s="166">
        <f>+[4]SLP!BN52+[4]ROSA!BN52+'[4]STA ANA'!BN52+[4]BOA!BN52+'[4]STA MARIA'!BN52+'[4]CB I'!BN52+'[4]CB II'!BN52+'[4]CB III'!BN52+[4]IG!BN52+[4]PN!BN52+[4]MJ!BN52+'[4]RB I'!BN52+'[4]SÃO FRANCISCO'!BN52</f>
        <v>0</v>
      </c>
      <c r="BO52" s="224">
        <f t="shared" si="10"/>
        <v>-1</v>
      </c>
      <c r="BP52" s="225">
        <f>+[4]SLP!BP52+[4]ROSA!BP52+'[4]STA ANA'!BP52+[4]BOA!BP52+'[4]STA MARIA'!BP52+'[4]CB I'!BP52+'[4]CB II'!BP52+'[4]CB III'!BP52+[4]IG!BP52+[4]PN!BP52+[4]MJ!BP52+'[4]RB I'!BP52+'[4]SF I'!BP52</f>
        <v>23838.102061472629</v>
      </c>
      <c r="BQ52" s="226">
        <f>+[4]SLP!BQ52+[4]ROSA!BQ52+'[4]STA ANA'!BQ52+[4]BOA!BQ52+'[4]STA MARIA'!BQ52+'[4]CB I'!BQ52+'[4]CB II'!BQ52+'[4]CB III'!BQ52+[4]IG!BQ52+[4]PN!BQ52+[4]MJ!BQ52+'[4]RB I'!BQ52+'[4]SF I'!BQ52</f>
        <v>20908.399318117641</v>
      </c>
      <c r="BR52" s="226">
        <f>+[4]SLP!BR52+[4]ROSA!BR52+'[4]STA ANA'!BR52+[4]BOA!BR52+'[4]STA MARIA'!BR52+'[4]CB I'!BR52+'[4]CB II'!BR52+'[4]CB III'!BR52+[4]IG!BR52+[4]PN!BR52+[4]MJ!BR52+'[4]RB I'!BR52+'[4]SF I'!BR52</f>
        <v>2929.7027433549861</v>
      </c>
      <c r="BS52" s="226">
        <f>+[4]SLP!BS52+[4]ROSA!BS52+'[4]STA ANA'!BS52+[4]BOA!BS52+'[4]STA MARIA'!BS52+'[4]CB I'!BS52+'[4]CB II'!BS52+'[4]CB III'!BS52+[4]IG!BS52+[4]PN!BS52+[4]MJ!BS52+'[4]RB I'!BS52+'[4]SF I'!BS52</f>
        <v>0</v>
      </c>
      <c r="BT52" s="226">
        <f>+[4]SLP!BT52+[4]ROSA!BT52+'[4]STA ANA'!BT52+[4]BOA!BT52+'[4]STA MARIA'!BT52+'[4]CB I'!BT52+'[4]CB II'!BT52+'[4]CB III'!BT52+[4]IG!BT52+[4]PN!BT52+[4]MJ!BT52+'[4]RB I'!BT52+'[4]SF I'!BT52</f>
        <v>0</v>
      </c>
      <c r="BU52" s="166">
        <f>+[4]SLP!BU52+[4]ROSA!BU52+'[4]STA ANA'!BU52+[4]BOA!BU52+'[4]STA MARIA'!BU52+'[4]CB I'!BU52+'[4]CB II'!BU52+'[4]CB III'!BU52+[4]IG!BU52+[4]PN!BU52+[4]MJ!BU52+'[4]RB I'!BU52+'[4]SÃO FRANCISCO'!BU52</f>
        <v>0</v>
      </c>
      <c r="BV52" s="224">
        <f t="shared" si="11"/>
        <v>-1</v>
      </c>
      <c r="BW52" s="225">
        <f>+[4]SLP!BW52+[4]ROSA!BW52+'[4]STA ANA'!BW52+[4]BOA!BW52+'[4]STA MARIA'!BW52+'[4]CB I'!BW52+'[4]CB II'!BW52+'[4]CB III'!BW52+[4]IG!BW52+[4]PN!BW52+[4]MJ!BW52+'[4]RB I'!BW52+'[4]SF I'!BW52</f>
        <v>23838.102061472629</v>
      </c>
      <c r="BX52" s="226">
        <f>+[4]SLP!BX52+[4]ROSA!BX52+'[4]STA ANA'!BX52+[4]BOA!BX52+'[4]STA MARIA'!BX52+'[4]CB I'!BX52+'[4]CB II'!BX52+'[4]CB III'!BX52+[4]IG!BX52+[4]PN!BX52+[4]MJ!BX52+'[4]RB I'!BX52+'[4]SF I'!BX52</f>
        <v>20908.399318117641</v>
      </c>
      <c r="BY52" s="226">
        <f>+[4]SLP!BY52+[4]ROSA!BY52+'[4]STA ANA'!BY52+[4]BOA!BY52+'[4]STA MARIA'!BY52+'[4]CB I'!BY52+'[4]CB II'!BY52+'[4]CB III'!BY52+[4]IG!BY52+[4]PN!BY52+[4]MJ!BY52+'[4]RB I'!BY52+'[4]SF I'!BY52</f>
        <v>2929.7027433549861</v>
      </c>
      <c r="BZ52" s="226">
        <f>+[4]SLP!BZ52+[4]ROSA!BZ52+'[4]STA ANA'!BZ52+[4]BOA!BZ52+'[4]STA MARIA'!BZ52+'[4]CB I'!BZ52+'[4]CB II'!BZ52+'[4]CB III'!BZ52+[4]IG!BZ52+[4]PN!BZ52+[4]MJ!BZ52+'[4]RB I'!BZ52+'[4]SF I'!BZ52</f>
        <v>0</v>
      </c>
      <c r="CA52" s="226">
        <f>+[4]SLP!CA52+[4]ROSA!CA52+'[4]STA ANA'!CA52+[4]BOA!CA52+'[4]STA MARIA'!CA52+'[4]CB I'!CA52+'[4]CB II'!CA52+'[4]CB III'!CA52+[4]IG!CA52+[4]PN!CA52+[4]MJ!CA52+'[4]RB I'!CA52+'[4]SF I'!CA52</f>
        <v>0</v>
      </c>
      <c r="CB52" s="166">
        <f>+[4]SLP!CB52+[4]ROSA!CB52+'[4]STA ANA'!CB52+[4]BOA!CB52+'[4]STA MARIA'!CB52+'[4]CB I'!CB52+'[4]CB II'!CB52+'[4]CB III'!CB52+[4]IG!CB52+[4]PN!CB52+[4]MJ!CB52+'[4]RB I'!CB52+'[4]SÃO FRANCISCO'!CB52</f>
        <v>0</v>
      </c>
      <c r="CC52" s="224">
        <f t="shared" si="12"/>
        <v>-1</v>
      </c>
      <c r="CD52" s="225">
        <f>+[4]SLP!CD52+[4]ROSA!CD52+'[4]STA ANA'!CD52+[4]BOA!CD52+'[4]STA MARIA'!CD52+'[4]CB I'!CD52+'[4]CB II'!CD52+'[4]CB III'!CD52+[4]IG!CD52+[4]PN!CD52+[4]MJ!CD52+'[4]RB I'!CD52+'[4]SF I'!CD52</f>
        <v>23838.102061472629</v>
      </c>
      <c r="CE52" s="226">
        <f>+[4]SLP!CE52+[4]ROSA!CE52+'[4]STA ANA'!CE52+[4]BOA!CE52+'[4]STA MARIA'!CE52+'[4]CB I'!CE52+'[4]CB II'!CE52+'[4]CB III'!CE52+[4]IG!CE52+[4]PN!CE52+[4]MJ!CE52+'[4]RB I'!CE52+'[4]SF I'!CE52</f>
        <v>20908.399318117641</v>
      </c>
      <c r="CF52" s="226">
        <f>+[4]SLP!CF52+[4]ROSA!CF52+'[4]STA ANA'!CF52+[4]BOA!CF52+'[4]STA MARIA'!CF52+'[4]CB I'!CF52+'[4]CB II'!CF52+'[4]CB III'!CF52+[4]IG!CF52+[4]PN!CF52+[4]MJ!CF52+'[4]RB I'!CF52+'[4]SF I'!CF52</f>
        <v>2929.7027433549861</v>
      </c>
      <c r="CG52" s="226">
        <f>+[4]SLP!CG52+[4]ROSA!CG52+'[4]STA ANA'!CG52+[4]BOA!CG52+'[4]STA MARIA'!CG52+'[4]CB I'!CG52+'[4]CB II'!CG52+'[4]CB III'!CG52+[4]IG!CG52+[4]PN!CG52+[4]MJ!CG52+'[4]RB I'!CG52+'[4]SF I'!CG52</f>
        <v>0</v>
      </c>
      <c r="CH52" s="226">
        <f>+[4]SLP!CH52+[4]ROSA!CH52+'[4]STA ANA'!CH52+[4]BOA!CH52+'[4]STA MARIA'!CH52+'[4]CB I'!CH52+'[4]CB II'!CH52+'[4]CB III'!CH52+[4]IG!CH52+[4]PN!CH52+[4]MJ!CH52+'[4]RB I'!CH52+'[4]SF I'!CH52</f>
        <v>0</v>
      </c>
      <c r="CI52" s="166">
        <f>+[4]SLP!CI52+[4]ROSA!CI52+'[4]STA ANA'!CI52+[4]BOA!CI52+'[4]STA MARIA'!CI52+'[4]CB I'!CI52+'[4]CB II'!CI52+'[4]CB III'!CI52+[4]IG!CI52+[4]PN!CI52+[4]MJ!CI52+'[4]RB I'!CI52+'[4]SÃO FRANCISCO'!CI52</f>
        <v>0</v>
      </c>
      <c r="CJ52" s="224">
        <f t="shared" si="13"/>
        <v>-1</v>
      </c>
      <c r="CK52" s="225">
        <f>+[4]SLP!CK52+[4]ROSA!CK52+'[4]STA ANA'!CK52+[4]BOA!CK52+'[4]STA MARIA'!CK52+'[4]CB I'!CK52+'[4]CB II'!CK52+'[4]CB III'!CK52+[4]IG!CK52+[4]PN!CK52+[4]MJ!CK52+'[4]RB I'!CK52+'[4]SF I'!CK52</f>
        <v>23838.102061472629</v>
      </c>
      <c r="CL52" s="226">
        <f>+[4]SLP!CL52+[4]ROSA!CL52+'[4]STA ANA'!CL52+[4]BOA!CL52+'[4]STA MARIA'!CL52+'[4]CB I'!CL52+'[4]CB II'!CL52+'[4]CB III'!CL52+[4]IG!CL52+[4]PN!CL52+[4]MJ!CL52+'[4]RB I'!CL52+'[4]SF I'!CL52</f>
        <v>20908.399318117641</v>
      </c>
      <c r="CM52" s="226">
        <f>+[4]SLP!CM52+[4]ROSA!CM52+'[4]STA ANA'!CM52+[4]BOA!CM52+'[4]STA MARIA'!CM52+'[4]CB I'!CM52+'[4]CB II'!CM52+'[4]CB III'!CM52+[4]IG!CM52+[4]PN!CM52+[4]MJ!CM52+'[4]RB I'!CM52+'[4]SF I'!CM52</f>
        <v>2929.7027433549861</v>
      </c>
      <c r="CN52" s="226">
        <f>+[4]SLP!CN52+[4]ROSA!CN52+'[4]STA ANA'!CN52+[4]BOA!CN52+'[4]STA MARIA'!CN52+'[4]CB I'!CN52+'[4]CB II'!CN52+'[4]CB III'!CN52+[4]IG!CN52+[4]PN!CN52+[4]MJ!CN52+'[4]RB I'!CN52+'[4]SF I'!CN52</f>
        <v>0</v>
      </c>
      <c r="CO52" s="226">
        <f>+[4]SLP!CO52+[4]ROSA!CO52+'[4]STA ANA'!CO52+[4]BOA!CO52+'[4]STA MARIA'!CO52+'[4]CB I'!CO52+'[4]CB II'!CO52+'[4]CB III'!CO52+[4]IG!CO52+[4]PN!CO52+[4]MJ!CO52+'[4]RB I'!CO52+'[4]SF I'!CO52</f>
        <v>0</v>
      </c>
      <c r="CP52" s="166">
        <f>+[4]SLP!CP52+[4]ROSA!CP52+'[4]STA ANA'!CP52+[4]BOA!CP52+'[4]STA MARIA'!CP52+'[4]CB I'!CP52+'[4]CB II'!CP52+'[4]CB III'!CP52+[4]IG!CP52+[4]PN!CP52+[4]MJ!CP52+'[4]RB I'!CP52+'[4]SÃO FRANCISCO'!CP52</f>
        <v>0</v>
      </c>
      <c r="CQ52" s="224">
        <f t="shared" si="14"/>
        <v>-1</v>
      </c>
      <c r="CR52" s="155"/>
      <c r="CS52" s="227" t="e">
        <f t="shared" si="15"/>
        <v>#VALUE!</v>
      </c>
    </row>
    <row r="53" spans="1:101" ht="16" customHeight="1" x14ac:dyDescent="0.2">
      <c r="A53" s="228" t="s">
        <v>77</v>
      </c>
      <c r="B53" s="30">
        <f t="shared" si="17"/>
        <v>292419.30618441786</v>
      </c>
      <c r="C53" s="31">
        <f t="shared" si="17"/>
        <v>256480.9734543529</v>
      </c>
      <c r="D53" s="32">
        <f t="shared" si="17"/>
        <v>35938.332730064962</v>
      </c>
      <c r="E53" s="30">
        <f t="shared" si="19"/>
        <v>97473.102061472629</v>
      </c>
      <c r="F53" s="33">
        <f t="shared" si="19"/>
        <v>85493.657818117616</v>
      </c>
      <c r="G53" s="34">
        <f t="shared" si="19"/>
        <v>11979.444243354987</v>
      </c>
      <c r="H53" s="31">
        <f t="shared" si="18"/>
        <v>24157.519848409367</v>
      </c>
      <c r="I53" s="33">
        <f t="shared" si="18"/>
        <v>8472.4211363060131</v>
      </c>
      <c r="J53" s="33">
        <f t="shared" si="18"/>
        <v>32629.940984715384</v>
      </c>
      <c r="K53" s="224">
        <f t="shared" si="2"/>
        <v>-0.66524158670833211</v>
      </c>
      <c r="L53" s="225">
        <f>+[4]SLP!L53+[4]ROSA!L53+'[4]STA ANA'!L53+[4]BOA!L53+'[4]STA MARIA'!L53+'[4]CB I'!L53+'[4]CB II'!L53+'[4]CB III'!L53+[4]IG!L53+[4]PN!L53+[4]MJ!L53+'[4]RB I'!L53+'[4]SF I'!L53</f>
        <v>24368.275515368157</v>
      </c>
      <c r="M53" s="226">
        <f>+[4]SLP!M53+[4]ROSA!M53+'[4]STA ANA'!M53+[4]BOA!M53+'[4]STA MARIA'!M53+'[4]CB I'!M53+'[4]CB II'!M53+'[4]CB III'!M53+[4]IG!M53+[4]PN!M53+[4]MJ!M53+'[4]RB I'!M53+'[4]SF I'!M53</f>
        <v>21373.414454529404</v>
      </c>
      <c r="N53" s="226">
        <f>+[4]SLP!N53+[4]ROSA!N53+'[4]STA ANA'!N53+[4]BOA!N53+'[4]STA MARIA'!N53+'[4]CB I'!N53+'[4]CB II'!N53+'[4]CB III'!N53+[4]IG!N53+[4]PN!N53+[4]MJ!N53+'[4]RB I'!N53+'[4]SF I'!N53</f>
        <v>2994.8610608387467</v>
      </c>
      <c r="O53" s="226">
        <f>+[4]SLP!O53+[4]ROSA!O53+'[4]STA ANA'!O53+[4]BOA!O53+'[4]STA MARIA'!O53+'[4]CB I'!O53+'[4]CB II'!O53+'[4]CB III'!O53+[4]IG!O53+[4]PN!O53+[4]MJ!O53+'[4]RB I'!O53+'[4]SF I'!O53</f>
        <v>204.18199999999999</v>
      </c>
      <c r="P53" s="226">
        <f>+[4]SLP!P53+[4]ROSA!P53+'[4]STA ANA'!P53+[4]BOA!P53+'[4]STA MARIA'!P53+'[4]CB I'!P53+'[4]CB II'!P53+'[4]CB III'!P53+[4]IG!P53+[4]PN!P53+[4]MJ!P53+'[4]RB I'!P53+'[4]SF I'!P53</f>
        <v>15.818000000000001</v>
      </c>
      <c r="Q53" s="166">
        <f>+[4]SLP!Q53+[4]ROSA!Q53+'[4]STA ANA'!Q53+[4]BOA!Q53+'[4]STA MARIA'!Q53+'[4]CB I'!Q53+'[4]CB II'!Q53+'[4]CB III'!Q53+[4]IG!Q53+[4]PN!Q53+[4]MJ!Q53+'[4]RB I'!Q53+'[4]SF I'!Q53</f>
        <v>220</v>
      </c>
      <c r="R53" s="224">
        <f t="shared" si="3"/>
        <v>-0.99097186832686401</v>
      </c>
      <c r="S53" s="225">
        <f>+[4]SLP!S53+[4]ROSA!S53+'[4]STA ANA'!S53+[4]BOA!S53+'[4]STA MARIA'!S53+'[4]CB I'!S53+'[4]CB II'!S53+'[4]CB III'!S53+[4]IG!S53+[4]PN!S53+[4]MJ!S53+'[4]RB I'!S53+'[4]SF I'!S53</f>
        <v>24368.275515368157</v>
      </c>
      <c r="T53" s="226">
        <f>+[4]SLP!T53+[4]ROSA!T53+'[4]STA ANA'!T53+[4]BOA!T53+'[4]STA MARIA'!T53+'[4]CB I'!T53+'[4]CB II'!T53+'[4]CB III'!T53+[4]IG!T53+[4]PN!T53+[4]MJ!T53+'[4]RB I'!T53+'[4]SF I'!T53</f>
        <v>21373.414454529404</v>
      </c>
      <c r="U53" s="226">
        <f>+[4]SLP!U53+[4]ROSA!U53+'[4]STA ANA'!U53+[4]BOA!U53+'[4]STA MARIA'!U53+'[4]CB I'!U53+'[4]CB II'!U53+'[4]CB III'!U53+[4]IG!U53+[4]PN!U53+[4]MJ!U53+'[4]RB I'!U53+'[4]SF I'!U53</f>
        <v>2994.8610608387467</v>
      </c>
      <c r="V53" s="226">
        <f>+[4]SLP!V53+[4]ROSA!V53+'[4]STA ANA'!V53+[4]BOA!V53+'[4]STA MARIA'!V53+'[4]CB I'!V53+'[4]CB II'!V53+'[4]CB III'!V53+[4]IG!V53+[4]PN!V53+[4]MJ!V53+'[4]RB I'!V53+'[4]SF I'!V53</f>
        <v>21183.001386756638</v>
      </c>
      <c r="W53" s="226">
        <f>+[4]SLP!W53+[4]ROSA!W53+'[4]STA ANA'!W53+[4]BOA!W53+'[4]STA MARIA'!W53+'[4]CB I'!W53+'[4]CB II'!W53+'[4]CB III'!W53+[4]IG!W53+[4]PN!W53+[4]MJ!W53+'[4]RB I'!W53+'[4]SF I'!W53</f>
        <v>7733.5052052740048</v>
      </c>
      <c r="X53" s="166">
        <f>[4]SLP!X53+[4]ROSA!X53+'[4]STA ANA'!X53+[4]BOA!X53+'[4]STA MARIA'!X53+'[4]CB I'!X53+'[4]CB II'!X53+'[4]CB III'!X53+[4]IG!X53+[4]PN!X53+[4]MJ!X53+'[4]RB I'!X53+'[4]SF I'!X53</f>
        <v>28916.506592030644</v>
      </c>
      <c r="Y53" s="224">
        <f t="shared" si="4"/>
        <v>0.18664558654526409</v>
      </c>
      <c r="Z53" s="225">
        <f>+[4]SLP!Z53+[4]ROSA!Z53+'[4]STA ANA'!Z53+[4]BOA!Z53+'[4]STA MARIA'!Z53+'[4]CB I'!Z53+'[4]CB II'!Z53+'[4]CB III'!Z53+[4]IG!Z53+[4]PN!Z53+[4]MJ!Z53+'[4]RB I'!Z53+'[4]SF I'!Z53</f>
        <v>24368.275515368157</v>
      </c>
      <c r="AA53" s="226">
        <f>+[4]SLP!AA53+[4]ROSA!AA53+'[4]STA ANA'!AA53+[4]BOA!AA53+'[4]STA MARIA'!AA53+'[4]CB I'!AA53+'[4]CB II'!AA53+'[4]CB III'!AA53+[4]IG!AA53+[4]PN!AA53+[4]MJ!AA53+'[4]RB I'!AA53+'[4]SF I'!AA53</f>
        <v>21373.414454529404</v>
      </c>
      <c r="AB53" s="226">
        <f>+[4]SLP!AB53+[4]ROSA!AB53+'[4]STA ANA'!AB53+[4]BOA!AB53+'[4]STA MARIA'!AB53+'[4]CB I'!AB53+'[4]CB II'!AB53+'[4]CB III'!AB53+[4]IG!AB53+[4]PN!AB53+[4]MJ!AB53+'[4]RB I'!AB53+'[4]SF I'!AB53</f>
        <v>2994.8610608387467</v>
      </c>
      <c r="AC53" s="226">
        <f>+[4]SLP!AC53+[4]ROSA!AC53+'[4]STA ANA'!AC53+[4]BOA!AC53+'[4]STA MARIA'!AC53+'[4]CB I'!AC53+'[4]CB II'!AC53+'[4]CB III'!AC53+[4]IG!AC53+[4]PN!AC53+[4]MJ!AC53+'[4]RB I'!AC53+'[4]SF I'!AC53</f>
        <v>2389.4722048084091</v>
      </c>
      <c r="AD53" s="226">
        <f>+[4]SLP!AD53+[4]ROSA!AD53+'[4]STA ANA'!AD53+[4]BOA!AD53+'[4]STA MARIA'!AD53+'[4]CB I'!AD53+'[4]CB II'!AD53+'[4]CB III'!AD53+[4]IG!AD53+[4]PN!AD53+[4]MJ!AD53+'[4]RB I'!AD53+'[4]SF I'!AD53</f>
        <v>624.14017103200831</v>
      </c>
      <c r="AE53" s="166">
        <f>+[4]SLP!AE53+[4]ROSA!AE53+'[4]STA ANA'!AE53+[4]BOA!AE53+'[4]STA MARIA'!AE53+'[4]CB I'!AE53+'[4]CB II'!AE53+'[4]CB III'!AE53+[4]IG!AE53+[4]PN!AE53+[4]MJ!AE53+'[4]RB I'!AE53+'[4]SF I'!AE53</f>
        <v>3013.6123758404174</v>
      </c>
      <c r="AF53" s="224">
        <f t="shared" si="5"/>
        <v>-0.87633050299600213</v>
      </c>
      <c r="AG53" s="225">
        <f>+[4]SLP!AG53+[4]ROSA!AG53+'[4]STA ANA'!AG53+[4]BOA!AG53+'[4]STA MARIA'!AG53+'[4]CB I'!AG53+'[4]CB II'!AG53+'[4]CB III'!AG53+[4]IG!AG53+[4]PN!AG53+[4]MJ!AG53+'[4]RB I'!AG53+'[4]SF I'!AG53</f>
        <v>24368.275515368157</v>
      </c>
      <c r="AH53" s="226">
        <f>+[4]SLP!AH53+[4]ROSA!AH53+'[4]STA ANA'!AH53+[4]BOA!AH53+'[4]STA MARIA'!AH53+'[4]CB I'!AH53+'[4]CB II'!AH53+'[4]CB III'!AH53+[4]IG!AH53+[4]PN!AH53+[4]MJ!AH53+'[4]RB I'!AH53+'[4]SF I'!AH53</f>
        <v>21373.414454529404</v>
      </c>
      <c r="AI53" s="226">
        <f>+[4]SLP!AI53+[4]ROSA!AI53+'[4]STA ANA'!AI53+[4]BOA!AI53+'[4]STA MARIA'!AI53+'[4]CB I'!AI53+'[4]CB II'!AI53+'[4]CB III'!AI53+[4]IG!AI53+[4]PN!AI53+[4]MJ!AI53+'[4]RB I'!AI53+'[4]SF I'!AI53</f>
        <v>2994.8610608387467</v>
      </c>
      <c r="AJ53" s="226">
        <f>+[4]SLP!AJ53+[4]ROSA!AJ53+'[4]STA ANA'!AJ53+[4]BOA!AJ53+'[4]STA MARIA'!AJ53+'[4]CB I'!AJ53+'[4]CB II'!AJ53+'[4]CB III'!AJ53+[4]IG!AJ53+[4]PN!AJ53+[4]MJ!AJ53+'[4]RB I'!AJ53+'[4]SF I'!AJ53</f>
        <v>380.86425684432055</v>
      </c>
      <c r="AK53" s="226">
        <f>+[4]SLP!AK53+[4]ROSA!AK53+'[4]STA ANA'!AK53+[4]BOA!AK53+'[4]STA MARIA'!AK53+'[4]CB I'!AK53+'[4]CB II'!AK53+'[4]CB III'!AK53+[4]IG!AK53+[4]PN!AK53+[4]MJ!AK53+'[4]RB I'!AK53+'[4]SF I'!AK53</f>
        <v>98.957760000000007</v>
      </c>
      <c r="AL53" s="166">
        <f>+[4]SLP!AL53+[4]ROSA!AL53+'[4]STA ANA'!AL53+[4]BOA!AL53+'[4]STA MARIA'!AL53+'[4]CB I'!AL53+'[4]CB II'!AL53+'[4]CB III'!AL53+[4]IG!AL53+[4]PN!AL53+[4]MJ!AL53+'[4]RB I'!AL53+'[4]SF I'!AL53</f>
        <v>479.82201684432056</v>
      </c>
      <c r="AM53" s="224">
        <f t="shared" si="6"/>
        <v>-0.98030956205572628</v>
      </c>
      <c r="AN53" s="225">
        <f>+[4]SLP!AN53+[4]ROSA!AN53+'[4]STA ANA'!AN53+[4]BOA!AN53+'[4]STA MARIA'!AN53+'[4]CB I'!AN53+'[4]CB II'!AN53+'[4]CB III'!AN53+[4]IG!AN53+[4]PN!AN53+[4]MJ!AN53+'[4]RB I'!AN53+'[4]SF I'!AN53</f>
        <v>24368.275515368157</v>
      </c>
      <c r="AO53" s="226">
        <f>+[4]SLP!AO53+[4]ROSA!AO53+'[4]STA ANA'!AO53+[4]BOA!AO53+'[4]STA MARIA'!AO53+'[4]CB I'!AO53+'[4]CB II'!AO53+'[4]CB III'!AO53+[4]IG!AO53+[4]PN!AO53+[4]MJ!AO53+'[4]RB I'!AO53+'[4]SF I'!AO53</f>
        <v>21373.414454529404</v>
      </c>
      <c r="AP53" s="226">
        <f>+[4]SLP!AP53+[4]ROSA!AP53+'[4]STA ANA'!AP53+[4]BOA!AP53+'[4]STA MARIA'!AP53+'[4]CB I'!AP53+'[4]CB II'!AP53+'[4]CB III'!AP53+[4]IG!AP53+[4]PN!AP53+[4]MJ!AP53+'[4]RB I'!AP53+'[4]SF I'!AP53</f>
        <v>2994.8610608387467</v>
      </c>
      <c r="AQ53" s="226">
        <f>+[4]SLP!AQ53+[4]ROSA!AQ53+'[4]STA ANA'!AQ53+[4]BOA!AQ53+'[4]STA MARIA'!AQ53+'[4]CB I'!AQ53+'[4]CB II'!AQ53+'[4]CB III'!AQ53+[4]IG!AQ53+[4]PN!AQ53+[4]MJ!AQ53+'[4]RB I'!AQ53+'[4]SF I'!AQ53</f>
        <v>0</v>
      </c>
      <c r="AR53" s="226">
        <f>+[4]SLP!AR53+[4]ROSA!AR53+'[4]STA ANA'!AR53+[4]BOA!AR53+'[4]STA MARIA'!AR53+'[4]CB I'!AR53+'[4]CB II'!AR53+'[4]CB III'!AR53+[4]IG!AR53+[4]PN!AR53+[4]MJ!AR53+'[4]RB I'!AR53+'[4]SF I'!AR53</f>
        <v>0</v>
      </c>
      <c r="AS53" s="166">
        <f>+[4]SLP!AS53+[4]ROSA!AS53+'[4]STA ANA'!AS53+[4]BOA!AS53+'[4]STA MARIA'!AS53+'[4]CB I'!AS53+'[4]CB II'!AS53+'[4]CB III'!AS53+[4]IG!AS53+[4]PN!AS53+[4]MJ!AS53+'[4]RB I'!AS53+'[4]SÃO FRANCISCO'!AS53</f>
        <v>0</v>
      </c>
      <c r="AT53" s="224">
        <f t="shared" si="7"/>
        <v>-1</v>
      </c>
      <c r="AU53" s="225">
        <f>+[4]SLP!AU53+[4]ROSA!AU53+'[4]STA ANA'!AU53+[4]BOA!AU53+'[4]STA MARIA'!AU53+'[4]CB I'!AU53+'[4]CB II'!AU53+'[4]CB III'!AU53+[4]IG!AU53+[4]PN!AU53+[4]MJ!AU53+'[4]RB I'!AU53+'[4]SF I'!AU53</f>
        <v>24368.275515368157</v>
      </c>
      <c r="AV53" s="226">
        <f>+[4]SLP!AV53+[4]ROSA!AV53+'[4]STA ANA'!AV53+[4]BOA!AV53+'[4]STA MARIA'!AV53+'[4]CB I'!AV53+'[4]CB II'!AV53+'[4]CB III'!AV53+[4]IG!AV53+[4]PN!AV53+[4]MJ!AV53+'[4]RB I'!AV53+'[4]SF I'!AV53</f>
        <v>21373.414454529404</v>
      </c>
      <c r="AW53" s="226">
        <f>+[4]SLP!AW53+[4]ROSA!AW53+'[4]STA ANA'!AW53+[4]BOA!AW53+'[4]STA MARIA'!AW53+'[4]CB I'!AW53+'[4]CB II'!AW53+'[4]CB III'!AW53+[4]IG!AW53+[4]PN!AW53+[4]MJ!AW53+'[4]RB I'!AW53+'[4]SF I'!AW53</f>
        <v>2994.8610608387467</v>
      </c>
      <c r="AX53" s="226">
        <f>+[4]SLP!AX53+[4]ROSA!AX53+'[4]STA ANA'!AX53+[4]BOA!AX53+'[4]STA MARIA'!AX53+'[4]CB I'!AX53+'[4]CB II'!AX53+'[4]CB III'!AX53+[4]IG!AX53+[4]PN!AX53+[4]MJ!AX53+'[4]RB I'!AX53+'[4]SF I'!AX53</f>
        <v>0</v>
      </c>
      <c r="AY53" s="226">
        <f>+[4]SLP!AY53+[4]ROSA!AY53+'[4]STA ANA'!AY53+[4]BOA!AY53+'[4]STA MARIA'!AY53+'[4]CB I'!AY53+'[4]CB II'!AY53+'[4]CB III'!AY53+[4]IG!AY53+[4]PN!AY53+[4]MJ!AY53+'[4]RB I'!AY53+'[4]SF I'!AY53</f>
        <v>0</v>
      </c>
      <c r="AZ53" s="166">
        <f>+[4]SLP!AZ53+[4]ROSA!AZ53+'[4]STA ANA'!AZ53+[4]BOA!AZ53+'[4]STA MARIA'!AZ53+'[4]CB I'!AZ53+'[4]CB II'!AZ53+[4]IG!AZ53+[4]PN!AZ53+[4]MJ!AZ53+'[4]RB I'!AZ53+'[4]SÃO FRANCISCO'!AZ53</f>
        <v>0</v>
      </c>
      <c r="BA53" s="224">
        <f t="shared" si="8"/>
        <v>-1</v>
      </c>
      <c r="BB53" s="225">
        <f>+[4]SLP!BB53+[4]ROSA!BB53+'[4]STA ANA'!BB53+[4]BOA!BB53+'[4]STA MARIA'!BB53+'[4]CB I'!BB53+'[4]CB II'!BB53+'[4]CB III'!BB53+[4]IG!BB53+[4]PN!BB53+[4]MJ!BB53+'[4]RB I'!BB53+'[4]SF I'!BB53</f>
        <v>24368.275515368157</v>
      </c>
      <c r="BC53" s="226">
        <f>+[4]SLP!BC53+[4]ROSA!BC53+'[4]STA ANA'!BC53+[4]BOA!BC53+'[4]STA MARIA'!BC53+'[4]CB I'!BC53+'[4]CB II'!BC53+'[4]CB III'!BC53+[4]IG!BC53+[4]PN!BC53+[4]MJ!BC53+'[4]RB I'!BC53+'[4]SF I'!BC53</f>
        <v>21373.414454529404</v>
      </c>
      <c r="BD53" s="226">
        <f>+[4]SLP!BD53+[4]ROSA!BD53+'[4]STA ANA'!BD53+[4]BOA!BD53+'[4]STA MARIA'!BD53+'[4]CB I'!BD53+'[4]CB II'!BD53+'[4]CB III'!BD53+[4]IG!BD53+[4]PN!BD53+[4]MJ!BD53+'[4]RB I'!BD53+'[4]SF I'!BD53</f>
        <v>2994.8610608387467</v>
      </c>
      <c r="BE53" s="226">
        <f>+[4]SLP!BE53+[4]ROSA!BE53+'[4]STA ANA'!BE53+[4]BOA!BE53+'[4]STA MARIA'!BE53+'[4]CB I'!BE53+'[4]CB II'!BE53+'[4]CB III'!BE53+[4]IG!BE53+[4]PN!BE53+[4]MJ!BE53+'[4]RB I'!BE53+'[4]SF I'!BE53</f>
        <v>0</v>
      </c>
      <c r="BF53" s="226">
        <f>+[4]SLP!BF53+[4]ROSA!BF53+'[4]STA ANA'!BF53+[4]BOA!BF53+'[4]STA MARIA'!BF53+'[4]CB I'!BF53+'[4]CB II'!BF53+'[4]CB III'!BF53+[4]IG!BF53+[4]PN!BF53+[4]MJ!BF53+'[4]RB I'!BF53+'[4]SF I'!BF53</f>
        <v>0</v>
      </c>
      <c r="BG53" s="166">
        <f>+[4]SLP!BG53+[4]ROSA!BG53+'[4]STA ANA'!BG53+[4]BOA!BG53+'[4]STA MARIA'!BG53+'[4]CB I'!BG53+'[4]CB II'!BG53+'[4]CB III'!BG53+[4]IG!BG53+[4]PN!BG53+[4]MJ!BG53+'[4]RB I'!BG53+'[4]SÃO FRANCISCO'!BG53</f>
        <v>0</v>
      </c>
      <c r="BH53" s="224">
        <f t="shared" si="9"/>
        <v>-1</v>
      </c>
      <c r="BI53" s="225">
        <f>+[4]SLP!BI53+[4]ROSA!BI53+'[4]STA ANA'!BI53+[4]BOA!BI53+'[4]STA MARIA'!BI53+'[4]CB I'!BI53+'[4]CB II'!BI53+'[4]CB III'!BI53+[4]IG!BI53+[4]PN!BI53+[4]MJ!BI53+'[4]RB I'!BI53+'[4]SF I'!BI53</f>
        <v>24368.275515368157</v>
      </c>
      <c r="BJ53" s="226">
        <f>+[4]SLP!BJ53+[4]ROSA!BJ53+'[4]STA ANA'!BJ53+[4]BOA!BJ53+'[4]STA MARIA'!BJ53+'[4]CB I'!BJ53+'[4]CB II'!BJ53+'[4]CB III'!BJ53+[4]IG!BJ53+[4]PN!BJ53+[4]MJ!BJ53+'[4]RB I'!BJ53+'[4]SF I'!BJ53</f>
        <v>21373.414454529404</v>
      </c>
      <c r="BK53" s="226">
        <f>+[4]SLP!BK53+[4]ROSA!BK53+'[4]STA ANA'!BK53+[4]BOA!BK53+'[4]STA MARIA'!BK53+'[4]CB I'!BK53+'[4]CB II'!BK53+'[4]CB III'!BK53+[4]IG!BK53+[4]PN!BK53+[4]MJ!BK53+'[4]RB I'!BK53+'[4]SF I'!BK53</f>
        <v>2994.8610608387467</v>
      </c>
      <c r="BL53" s="226">
        <f>+[4]SLP!BL53+[4]ROSA!BL53+'[4]STA ANA'!BL53+[4]BOA!BL53+'[4]STA MARIA'!BL53+'[4]CB I'!BL53+'[4]CB II'!BL53+'[4]CB III'!BL53+[4]IG!BL53+[4]PN!BL53+[4]MJ!BL53+'[4]RB I'!BL53+'[4]SF I'!BL53</f>
        <v>0</v>
      </c>
      <c r="BM53" s="226">
        <f>+[4]SLP!BM53+[4]ROSA!BM53+'[4]STA ANA'!BM53+[4]BOA!BM53+'[4]STA MARIA'!BM53+'[4]CB I'!BM53+'[4]CB II'!BM53+'[4]CB III'!BM53+[4]IG!BM53+[4]PN!BM53+[4]MJ!BM53+'[4]RB I'!BM53+'[4]SF I'!BM53</f>
        <v>0</v>
      </c>
      <c r="BN53" s="166">
        <f>+[4]SLP!BN53+[4]ROSA!BN53+'[4]STA ANA'!BN53+[4]BOA!BN53+'[4]STA MARIA'!BN53+'[4]CB I'!BN53+'[4]CB II'!BN53+'[4]CB III'!BN53+[4]IG!BN53+[4]PN!BN53+[4]MJ!BN53+'[4]RB I'!BN53+'[4]SÃO FRANCISCO'!BN53</f>
        <v>0</v>
      </c>
      <c r="BO53" s="224">
        <f t="shared" si="10"/>
        <v>-1</v>
      </c>
      <c r="BP53" s="225">
        <f>+[4]SLP!BP53+[4]ROSA!BP53+'[4]STA ANA'!BP53+[4]BOA!BP53+'[4]STA MARIA'!BP53+'[4]CB I'!BP53+'[4]CB II'!BP53+'[4]CB III'!BP53+[4]IG!BP53+[4]PN!BP53+[4]MJ!BP53+'[4]RB I'!BP53+'[4]SF I'!BP53</f>
        <v>24368.275515368157</v>
      </c>
      <c r="BQ53" s="226">
        <f>+[4]SLP!BQ53+[4]ROSA!BQ53+'[4]STA ANA'!BQ53+[4]BOA!BQ53+'[4]STA MARIA'!BQ53+'[4]CB I'!BQ53+'[4]CB II'!BQ53+'[4]CB III'!BQ53+[4]IG!BQ53+[4]PN!BQ53+[4]MJ!BQ53+'[4]RB I'!BQ53+'[4]SF I'!BQ53</f>
        <v>21373.414454529404</v>
      </c>
      <c r="BR53" s="226">
        <f>+[4]SLP!BR53+[4]ROSA!BR53+'[4]STA ANA'!BR53+[4]BOA!BR53+'[4]STA MARIA'!BR53+'[4]CB I'!BR53+'[4]CB II'!BR53+'[4]CB III'!BR53+[4]IG!BR53+[4]PN!BR53+[4]MJ!BR53+'[4]RB I'!BR53+'[4]SF I'!BR53</f>
        <v>2994.8610608387467</v>
      </c>
      <c r="BS53" s="226">
        <f>+[4]SLP!BS53+[4]ROSA!BS53+'[4]STA ANA'!BS53+[4]BOA!BS53+'[4]STA MARIA'!BS53+'[4]CB I'!BS53+'[4]CB II'!BS53+'[4]CB III'!BS53+[4]IG!BS53+[4]PN!BS53+[4]MJ!BS53+'[4]RB I'!BS53+'[4]SF I'!BS53</f>
        <v>0</v>
      </c>
      <c r="BT53" s="226">
        <f>+[4]SLP!BT53+[4]ROSA!BT53+'[4]STA ANA'!BT53+[4]BOA!BT53+'[4]STA MARIA'!BT53+'[4]CB I'!BT53+'[4]CB II'!BT53+'[4]CB III'!BT53+[4]IG!BT53+[4]PN!BT53+[4]MJ!BT53+'[4]RB I'!BT53+'[4]SF I'!BT53</f>
        <v>0</v>
      </c>
      <c r="BU53" s="166">
        <f>+[4]SLP!BU53+[4]ROSA!BU53+'[4]STA ANA'!BU53+[4]BOA!BU53+'[4]STA MARIA'!BU53+'[4]CB I'!BU53+'[4]CB II'!BU53+'[4]CB III'!BU53+[4]IG!BU53+[4]PN!BU53+[4]MJ!BU53+'[4]RB I'!BU53+'[4]SÃO FRANCISCO'!BU53</f>
        <v>0</v>
      </c>
      <c r="BV53" s="224">
        <f t="shared" si="11"/>
        <v>-1</v>
      </c>
      <c r="BW53" s="225">
        <f>+[4]SLP!BW53+[4]ROSA!BW53+'[4]STA ANA'!BW53+[4]BOA!BW53+'[4]STA MARIA'!BW53+'[4]CB I'!BW53+'[4]CB II'!BW53+'[4]CB III'!BW53+[4]IG!BW53+[4]PN!BW53+[4]MJ!BW53+'[4]RB I'!BW53+'[4]SF I'!BW53</f>
        <v>24368.275515368157</v>
      </c>
      <c r="BX53" s="226">
        <f>+[4]SLP!BX53+[4]ROSA!BX53+'[4]STA ANA'!BX53+[4]BOA!BX53+'[4]STA MARIA'!BX53+'[4]CB I'!BX53+'[4]CB II'!BX53+'[4]CB III'!BX53+[4]IG!BX53+[4]PN!BX53+[4]MJ!BX53+'[4]RB I'!BX53+'[4]SF I'!BX53</f>
        <v>21373.414454529404</v>
      </c>
      <c r="BY53" s="226">
        <f>+[4]SLP!BY53+[4]ROSA!BY53+'[4]STA ANA'!BY53+[4]BOA!BY53+'[4]STA MARIA'!BY53+'[4]CB I'!BY53+'[4]CB II'!BY53+'[4]CB III'!BY53+[4]IG!BY53+[4]PN!BY53+[4]MJ!BY53+'[4]RB I'!BY53+'[4]SF I'!BY53</f>
        <v>2994.8610608387467</v>
      </c>
      <c r="BZ53" s="226">
        <f>+[4]SLP!BZ53+[4]ROSA!BZ53+'[4]STA ANA'!BZ53+[4]BOA!BZ53+'[4]STA MARIA'!BZ53+'[4]CB I'!BZ53+'[4]CB II'!BZ53+'[4]CB III'!BZ53+[4]IG!BZ53+[4]PN!BZ53+[4]MJ!BZ53+'[4]RB I'!BZ53+'[4]SF I'!BZ53</f>
        <v>0</v>
      </c>
      <c r="CA53" s="226">
        <f>+[4]SLP!CA53+[4]ROSA!CA53+'[4]STA ANA'!CA53+[4]BOA!CA53+'[4]STA MARIA'!CA53+'[4]CB I'!CA53+'[4]CB II'!CA53+'[4]CB III'!CA53+[4]IG!CA53+[4]PN!CA53+[4]MJ!CA53+'[4]RB I'!CA53+'[4]SF I'!CA53</f>
        <v>0</v>
      </c>
      <c r="CB53" s="166">
        <f>+[4]SLP!CB53+[4]ROSA!CB53+'[4]STA ANA'!CB53+[4]BOA!CB53+'[4]STA MARIA'!CB53+'[4]CB I'!CB53+'[4]CB II'!CB53+'[4]CB III'!CB53+[4]IG!CB53+[4]PN!CB53+[4]MJ!CB53+'[4]RB I'!CB53+'[4]SÃO FRANCISCO'!CB53</f>
        <v>0</v>
      </c>
      <c r="CC53" s="224">
        <f t="shared" si="12"/>
        <v>-1</v>
      </c>
      <c r="CD53" s="225">
        <f>+[4]SLP!CD53+[4]ROSA!CD53+'[4]STA ANA'!CD53+[4]BOA!CD53+'[4]STA MARIA'!CD53+'[4]CB I'!CD53+'[4]CB II'!CD53+'[4]CB III'!CD53+[4]IG!CD53+[4]PN!CD53+[4]MJ!CD53+'[4]RB I'!CD53+'[4]SF I'!CD53</f>
        <v>24368.275515368157</v>
      </c>
      <c r="CE53" s="226">
        <f>+[4]SLP!CE53+[4]ROSA!CE53+'[4]STA ANA'!CE53+[4]BOA!CE53+'[4]STA MARIA'!CE53+'[4]CB I'!CE53+'[4]CB II'!CE53+'[4]CB III'!CE53+[4]IG!CE53+[4]PN!CE53+[4]MJ!CE53+'[4]RB I'!CE53+'[4]SF I'!CE53</f>
        <v>21373.414454529404</v>
      </c>
      <c r="CF53" s="226">
        <f>+[4]SLP!CF53+[4]ROSA!CF53+'[4]STA ANA'!CF53+[4]BOA!CF53+'[4]STA MARIA'!CF53+'[4]CB I'!CF53+'[4]CB II'!CF53+'[4]CB III'!CF53+[4]IG!CF53+[4]PN!CF53+[4]MJ!CF53+'[4]RB I'!CF53+'[4]SF I'!CF53</f>
        <v>2994.8610608387467</v>
      </c>
      <c r="CG53" s="226">
        <f>+[4]SLP!CG53+[4]ROSA!CG53+'[4]STA ANA'!CG53+[4]BOA!CG53+'[4]STA MARIA'!CG53+'[4]CB I'!CG53+'[4]CB II'!CG53+'[4]CB III'!CG53+[4]IG!CG53+[4]PN!CG53+[4]MJ!CG53+'[4]RB I'!CG53+'[4]SF I'!CG53</f>
        <v>0</v>
      </c>
      <c r="CH53" s="226">
        <f>+[4]SLP!CH53+[4]ROSA!CH53+'[4]STA ANA'!CH53+[4]BOA!CH53+'[4]STA MARIA'!CH53+'[4]CB I'!CH53+'[4]CB II'!CH53+'[4]CB III'!CH53+[4]IG!CH53+[4]PN!CH53+[4]MJ!CH53+'[4]RB I'!CH53+'[4]SF I'!CH53</f>
        <v>0</v>
      </c>
      <c r="CI53" s="166">
        <f>+[4]SLP!CI53+[4]ROSA!CI53+'[4]STA ANA'!CI53+[4]BOA!CI53+'[4]STA MARIA'!CI53+'[4]CB I'!CI53+'[4]CB II'!CI53+'[4]CB III'!CI53+[4]IG!CI53+[4]PN!CI53+[4]MJ!CI53+'[4]RB I'!CI53+'[4]SÃO FRANCISCO'!CI53</f>
        <v>0</v>
      </c>
      <c r="CJ53" s="224">
        <f t="shared" si="13"/>
        <v>-1</v>
      </c>
      <c r="CK53" s="225">
        <f>+[4]SLP!CK53+[4]ROSA!CK53+'[4]STA ANA'!CK53+[4]BOA!CK53+'[4]STA MARIA'!CK53+'[4]CB I'!CK53+'[4]CB II'!CK53+'[4]CB III'!CK53+[4]IG!CK53+[4]PN!CK53+[4]MJ!CK53+'[4]RB I'!CK53+'[4]SF I'!CK53</f>
        <v>24368.275515368157</v>
      </c>
      <c r="CL53" s="226">
        <f>+[4]SLP!CL53+[4]ROSA!CL53+'[4]STA ANA'!CL53+[4]BOA!CL53+'[4]STA MARIA'!CL53+'[4]CB I'!CL53+'[4]CB II'!CL53+'[4]CB III'!CL53+[4]IG!CL53+[4]PN!CL53+[4]MJ!CL53+'[4]RB I'!CL53+'[4]SF I'!CL53</f>
        <v>21373.414454529404</v>
      </c>
      <c r="CM53" s="226">
        <f>+[4]SLP!CM53+[4]ROSA!CM53+'[4]STA ANA'!CM53+[4]BOA!CM53+'[4]STA MARIA'!CM53+'[4]CB I'!CM53+'[4]CB II'!CM53+'[4]CB III'!CM53+[4]IG!CM53+[4]PN!CM53+[4]MJ!CM53+'[4]RB I'!CM53+'[4]SF I'!CM53</f>
        <v>2994.8610608387467</v>
      </c>
      <c r="CN53" s="226">
        <f>+[4]SLP!CN53+[4]ROSA!CN53+'[4]STA ANA'!CN53+[4]BOA!CN53+'[4]STA MARIA'!CN53+'[4]CB I'!CN53+'[4]CB II'!CN53+'[4]CB III'!CN53+[4]IG!CN53+[4]PN!CN53+[4]MJ!CN53+'[4]RB I'!CN53+'[4]SF I'!CN53</f>
        <v>0</v>
      </c>
      <c r="CO53" s="226">
        <f>+[4]SLP!CO53+[4]ROSA!CO53+'[4]STA ANA'!CO53+[4]BOA!CO53+'[4]STA MARIA'!CO53+'[4]CB I'!CO53+'[4]CB II'!CO53+'[4]CB III'!CO53+[4]IG!CO53+[4]PN!CO53+[4]MJ!CO53+'[4]RB I'!CO53+'[4]SF I'!CO53</f>
        <v>0</v>
      </c>
      <c r="CP53" s="166">
        <f>+[4]SLP!CP53+[4]ROSA!CP53+'[4]STA ANA'!CP53+[4]BOA!CP53+'[4]STA MARIA'!CP53+'[4]CB I'!CP53+'[4]CB II'!CP53+'[4]CB III'!CP53+[4]IG!CP53+[4]PN!CP53+[4]MJ!CP53+'[4]RB I'!CP53+'[4]SÃO FRANCISCO'!CP53</f>
        <v>0</v>
      </c>
      <c r="CQ53" s="224">
        <f t="shared" si="14"/>
        <v>-1</v>
      </c>
      <c r="CR53" s="155"/>
      <c r="CS53" s="227" t="e">
        <f t="shared" si="15"/>
        <v>#VALUE!</v>
      </c>
    </row>
    <row r="54" spans="1:101" ht="16" customHeight="1" thickBot="1" x14ac:dyDescent="0.25">
      <c r="A54" s="229" t="s">
        <v>78</v>
      </c>
      <c r="B54" s="50">
        <f t="shared" si="17"/>
        <v>2869813.0230536195</v>
      </c>
      <c r="C54" s="40">
        <f t="shared" si="17"/>
        <v>2517113.0025203289</v>
      </c>
      <c r="D54" s="51">
        <f t="shared" si="17"/>
        <v>352700.02053328976</v>
      </c>
      <c r="E54" s="52">
        <f t="shared" si="19"/>
        <v>1639893.1560306398</v>
      </c>
      <c r="F54" s="53">
        <f t="shared" si="19"/>
        <v>1438350.2871544738</v>
      </c>
      <c r="G54" s="54">
        <f t="shared" si="19"/>
        <v>201542.86887616559</v>
      </c>
      <c r="H54" s="40">
        <f t="shared" si="18"/>
        <v>1413220.867796662</v>
      </c>
      <c r="I54" s="53">
        <f t="shared" si="18"/>
        <v>202025.94737018752</v>
      </c>
      <c r="J54" s="53">
        <f t="shared" si="18"/>
        <v>1615246.8151668492</v>
      </c>
      <c r="K54" s="230">
        <f t="shared" si="2"/>
        <v>-1.5029235760363191E-2</v>
      </c>
      <c r="L54" s="231">
        <f>+[4]SLP!L54+[4]ROSA!L54+'[4]STA ANA'!L54+[4]BOA!L54+'[4]STA MARIA'!L54+'[4]CB I'!L54+'[4]CB II'!L54+'[4]CB III'!L54+[4]IG!L54+[4]PN!L54+[4]MJ!L54+'[4]RB I'!L54+'[4]SF I'!L54</f>
        <v>409973.28900765994</v>
      </c>
      <c r="M54" s="232">
        <f>+[4]SLP!M54+[4]ROSA!M54+'[4]STA ANA'!M54+[4]BOA!M54+'[4]STA MARIA'!M54+'[4]CB I'!M54+'[4]CB II'!M54+'[4]CB III'!M54+[4]IG!M54+[4]PN!M54+[4]MJ!M54+'[4]RB I'!M54+'[4]SF I'!M54</f>
        <v>359587.57178861846</v>
      </c>
      <c r="N54" s="232">
        <f>+[4]SLP!N54+[4]ROSA!N54+'[4]STA ANA'!N54+[4]BOA!N54+'[4]STA MARIA'!N54+'[4]CB I'!N54+'[4]CB II'!N54+'[4]CB III'!N54+[4]IG!N54+[4]PN!N54+[4]MJ!N54+'[4]RB I'!N54+'[4]SF I'!N54</f>
        <v>50385.717219041398</v>
      </c>
      <c r="O54" s="232">
        <f>+[4]SLP!O54+[4]ROSA!O54+'[4]STA ANA'!O54+[4]BOA!O54+'[4]STA MARIA'!O54+'[4]CB I'!O54+'[4]CB II'!O54+'[4]CB III'!O54+[4]IG!O54+[4]PN!O54+[4]MJ!O54+'[4]RB I'!O54+'[4]SF I'!O54</f>
        <v>70588.844183000008</v>
      </c>
      <c r="P54" s="232">
        <f>+[4]SLP!P54+[4]ROSA!P54+'[4]STA ANA'!P54+[4]BOA!P54+'[4]STA MARIA'!P54+'[4]CB I'!P54+'[4]CB II'!P54+'[4]CB III'!P54+[4]IG!P54+[4]PN!P54+[4]MJ!P54+'[4]RB I'!P54+'[4]SF I'!P54</f>
        <v>13725.235817000001</v>
      </c>
      <c r="Q54" s="233">
        <f>+[4]SLP!Q54+[4]ROSA!Q54+'[4]STA ANA'!Q54+[4]BOA!Q54+'[4]STA MARIA'!Q54+'[4]CB I'!Q54+'[4]CB II'!Q54+'[4]CB III'!Q54+[4]IG!Q54+[4]PN!Q54+[4]MJ!Q54+'[4]RB I'!Q54+'[4]SF I'!Q54</f>
        <v>84314.08</v>
      </c>
      <c r="R54" s="230">
        <f t="shared" si="3"/>
        <v>-0.79434250410781115</v>
      </c>
      <c r="S54" s="231">
        <f>+[4]SLP!S54+[4]ROSA!S54+'[4]STA ANA'!S54+[4]BOA!S54+'[4]STA MARIA'!S54+'[4]CB I'!S54+'[4]CB II'!S54+'[4]CB III'!S54+[4]IG!S54+[4]PN!S54+[4]MJ!S54+'[4]RB I'!S54+'[4]SF I'!S54</f>
        <v>409973.28900765994</v>
      </c>
      <c r="T54" s="232">
        <f>+[4]SLP!T54+[4]ROSA!T54+'[4]STA ANA'!T54+[4]BOA!T54+'[4]STA MARIA'!T54+'[4]CB I'!T54+'[4]CB II'!T54+'[4]CB III'!T54+[4]IG!T54+[4]PN!T54+[4]MJ!T54+'[4]RB I'!T54+'[4]SF I'!T54</f>
        <v>359587.57178861846</v>
      </c>
      <c r="U54" s="232">
        <f>+[4]SLP!U54+[4]ROSA!U54+'[4]STA ANA'!U54+[4]BOA!U54+'[4]STA MARIA'!U54+'[4]CB I'!U54+'[4]CB II'!U54+'[4]CB III'!U54+[4]IG!U54+[4]PN!U54+[4]MJ!U54+'[4]RB I'!U54+'[4]SF I'!U54</f>
        <v>50385.717219041398</v>
      </c>
      <c r="V54" s="232">
        <f>+[4]SLP!V54+[4]ROSA!V54+'[4]STA ANA'!V54+[4]BOA!V54+'[4]STA MARIA'!V54+'[4]CB I'!V54+'[4]CB II'!V54+'[4]CB III'!V54+[4]IG!V54+[4]PN!V54+[4]MJ!V54+'[4]RB I'!V54+'[4]SF I'!V54</f>
        <v>504436.68147356447</v>
      </c>
      <c r="W54" s="232">
        <f>+[4]SLP!W54+[4]ROSA!W54+'[4]STA ANA'!W54+[4]BOA!W54+'[4]STA MARIA'!W54+'[4]CB I'!W54+'[4]CB II'!W54+'[4]CB III'!W54+[4]IG!W54+[4]PN!W54+[4]MJ!W54+'[4]RB I'!W54+'[4]SF I'!W54</f>
        <v>53155.560865833519</v>
      </c>
      <c r="X54" s="233">
        <f>[4]SLP!X54+[4]ROSA!X54+'[4]STA ANA'!X54+[4]BOA!X54+'[4]STA MARIA'!X54+'[4]CB I'!X54+'[4]CB II'!X54+'[4]CB III'!X54+[4]IG!X54+[4]PN!X54+[4]MJ!X54+'[4]RB I'!X54+'[4]SF I'!X54</f>
        <v>557592.2423393979</v>
      </c>
      <c r="Y54" s="230">
        <f t="shared" si="4"/>
        <v>0.36006968573257425</v>
      </c>
      <c r="Z54" s="231">
        <f>+[4]SLP!Z54+[4]ROSA!Z54+'[4]STA ANA'!Z54+[4]BOA!Z54+'[4]STA MARIA'!Z54+'[4]CB I'!Z54+'[4]CB II'!Z54+'[4]CB III'!Z54+[4]IG!Z54+[4]PN!Z54+[4]MJ!Z54+'[4]RB I'!Z54+'[4]SF I'!Z54</f>
        <v>409973.28900765994</v>
      </c>
      <c r="AA54" s="232">
        <f>+[4]SLP!AA54+[4]ROSA!AA54+'[4]STA ANA'!AA54+[4]BOA!AA54+'[4]STA MARIA'!AA54+'[4]CB I'!AA54+'[4]CB II'!AA54+'[4]CB III'!AA54+[4]IG!AA54+[4]PN!AA54+[4]MJ!AA54+'[4]RB I'!AA54+'[4]SF I'!AA54</f>
        <v>359587.57178861846</v>
      </c>
      <c r="AB54" s="232">
        <f>+[4]SLP!AB54+[4]ROSA!AB54+'[4]STA ANA'!AB54+[4]BOA!AB54+'[4]STA MARIA'!AB54+'[4]CB I'!AB54+'[4]CB II'!AB54+'[4]CB III'!AB54+[4]IG!AB54+[4]PN!AB54+[4]MJ!AB54+'[4]RB I'!AB54+'[4]SF I'!AB54</f>
        <v>50385.717219041398</v>
      </c>
      <c r="AC54" s="232">
        <f>+[4]SLP!AC54+[4]ROSA!AC54+'[4]STA ANA'!AC54+[4]BOA!AC54+'[4]STA MARIA'!AC54+'[4]CB I'!AC54+'[4]CB II'!AC54+'[4]CB III'!AC54+[4]IG!AC54+[4]PN!AC54+[4]MJ!AC54+'[4]RB I'!AC54+'[4]SF I'!AC54</f>
        <v>479665.13276409724</v>
      </c>
      <c r="AD54" s="232">
        <f>+[4]SLP!AD54+[4]ROSA!AD54+'[4]STA ANA'!AD54+[4]BOA!AD54+'[4]STA MARIA'!AD54+'[4]CB I'!AD54+'[4]CB II'!AD54+'[4]CB III'!AD54+[4]IG!AD54+[4]PN!AD54+[4]MJ!AD54+'[4]RB I'!AD54+'[4]SF I'!AD54</f>
        <v>58640.660063353971</v>
      </c>
      <c r="AE54" s="233">
        <f>+[4]SLP!AE54+[4]ROSA!AE54+'[4]STA ANA'!AE54+[4]BOA!AE54+'[4]STA MARIA'!AE54+'[4]CB I'!AE54+'[4]CB II'!AE54+'[4]CB III'!AE54+[4]IG!AE54+[4]PN!AE54+[4]MJ!AE54+'[4]RB I'!AE54+'[4]SF I'!AE54</f>
        <v>538305.79282745114</v>
      </c>
      <c r="AF54" s="230">
        <f t="shared" si="5"/>
        <v>0.3130265001664374</v>
      </c>
      <c r="AG54" s="231">
        <f>+[4]SLP!AG54+[4]ROSA!AG54+'[4]STA ANA'!AG54+[4]BOA!AG54+'[4]STA MARIA'!AG54+'[4]CB I'!AG54+'[4]CB II'!AG54+'[4]CB III'!AG54+[4]IG!AG54+[4]PN!AG54+[4]MJ!AG54+'[4]RB I'!AG54+'[4]SF I'!AG54</f>
        <v>409973.28900765994</v>
      </c>
      <c r="AH54" s="232">
        <f>+[4]SLP!AH54+[4]ROSA!AH54+'[4]STA ANA'!AH54+[4]BOA!AH54+'[4]STA MARIA'!AH54+'[4]CB I'!AH54+'[4]CB II'!AH54+'[4]CB III'!AH54+[4]IG!AH54+[4]PN!AH54+[4]MJ!AH54+'[4]RB I'!AH54+'[4]SF I'!AH54</f>
        <v>359587.57178861846</v>
      </c>
      <c r="AI54" s="232">
        <f>+[4]SLP!AI54+[4]ROSA!AI54+'[4]STA ANA'!AI54+[4]BOA!AI54+'[4]STA MARIA'!AI54+'[4]CB I'!AI54+'[4]CB II'!AI54+'[4]CB III'!AI54+[4]IG!AI54+[4]PN!AI54+[4]MJ!AI54+'[4]RB I'!AI54+'[4]SF I'!AI54</f>
        <v>50385.717219041398</v>
      </c>
      <c r="AJ54" s="232">
        <f>+[4]SLP!AJ54+[4]ROSA!AJ54+'[4]STA ANA'!AJ54+[4]BOA!AJ54+'[4]STA MARIA'!AJ54+'[4]CB I'!AJ54+'[4]CB II'!AJ54+'[4]CB III'!AJ54+[4]IG!AJ54+[4]PN!AJ54+[4]MJ!AJ54+'[4]RB I'!AJ54+'[4]SF I'!AJ54</f>
        <v>358530.20937600028</v>
      </c>
      <c r="AK54" s="232">
        <f>+[4]SLP!AK54+[4]ROSA!AK54+'[4]STA ANA'!AK54+[4]BOA!AK54+'[4]STA MARIA'!AK54+'[4]CB I'!AK54+'[4]CB II'!AK54+'[4]CB III'!AK54+[4]IG!AK54+[4]PN!AK54+[4]MJ!AK54+'[4]RB I'!AK54+'[4]SF I'!AK54</f>
        <v>76504.490624000027</v>
      </c>
      <c r="AL54" s="233">
        <f>+[4]SLP!AL54+[4]ROSA!AL54+'[4]STA ANA'!AL54+[4]BOA!AL54+'[4]STA MARIA'!AL54+'[4]CB I'!AL54+'[4]CB II'!AL54+'[4]CB III'!AL54+[4]IG!AL54+[4]PN!AL54+[4]MJ!AL54+'[4]RB I'!AL54+'[4]SF I'!AL54</f>
        <v>435034.70000000024</v>
      </c>
      <c r="AM54" s="230">
        <f t="shared" si="6"/>
        <v>6.1129375167346733E-2</v>
      </c>
      <c r="AN54" s="234">
        <f>+[4]SLP!AN54+[4]ROSA!AN54+'[4]STA ANA'!AN54+[4]BOA!AN54+'[4]STA MARIA'!AN54+'[4]CB I'!AN54+'[4]CB II'!AN54+'[4]CB III'!AN54+[4]IG!AN54+[4]PN!AN54+[4]MJ!AN54+'[4]RB I'!AN54+'[4]SF I'!AN54</f>
        <v>409973.28900765994</v>
      </c>
      <c r="AO54" s="232">
        <f>+[4]SLP!AO54+[4]ROSA!AO54+'[4]STA ANA'!AO54+[4]BOA!AO54+'[4]STA MARIA'!AO54+'[4]CB I'!AO54+'[4]CB II'!AO54+'[4]CB III'!AO54+[4]IG!AO54+[4]PN!AO54+[4]MJ!AO54+'[4]RB I'!AO54+'[4]SF I'!AO54</f>
        <v>359587.57178861846</v>
      </c>
      <c r="AP54" s="232">
        <f>+[4]SLP!AP54+[4]ROSA!AP54+'[4]STA ANA'!AP54+[4]BOA!AP54+'[4]STA MARIA'!AP54+'[4]CB I'!AP54+'[4]CB II'!AP54+'[4]CB III'!AP54+[4]IG!AP54+[4]PN!AP54+[4]MJ!AP54+'[4]RB I'!AP54+'[4]SF I'!AP54</f>
        <v>50385.717219041398</v>
      </c>
      <c r="AQ54" s="232">
        <f>+[4]SLP!AQ54+[4]ROSA!AQ54+'[4]STA ANA'!AQ54+[4]BOA!AQ54+'[4]STA MARIA'!AQ54+'[4]CB I'!AQ54+'[4]CB II'!AQ54+'[4]CB III'!AQ54+[4]IG!AQ54+[4]PN!AQ54+[4]MJ!AQ54+'[4]RB I'!AQ54+'[4]SF I'!AQ54</f>
        <v>0</v>
      </c>
      <c r="AR54" s="232">
        <f>+[4]SLP!AR54+[4]ROSA!AR54+'[4]STA ANA'!AR54+[4]BOA!AR54+'[4]STA MARIA'!AR54+'[4]CB I'!AR54+'[4]CB II'!AR54+'[4]CB III'!AR54+[4]IG!AR54+[4]PN!AR54+[4]MJ!AR54+'[4]RB I'!AR54+'[4]SF I'!AR54</f>
        <v>0</v>
      </c>
      <c r="AS54" s="235">
        <f>+[4]SLP!AS54+[4]ROSA!AS54+'[4]STA ANA'!AS54+[4]BOA!AS54+'[4]STA MARIA'!AS54+'[4]CB I'!AS54+'[4]CB II'!AS54+'[4]CB III'!AS54+[4]IG!AS54+[4]PN!AS54+[4]MJ!AS54+'[4]RB I'!AS54+'[4]SÃO FRANCISCO'!AS54</f>
        <v>0</v>
      </c>
      <c r="AT54" s="230">
        <f t="shared" si="7"/>
        <v>-1</v>
      </c>
      <c r="AU54" s="234">
        <f>+[4]SLP!AU54+[4]ROSA!AU54+'[4]STA ANA'!AU54+[4]BOA!AU54+'[4]STA MARIA'!AU54+'[4]CB I'!AU54+'[4]CB II'!AU54+'[4]CB III'!AU54+[4]IG!AU54+[4]PN!AU54+[4]MJ!AU54+'[4]RB I'!AU54+'[4]SF I'!AU54</f>
        <v>409973.28900765994</v>
      </c>
      <c r="AV54" s="232">
        <f>+[4]SLP!AV54+[4]ROSA!AV54+'[4]STA ANA'!AV54+[4]BOA!AV54+'[4]STA MARIA'!AV54+'[4]CB I'!AV54+'[4]CB II'!AV54+'[4]CB III'!AV54+[4]IG!AV54+[4]PN!AV54+[4]MJ!AV54+'[4]RB I'!AV54+'[4]SF I'!AV54</f>
        <v>359587.57178861846</v>
      </c>
      <c r="AW54" s="232">
        <f>+[4]SLP!AW54+[4]ROSA!AW54+'[4]STA ANA'!AW54+[4]BOA!AW54+'[4]STA MARIA'!AW54+'[4]CB I'!AW54+'[4]CB II'!AW54+'[4]CB III'!AW54+[4]IG!AW54+[4]PN!AW54+[4]MJ!AW54+'[4]RB I'!AW54+'[4]SF I'!AW54</f>
        <v>50385.717219041398</v>
      </c>
      <c r="AX54" s="232">
        <f>+[4]SLP!AX54+[4]ROSA!AX54+'[4]STA ANA'!AX54+[4]BOA!AX54+'[4]STA MARIA'!AX54+'[4]CB I'!AX54+'[4]CB II'!AX54+'[4]CB III'!AX54+[4]IG!AX54+[4]PN!AX54+[4]MJ!AX54+'[4]RB I'!AX54+'[4]SF I'!AX54</f>
        <v>0</v>
      </c>
      <c r="AY54" s="232">
        <f>+[4]SLP!AY54+[4]ROSA!AY54+'[4]STA ANA'!AY54+[4]BOA!AY54+'[4]STA MARIA'!AY54+'[4]CB I'!AY54+'[4]CB II'!AY54+'[4]CB III'!AY54+[4]IG!AY54+[4]PN!AY54+[4]MJ!AY54+'[4]RB I'!AY54+'[4]SF I'!AY54</f>
        <v>0</v>
      </c>
      <c r="AZ54" s="235">
        <f>+[4]SLP!AZ54+[4]ROSA!AZ54+'[4]STA ANA'!AZ54+[4]BOA!AZ54+'[4]STA MARIA'!AZ54+'[4]CB I'!AZ54+'[4]CB II'!AZ54+[4]IG!AZ54+[4]PN!AZ54+[4]MJ!AZ54+'[4]RB I'!AZ54+'[4]SÃO FRANCISCO'!AZ54</f>
        <v>0</v>
      </c>
      <c r="BA54" s="230">
        <f t="shared" si="8"/>
        <v>-1</v>
      </c>
      <c r="BB54" s="234">
        <f>+[4]SLP!BB54+[4]ROSA!BB54+'[4]STA ANA'!BB54+[4]BOA!BB54+'[4]STA MARIA'!BB54+'[4]CB I'!BB54+'[4]CB II'!BB54+'[4]CB III'!BB54+[4]IG!BB54+[4]PN!BB54+[4]MJ!BB54+'[4]RB I'!BB54+'[4]SF I'!BB54</f>
        <v>409973.28900765994</v>
      </c>
      <c r="BC54" s="232">
        <f>+[4]SLP!BC54+[4]ROSA!BC54+'[4]STA ANA'!BC54+[4]BOA!BC54+'[4]STA MARIA'!BC54+'[4]CB I'!BC54+'[4]CB II'!BC54+'[4]CB III'!BC54+[4]IG!BC54+[4]PN!BC54+[4]MJ!BC54+'[4]RB I'!BC54+'[4]SF I'!BC54</f>
        <v>359587.57178861846</v>
      </c>
      <c r="BD54" s="232">
        <f>+[4]SLP!BD54+[4]ROSA!BD54+'[4]STA ANA'!BD54+[4]BOA!BD54+'[4]STA MARIA'!BD54+'[4]CB I'!BD54+'[4]CB II'!BD54+'[4]CB III'!BD54+[4]IG!BD54+[4]PN!BD54+[4]MJ!BD54+'[4]RB I'!BD54+'[4]SF I'!BD54</f>
        <v>50385.717219041398</v>
      </c>
      <c r="BE54" s="232">
        <f>+[4]SLP!BE54+[4]ROSA!BE54+'[4]STA ANA'!BE54+[4]BOA!BE54+'[4]STA MARIA'!BE54+'[4]CB I'!BE54+'[4]CB II'!BE54+'[4]CB III'!BE54+[4]IG!BE54+[4]PN!BE54+[4]MJ!BE54+'[4]RB I'!BE54+'[4]SF I'!BE54</f>
        <v>0</v>
      </c>
      <c r="BF54" s="232">
        <f>+[4]SLP!BF54+[4]ROSA!BF54+'[4]STA ANA'!BF54+[4]BOA!BF54+'[4]STA MARIA'!BF54+'[4]CB I'!BF54+'[4]CB II'!BF54+'[4]CB III'!BF54+[4]IG!BF54+[4]PN!BF54+[4]MJ!BF54+'[4]RB I'!BF54+'[4]SF I'!BF54</f>
        <v>0</v>
      </c>
      <c r="BG54" s="235">
        <f>+[4]SLP!BG54+[4]ROSA!BG54+'[4]STA ANA'!BG54+[4]BOA!BG54+'[4]STA MARIA'!BG54+'[4]CB I'!BG54+'[4]CB II'!BG54+'[4]CB III'!BG54+[4]IG!BG54+[4]PN!BG54+[4]MJ!BG54+'[4]RB I'!BG54+'[4]SÃO FRANCISCO'!BG54</f>
        <v>0</v>
      </c>
      <c r="BH54" s="230">
        <f t="shared" si="9"/>
        <v>-1</v>
      </c>
      <c r="BI54" s="234">
        <f>+[4]SLP!BI54+[4]ROSA!BI54+'[4]STA ANA'!BI54+[4]BOA!BI54+'[4]STA MARIA'!BI54+'[4]CB I'!BI54+'[4]CB II'!BI54+'[4]CB III'!BI54+[4]IG!BI54+[4]PN!BI54+[4]MJ!BI54+'[4]RB I'!BI54+'[4]SF I'!BI54</f>
        <v>0</v>
      </c>
      <c r="BJ54" s="232">
        <f>+[4]SLP!BJ54+[4]ROSA!BJ54+'[4]STA ANA'!BJ54+[4]BOA!BJ54+'[4]STA MARIA'!BJ54+'[4]CB I'!BJ54+'[4]CB II'!BJ54+'[4]CB III'!BJ54+[4]IG!BJ54+[4]PN!BJ54+[4]MJ!BJ54+'[4]RB I'!BJ54+'[4]SF I'!BJ54</f>
        <v>0</v>
      </c>
      <c r="BK54" s="232">
        <f>+[4]SLP!BK54+[4]ROSA!BK54+'[4]STA ANA'!BK54+[4]BOA!BK54+'[4]STA MARIA'!BK54+'[4]CB I'!BK54+'[4]CB II'!BK54+'[4]CB III'!BK54+[4]IG!BK54+[4]PN!BK54+[4]MJ!BK54+'[4]RB I'!BK54+'[4]SF I'!BK54</f>
        <v>0</v>
      </c>
      <c r="BL54" s="232">
        <f>+[4]SLP!BL54+[4]ROSA!BL54+'[4]STA ANA'!BL54+[4]BOA!BL54+'[4]STA MARIA'!BL54+'[4]CB I'!BL54+'[4]CB II'!BL54+'[4]CB III'!BL54+[4]IG!BL54+[4]PN!BL54+[4]MJ!BL54+'[4]RB I'!BL54+'[4]SF I'!BL54</f>
        <v>0</v>
      </c>
      <c r="BM54" s="232">
        <f>+[4]SLP!BM54+[4]ROSA!BM54+'[4]STA ANA'!BM54+[4]BOA!BM54+'[4]STA MARIA'!BM54+'[4]CB I'!BM54+'[4]CB II'!BM54+'[4]CB III'!BM54+[4]IG!BM54+[4]PN!BM54+[4]MJ!BM54+'[4]RB I'!BM54+'[4]SF I'!BM54</f>
        <v>0</v>
      </c>
      <c r="BN54" s="235">
        <f>+[4]SLP!BN54+[4]ROSA!BN54+'[4]STA ANA'!BN54+[4]BOA!BN54+'[4]STA MARIA'!BN54+'[4]CB I'!BN54+'[4]CB II'!BN54+'[4]CB III'!BN54+[4]IG!BN54+[4]PN!BN54+[4]MJ!BN54+'[4]RB I'!BN54+'[4]SÃO FRANCISCO'!BN54</f>
        <v>0</v>
      </c>
      <c r="BO54" s="230" t="str">
        <f t="shared" si="10"/>
        <v/>
      </c>
      <c r="BP54" s="234">
        <f>+[4]SLP!BP54+[4]ROSA!BP54+'[4]STA ANA'!BP54+[4]BOA!BP54+'[4]STA MARIA'!BP54+'[4]CB I'!BP54+'[4]CB II'!BP54+'[4]CB III'!BP54+[4]IG!BP54+[4]PN!BP54+[4]MJ!BP54+'[4]RB I'!BP54+'[4]SF I'!BP54</f>
        <v>0</v>
      </c>
      <c r="BQ54" s="232">
        <f>+[4]SLP!BQ54+[4]ROSA!BQ54+'[4]STA ANA'!BQ54+[4]BOA!BQ54+'[4]STA MARIA'!BQ54+'[4]CB I'!BQ54+'[4]CB II'!BQ54+'[4]CB III'!BQ54+[4]IG!BQ54+[4]PN!BQ54+[4]MJ!BQ54+'[4]RB I'!BQ54+'[4]SF I'!BQ54</f>
        <v>0</v>
      </c>
      <c r="BR54" s="232">
        <f>+[4]SLP!BR54+[4]ROSA!BR54+'[4]STA ANA'!BR54+[4]BOA!BR54+'[4]STA MARIA'!BR54+'[4]CB I'!BR54+'[4]CB II'!BR54+'[4]CB III'!BR54+[4]IG!BR54+[4]PN!BR54+[4]MJ!BR54+'[4]RB I'!BR54+'[4]SF I'!BR54</f>
        <v>0</v>
      </c>
      <c r="BS54" s="232">
        <f>+[4]SLP!BS54+[4]ROSA!BS54+'[4]STA ANA'!BS54+[4]BOA!BS54+'[4]STA MARIA'!BS54+'[4]CB I'!BS54+'[4]CB II'!BS54+'[4]CB III'!BS54+[4]IG!BS54+[4]PN!BS54+[4]MJ!BS54+'[4]RB I'!BS54+'[4]SF I'!BS54</f>
        <v>0</v>
      </c>
      <c r="BT54" s="232">
        <f>+[4]SLP!BT54+[4]ROSA!BT54+'[4]STA ANA'!BT54+[4]BOA!BT54+'[4]STA MARIA'!BT54+'[4]CB I'!BT54+'[4]CB II'!BT54+'[4]CB III'!BT54+[4]IG!BT54+[4]PN!BT54+[4]MJ!BT54+'[4]RB I'!BT54+'[4]SF I'!BT54</f>
        <v>0</v>
      </c>
      <c r="BU54" s="235">
        <f>+[4]SLP!BU54+[4]ROSA!BU54+'[4]STA ANA'!BU54+[4]BOA!BU54+'[4]STA MARIA'!BU54+'[4]CB I'!BU54+'[4]CB II'!BU54+'[4]CB III'!BU54+[4]IG!BU54+[4]PN!BU54+[4]MJ!BU54+'[4]RB I'!BU54+'[4]SÃO FRANCISCO'!BU54</f>
        <v>0</v>
      </c>
      <c r="BV54" s="230" t="str">
        <f t="shared" si="11"/>
        <v/>
      </c>
      <c r="BW54" s="231">
        <f>+[4]SLP!BW54+[4]ROSA!BW54+'[4]STA ANA'!BW54+[4]BOA!BW54+'[4]STA MARIA'!BW54+'[4]CB I'!BW54+'[4]CB II'!BW54+'[4]CB III'!BW54+[4]IG!BW54+[4]PN!BW54+[4]MJ!BW54+'[4]RB I'!BW54+'[4]SF I'!BW54</f>
        <v>0</v>
      </c>
      <c r="BX54" s="232">
        <f>+[4]SLP!BX54+[4]ROSA!BX54+'[4]STA ANA'!BX54+[4]BOA!BX54+'[4]STA MARIA'!BX54+'[4]CB I'!BX54+'[4]CB II'!BX54+'[4]CB III'!BX54+[4]IG!BX54+[4]PN!BX54+[4]MJ!BX54+'[4]RB I'!BX54+'[4]SF I'!BX54</f>
        <v>0</v>
      </c>
      <c r="BY54" s="232">
        <f>+[4]SLP!BY54+[4]ROSA!BY54+'[4]STA ANA'!BY54+[4]BOA!BY54+'[4]STA MARIA'!BY54+'[4]CB I'!BY54+'[4]CB II'!BY54+'[4]CB III'!BY54+[4]IG!BY54+[4]PN!BY54+[4]MJ!BY54+'[4]RB I'!BY54+'[4]SF I'!BY54</f>
        <v>0</v>
      </c>
      <c r="BZ54" s="232">
        <f>+[4]SLP!BZ54+[4]ROSA!BZ54+'[4]STA ANA'!BZ54+[4]BOA!BZ54+'[4]STA MARIA'!BZ54+'[4]CB I'!BZ54+'[4]CB II'!BZ54+'[4]CB III'!BZ54+[4]IG!BZ54+[4]PN!BZ54+[4]MJ!BZ54+'[4]RB I'!BZ54+'[4]SF I'!BZ54</f>
        <v>0</v>
      </c>
      <c r="CA54" s="232">
        <f>+[4]SLP!CA54+[4]ROSA!CA54+'[4]STA ANA'!CA54+[4]BOA!CA54+'[4]STA MARIA'!CA54+'[4]CB I'!CA54+'[4]CB II'!CA54+'[4]CB III'!CA54+[4]IG!CA54+[4]PN!CA54+[4]MJ!CA54+'[4]RB I'!CA54+'[4]SF I'!CA54</f>
        <v>0</v>
      </c>
      <c r="CB54" s="233">
        <f>+[4]SLP!CB54+[4]ROSA!CB54+'[4]STA ANA'!CB54+[4]BOA!CB54+'[4]STA MARIA'!CB54+'[4]CB I'!CB54+'[4]CB II'!CB54+'[4]CB III'!CB54+[4]IG!CB54+[4]PN!CB54+[4]MJ!CB54+'[4]RB I'!CB54+'[4]SÃO FRANCISCO'!CB54</f>
        <v>0</v>
      </c>
      <c r="CC54" s="230" t="str">
        <f t="shared" si="12"/>
        <v/>
      </c>
      <c r="CD54" s="231">
        <f>+[4]SLP!CD54+[4]ROSA!CD54+'[4]STA ANA'!CD54+[4]BOA!CD54+'[4]STA MARIA'!CD54+'[4]CB I'!CD54+'[4]CB II'!CD54+'[4]CB III'!CD54+[4]IG!CD54+[4]PN!CD54+[4]MJ!CD54+'[4]RB I'!CD54+'[4]SF I'!CD54</f>
        <v>0</v>
      </c>
      <c r="CE54" s="232">
        <f>+[4]SLP!CE54+[4]ROSA!CE54+'[4]STA ANA'!CE54+[4]BOA!CE54+'[4]STA MARIA'!CE54+'[4]CB I'!CE54+'[4]CB II'!CE54+'[4]CB III'!CE54+[4]IG!CE54+[4]PN!CE54+[4]MJ!CE54+'[4]RB I'!CE54+'[4]SF I'!CE54</f>
        <v>0</v>
      </c>
      <c r="CF54" s="232">
        <f>+[4]SLP!CF54+[4]ROSA!CF54+'[4]STA ANA'!CF54+[4]BOA!CF54+'[4]STA MARIA'!CF54+'[4]CB I'!CF54+'[4]CB II'!CF54+'[4]CB III'!CF54+[4]IG!CF54+[4]PN!CF54+[4]MJ!CF54+'[4]RB I'!CF54+'[4]SF I'!CF54</f>
        <v>0</v>
      </c>
      <c r="CG54" s="232">
        <f>+[4]SLP!CG54+[4]ROSA!CG54+'[4]STA ANA'!CG54+[4]BOA!CG54+'[4]STA MARIA'!CG54+'[4]CB I'!CG54+'[4]CB II'!CG54+'[4]CB III'!CG54+[4]IG!CG54+[4]PN!CG54+[4]MJ!CG54+'[4]RB I'!CG54+'[4]SF I'!CG54</f>
        <v>0</v>
      </c>
      <c r="CH54" s="232">
        <f>+[4]SLP!CH54+[4]ROSA!CH54+'[4]STA ANA'!CH54+[4]BOA!CH54+'[4]STA MARIA'!CH54+'[4]CB I'!CH54+'[4]CB II'!CH54+'[4]CB III'!CH54+[4]IG!CH54+[4]PN!CH54+[4]MJ!CH54+'[4]RB I'!CH54+'[4]SF I'!CH54</f>
        <v>0</v>
      </c>
      <c r="CI54" s="233">
        <f>+[4]SLP!CI54+[4]ROSA!CI54+'[4]STA ANA'!CI54+[4]BOA!CI54+'[4]STA MARIA'!CI54+'[4]CB I'!CI54+'[4]CB II'!CI54+'[4]CB III'!CI54+[4]IG!CI54+[4]PN!CI54+[4]MJ!CI54+'[4]RB I'!CI54+'[4]SÃO FRANCISCO'!CI54</f>
        <v>0</v>
      </c>
      <c r="CJ54" s="230" t="str">
        <f t="shared" si="13"/>
        <v/>
      </c>
      <c r="CK54" s="231">
        <f>+[4]SLP!CK54+[4]ROSA!CK54+'[4]STA ANA'!CK54+[4]BOA!CK54+'[4]STA MARIA'!CK54+'[4]CB I'!CK54+'[4]CB II'!CK54+'[4]CB III'!CK54+[4]IG!CK54+[4]PN!CK54+[4]MJ!CK54+'[4]RB I'!CK54+'[4]SF I'!CK54</f>
        <v>0</v>
      </c>
      <c r="CL54" s="232">
        <f>+[4]SLP!CL54+[4]ROSA!CL54+'[4]STA ANA'!CL54+[4]BOA!CL54+'[4]STA MARIA'!CL54+'[4]CB I'!CL54+'[4]CB II'!CL54+'[4]CB III'!CL54+[4]IG!CL54+[4]PN!CL54+[4]MJ!CL54+'[4]RB I'!CL54+'[4]SF I'!CL54</f>
        <v>0</v>
      </c>
      <c r="CM54" s="232">
        <f>+[4]SLP!CM54+[4]ROSA!CM54+'[4]STA ANA'!CM54+[4]BOA!CM54+'[4]STA MARIA'!CM54+'[4]CB I'!CM54+'[4]CB II'!CM54+'[4]CB III'!CM54+[4]IG!CM54+[4]PN!CM54+[4]MJ!CM54+'[4]RB I'!CM54+'[4]SF I'!CM54</f>
        <v>0</v>
      </c>
      <c r="CN54" s="232">
        <f>+[4]SLP!CN54+[4]ROSA!CN54+'[4]STA ANA'!CN54+[4]BOA!CN54+'[4]STA MARIA'!CN54+'[4]CB I'!CN54+'[4]CB II'!CN54+'[4]CB III'!CN54+[4]IG!CN54+[4]PN!CN54+[4]MJ!CN54+'[4]RB I'!CN54+'[4]SF I'!CN54</f>
        <v>0</v>
      </c>
      <c r="CO54" s="232">
        <f>+[4]SLP!CO54+[4]ROSA!CO54+'[4]STA ANA'!CO54+[4]BOA!CO54+'[4]STA MARIA'!CO54+'[4]CB I'!CO54+'[4]CB II'!CO54+'[4]CB III'!CO54+[4]IG!CO54+[4]PN!CO54+[4]MJ!CO54+'[4]RB I'!CO54+'[4]SF I'!CO54</f>
        <v>0</v>
      </c>
      <c r="CP54" s="233">
        <f>+[4]SLP!CP54+[4]ROSA!CP54+'[4]STA ANA'!CP54+[4]BOA!CP54+'[4]STA MARIA'!CP54+'[4]CB I'!CP54+'[4]CB II'!CP54+'[4]CB III'!CP54+[4]IG!CP54+[4]PN!CP54+[4]MJ!CP54+'[4]RB I'!CP54+'[4]SÃO FRANCISCO'!CP54</f>
        <v>0</v>
      </c>
      <c r="CQ54" s="230" t="str">
        <f t="shared" si="14"/>
        <v/>
      </c>
      <c r="CR54" s="155"/>
      <c r="CS54" s="236" t="e">
        <f t="shared" si="15"/>
        <v>#VALUE!</v>
      </c>
    </row>
    <row r="55" spans="1:101" ht="16" customHeight="1" thickBot="1" x14ac:dyDescent="0.25">
      <c r="A55" s="237" t="s">
        <v>79</v>
      </c>
      <c r="B55" s="63">
        <f t="shared" ref="B55:J55" si="20">SUM(B4:B54)</f>
        <v>163307308.10484636</v>
      </c>
      <c r="C55" s="64">
        <f t="shared" si="20"/>
        <v>143236839.93876073</v>
      </c>
      <c r="D55" s="65">
        <f t="shared" si="20"/>
        <v>20070468.166085608</v>
      </c>
      <c r="E55" s="63">
        <f t="shared" si="20"/>
        <v>70047904.688194633</v>
      </c>
      <c r="F55" s="66">
        <f t="shared" si="20"/>
        <v>61439017.202015497</v>
      </c>
      <c r="G55" s="67">
        <f t="shared" si="20"/>
        <v>8608887.4861791171</v>
      </c>
      <c r="H55" s="64">
        <f t="shared" si="20"/>
        <v>59941040.832424119</v>
      </c>
      <c r="I55" s="66">
        <f t="shared" si="20"/>
        <v>6502525.3249880588</v>
      </c>
      <c r="J55" s="66">
        <f t="shared" si="20"/>
        <v>66443566.157412209</v>
      </c>
      <c r="K55" s="238">
        <f>+J55/E55-1</f>
        <v>-5.1455336841643939E-2</v>
      </c>
      <c r="L55" s="239">
        <f t="shared" ref="L55:Q55" si="21">SUM(L4:L54)</f>
        <v>17522322.267212011</v>
      </c>
      <c r="M55" s="240">
        <f t="shared" ref="M55:N55" si="22">SUM(M4:M54)</f>
        <v>15368828.860571653</v>
      </c>
      <c r="N55" s="240">
        <f t="shared" si="22"/>
        <v>2153493.4066403555</v>
      </c>
      <c r="O55" s="240">
        <f t="shared" si="21"/>
        <v>15586876.526257621</v>
      </c>
      <c r="P55" s="240">
        <f t="shared" si="21"/>
        <v>1779793.3418603572</v>
      </c>
      <c r="Q55" s="241">
        <f t="shared" si="21"/>
        <v>17366669.868117977</v>
      </c>
      <c r="R55" s="238">
        <f>+Q55/L55-1</f>
        <v>-8.8830919053060065E-3</v>
      </c>
      <c r="S55" s="239">
        <f t="shared" ref="S55:X55" si="23">SUM(S4:S54)</f>
        <v>16352747.57451443</v>
      </c>
      <c r="T55" s="240">
        <f t="shared" si="23"/>
        <v>14342994.897606608</v>
      </c>
      <c r="U55" s="240">
        <f t="shared" si="23"/>
        <v>2009752.6769078237</v>
      </c>
      <c r="V55" s="240">
        <f t="shared" si="23"/>
        <v>12909105.057492245</v>
      </c>
      <c r="W55" s="240">
        <f t="shared" si="23"/>
        <v>1298360.678069928</v>
      </c>
      <c r="X55" s="242">
        <f t="shared" si="23"/>
        <v>14207465.735562177</v>
      </c>
      <c r="Y55" s="238">
        <f>+X55/S55-1</f>
        <v>-0.13118785263313482</v>
      </c>
      <c r="Z55" s="239">
        <f t="shared" ref="Z55:AE55" si="24">SUM(Z4:Z54)</f>
        <v>19830192.137068115</v>
      </c>
      <c r="AA55" s="240">
        <f t="shared" si="24"/>
        <v>17393061.523422442</v>
      </c>
      <c r="AB55" s="240">
        <f t="shared" si="24"/>
        <v>2437130.6136456719</v>
      </c>
      <c r="AC55" s="240">
        <f t="shared" si="24"/>
        <v>16067808.746980727</v>
      </c>
      <c r="AD55" s="240">
        <f t="shared" si="24"/>
        <v>1669890.6882421027</v>
      </c>
      <c r="AE55" s="241">
        <f t="shared" si="24"/>
        <v>17737699.435222827</v>
      </c>
      <c r="AF55" s="238">
        <f>+AE55/Z55-1</f>
        <v>-0.10552054601295768</v>
      </c>
      <c r="AG55" s="239">
        <f t="shared" ref="AG55:AL55" si="25">SUM(AG4:AG54)</f>
        <v>16342642.709400062</v>
      </c>
      <c r="AH55" s="240">
        <f t="shared" si="25"/>
        <v>14334131.920414796</v>
      </c>
      <c r="AI55" s="240">
        <f t="shared" si="25"/>
        <v>2008510.788985268</v>
      </c>
      <c r="AJ55" s="240">
        <f t="shared" si="25"/>
        <v>15377250.50169355</v>
      </c>
      <c r="AK55" s="240">
        <f t="shared" si="25"/>
        <v>1754480.6168156702</v>
      </c>
      <c r="AL55" s="241">
        <f t="shared" si="25"/>
        <v>17131731.118509218</v>
      </c>
      <c r="AM55" s="238">
        <f>+AL55/AG55-1</f>
        <v>4.828401520736203E-2</v>
      </c>
      <c r="AN55" s="239">
        <f t="shared" ref="AN55:AS55" si="26">SUM(AN4:AN54)</f>
        <v>16802864.827905018</v>
      </c>
      <c r="AO55" s="240">
        <f t="shared" si="26"/>
        <v>14737792.740555491</v>
      </c>
      <c r="AP55" s="240">
        <f t="shared" si="26"/>
        <v>2065072.0873495268</v>
      </c>
      <c r="AQ55" s="240">
        <f t="shared" si="26"/>
        <v>0</v>
      </c>
      <c r="AR55" s="240">
        <f t="shared" si="26"/>
        <v>0</v>
      </c>
      <c r="AS55" s="241">
        <f t="shared" si="26"/>
        <v>0</v>
      </c>
      <c r="AT55" s="238">
        <f>+AS55/AN55-1</f>
        <v>-1</v>
      </c>
      <c r="AU55" s="239">
        <f t="shared" ref="AU55:AZ55" si="27">SUM(AU4:AU54)</f>
        <v>16635913.614950715</v>
      </c>
      <c r="AV55" s="240">
        <f t="shared" si="27"/>
        <v>14591359.831673274</v>
      </c>
      <c r="AW55" s="240">
        <f t="shared" si="27"/>
        <v>2044553.7832774429</v>
      </c>
      <c r="AX55" s="240">
        <f t="shared" si="27"/>
        <v>0</v>
      </c>
      <c r="AY55" s="240">
        <f t="shared" si="27"/>
        <v>0</v>
      </c>
      <c r="AZ55" s="241">
        <f t="shared" si="27"/>
        <v>0</v>
      </c>
      <c r="BA55" s="238">
        <f>+AZ55/AU55-1</f>
        <v>-1</v>
      </c>
      <c r="BB55" s="239">
        <f t="shared" ref="BB55:BG55" si="28">SUM(BB4:BB54)</f>
        <v>17359480.930609968</v>
      </c>
      <c r="BC55" s="240">
        <f t="shared" si="28"/>
        <v>15226000.724238001</v>
      </c>
      <c r="BD55" s="240">
        <f t="shared" si="28"/>
        <v>2133480.2063719644</v>
      </c>
      <c r="BE55" s="240">
        <f t="shared" si="28"/>
        <v>0</v>
      </c>
      <c r="BF55" s="240">
        <f t="shared" si="28"/>
        <v>0</v>
      </c>
      <c r="BG55" s="241">
        <f t="shared" si="28"/>
        <v>0</v>
      </c>
      <c r="BH55" s="238">
        <f>+BG55/BB55-1</f>
        <v>-1</v>
      </c>
      <c r="BI55" s="239">
        <f t="shared" ref="BI55:BN55" si="29">SUM(BI4:BI54)</f>
        <v>9746041.610995857</v>
      </c>
      <c r="BJ55" s="240">
        <f t="shared" si="29"/>
        <v>8548253.0970044676</v>
      </c>
      <c r="BK55" s="240">
        <f t="shared" si="29"/>
        <v>1197788.5139913908</v>
      </c>
      <c r="BL55" s="240">
        <f t="shared" si="29"/>
        <v>0</v>
      </c>
      <c r="BM55" s="240">
        <f t="shared" si="29"/>
        <v>0</v>
      </c>
      <c r="BN55" s="241">
        <f t="shared" si="29"/>
        <v>0</v>
      </c>
      <c r="BO55" s="238">
        <f>+BN55/BI55-1</f>
        <v>-1</v>
      </c>
      <c r="BP55" s="239">
        <f t="shared" ref="BP55:BU55" si="30">SUM(BP4:BP54)</f>
        <v>10187473.035024848</v>
      </c>
      <c r="BQ55" s="240">
        <f t="shared" si="30"/>
        <v>8935432.599020293</v>
      </c>
      <c r="BR55" s="240">
        <f t="shared" si="30"/>
        <v>1252040.4360045537</v>
      </c>
      <c r="BS55" s="240">
        <f t="shared" si="30"/>
        <v>0</v>
      </c>
      <c r="BT55" s="240">
        <f t="shared" si="30"/>
        <v>0</v>
      </c>
      <c r="BU55" s="241">
        <f t="shared" si="30"/>
        <v>0</v>
      </c>
      <c r="BV55" s="238">
        <f>+BU55/BP55-1</f>
        <v>-1</v>
      </c>
      <c r="BW55" s="239">
        <f t="shared" ref="BW55:CB55" si="31">SUM(BW4:BW54)</f>
        <v>8084601.0836470155</v>
      </c>
      <c r="BX55" s="240">
        <f t="shared" si="31"/>
        <v>7091003.6104667978</v>
      </c>
      <c r="BY55" s="240">
        <f t="shared" si="31"/>
        <v>993597.4731802179</v>
      </c>
      <c r="BZ55" s="240">
        <f t="shared" si="31"/>
        <v>0</v>
      </c>
      <c r="CA55" s="240">
        <f t="shared" si="31"/>
        <v>0</v>
      </c>
      <c r="CB55" s="241">
        <f t="shared" si="31"/>
        <v>0</v>
      </c>
      <c r="CC55" s="238">
        <f>+CB55/BW55-1</f>
        <v>-1</v>
      </c>
      <c r="CD55" s="239">
        <f t="shared" ref="CD55:CI55" si="32">SUM(CD4:CD54)</f>
        <v>7300549.3205065718</v>
      </c>
      <c r="CE55" s="240">
        <f t="shared" si="32"/>
        <v>6403311.8090163143</v>
      </c>
      <c r="CF55" s="240">
        <f t="shared" si="32"/>
        <v>897237.51149025746</v>
      </c>
      <c r="CG55" s="240">
        <f t="shared" si="32"/>
        <v>0</v>
      </c>
      <c r="CH55" s="240">
        <f t="shared" si="32"/>
        <v>0</v>
      </c>
      <c r="CI55" s="241">
        <f t="shared" si="32"/>
        <v>0</v>
      </c>
      <c r="CJ55" s="238">
        <f>+CI55/CD55-1</f>
        <v>-1</v>
      </c>
      <c r="CK55" s="239">
        <f t="shared" ref="CK55:CP55" si="33">SUM(CK4:CK54)</f>
        <v>7142478.9930117531</v>
      </c>
      <c r="CL55" s="240">
        <f t="shared" si="33"/>
        <v>6264668.3247706098</v>
      </c>
      <c r="CM55" s="240">
        <f t="shared" si="33"/>
        <v>877810.66824114427</v>
      </c>
      <c r="CN55" s="240">
        <f t="shared" si="33"/>
        <v>0</v>
      </c>
      <c r="CO55" s="240">
        <f t="shared" si="33"/>
        <v>0</v>
      </c>
      <c r="CP55" s="241">
        <f t="shared" si="33"/>
        <v>0</v>
      </c>
      <c r="CQ55" s="238">
        <f>+CP55/CK55-1</f>
        <v>-1</v>
      </c>
      <c r="CR55" s="243"/>
      <c r="CS55" s="244" t="e">
        <f t="shared" si="15"/>
        <v>#VALUE!</v>
      </c>
      <c r="CT55" s="245"/>
      <c r="CU55" s="245"/>
      <c r="CV55" s="245"/>
      <c r="CW55" s="245"/>
    </row>
    <row r="56" spans="1:101" ht="16" customHeight="1" thickBot="1" x14ac:dyDescent="0.25">
      <c r="A56" s="246" t="s">
        <v>80</v>
      </c>
      <c r="B56" s="75">
        <f>+L56+S56+Z56+AG56+AN56+AU56+BB56+BI56+BP56+BW56+CD56+CK56</f>
        <v>-2732124.1537356917</v>
      </c>
      <c r="C56" s="76">
        <f t="shared" ref="C56:D57" si="34">+M56+T56+AA56+AH56+AO56+AV56+BC56+BJ56+BQ56+BX56+CE56+CL56</f>
        <v>-2396346.0952415755</v>
      </c>
      <c r="D56" s="77">
        <f t="shared" si="34"/>
        <v>-335778.05849411647</v>
      </c>
      <c r="E56" s="75">
        <f>+L56+S56+Z56+AG56</f>
        <v>-910708.0512452306</v>
      </c>
      <c r="F56" s="78">
        <f t="shared" ref="F56:G57" si="35">+M56+T56+AA56+AH56</f>
        <v>-798782.03174719168</v>
      </c>
      <c r="G56" s="79">
        <f t="shared" si="35"/>
        <v>-111926.01949803882</v>
      </c>
      <c r="H56" s="76">
        <f t="shared" ref="H56:J57" si="36">+O56+V56+AC56+AJ56+AQ56+AX56+BE56+BL56+BS56+BZ56+CG56+CN56</f>
        <v>-914722.52986822708</v>
      </c>
      <c r="I56" s="78">
        <f t="shared" si="36"/>
        <v>-103715.85013219474</v>
      </c>
      <c r="J56" s="78">
        <f t="shared" si="36"/>
        <v>-1018438.3800004217</v>
      </c>
      <c r="K56" s="218">
        <f t="shared" ref="K56:K57" si="37">IF(E56=0,"",(+J56/E56-1))</f>
        <v>0.11829293548891884</v>
      </c>
      <c r="L56" s="219">
        <f>+[4]SLP!L56+[4]ROSA!L56+'[4]STA ANA'!L56+[4]BOA!L56+'[4]STA MARIA'!L56+'[4]CB I'!L56+'[4]CB II'!L56+'[4]CB III'!L56+[4]IG!L56+[4]PN!L56+[4]MJ!L56+'[4]RB I'!L56+'[4]SF I'!L56</f>
        <v>-227677.01281130765</v>
      </c>
      <c r="M56" s="220">
        <f>+[4]SLP!M56+[4]ROSA!M56+'[4]STA ANA'!M56+[4]BOA!M56+'[4]STA MARIA'!M56+'[4]CB I'!M56+'[4]CB II'!M56+'[4]CB III'!M56+[4]IG!M56+[4]PN!M56+[4]MJ!M56+'[4]RB I'!M56+'[4]SF I'!M56</f>
        <v>-199695.50793679792</v>
      </c>
      <c r="N56" s="220">
        <f>+[4]SLP!N56+[4]ROSA!N56+'[4]STA ANA'!N56+[4]BOA!N56+'[4]STA MARIA'!N56+'[4]CB I'!N56+'[4]CB II'!N56+'[4]CB III'!N56+[4]IG!N56+[4]PN!N56+[4]MJ!N56+'[4]RB I'!N56+'[4]SF I'!N56</f>
        <v>-27981.504874509705</v>
      </c>
      <c r="O56" s="220">
        <f>+[4]SLP!O56+[4]ROSA!O56+'[4]STA ANA'!O56+[4]BOA!O56+'[4]STA MARIA'!O56+'[4]CB I'!O56+'[4]CB II'!O56+'[4]CB III'!O56+[4]IG!O56+[4]PN!O56+[4]MJ!O56+'[4]RB I'!O56+'[4]SF I'!O56</f>
        <v>0</v>
      </c>
      <c r="P56" s="220">
        <f>+[4]SLP!P56+[4]ROSA!P56+'[4]STA ANA'!P56+[4]BOA!P56+'[4]STA MARIA'!P56+'[4]CB I'!P56+'[4]CB II'!P56+'[4]CB III'!P56+[4]IG!P56+[4]PN!P56+[4]MJ!P56+'[4]RB I'!P56+'[4]SF I'!P56</f>
        <v>0</v>
      </c>
      <c r="Q56" s="221">
        <f>+[4]SLP!Q56+[4]ROSA!Q56+'[4]STA ANA'!Q56+[4]BOA!Q56+'[4]STA MARIA'!Q56+'[4]CB I'!Q56+'[4]CB II'!Q56+'[4]CB III'!Q56+[4]IG!Q56+[4]PN!Q56+[4]MJ!Q56+'[4]RB I'!Q56+'[4]SF I'!Q56</f>
        <v>0</v>
      </c>
      <c r="R56" s="218">
        <f t="shared" ref="R56:R57" si="38">IF(L56=0,"",(+Q56/L56-1))</f>
        <v>-1</v>
      </c>
      <c r="S56" s="219">
        <f>+[4]SLP!S56+[4]ROSA!S56+'[4]STA ANA'!S56+[4]BOA!S56+'[4]STA MARIA'!S56+'[4]CB I'!S56+'[4]CB II'!S56+'[4]CB III'!S56+[4]IG!S56+[4]PN!S56+[4]MJ!S56+'[4]RB I'!S56+'[4]SF I'!S56</f>
        <v>-227677.01281130765</v>
      </c>
      <c r="T56" s="220">
        <f>+[4]SLP!T56+[4]ROSA!T56+'[4]STA ANA'!T56+[4]BOA!T56+'[4]STA MARIA'!T56+'[4]CB I'!T56+'[4]CB II'!T56+'[4]CB III'!T56+[4]IG!T56+[4]PN!T56+[4]MJ!T56+'[4]RB I'!T56+'[4]SF I'!T56</f>
        <v>-199695.50793679792</v>
      </c>
      <c r="U56" s="220">
        <f>+[4]SLP!U56+[4]ROSA!U56+'[4]STA ANA'!U56+[4]BOA!U56+'[4]STA MARIA'!U56+'[4]CB I'!U56+'[4]CB II'!U56+'[4]CB III'!U56+[4]IG!U56+[4]PN!U56+[4]MJ!U56+'[4]RB I'!U56+'[4]SF I'!U56</f>
        <v>-27981.504874509705</v>
      </c>
      <c r="V56" s="220">
        <f>+[4]SLP!V56+[4]ROSA!V56+'[4]STA ANA'!V56+[4]BOA!V56+'[4]STA MARIA'!V56+'[4]CB I'!V56+'[4]CB II'!V56+'[4]CB III'!V56+[4]IG!V56+[4]PN!V56+[4]MJ!V56+'[4]RB I'!V56+'[4]SF I'!V56</f>
        <v>-461103.78627663176</v>
      </c>
      <c r="W56" s="220">
        <f>+[4]SLP!W56+[4]ROSA!W56+'[4]STA ANA'!W56+[4]BOA!W56+'[4]STA MARIA'!W56+'[4]CB I'!W56+'[4]CB II'!W56+'[4]CB III'!W56+[4]IG!W56+[4]PN!W56+[4]MJ!W56+'[4]RB I'!W56+'[4]SF I'!W56</f>
        <v>-55406.076298795975</v>
      </c>
      <c r="X56" s="221">
        <f>[4]SLP!X56+[4]ROSA!X56+'[4]STA ANA'!X56+[4]BOA!X56+'[4]STA MARIA'!X56+'[4]CB I'!X56+'[4]CB II'!X56+'[4]CB III'!X56+[4]IG!X56+[4]PN!X56+[4]MJ!X56+'[4]RB I'!X56+'[4]SF I'!X56</f>
        <v>-516509.86257542763</v>
      </c>
      <c r="Y56" s="218">
        <f>IF(S56=0,"",(+X56/S56-1))</f>
        <v>1.2686078677758155</v>
      </c>
      <c r="Z56" s="219">
        <f>+[4]SLP!Z56+[4]ROSA!Z56+'[4]STA ANA'!Z56+[4]BOA!Z56+'[4]STA MARIA'!Z56+'[4]CB I'!Z56+'[4]CB II'!Z56+'[4]CB III'!Z56+[4]IG!Z56+[4]PN!Z56+[4]MJ!Z56+'[4]RB I'!Z56+'[4]SF I'!Z56</f>
        <v>-227677.01281130765</v>
      </c>
      <c r="AA56" s="220">
        <f>+[4]SLP!AA56+[4]ROSA!AA56+'[4]STA ANA'!AA56+[4]BOA!AA56+'[4]STA MARIA'!AA56+'[4]CB I'!AA56+'[4]CB II'!AA56+'[4]CB III'!AA56+[4]IG!AA56+[4]PN!AA56+[4]MJ!AA56+'[4]RB I'!AA56+'[4]SF I'!AA56</f>
        <v>-199695.50793679792</v>
      </c>
      <c r="AB56" s="220">
        <f>+[4]SLP!AB56+[4]ROSA!AB56+'[4]STA ANA'!AB56+[4]BOA!AB56+'[4]STA MARIA'!AB56+'[4]CB I'!AB56+'[4]CB II'!AB56+'[4]CB III'!AB56+[4]IG!AB56+[4]PN!AB56+[4]MJ!AB56+'[4]RB I'!AB56+'[4]SF I'!AB56</f>
        <v>-27981.504874509705</v>
      </c>
      <c r="AC56" s="220">
        <f>+[4]SLP!AC56+[4]ROSA!AC56+'[4]STA ANA'!AC56+[4]BOA!AC56+'[4]STA MARIA'!AC56+'[4]CB I'!AC56+'[4]CB II'!AC56+'[4]CB III'!AC56+[4]IG!AC56+[4]PN!AC56+[4]MJ!AC56+'[4]RB I'!AC56+'[4]SF I'!AC56</f>
        <v>20006.984284084818</v>
      </c>
      <c r="AD56" s="220">
        <f>+[4]SLP!AD56+[4]ROSA!AD56+'[4]STA ANA'!AD56+[4]BOA!AD56+'[4]STA MARIA'!AD56+'[4]CB I'!AD56+'[4]CB II'!AD56+'[4]CB III'!AD56+[4]IG!AD56+[4]PN!AD56+[4]MJ!AD56+'[4]RB I'!AD56+'[4]SF I'!AD56</f>
        <v>1655.3222358095029</v>
      </c>
      <c r="AE56" s="221">
        <f>+[4]SLP!AE56+[4]ROSA!AE56+'[4]STA ANA'!AE56+[4]BOA!AE56+'[4]STA MARIA'!AE56+'[4]CB I'!AE56+'[4]CB II'!AE56+'[4]CB III'!AE56+[4]IG!AE56+[4]PN!AE56+[4]MJ!AE56+'[4]RB I'!AE56+'[4]SF I'!AE56</f>
        <v>21662.306519894322</v>
      </c>
      <c r="AF56" s="218">
        <f t="shared" ref="AF56:AF57" si="39">IF(Z56=0,"",(+AE56/Z56-1))</f>
        <v>-1.0951448995768731</v>
      </c>
      <c r="AG56" s="219">
        <f>+[4]SLP!AG56+[4]ROSA!AG56+'[4]STA ANA'!AG56+[4]BOA!AG56+'[4]STA MARIA'!AG56+'[4]CB I'!AG56+'[4]CB II'!AG56+'[4]CB III'!AG56+[4]IG!AG56+[4]PN!AG56+[4]MJ!AG56+'[4]RB I'!AG56+'[4]SF I'!AG56</f>
        <v>-227677.01281130765</v>
      </c>
      <c r="AH56" s="220">
        <f>+[4]SLP!AH56+[4]ROSA!AH56+'[4]STA ANA'!AH56+[4]BOA!AH56+'[4]STA MARIA'!AH56+'[4]CB I'!AH56+'[4]CB II'!AH56+'[4]CB III'!AH56+[4]IG!AH56+[4]PN!AH56+[4]MJ!AH56+'[4]RB I'!AH56+'[4]SF I'!AH56</f>
        <v>-199695.50793679792</v>
      </c>
      <c r="AI56" s="220">
        <f>+[4]SLP!AI56+[4]ROSA!AI56+'[4]STA ANA'!AI56+[4]BOA!AI56+'[4]STA MARIA'!AI56+'[4]CB I'!AI56+'[4]CB II'!AI56+'[4]CB III'!AI56+[4]IG!AI56+[4]PN!AI56+[4]MJ!AI56+'[4]RB I'!AI56+'[4]SF I'!AI56</f>
        <v>-27981.504874509705</v>
      </c>
      <c r="AJ56" s="220">
        <f>+[4]SLP!AJ56+[4]ROSA!AJ56+'[4]STA ANA'!AJ56+[4]BOA!AJ56+'[4]STA MARIA'!AJ56+'[4]CB I'!AJ56+'[4]CB II'!AJ56+'[4]CB III'!AJ56+[4]IG!AJ56+[4]PN!AJ56+[4]MJ!AJ56+'[4]RB I'!AJ56+'[4]SF I'!AJ56</f>
        <v>-473625.72787568014</v>
      </c>
      <c r="AK56" s="220">
        <f>+[4]SLP!AK56+[4]ROSA!AK56+'[4]STA ANA'!AK56+[4]BOA!AK56+'[4]STA MARIA'!AK56+'[4]CB I'!AK56+'[4]CB II'!AK56+'[4]CB III'!AK56+[4]IG!AK56+[4]PN!AK56+[4]MJ!AK56+'[4]RB I'!AK56+'[4]SF I'!AK56</f>
        <v>-49965.096069208266</v>
      </c>
      <c r="AL56" s="221">
        <f>+[4]SLP!AL56+[4]ROSA!AL56+'[4]STA ANA'!AL56+[4]BOA!AL56+'[4]STA MARIA'!AL56+'[4]CB I'!AL56+'[4]CB II'!AL56+'[4]CB III'!AL56+[4]IG!AL56+[4]PN!AL56+[4]MJ!AL56+'[4]RB I'!AL56+'[4]SF I'!AL56</f>
        <v>-523590.82394488837</v>
      </c>
      <c r="AM56" s="218">
        <f t="shared" ref="AM56:AM57" si="40">IF(AG56=0,"",(+AL56/AG56-1))</f>
        <v>1.2997087737567332</v>
      </c>
      <c r="AN56" s="219">
        <f>+[4]SLP!AN56+[4]ROSA!AN56+'[4]STA ANA'!AN56+[4]BOA!AN56+'[4]STA MARIA'!AN56+'[4]CB I'!AN56+'[4]CB II'!AN56+'[4]CB III'!AN56+[4]IG!AN56+[4]PN!AN56+[4]MJ!AN56+'[4]RB I'!AN56+'[4]SF I'!AN56</f>
        <v>-227677.01281130765</v>
      </c>
      <c r="AO56" s="220">
        <f>+[4]SLP!AO56+[4]ROSA!AO56+'[4]STA ANA'!AO56+[4]BOA!AO56+'[4]STA MARIA'!AO56+'[4]CB I'!AO56+'[4]CB II'!AO56+'[4]CB III'!AO56+[4]IG!AO56+[4]PN!AO56+[4]MJ!AO56+'[4]RB I'!AO56+'[4]SF I'!AO56</f>
        <v>-199695.50793679792</v>
      </c>
      <c r="AP56" s="220">
        <f>+[4]SLP!AP56+[4]ROSA!AP56+'[4]STA ANA'!AP56+[4]BOA!AP56+'[4]STA MARIA'!AP56+'[4]CB I'!AP56+'[4]CB II'!AP56+'[4]CB III'!AP56+[4]IG!AP56+[4]PN!AP56+[4]MJ!AP56+'[4]RB I'!AP56+'[4]SF I'!AP56</f>
        <v>-27981.504874509705</v>
      </c>
      <c r="AQ56" s="220">
        <f>+[4]SLP!AQ56+[4]ROSA!AQ56+'[4]STA ANA'!AQ56+[4]BOA!AQ56+'[4]STA MARIA'!AQ56+'[4]CB I'!AQ56+'[4]CB II'!AQ56+'[4]CB III'!AQ56+[4]IG!AQ56+[4]PN!AQ56+[4]MJ!AQ56+'[4]RB I'!AQ56+'[4]SF I'!AQ56</f>
        <v>0</v>
      </c>
      <c r="AR56" s="220">
        <f>+[4]SLP!AR56+[4]ROSA!AR56+'[4]STA ANA'!AR56+[4]BOA!AR56+'[4]STA MARIA'!AR56+'[4]CB I'!AR56+'[4]CB II'!AR56+'[4]CB III'!AR56+[4]IG!AR56+[4]PN!AR56+[4]MJ!AR56+'[4]RB I'!AR56+'[4]SF I'!AR56</f>
        <v>0</v>
      </c>
      <c r="AS56" s="221">
        <f>+[4]SLP!AS56+[4]ROSA!AS56+'[4]STA ANA'!AS56+[4]BOA!AS56+'[4]STA MARIA'!AS56+'[4]CB I'!AS56+'[4]CB II'!AS56+'[4]CB III'!AS56+[4]IG!AS56+[4]PN!AS56+[4]MJ!AS56+'[4]RB I'!AS56+'[4]SÃO FRANCISCO'!AS56</f>
        <v>0</v>
      </c>
      <c r="AT56" s="218">
        <f t="shared" ref="AT56:AT57" si="41">IF(AN56=0,"",(+AS56/AN56-1))</f>
        <v>-1</v>
      </c>
      <c r="AU56" s="219">
        <f>+[4]SLP!AU56+[4]ROSA!AU56+'[4]STA ANA'!AU56+[4]BOA!AU56+'[4]STA MARIA'!AU56+'[4]CB I'!AU56+'[4]CB II'!AU56+'[4]CB III'!AU56+[4]IG!AU56+[4]PN!AU56+[4]MJ!AU56+'[4]RB I'!AU56+'[4]SF I'!AU56</f>
        <v>-227677.01281130765</v>
      </c>
      <c r="AV56" s="220">
        <f>+[4]SLP!AV56+[4]ROSA!AV56+'[4]STA ANA'!AV56+[4]BOA!AV56+'[4]STA MARIA'!AV56+'[4]CB I'!AV56+'[4]CB II'!AV56+'[4]CB III'!AV56+[4]IG!AV56+[4]PN!AV56+[4]MJ!AV56+'[4]RB I'!AV56+'[4]SF I'!AV56</f>
        <v>-199695.50793679792</v>
      </c>
      <c r="AW56" s="220">
        <f>+[4]SLP!AW56+[4]ROSA!AW56+'[4]STA ANA'!AW56+[4]BOA!AW56+'[4]STA MARIA'!AW56+'[4]CB I'!AW56+'[4]CB II'!AW56+'[4]CB III'!AW56+[4]IG!AW56+[4]PN!AW56+[4]MJ!AW56+'[4]RB I'!AW56+'[4]SF I'!AW56</f>
        <v>-27981.504874509705</v>
      </c>
      <c r="AX56" s="220">
        <f>+[4]SLP!AX56+[4]ROSA!AX56+'[4]STA ANA'!AX56+[4]BOA!AX56+'[4]STA MARIA'!AX56+'[4]CB I'!AX56+'[4]CB II'!AX56+'[4]CB III'!AX56+[4]IG!AX56+[4]PN!AX56+[4]MJ!AX56+'[4]RB I'!AX56+'[4]SF I'!AX56</f>
        <v>0</v>
      </c>
      <c r="AY56" s="220">
        <f>+[4]SLP!AY56+[4]ROSA!AY56+'[4]STA ANA'!AY56+[4]BOA!AY56+'[4]STA MARIA'!AY56+'[4]CB I'!AY56+'[4]CB II'!AY56+'[4]CB III'!AY56+[4]IG!AY56+[4]PN!AY56+[4]MJ!AY56+'[4]RB I'!AY56+'[4]SF I'!AY56</f>
        <v>0</v>
      </c>
      <c r="AZ56" s="221">
        <f>+[4]SLP!AZ56+[4]ROSA!AZ56+'[4]STA ANA'!AZ56+[4]BOA!AZ56+'[4]STA MARIA'!AZ56+'[4]CB I'!AZ56+'[4]CB II'!AZ56+[4]IG!AZ56+[4]PN!AZ56+[4]MJ!AZ56+'[4]RB I'!AZ56+'[4]SÃO FRANCISCO'!AZ56</f>
        <v>0</v>
      </c>
      <c r="BA56" s="218">
        <f t="shared" ref="BA56:BA57" si="42">IF(AU56=0,"",(+AZ56/AU56-1))</f>
        <v>-1</v>
      </c>
      <c r="BB56" s="219">
        <f>+[4]SLP!BB56+[4]ROSA!BB56+'[4]STA ANA'!BB56+[4]BOA!BB56+'[4]STA MARIA'!BB56+'[4]CB I'!BB56+'[4]CB II'!BB56+'[4]CB III'!BB56+[4]IG!BB56+[4]PN!BB56+[4]MJ!BB56+'[4]RB I'!BB56+'[4]SF I'!BB56</f>
        <v>-227677.01281130765</v>
      </c>
      <c r="BC56" s="220">
        <f>+[4]SLP!BC56+[4]ROSA!BC56+'[4]STA ANA'!BC56+[4]BOA!BC56+'[4]STA MARIA'!BC56+'[4]CB I'!BC56+'[4]CB II'!BC56+'[4]CB III'!BC56+[4]IG!BC56+[4]PN!BC56+[4]MJ!BC56+'[4]RB I'!BC56+'[4]SF I'!BC56</f>
        <v>-199695.50793679792</v>
      </c>
      <c r="BD56" s="220">
        <f>+[4]SLP!BD56+[4]ROSA!BD56+'[4]STA ANA'!BD56+[4]BOA!BD56+'[4]STA MARIA'!BD56+'[4]CB I'!BD56+'[4]CB II'!BD56+'[4]CB III'!BD56+[4]IG!BD56+[4]PN!BD56+[4]MJ!BD56+'[4]RB I'!BD56+'[4]SF I'!BD56</f>
        <v>-27981.504874509705</v>
      </c>
      <c r="BE56" s="220">
        <f>+[4]SLP!BE56+[4]ROSA!BE56+'[4]STA ANA'!BE56+[4]BOA!BE56+'[4]STA MARIA'!BE56+'[4]CB I'!BE56+'[4]CB II'!BE56+'[4]CB III'!BE56+[4]IG!BE56+[4]PN!BE56+[4]MJ!BE56+'[4]RB I'!BE56+'[4]SF I'!BE56</f>
        <v>0</v>
      </c>
      <c r="BF56" s="220">
        <f>+[4]SLP!BF56+[4]ROSA!BF56+'[4]STA ANA'!BF56+[4]BOA!BF56+'[4]STA MARIA'!BF56+'[4]CB I'!BF56+'[4]CB II'!BF56+'[4]CB III'!BF56+[4]IG!BF56+[4]PN!BF56+[4]MJ!BF56+'[4]RB I'!BF56+'[4]SF I'!BF56</f>
        <v>0</v>
      </c>
      <c r="BG56" s="221">
        <f>+[4]SLP!BG56+[4]ROSA!BG56+'[4]STA ANA'!BG56+[4]BOA!BG56+'[4]STA MARIA'!BG56+'[4]CB I'!BG56+'[4]CB II'!BG56+'[4]CB III'!BG56+[4]IG!BG56+[4]PN!BG56+[4]MJ!BG56+'[4]RB I'!BG56+'[4]SÃO FRANCISCO'!BG56</f>
        <v>0</v>
      </c>
      <c r="BH56" s="218">
        <f t="shared" ref="BH56:BH57" si="43">IF(BB56=0,"",(+BG56/BB56-1))</f>
        <v>-1</v>
      </c>
      <c r="BI56" s="219">
        <f>+[4]SLP!BI56+[4]ROSA!BI56+'[4]STA ANA'!BI56+[4]BOA!BI56+'[4]STA MARIA'!BI56+'[4]CB I'!BI56+'[4]CB II'!BI56+'[4]CB III'!BI56+[4]IG!BI56+[4]PN!BI56+[4]MJ!BI56+'[4]RB I'!BI56+'[4]SF I'!BI56</f>
        <v>-227677.01281130765</v>
      </c>
      <c r="BJ56" s="220">
        <f>+[4]SLP!BJ56+[4]ROSA!BJ56+'[4]STA ANA'!BJ56+[4]BOA!BJ56+'[4]STA MARIA'!BJ56+'[4]CB I'!BJ56+'[4]CB II'!BJ56+'[4]CB III'!BJ56+[4]IG!BJ56+[4]PN!BJ56+[4]MJ!BJ56+'[4]RB I'!BJ56+'[4]SF I'!BJ56</f>
        <v>-199695.50793679792</v>
      </c>
      <c r="BK56" s="220">
        <f>+[4]SLP!BK56+[4]ROSA!BK56+'[4]STA ANA'!BK56+[4]BOA!BK56+'[4]STA MARIA'!BK56+'[4]CB I'!BK56+'[4]CB II'!BK56+'[4]CB III'!BK56+[4]IG!BK56+[4]PN!BK56+[4]MJ!BK56+'[4]RB I'!BK56+'[4]SF I'!BK56</f>
        <v>-27981.504874509705</v>
      </c>
      <c r="BL56" s="220">
        <f>+[4]SLP!BL56+[4]ROSA!BL56+'[4]STA ANA'!BL56+[4]BOA!BL56+'[4]STA MARIA'!BL56+'[4]CB I'!BL56+'[4]CB II'!BL56+'[4]CB III'!BL56+[4]IG!BL56+[4]PN!BL56+[4]MJ!BL56+'[4]RB I'!BL56+'[4]SF I'!BL56</f>
        <v>0</v>
      </c>
      <c r="BM56" s="220">
        <f>+[4]SLP!BM56+[4]ROSA!BM56+'[4]STA ANA'!BM56+[4]BOA!BM56+'[4]STA MARIA'!BM56+'[4]CB I'!BM56+'[4]CB II'!BM56+'[4]CB III'!BM56+[4]IG!BM56+[4]PN!BM56+[4]MJ!BM56+'[4]RB I'!BM56+'[4]SF I'!BM56</f>
        <v>0</v>
      </c>
      <c r="BN56" s="221">
        <f>+[4]SLP!BN56+[4]ROSA!BN56+'[4]STA ANA'!BN56+[4]BOA!BN56+'[4]STA MARIA'!BN56+'[4]CB I'!BN56+'[4]CB II'!BN56+'[4]CB III'!BN56+[4]IG!BN56+[4]PN!BN56+[4]MJ!BN56+'[4]RB I'!BN56+'[4]SÃO FRANCISCO'!BN56</f>
        <v>0</v>
      </c>
      <c r="BO56" s="218">
        <f t="shared" ref="BO56:BO57" si="44">IF(BI56=0,"",(+BN56/BI56-1))</f>
        <v>-1</v>
      </c>
      <c r="BP56" s="219">
        <f>+[4]SLP!BP56+[4]ROSA!BP56+'[4]STA ANA'!BP56+[4]BOA!BP56+'[4]STA MARIA'!BP56+'[4]CB I'!BP56+'[4]CB II'!BP56+'[4]CB III'!BP56+[4]IG!BP56+[4]PN!BP56+[4]MJ!BP56+'[4]RB I'!BP56+'[4]SF I'!BP56</f>
        <v>-227677.01281130765</v>
      </c>
      <c r="BQ56" s="220">
        <f>+[4]SLP!BQ56+[4]ROSA!BQ56+'[4]STA ANA'!BQ56+[4]BOA!BQ56+'[4]STA MARIA'!BQ56+'[4]CB I'!BQ56+'[4]CB II'!BQ56+'[4]CB III'!BQ56+[4]IG!BQ56+[4]PN!BQ56+[4]MJ!BQ56+'[4]RB I'!BQ56+'[4]SF I'!BQ56</f>
        <v>-199695.50793679792</v>
      </c>
      <c r="BR56" s="220">
        <f>+[4]SLP!BR56+[4]ROSA!BR56+'[4]STA ANA'!BR56+[4]BOA!BR56+'[4]STA MARIA'!BR56+'[4]CB I'!BR56+'[4]CB II'!BR56+'[4]CB III'!BR56+[4]IG!BR56+[4]PN!BR56+[4]MJ!BR56+'[4]RB I'!BR56+'[4]SF I'!BR56</f>
        <v>-27981.504874509705</v>
      </c>
      <c r="BS56" s="220">
        <f>+[4]SLP!BS56+[4]ROSA!BS56+'[4]STA ANA'!BS56+[4]BOA!BS56+'[4]STA MARIA'!BS56+'[4]CB I'!BS56+'[4]CB II'!BS56+'[4]CB III'!BS56+[4]IG!BS56+[4]PN!BS56+[4]MJ!BS56+'[4]RB I'!BS56+'[4]SF I'!BS56</f>
        <v>0</v>
      </c>
      <c r="BT56" s="220">
        <f>+[4]SLP!BT56+[4]ROSA!BT56+'[4]STA ANA'!BT56+[4]BOA!BT56+'[4]STA MARIA'!BT56+'[4]CB I'!BT56+'[4]CB II'!BT56+'[4]CB III'!BT56+[4]IG!BT56+[4]PN!BT56+[4]MJ!BT56+'[4]RB I'!BT56+'[4]SF I'!BT56</f>
        <v>0</v>
      </c>
      <c r="BU56" s="221">
        <f>+[4]SLP!BU56+[4]ROSA!BU56+'[4]STA ANA'!BU56+[4]BOA!BU56+'[4]STA MARIA'!BU56+'[4]CB I'!BU56+'[4]CB II'!BU56+'[4]CB III'!BU56+[4]IG!BU56+[4]PN!BU56+[4]MJ!BU56+'[4]RB I'!BU56+'[4]SÃO FRANCISCO'!BU56</f>
        <v>0</v>
      </c>
      <c r="BV56" s="218">
        <f t="shared" ref="BV56:BV57" si="45">IF(BP56=0,"",(+BU56/BP56-1))</f>
        <v>-1</v>
      </c>
      <c r="BW56" s="219">
        <f>+[4]SLP!BW56+[4]ROSA!BW56+'[4]STA ANA'!BW56+[4]BOA!BW56+'[4]STA MARIA'!BW56+'[4]CB I'!BW56+'[4]CB II'!BW56+'[4]CB III'!BW56+[4]IG!BW56+[4]PN!BW56+[4]MJ!BW56+'[4]RB I'!BW56+'[4]SF I'!BW56</f>
        <v>-227677.01281130765</v>
      </c>
      <c r="BX56" s="220">
        <f>+[4]SLP!BX56+[4]ROSA!BX56+'[4]STA ANA'!BX56+[4]BOA!BX56+'[4]STA MARIA'!BX56+'[4]CB I'!BX56+'[4]CB II'!BX56+'[4]CB III'!BX56+[4]IG!BX56+[4]PN!BX56+[4]MJ!BX56+'[4]RB I'!BX56+'[4]SF I'!BX56</f>
        <v>-199695.50793679792</v>
      </c>
      <c r="BY56" s="220">
        <f>+[4]SLP!BY56+[4]ROSA!BY56+'[4]STA ANA'!BY56+[4]BOA!BY56+'[4]STA MARIA'!BY56+'[4]CB I'!BY56+'[4]CB II'!BY56+'[4]CB III'!BY56+[4]IG!BY56+[4]PN!BY56+[4]MJ!BY56+'[4]RB I'!BY56+'[4]SF I'!BY56</f>
        <v>-27981.504874509705</v>
      </c>
      <c r="BZ56" s="220">
        <f>+[4]SLP!BZ56+[4]ROSA!BZ56+'[4]STA ANA'!BZ56+[4]BOA!BZ56+'[4]STA MARIA'!BZ56+'[4]CB I'!BZ56+'[4]CB II'!BZ56+'[4]CB III'!BZ56+[4]IG!BZ56+[4]PN!BZ56+[4]MJ!BZ56+'[4]RB I'!BZ56+'[4]SF I'!BZ56</f>
        <v>0</v>
      </c>
      <c r="CA56" s="220">
        <f>+[4]SLP!CA56+[4]ROSA!CA56+'[4]STA ANA'!CA56+[4]BOA!CA56+'[4]STA MARIA'!CA56+'[4]CB I'!CA56+'[4]CB II'!CA56+'[4]CB III'!CA56+[4]IG!CA56+[4]PN!CA56+[4]MJ!CA56+'[4]RB I'!CA56+'[4]SF I'!CA56</f>
        <v>0</v>
      </c>
      <c r="CB56" s="221">
        <f>+[4]SLP!CB56+[4]ROSA!CB56+'[4]STA ANA'!CB56+[4]BOA!CB56+'[4]STA MARIA'!CB56+'[4]CB I'!CB56+'[4]CB II'!CB56+'[4]CB III'!CB56+[4]IG!CB56+[4]PN!CB56+[4]MJ!CB56+'[4]RB I'!CB56+'[4]SÃO FRANCISCO'!CB56</f>
        <v>0</v>
      </c>
      <c r="CC56" s="218">
        <f t="shared" ref="CC56:CC57" si="46">IF(BW56=0,"",(+CB56/BW56-1))</f>
        <v>-1</v>
      </c>
      <c r="CD56" s="219">
        <f>+[4]SLP!CD56+[4]ROSA!CD56+'[4]STA ANA'!CD56+[4]BOA!CD56+'[4]STA MARIA'!CD56+'[4]CB I'!CD56+'[4]CB II'!CD56+'[4]CB III'!CD56+[4]IG!CD56+[4]PN!CD56+[4]MJ!CD56+'[4]RB I'!CD56+'[4]SF I'!CD56</f>
        <v>-227677.01281130765</v>
      </c>
      <c r="CE56" s="220">
        <f>+[4]SLP!CE56+[4]ROSA!CE56+'[4]STA ANA'!CE56+[4]BOA!CE56+'[4]STA MARIA'!CE56+'[4]CB I'!CE56+'[4]CB II'!CE56+'[4]CB III'!CE56+[4]IG!CE56+[4]PN!CE56+[4]MJ!CE56+'[4]RB I'!CE56+'[4]SF I'!CE56</f>
        <v>-199695.50793679792</v>
      </c>
      <c r="CF56" s="220">
        <f>+[4]SLP!CF56+[4]ROSA!CF56+'[4]STA ANA'!CF56+[4]BOA!CF56+'[4]STA MARIA'!CF56+'[4]CB I'!CF56+'[4]CB II'!CF56+'[4]CB III'!CF56+[4]IG!CF56+[4]PN!CF56+[4]MJ!CF56+'[4]RB I'!CF56+'[4]SF I'!CF56</f>
        <v>-27981.504874509705</v>
      </c>
      <c r="CG56" s="220">
        <f>+[4]SLP!CG56+[4]ROSA!CG56+'[4]STA ANA'!CG56+[4]BOA!CG56+'[4]STA MARIA'!CG56+'[4]CB I'!CG56+'[4]CB II'!CG56+'[4]CB III'!CG56+[4]IG!CG56+[4]PN!CG56+[4]MJ!CG56+'[4]RB I'!CG56+'[4]SF I'!CG56</f>
        <v>0</v>
      </c>
      <c r="CH56" s="220">
        <f>+[4]SLP!CH56+[4]ROSA!CH56+'[4]STA ANA'!CH56+[4]BOA!CH56+'[4]STA MARIA'!CH56+'[4]CB I'!CH56+'[4]CB II'!CH56+'[4]CB III'!CH56+[4]IG!CH56+[4]PN!CH56+[4]MJ!CH56+'[4]RB I'!CH56+'[4]SF I'!CH56</f>
        <v>0</v>
      </c>
      <c r="CI56" s="221">
        <f>+[4]SLP!CI56+[4]ROSA!CI56+'[4]STA ANA'!CI56+[4]BOA!CI56+'[4]STA MARIA'!CI56+'[4]CB I'!CI56+'[4]CB II'!CI56+'[4]CB III'!CI56+[4]IG!CI56+[4]PN!CI56+[4]MJ!CI56+'[4]RB I'!CI56+'[4]SÃO FRANCISCO'!CI56</f>
        <v>0</v>
      </c>
      <c r="CJ56" s="218">
        <f t="shared" ref="CJ56:CJ57" si="47">IF(CD56=0,"",(+CI56/CD56-1))</f>
        <v>-1</v>
      </c>
      <c r="CK56" s="219">
        <f>+[4]SLP!CK56+[4]ROSA!CK56+'[4]STA ANA'!CK56+[4]BOA!CK56+'[4]STA MARIA'!CK56+'[4]CB I'!CK56+'[4]CB II'!CK56+'[4]CB III'!CK56+[4]IG!CK56+[4]PN!CK56+[4]MJ!CK56+'[4]RB I'!CK56+'[4]SF I'!CK56</f>
        <v>-227677.01281130765</v>
      </c>
      <c r="CL56" s="220">
        <f>+[4]SLP!CL56+[4]ROSA!CL56+'[4]STA ANA'!CL56+[4]BOA!CL56+'[4]STA MARIA'!CL56+'[4]CB I'!CL56+'[4]CB II'!CL56+'[4]CB III'!CL56+[4]IG!CL56+[4]PN!CL56+[4]MJ!CL56+'[4]RB I'!CL56+'[4]SF I'!CL56</f>
        <v>-199695.50793679792</v>
      </c>
      <c r="CM56" s="220">
        <f>+[4]SLP!CM56+[4]ROSA!CM56+'[4]STA ANA'!CM56+[4]BOA!CM56+'[4]STA MARIA'!CM56+'[4]CB I'!CM56+'[4]CB II'!CM56+'[4]CB III'!CM56+[4]IG!CM56+[4]PN!CM56+[4]MJ!CM56+'[4]RB I'!CM56+'[4]SF I'!CM56</f>
        <v>-27981.504874509705</v>
      </c>
      <c r="CN56" s="220">
        <f>+[4]SLP!CN56+[4]ROSA!CN56+'[4]STA ANA'!CN56+[4]BOA!CN56+'[4]STA MARIA'!CN56+'[4]CB I'!CN56+'[4]CB II'!CN56+'[4]CB III'!CN56+[4]IG!CN56+[4]PN!CN56+[4]MJ!CN56+'[4]RB I'!CN56+'[4]SF I'!CN56</f>
        <v>0</v>
      </c>
      <c r="CO56" s="220">
        <f>+[4]SLP!CO56+[4]ROSA!CO56+'[4]STA ANA'!CO56+[4]BOA!CO56+'[4]STA MARIA'!CO56+'[4]CB I'!CO56+'[4]CB II'!CO56+'[4]CB III'!CO56+[4]IG!CO56+[4]PN!CO56+[4]MJ!CO56+'[4]RB I'!CO56+'[4]SF I'!CO56</f>
        <v>0</v>
      </c>
      <c r="CP56" s="221">
        <f>+[4]SLP!CP56+[4]ROSA!CP56+'[4]STA ANA'!CP56+[4]BOA!CP56+'[4]STA MARIA'!CP56+'[4]CB I'!CP56+'[4]CB II'!CP56+'[4]CB III'!CP56+[4]IG!CP56+[4]PN!CP56+[4]MJ!CP56+'[4]RB I'!CP56+'[4]SÃO FRANCISCO'!CP56</f>
        <v>0</v>
      </c>
      <c r="CQ56" s="218">
        <f t="shared" ref="CQ56:CQ57" si="48">IF(CK56=0,"",(+CP56/CK56-1))</f>
        <v>-1</v>
      </c>
      <c r="CR56" s="156"/>
      <c r="CS56" s="247" t="e">
        <f t="shared" si="15"/>
        <v>#VALUE!</v>
      </c>
    </row>
    <row r="57" spans="1:101" ht="16" customHeight="1" thickBot="1" x14ac:dyDescent="0.25">
      <c r="A57" s="248" t="s">
        <v>81</v>
      </c>
      <c r="B57" s="52">
        <f>+L57+S57+Z57+AG57+AN57+AU57+BB57+BI57+BP57+BW57+CD57+CK57</f>
        <v>-910708.05124523072</v>
      </c>
      <c r="C57" s="40">
        <f t="shared" si="34"/>
        <v>-798782.03174719133</v>
      </c>
      <c r="D57" s="51">
        <f t="shared" si="34"/>
        <v>-111926.01949803879</v>
      </c>
      <c r="E57" s="50">
        <f>+L57+S57+Z57+AG57</f>
        <v>-303569.35041507683</v>
      </c>
      <c r="F57" s="58">
        <f t="shared" si="35"/>
        <v>-266260.67724906385</v>
      </c>
      <c r="G57" s="85">
        <f t="shared" si="35"/>
        <v>-37308.673166012937</v>
      </c>
      <c r="H57" s="57">
        <f t="shared" si="36"/>
        <v>-476523.02712589421</v>
      </c>
      <c r="I57" s="58">
        <f t="shared" si="36"/>
        <v>-51451.932718866665</v>
      </c>
      <c r="J57" s="58">
        <f t="shared" si="36"/>
        <v>-527974.95984476095</v>
      </c>
      <c r="K57" s="249">
        <f t="shared" si="37"/>
        <v>0.73922353861761581</v>
      </c>
      <c r="L57" s="234">
        <f>+[4]SLP!L57+[4]ROSA!L57+'[4]STA ANA'!L57+[4]BOA!L57+'[4]STA MARIA'!L57+'[4]CB I'!L57+'[4]CB II'!L57+'[4]CB III'!L57+[4]IG!L57+[4]PN!L57+[4]MJ!L57+'[4]RB I'!L57+'[4]SF I'!L57</f>
        <v>-75892.337603769207</v>
      </c>
      <c r="M57" s="250">
        <f>+[4]SLP!M57+[4]ROSA!M57+'[4]STA ANA'!M57+[4]BOA!M57+'[4]STA MARIA'!M57+'[4]CB I'!M57+'[4]CB II'!M57+'[4]CB III'!M57+[4]IG!M57+[4]PN!M57+[4]MJ!M57+'[4]RB I'!M57+'[4]SF I'!M57</f>
        <v>-66565.169312265964</v>
      </c>
      <c r="N57" s="250">
        <f>+[4]SLP!N57+[4]ROSA!N57+'[4]STA ANA'!N57+[4]BOA!N57+'[4]STA MARIA'!N57+'[4]CB I'!N57+'[4]CB II'!N57+'[4]CB III'!N57+[4]IG!N57+[4]PN!N57+[4]MJ!N57+'[4]RB I'!N57+'[4]SF I'!N57</f>
        <v>-9327.1682915032343</v>
      </c>
      <c r="O57" s="250">
        <f>+[4]SLP!O57+[4]ROSA!O57+'[4]STA ANA'!O57+[4]BOA!O57+'[4]STA MARIA'!O57+'[4]CB I'!O57+'[4]CB II'!O57+'[4]CB III'!O57+[4]IG!O57+[4]PN!O57+[4]MJ!O57+'[4]RB I'!O57+'[4]SF I'!O57</f>
        <v>-265123.15967482748</v>
      </c>
      <c r="P57" s="250">
        <f>+[4]SLP!P57+[4]ROSA!P57+'[4]STA ANA'!P57+[4]BOA!P57+'[4]STA MARIA'!P57+'[4]CB I'!P57+'[4]CB II'!P57+'[4]CB III'!P57+[4]IG!P57+[4]PN!P57+[4]MJ!P57+'[4]RB I'!P57+'[4]SF I'!P57</f>
        <v>-28626.316516051138</v>
      </c>
      <c r="Q57" s="235">
        <f>+[4]SLP!Q57+[4]ROSA!Q57+'[4]STA ANA'!Q57+[4]BOA!Q57+'[4]STA MARIA'!Q57+'[4]CB I'!Q57+'[4]CB II'!Q57+'[4]CB III'!Q57+[4]IG!Q57+[4]PN!Q57+[4]MJ!Q57+'[4]RB I'!Q57+'[4]SF I'!Q57</f>
        <v>-293749.4761908786</v>
      </c>
      <c r="R57" s="249">
        <f t="shared" si="38"/>
        <v>2.8706078303258047</v>
      </c>
      <c r="S57" s="234">
        <f>+[4]SLP!S57+[4]ROSA!S57+'[4]STA ANA'!S57+[4]BOA!S57+'[4]STA MARIA'!S57+'[4]CB I'!S57+'[4]CB II'!S57+'[4]CB III'!S57+[4]IG!S57+[4]PN!S57+[4]MJ!S57+'[4]RB I'!S57+'[4]SF I'!S57</f>
        <v>-75892.337603769207</v>
      </c>
      <c r="T57" s="250">
        <f>+[4]SLP!T57+[4]ROSA!T57+'[4]STA ANA'!T57+[4]BOA!T57+'[4]STA MARIA'!T57+'[4]CB I'!T57+'[4]CB II'!T57+'[4]CB III'!T57+[4]IG!T57+[4]PN!T57+[4]MJ!T57+'[4]RB I'!T57+'[4]SF I'!T57</f>
        <v>-66565.169312265964</v>
      </c>
      <c r="U57" s="250">
        <f>+[4]SLP!U57+[4]ROSA!U57+'[4]STA ANA'!U57+[4]BOA!U57+'[4]STA MARIA'!U57+'[4]CB I'!U57+'[4]CB II'!U57+'[4]CB III'!U57+[4]IG!U57+[4]PN!U57+[4]MJ!U57+'[4]RB I'!U57+'[4]SF I'!U57</f>
        <v>-9327.1682915032343</v>
      </c>
      <c r="V57" s="250">
        <f>+[4]SLP!V57+[4]ROSA!V57+'[4]STA ANA'!V57+[4]BOA!V57+'[4]STA MARIA'!V57+'[4]CB I'!V57+'[4]CB II'!V57+'[4]CB III'!V57+[4]IG!V57+[4]PN!V57+[4]MJ!V57+'[4]RB I'!V57+'[4]SF I'!V57</f>
        <v>-39172.223238675244</v>
      </c>
      <c r="W57" s="250">
        <f>+[4]SLP!W57+[4]ROSA!W57+'[4]STA ANA'!W57+[4]BOA!W57+'[4]STA MARIA'!W57+'[4]CB I'!W57+'[4]CB II'!W57+'[4]CB III'!W57+[4]IG!W57+[4]PN!W57+[4]MJ!W57+'[4]RB I'!W57+'[4]SF I'!W57</f>
        <v>-4229.5678016460388</v>
      </c>
      <c r="X57" s="235">
        <f>[4]SLP!X57+[4]ROSA!X57+'[4]STA ANA'!X57+[4]BOA!X57+'[4]STA MARIA'!X57+'[4]CB I'!X57+'[4]CB II'!X57+'[4]CB III'!X57+[4]IG!X57+[4]PN!X57+[4]MJ!X57+'[4]RB I'!X57+'[4]SF I'!X57</f>
        <v>-43401.791040321274</v>
      </c>
      <c r="Y57" s="249">
        <f>IF(S57=0,"",(+X57/S57-1))</f>
        <v>-0.42811366192302247</v>
      </c>
      <c r="Z57" s="234">
        <f>+[4]SLP!Z57+[4]ROSA!Z57+'[4]STA ANA'!Z57+[4]BOA!Z57+'[4]STA MARIA'!Z57+'[4]CB I'!Z57+'[4]CB II'!Z57+'[4]CB III'!Z57+[4]IG!Z57+[4]PN!Z57+[4]MJ!Z57+'[4]RB I'!Z57+'[4]SF I'!Z57</f>
        <v>-75892.337603769207</v>
      </c>
      <c r="AA57" s="250">
        <f>+[4]SLP!AA57+[4]ROSA!AA57+'[4]STA ANA'!AA57+[4]BOA!AA57+'[4]STA MARIA'!AA57+'[4]CB I'!AA57+'[4]CB II'!AA57+'[4]CB III'!AA57+[4]IG!AA57+[4]PN!AA57+[4]MJ!AA57+'[4]RB I'!AA57+'[4]SF I'!AA57</f>
        <v>-66565.169312265964</v>
      </c>
      <c r="AB57" s="250">
        <f>+[4]SLP!AB57+[4]ROSA!AB57+'[4]STA ANA'!AB57+[4]BOA!AB57+'[4]STA MARIA'!AB57+'[4]CB I'!AB57+'[4]CB II'!AB57+'[4]CB III'!AB57+[4]IG!AB57+[4]PN!AB57+[4]MJ!AB57+'[4]RB I'!AB57+'[4]SF I'!AB57</f>
        <v>-9327.1682915032343</v>
      </c>
      <c r="AC57" s="250">
        <f>+[4]SLP!AC57+[4]ROSA!AC57+'[4]STA ANA'!AC57+[4]BOA!AC57+'[4]STA MARIA'!AC57+'[4]CB I'!AC57+'[4]CB II'!AC57+'[4]CB III'!AC57+[4]IG!AC57+[4]PN!AC57+[4]MJ!AC57+'[4]RB I'!AC57+'[4]SF I'!AC57</f>
        <v>-172227.64421239149</v>
      </c>
      <c r="AD57" s="250">
        <f>+[4]SLP!AD57+[4]ROSA!AD57+'[4]STA ANA'!AD57+[4]BOA!AD57+'[4]STA MARIA'!AD57+'[4]CB I'!AD57+'[4]CB II'!AD57+'[4]CB III'!AD57+[4]IG!AD57+[4]PN!AD57+[4]MJ!AD57+'[4]RB I'!AD57+'[4]SF I'!AD57</f>
        <v>-18596.048401169486</v>
      </c>
      <c r="AE57" s="235">
        <f>+[4]SLP!AE57+[4]ROSA!AE57+'[4]STA ANA'!AE57+[4]BOA!AE57+'[4]STA MARIA'!AE57+'[4]CB I'!AE57+'[4]CB II'!AE57+'[4]CB III'!AE57+[4]IG!AE57+[4]PN!AE57+[4]MJ!AE57+'[4]RB I'!AE57+'[4]SF I'!AE57</f>
        <v>-190823.69261356103</v>
      </c>
      <c r="AF57" s="249">
        <f t="shared" si="39"/>
        <v>1.5143999860676809</v>
      </c>
      <c r="AG57" s="234">
        <f>+[4]SLP!AG57+[4]ROSA!AG57+'[4]STA ANA'!AG57+[4]BOA!AG57+'[4]STA MARIA'!AG57+'[4]CB I'!AG57+'[4]CB II'!AG57+'[4]CB III'!AG57+[4]IG!AG57+[4]PN!AG57+[4]MJ!AG57+'[4]RB I'!AG57+'[4]SF I'!AG57</f>
        <v>-75892.337603769207</v>
      </c>
      <c r="AH57" s="250">
        <f>+[4]SLP!AH57+[4]ROSA!AH57+'[4]STA ANA'!AH57+[4]BOA!AH57+'[4]STA MARIA'!AH57+'[4]CB I'!AH57+'[4]CB II'!AH57+'[4]CB III'!AH57+[4]IG!AH57+[4]PN!AH57+[4]MJ!AH57+'[4]RB I'!AH57+'[4]SF I'!AH57</f>
        <v>-66565.169312265964</v>
      </c>
      <c r="AI57" s="250">
        <f>+[4]SLP!AI57+[4]ROSA!AI57+'[4]STA ANA'!AI57+[4]BOA!AI57+'[4]STA MARIA'!AI57+'[4]CB I'!AI57+'[4]CB II'!AI57+'[4]CB III'!AI57+[4]IG!AI57+[4]PN!AI57+[4]MJ!AI57+'[4]RB I'!AI57+'[4]SF I'!AI57</f>
        <v>-9327.1682915032343</v>
      </c>
      <c r="AJ57" s="250">
        <f>+[4]SLP!AJ57+[4]ROSA!AJ57+'[4]STA ANA'!AJ57+[4]BOA!AJ57+'[4]STA MARIA'!AJ57+'[4]CB I'!AJ57+'[4]CB II'!AJ57+'[4]CB III'!AJ57+[4]IG!AJ57+[4]PN!AJ57+[4]MJ!AJ57+'[4]RB I'!AJ57+'[4]SF I'!AJ57</f>
        <v>0</v>
      </c>
      <c r="AK57" s="250">
        <f>+[4]SLP!AK57+[4]ROSA!AK57+'[4]STA ANA'!AK57+[4]BOA!AK57+'[4]STA MARIA'!AK57+'[4]CB I'!AK57+'[4]CB II'!AK57+'[4]CB III'!AK57+[4]IG!AK57+[4]PN!AK57+[4]MJ!AK57+'[4]RB I'!AK57+'[4]SF I'!AK57</f>
        <v>0</v>
      </c>
      <c r="AL57" s="235">
        <f>+[4]SLP!AL57+[4]ROSA!AL57+'[4]STA ANA'!AL57+[4]BOA!AL57+'[4]STA MARIA'!AL57+'[4]CB I'!AL57+'[4]CB II'!AL57+'[4]CB III'!AL57+[4]IG!AL57+[4]PN!AL57+[4]MJ!AL57+'[4]RB I'!AL57+'[4]SF I'!AL57</f>
        <v>0</v>
      </c>
      <c r="AM57" s="249">
        <f t="shared" si="40"/>
        <v>-1</v>
      </c>
      <c r="AN57" s="234">
        <f>+[4]SLP!AN57+[4]ROSA!AN57+'[4]STA ANA'!AN57+[4]BOA!AN57+'[4]STA MARIA'!AN57+'[4]CB I'!AN57+'[4]CB II'!AN57+'[4]CB III'!AN57+[4]IG!AN57+[4]PN!AN57+[4]MJ!AN57+'[4]RB I'!AN57+'[4]SF I'!AN57</f>
        <v>-75892.337603769207</v>
      </c>
      <c r="AO57" s="250">
        <f>+[4]SLP!AO57+[4]ROSA!AO57+'[4]STA ANA'!AO57+[4]BOA!AO57+'[4]STA MARIA'!AO57+'[4]CB I'!AO57+'[4]CB II'!AO57+'[4]CB III'!AO57+[4]IG!AO57+[4]PN!AO57+[4]MJ!AO57+'[4]RB I'!AO57+'[4]SF I'!AO57</f>
        <v>-66565.169312265964</v>
      </c>
      <c r="AP57" s="250">
        <f>+[4]SLP!AP57+[4]ROSA!AP57+'[4]STA ANA'!AP57+[4]BOA!AP57+'[4]STA MARIA'!AP57+'[4]CB I'!AP57+'[4]CB II'!AP57+'[4]CB III'!AP57+[4]IG!AP57+[4]PN!AP57+[4]MJ!AP57+'[4]RB I'!AP57+'[4]SF I'!AP57</f>
        <v>-9327.1682915032343</v>
      </c>
      <c r="AQ57" s="250">
        <f>+[4]SLP!AQ57+[4]ROSA!AQ57+'[4]STA ANA'!AQ57+[4]BOA!AQ57+'[4]STA MARIA'!AQ57+'[4]CB I'!AQ57+'[4]CB II'!AQ57+'[4]CB III'!AQ57+[4]IG!AQ57+[4]PN!AQ57+[4]MJ!AQ57+'[4]RB I'!AQ57+'[4]SF I'!AQ57</f>
        <v>0</v>
      </c>
      <c r="AR57" s="250">
        <f>+[4]SLP!AR57+[4]ROSA!AR57+'[4]STA ANA'!AR57+[4]BOA!AR57+'[4]STA MARIA'!AR57+'[4]CB I'!AR57+'[4]CB II'!AR57+'[4]CB III'!AR57+[4]IG!AR57+[4]PN!AR57+[4]MJ!AR57+'[4]RB I'!AR57+'[4]SF I'!AR57</f>
        <v>0</v>
      </c>
      <c r="AS57" s="235">
        <f>+[4]SLP!AS57+[4]ROSA!AS57+'[4]STA ANA'!AS57+[4]BOA!AS57+'[4]STA MARIA'!AS57+'[4]CB I'!AS57+'[4]CB II'!AS57+'[4]CB III'!AS57+[4]IG!AS57+[4]PN!AS57+[4]MJ!AS57+'[4]RB I'!AS57+'[4]SÃO FRANCISCO'!AS57</f>
        <v>0</v>
      </c>
      <c r="AT57" s="249">
        <f t="shared" si="41"/>
        <v>-1</v>
      </c>
      <c r="AU57" s="234">
        <f>+[4]SLP!AU57+[4]ROSA!AU57+'[4]STA ANA'!AU57+[4]BOA!AU57+'[4]STA MARIA'!AU57+'[4]CB I'!AU57+'[4]CB II'!AU57+'[4]CB III'!AU57+[4]IG!AU57+[4]PN!AU57+[4]MJ!AU57+'[4]RB I'!AU57+'[4]SF I'!AU57</f>
        <v>-75892.337603769207</v>
      </c>
      <c r="AV57" s="250">
        <f>+[4]SLP!AV57+[4]ROSA!AV57+'[4]STA ANA'!AV57+[4]BOA!AV57+'[4]STA MARIA'!AV57+'[4]CB I'!AV57+'[4]CB II'!AV57+'[4]CB III'!AV57+[4]IG!AV57+[4]PN!AV57+[4]MJ!AV57+'[4]RB I'!AV57+'[4]SF I'!AV57</f>
        <v>-66565.169312265964</v>
      </c>
      <c r="AW57" s="250">
        <f>+[4]SLP!AW57+[4]ROSA!AW57+'[4]STA ANA'!AW57+[4]BOA!AW57+'[4]STA MARIA'!AW57+'[4]CB I'!AW57+'[4]CB II'!AW57+'[4]CB III'!AW57+[4]IG!AW57+[4]PN!AW57+[4]MJ!AW57+'[4]RB I'!AW57+'[4]SF I'!AW57</f>
        <v>-9327.1682915032343</v>
      </c>
      <c r="AX57" s="250">
        <f>+[4]SLP!AX57+[4]ROSA!AX57+'[4]STA ANA'!AX57+[4]BOA!AX57+'[4]STA MARIA'!AX57+'[4]CB I'!AX57+'[4]CB II'!AX57+'[4]CB III'!AX57+[4]IG!AX57+[4]PN!AX57+[4]MJ!AX57+'[4]RB I'!AX57+'[4]SF I'!AX57</f>
        <v>0</v>
      </c>
      <c r="AY57" s="250">
        <f>+[4]SLP!AY57+[4]ROSA!AY57+'[4]STA ANA'!AY57+[4]BOA!AY57+'[4]STA MARIA'!AY57+'[4]CB I'!AY57+'[4]CB II'!AY57+'[4]CB III'!AY57+[4]IG!AY57+[4]PN!AY57+[4]MJ!AY57+'[4]RB I'!AY57+'[4]SF I'!AY57</f>
        <v>0</v>
      </c>
      <c r="AZ57" s="235">
        <f>+[4]SLP!AZ57+[4]ROSA!AZ57+'[4]STA ANA'!AZ57+[4]BOA!AZ57+'[4]STA MARIA'!AZ57+'[4]CB I'!AZ57+'[4]CB II'!AZ57+[4]IG!AZ57+[4]PN!AZ57+[4]MJ!AZ57+'[4]RB I'!AZ57+'[4]SÃO FRANCISCO'!AZ57</f>
        <v>0</v>
      </c>
      <c r="BA57" s="249">
        <f t="shared" si="42"/>
        <v>-1</v>
      </c>
      <c r="BB57" s="234">
        <f>+[4]SLP!BB57+[4]ROSA!BB57+'[4]STA ANA'!BB57+[4]BOA!BB57+'[4]STA MARIA'!BB57+'[4]CB I'!BB57+'[4]CB II'!BB57+'[4]CB III'!BB57+[4]IG!BB57+[4]PN!BB57+[4]MJ!BB57+'[4]RB I'!BB57+'[4]SF I'!BB57</f>
        <v>-75892.337603769207</v>
      </c>
      <c r="BC57" s="250">
        <f>+[4]SLP!BC57+[4]ROSA!BC57+'[4]STA ANA'!BC57+[4]BOA!BC57+'[4]STA MARIA'!BC57+'[4]CB I'!BC57+'[4]CB II'!BC57+'[4]CB III'!BC57+[4]IG!BC57+[4]PN!BC57+[4]MJ!BC57+'[4]RB I'!BC57+'[4]SF I'!BC57</f>
        <v>-66565.169312265964</v>
      </c>
      <c r="BD57" s="250">
        <f>+[4]SLP!BD57+[4]ROSA!BD57+'[4]STA ANA'!BD57+[4]BOA!BD57+'[4]STA MARIA'!BD57+'[4]CB I'!BD57+'[4]CB II'!BD57+'[4]CB III'!BD57+[4]IG!BD57+[4]PN!BD57+[4]MJ!BD57+'[4]RB I'!BD57+'[4]SF I'!BD57</f>
        <v>-9327.1682915032343</v>
      </c>
      <c r="BE57" s="250">
        <f>+[4]SLP!BE57+[4]ROSA!BE57+'[4]STA ANA'!BE57+[4]BOA!BE57+'[4]STA MARIA'!BE57+'[4]CB I'!BE57+'[4]CB II'!BE57+'[4]CB III'!BE57+[4]IG!BE57+[4]PN!BE57+[4]MJ!BE57+'[4]RB I'!BE57+'[4]SF I'!BE57</f>
        <v>0</v>
      </c>
      <c r="BF57" s="250">
        <f>+[4]SLP!BF57+[4]ROSA!BF57+'[4]STA ANA'!BF57+[4]BOA!BF57+'[4]STA MARIA'!BF57+'[4]CB I'!BF57+'[4]CB II'!BF57+'[4]CB III'!BF57+[4]IG!BF57+[4]PN!BF57+[4]MJ!BF57+'[4]RB I'!BF57+'[4]SF I'!BF57</f>
        <v>0</v>
      </c>
      <c r="BG57" s="235">
        <f>+[4]SLP!BG57+[4]ROSA!BG57+'[4]STA ANA'!BG57+[4]BOA!BG57+'[4]STA MARIA'!BG57+'[4]CB I'!BG57+'[4]CB II'!BG57+'[4]CB III'!BG57+[4]IG!BG57+[4]PN!BG57+[4]MJ!BG57+'[4]RB I'!BG57+'[4]SÃO FRANCISCO'!BG57</f>
        <v>0</v>
      </c>
      <c r="BH57" s="249">
        <f t="shared" si="43"/>
        <v>-1</v>
      </c>
      <c r="BI57" s="234">
        <f>+[4]SLP!BI57+[4]ROSA!BI57+'[4]STA ANA'!BI57+[4]BOA!BI57+'[4]STA MARIA'!BI57+'[4]CB I'!BI57+'[4]CB II'!BI57+'[4]CB III'!BI57+[4]IG!BI57+[4]PN!BI57+[4]MJ!BI57+'[4]RB I'!BI57+'[4]SF I'!BI57</f>
        <v>-75892.337603769207</v>
      </c>
      <c r="BJ57" s="250">
        <f>+[4]SLP!BJ57+[4]ROSA!BJ57+'[4]STA ANA'!BJ57+[4]BOA!BJ57+'[4]STA MARIA'!BJ57+'[4]CB I'!BJ57+'[4]CB II'!BJ57+'[4]CB III'!BJ57+[4]IG!BJ57+[4]PN!BJ57+[4]MJ!BJ57+'[4]RB I'!BJ57+'[4]SF I'!BJ57</f>
        <v>-66565.169312265964</v>
      </c>
      <c r="BK57" s="250">
        <f>+[4]SLP!BK57+[4]ROSA!BK57+'[4]STA ANA'!BK57+[4]BOA!BK57+'[4]STA MARIA'!BK57+'[4]CB I'!BK57+'[4]CB II'!BK57+'[4]CB III'!BK57+[4]IG!BK57+[4]PN!BK57+[4]MJ!BK57+'[4]RB I'!BK57+'[4]SF I'!BK57</f>
        <v>-9327.1682915032343</v>
      </c>
      <c r="BL57" s="250">
        <f>+[4]SLP!BL57+[4]ROSA!BL57+'[4]STA ANA'!BL57+[4]BOA!BL57+'[4]STA MARIA'!BL57+'[4]CB I'!BL57+'[4]CB II'!BL57+'[4]CB III'!BL57+[4]IG!BL57+[4]PN!BL57+[4]MJ!BL57+'[4]RB I'!BL57+'[4]SF I'!BL57</f>
        <v>0</v>
      </c>
      <c r="BM57" s="250">
        <f>+[4]SLP!BM57+[4]ROSA!BM57+'[4]STA ANA'!BM57+[4]BOA!BM57+'[4]STA MARIA'!BM57+'[4]CB I'!BM57+'[4]CB II'!BM57+'[4]CB III'!BM57+[4]IG!BM57+[4]PN!BM57+[4]MJ!BM57+'[4]RB I'!BM57+'[4]SF I'!BM57</f>
        <v>0</v>
      </c>
      <c r="BN57" s="235">
        <f>+[4]SLP!BN57+[4]ROSA!BN57+'[4]STA ANA'!BN57+[4]BOA!BN57+'[4]STA MARIA'!BN57+'[4]CB I'!BN57+'[4]CB II'!BN57+'[4]CB III'!BN57+[4]IG!BN57+[4]PN!BN57+[4]MJ!BN57+'[4]RB I'!BN57+'[4]SÃO FRANCISCO'!BN57</f>
        <v>0</v>
      </c>
      <c r="BO57" s="249">
        <f t="shared" si="44"/>
        <v>-1</v>
      </c>
      <c r="BP57" s="234">
        <f>+[4]SLP!BP57+[4]ROSA!BP57+'[4]STA ANA'!BP57+[4]BOA!BP57+'[4]STA MARIA'!BP57+'[4]CB I'!BP57+'[4]CB II'!BP57+'[4]CB III'!BP57+[4]IG!BP57+[4]PN!BP57+[4]MJ!BP57+'[4]RB I'!BP57+'[4]SF I'!BP57</f>
        <v>-75892.337603769207</v>
      </c>
      <c r="BQ57" s="250">
        <f>+[4]SLP!BQ57+[4]ROSA!BQ57+'[4]STA ANA'!BQ57+[4]BOA!BQ57+'[4]STA MARIA'!BQ57+'[4]CB I'!BQ57+'[4]CB II'!BQ57+'[4]CB III'!BQ57+[4]IG!BQ57+[4]PN!BQ57+[4]MJ!BQ57+'[4]RB I'!BQ57+'[4]SF I'!BQ57</f>
        <v>-66565.169312265964</v>
      </c>
      <c r="BR57" s="250">
        <f>+[4]SLP!BR57+[4]ROSA!BR57+'[4]STA ANA'!BR57+[4]BOA!BR57+'[4]STA MARIA'!BR57+'[4]CB I'!BR57+'[4]CB II'!BR57+'[4]CB III'!BR57+[4]IG!BR57+[4]PN!BR57+[4]MJ!BR57+'[4]RB I'!BR57+'[4]SF I'!BR57</f>
        <v>-9327.1682915032343</v>
      </c>
      <c r="BS57" s="250">
        <f>+[4]SLP!BS57+[4]ROSA!BS57+'[4]STA ANA'!BS57+[4]BOA!BS57+'[4]STA MARIA'!BS57+'[4]CB I'!BS57+'[4]CB II'!BS57+'[4]CB III'!BS57+[4]IG!BS57+[4]PN!BS57+[4]MJ!BS57+'[4]RB I'!BS57+'[4]SF I'!BS57</f>
        <v>0</v>
      </c>
      <c r="BT57" s="250">
        <f>+[4]SLP!BT57+[4]ROSA!BT57+'[4]STA ANA'!BT57+[4]BOA!BT57+'[4]STA MARIA'!BT57+'[4]CB I'!BT57+'[4]CB II'!BT57+'[4]CB III'!BT57+[4]IG!BT57+[4]PN!BT57+[4]MJ!BT57+'[4]RB I'!BT57+'[4]SF I'!BT57</f>
        <v>0</v>
      </c>
      <c r="BU57" s="235">
        <f>+[4]SLP!BU57+[4]ROSA!BU57+'[4]STA ANA'!BU57+[4]BOA!BU57+'[4]STA MARIA'!BU57+'[4]CB I'!BU57+'[4]CB II'!BU57++'[4]CB III'!BU57+[4]IG!BU57+[4]PN!BU57+[4]MJ!BU57+'[4]RB I'!BU57+'[4]SÃO FRANCISCO'!BU57</f>
        <v>0</v>
      </c>
      <c r="BV57" s="249">
        <f t="shared" si="45"/>
        <v>-1</v>
      </c>
      <c r="BW57" s="234">
        <f>+[4]SLP!BW57+[4]ROSA!BW57+'[4]STA ANA'!BW57+[4]BOA!BW57+'[4]STA MARIA'!BW57+'[4]CB I'!BW57+'[4]CB II'!BW57+'[4]CB III'!BW57+[4]IG!BW57+[4]PN!BW57+[4]MJ!BW57+'[4]RB I'!BW57+'[4]SF I'!BW57</f>
        <v>-75892.337603769207</v>
      </c>
      <c r="BX57" s="250">
        <f>+[4]SLP!BX57+[4]ROSA!BX57+'[4]STA ANA'!BX57+[4]BOA!BX57+'[4]STA MARIA'!BX57+'[4]CB I'!BX57+'[4]CB II'!BX57+'[4]CB III'!BX57+[4]IG!BX57+[4]PN!BX57+[4]MJ!BX57+'[4]RB I'!BX57+'[4]SF I'!BX57</f>
        <v>-66565.169312265964</v>
      </c>
      <c r="BY57" s="250">
        <f>+[4]SLP!BY57+[4]ROSA!BY57+'[4]STA ANA'!BY57+[4]BOA!BY57+'[4]STA MARIA'!BY57+'[4]CB I'!BY57+'[4]CB II'!BY57+'[4]CB III'!BY57+[4]IG!BY57+[4]PN!BY57+[4]MJ!BY57+'[4]RB I'!BY57+'[4]SF I'!BY57</f>
        <v>-9327.1682915032343</v>
      </c>
      <c r="BZ57" s="250">
        <f>+[4]SLP!BZ57+[4]ROSA!BZ57+'[4]STA ANA'!BZ57+[4]BOA!BZ57+'[4]STA MARIA'!BZ57+'[4]CB I'!BZ57+'[4]CB II'!BZ57+'[4]CB III'!BZ57+[4]IG!BZ57+[4]PN!BZ57+[4]MJ!BZ57+'[4]RB I'!BZ57+'[4]SF I'!BZ57</f>
        <v>0</v>
      </c>
      <c r="CA57" s="250">
        <f>+[4]SLP!CA57+[4]ROSA!CA57+'[4]STA ANA'!CA57+[4]BOA!CA57+'[4]STA MARIA'!CA57+'[4]CB I'!CA57+'[4]CB II'!CA57+'[4]CB III'!CA57+[4]IG!CA57+[4]PN!CA57+[4]MJ!CA57+'[4]RB I'!CA57+'[4]SF I'!CA57</f>
        <v>0</v>
      </c>
      <c r="CB57" s="235">
        <f>+[4]SLP!CB57+[4]ROSA!CB57+'[4]STA ANA'!CB57+[4]BOA!CB57+'[4]STA MARIA'!CB57+'[4]CB I'!CB57+'[4]CB II'!CB57+'[4]CB III'!CB57+[4]IG!CB57+[4]PN!CB57+[4]MJ!CB57+'[4]RB I'!CB57+'[4]SÃO FRANCISCO'!CB57</f>
        <v>0</v>
      </c>
      <c r="CC57" s="249">
        <f t="shared" si="46"/>
        <v>-1</v>
      </c>
      <c r="CD57" s="234">
        <f>+[4]SLP!CD57+[4]ROSA!CD57+'[4]STA ANA'!CD57+[4]BOA!CD57+'[4]STA MARIA'!CD57+'[4]CB I'!CD57+'[4]CB II'!CD57+'[4]CB III'!CD57+[4]IG!CD57+[4]PN!CD57+[4]MJ!CD57+'[4]RB I'!CD57+'[4]SF I'!CD57</f>
        <v>-75892.337603769207</v>
      </c>
      <c r="CE57" s="250">
        <f>+[4]SLP!CE57+[4]ROSA!CE57+'[4]STA ANA'!CE57+[4]BOA!CE57+'[4]STA MARIA'!CE57+'[4]CB I'!CE57+'[4]CB II'!CE57+'[4]CB III'!CE57+[4]IG!CE57+[4]PN!CE57+[4]MJ!CE57+'[4]RB I'!CE57+'[4]SF I'!CE57</f>
        <v>-66565.169312265964</v>
      </c>
      <c r="CF57" s="250">
        <f>+[4]SLP!CF57+[4]ROSA!CF57+'[4]STA ANA'!CF57+[4]BOA!CF57+'[4]STA MARIA'!CF57+'[4]CB I'!CF57+'[4]CB II'!CF57+'[4]CB III'!CF57+[4]IG!CF57+[4]PN!CF57+[4]MJ!CF57+'[4]RB I'!CF57+'[4]SF I'!CF57</f>
        <v>-9327.1682915032343</v>
      </c>
      <c r="CG57" s="250">
        <f>+[4]SLP!CG57+[4]ROSA!CG57+'[4]STA ANA'!CG57+[4]BOA!CG57+'[4]STA MARIA'!CG57+'[4]CB I'!CG57+'[4]CB II'!CG57+'[4]CB III'!CG57+[4]IG!CG57+[4]PN!CG57+[4]MJ!CG57+'[4]RB I'!CG57+'[4]SF I'!CG57</f>
        <v>0</v>
      </c>
      <c r="CH57" s="250">
        <f>+[4]SLP!CH57+[4]ROSA!CH57+'[4]STA ANA'!CH57+[4]BOA!CH57+'[4]STA MARIA'!CH57+'[4]CB I'!CH57+'[4]CB II'!CH57+'[4]CB III'!CH57+[4]IG!CH57+[4]PN!CH57+[4]MJ!CH57+'[4]RB I'!CH57+'[4]SF I'!CH57</f>
        <v>0</v>
      </c>
      <c r="CI57" s="235">
        <f>+[4]SLP!CI57+[4]ROSA!CI57+'[4]STA ANA'!CI57+[4]BOA!CI57+'[4]STA MARIA'!CI57+'[4]CB I'!CI57+'[4]CB II'!CI57+'[4]CB III'!CI57+[4]IG!CI57+[4]PN!CI57+[4]MJ!CI57+'[4]RB I'!CI57+'[4]SÃO FRANCISCO'!CI57</f>
        <v>0</v>
      </c>
      <c r="CJ57" s="249">
        <f t="shared" si="47"/>
        <v>-1</v>
      </c>
      <c r="CK57" s="234">
        <f>+[4]SLP!CK57+[4]ROSA!CK57+'[4]STA ANA'!CK57+[4]BOA!CK57+'[4]STA MARIA'!CK57+'[4]CB I'!CK57+'[4]CB II'!CK57+'[4]CB III'!CK57+[4]IG!CK57+[4]PN!CK57+[4]MJ!CK57+'[4]RB I'!CK57+'[4]SF I'!CK57</f>
        <v>-75892.337603769207</v>
      </c>
      <c r="CL57" s="250">
        <f>+[4]SLP!CL57+[4]ROSA!CL57+'[4]STA ANA'!CL57+[4]BOA!CL57+'[4]STA MARIA'!CL57+'[4]CB I'!CL57+'[4]CB II'!CL57+'[4]CB III'!CL57+[4]IG!CL57+[4]PN!CL57+[4]MJ!CL57+'[4]RB I'!CL57+'[4]SF I'!CL57</f>
        <v>-66565.169312265964</v>
      </c>
      <c r="CM57" s="250">
        <f>+[4]SLP!CM57+[4]ROSA!CM57+'[4]STA ANA'!CM57+[4]BOA!CM57+'[4]STA MARIA'!CM57+'[4]CB I'!CM57+'[4]CB II'!CM57+'[4]CB III'!CM57+[4]IG!CM57+[4]PN!CM57+[4]MJ!CM57+'[4]RB I'!CM57+'[4]SF I'!CM57</f>
        <v>-9327.1682915032343</v>
      </c>
      <c r="CN57" s="250">
        <f>+[4]SLP!CN57+[4]ROSA!CN57+'[4]STA ANA'!CN57+[4]BOA!CN57+'[4]STA MARIA'!CN57+'[4]CB I'!CN57+'[4]CB II'!CN57+'[4]CB III'!CN57+[4]IG!CN57+[4]PN!CN57+[4]MJ!CN57+'[4]RB I'!CN57+'[4]SF I'!CN57</f>
        <v>0</v>
      </c>
      <c r="CO57" s="250">
        <f>+[4]SLP!CO57+[4]ROSA!CO57+'[4]STA ANA'!CO57+[4]BOA!CO57+'[4]STA MARIA'!CO57+'[4]CB I'!CO57+'[4]CB II'!CO57+'[4]CB III'!CO57+[4]IG!CO57+[4]PN!CO57+[4]MJ!CO57+'[4]RB I'!CO57+'[4]SF I'!CO57</f>
        <v>0</v>
      </c>
      <c r="CP57" s="235">
        <f>+[4]SLP!CP57+[4]ROSA!CP57+'[4]STA ANA'!CP57+[4]BOA!CP57+'[4]STA MARIA'!CP57+'[4]CB I'!CP57+'[4]CB II'!CP57+'[4]CB III'!CP57+[4]IG!CP57+[4]PN!CP57+[4]MJ!CP57+'[4]RB I'!CP57+'[4]SÃO FRANCISCO'!CP57</f>
        <v>0</v>
      </c>
      <c r="CQ57" s="249">
        <f t="shared" si="48"/>
        <v>-1</v>
      </c>
      <c r="CR57" s="155"/>
      <c r="CS57" s="247" t="e">
        <f t="shared" si="15"/>
        <v>#VALUE!</v>
      </c>
    </row>
    <row r="58" spans="1:101" ht="16" customHeight="1" thickBot="1" x14ac:dyDescent="0.25">
      <c r="A58" s="251" t="s">
        <v>82</v>
      </c>
      <c r="B58" s="89">
        <f>+B55+B56+B57</f>
        <v>159664475.89986542</v>
      </c>
      <c r="C58" s="90">
        <f t="shared" ref="C58:D58" si="49">+C55+C56+C57</f>
        <v>140041711.81177196</v>
      </c>
      <c r="D58" s="91">
        <f t="shared" si="49"/>
        <v>19622764.088093452</v>
      </c>
      <c r="E58" s="92">
        <f t="shared" ref="E58:J58" si="50">SUM(E55:E57)</f>
        <v>68833627.286534324</v>
      </c>
      <c r="F58" s="93">
        <f t="shared" si="50"/>
        <v>60373974.493019238</v>
      </c>
      <c r="G58" s="94">
        <f t="shared" si="50"/>
        <v>8459652.7935150657</v>
      </c>
      <c r="H58" s="95">
        <f t="shared" si="50"/>
        <v>58549795.275429994</v>
      </c>
      <c r="I58" s="96">
        <f t="shared" si="50"/>
        <v>6347357.5421369979</v>
      </c>
      <c r="J58" s="96">
        <f t="shared" si="50"/>
        <v>64897152.817567028</v>
      </c>
      <c r="K58" s="252">
        <f>+J58/E55-1</f>
        <v>-7.353184786261957E-2</v>
      </c>
      <c r="L58" s="253">
        <f>+L55+L56+L57</f>
        <v>17218752.916796934</v>
      </c>
      <c r="M58" s="254">
        <f t="shared" ref="M58:P58" si="51">+M55+M56+M57</f>
        <v>15102568.183322588</v>
      </c>
      <c r="N58" s="254">
        <f t="shared" si="51"/>
        <v>2116184.7334743426</v>
      </c>
      <c r="O58" s="254">
        <f t="shared" si="51"/>
        <v>15321753.366582794</v>
      </c>
      <c r="P58" s="254">
        <f t="shared" si="51"/>
        <v>1751167.0253443061</v>
      </c>
      <c r="Q58" s="255">
        <f>SUM(Q55:Q57)</f>
        <v>17072920.391927097</v>
      </c>
      <c r="R58" s="252">
        <f>+Q58/L55-1</f>
        <v>-2.5647392419316462E-2</v>
      </c>
      <c r="S58" s="253">
        <f>+S55+S56+S57</f>
        <v>16049178.224099355</v>
      </c>
      <c r="T58" s="254">
        <f t="shared" ref="T58:W58" si="52">+T55+T56+T57</f>
        <v>14076734.220357543</v>
      </c>
      <c r="U58" s="254">
        <f t="shared" si="52"/>
        <v>1972444.0037418106</v>
      </c>
      <c r="V58" s="254">
        <f t="shared" si="52"/>
        <v>12408829.047976939</v>
      </c>
      <c r="W58" s="254">
        <f t="shared" si="52"/>
        <v>1238725.0339694861</v>
      </c>
      <c r="X58" s="255">
        <f>SUM(X55:X57)</f>
        <v>13647554.081946427</v>
      </c>
      <c r="Y58" s="252">
        <f>+X58/S55-1</f>
        <v>-0.16542745983457952</v>
      </c>
      <c r="Z58" s="253">
        <f>+Z55+Z56+Z57</f>
        <v>19526622.786653038</v>
      </c>
      <c r="AA58" s="254">
        <f t="shared" ref="AA58:AD58" si="53">+AA55+AA56+AA57</f>
        <v>17126800.84617338</v>
      </c>
      <c r="AB58" s="254">
        <f t="shared" si="53"/>
        <v>2399821.940479659</v>
      </c>
      <c r="AC58" s="254">
        <f t="shared" si="53"/>
        <v>15915588.08705242</v>
      </c>
      <c r="AD58" s="254">
        <f t="shared" si="53"/>
        <v>1652949.9620767427</v>
      </c>
      <c r="AE58" s="255">
        <f>SUM(AE55:AE57)</f>
        <v>17568538.049129162</v>
      </c>
      <c r="AF58" s="252">
        <f>+AE58/Z55-1</f>
        <v>-0.11405104258729271</v>
      </c>
      <c r="AG58" s="253">
        <f>+AG55+AG56+AG57</f>
        <v>16039073.358984986</v>
      </c>
      <c r="AH58" s="254">
        <f t="shared" ref="AH58:AK58" si="54">+AH55+AH56+AH57</f>
        <v>14067871.243165731</v>
      </c>
      <c r="AI58" s="254">
        <f t="shared" si="54"/>
        <v>1971202.1158192549</v>
      </c>
      <c r="AJ58" s="254">
        <f t="shared" si="54"/>
        <v>14903624.773817871</v>
      </c>
      <c r="AK58" s="254">
        <f t="shared" si="54"/>
        <v>1704515.5207464618</v>
      </c>
      <c r="AL58" s="255">
        <f>SUM(AL55:AL57)</f>
        <v>16608140.294564329</v>
      </c>
      <c r="AM58" s="252">
        <f>+AL58/AG55-1</f>
        <v>1.6245694768298291E-2</v>
      </c>
      <c r="AN58" s="253">
        <f>+AN55+AN56+AN57</f>
        <v>16499295.477489943</v>
      </c>
      <c r="AO58" s="254">
        <f t="shared" ref="AO58:AR58" si="55">+AO55+AO56+AO57</f>
        <v>14471532.063306427</v>
      </c>
      <c r="AP58" s="254">
        <f t="shared" si="55"/>
        <v>2027763.4141835137</v>
      </c>
      <c r="AQ58" s="254">
        <f t="shared" si="55"/>
        <v>0</v>
      </c>
      <c r="AR58" s="254">
        <f t="shared" si="55"/>
        <v>0</v>
      </c>
      <c r="AS58" s="255">
        <f>SUM(AS55:AS57)</f>
        <v>0</v>
      </c>
      <c r="AT58" s="252">
        <f>+AS58/AN55-1</f>
        <v>-1</v>
      </c>
      <c r="AU58" s="253">
        <f>+AU55+AU56+AU57</f>
        <v>16332344.264535639</v>
      </c>
      <c r="AV58" s="254">
        <f t="shared" ref="AV58:AY58" si="56">+AV55+AV56+AV57</f>
        <v>14325099.154424209</v>
      </c>
      <c r="AW58" s="254">
        <f t="shared" si="56"/>
        <v>2007245.1101114298</v>
      </c>
      <c r="AX58" s="254">
        <f t="shared" si="56"/>
        <v>0</v>
      </c>
      <c r="AY58" s="254">
        <f t="shared" si="56"/>
        <v>0</v>
      </c>
      <c r="AZ58" s="255">
        <f>SUM(AZ55:AZ57)</f>
        <v>0</v>
      </c>
      <c r="BA58" s="252">
        <f>+AZ58/AU55-1</f>
        <v>-1</v>
      </c>
      <c r="BB58" s="253">
        <f>+BB55+BB56+BB57</f>
        <v>17055911.58019489</v>
      </c>
      <c r="BC58" s="254">
        <f t="shared" ref="BC58:BF58" si="57">+BC55+BC56+BC57</f>
        <v>14959740.046988936</v>
      </c>
      <c r="BD58" s="254">
        <f t="shared" si="57"/>
        <v>2096171.5332059513</v>
      </c>
      <c r="BE58" s="254">
        <f t="shared" si="57"/>
        <v>0</v>
      </c>
      <c r="BF58" s="254">
        <f t="shared" si="57"/>
        <v>0</v>
      </c>
      <c r="BG58" s="255">
        <f>SUM(BG55:BG57)</f>
        <v>0</v>
      </c>
      <c r="BH58" s="252">
        <f>+BG58/BB55-1</f>
        <v>-1</v>
      </c>
      <c r="BI58" s="253">
        <f>+BI55+BI56+BI57</f>
        <v>9442472.2605807818</v>
      </c>
      <c r="BJ58" s="254">
        <f t="shared" ref="BJ58:BM58" si="58">+BJ55+BJ56+BJ57</f>
        <v>8281992.4197554039</v>
      </c>
      <c r="BK58" s="254">
        <f t="shared" si="58"/>
        <v>1160479.8408253777</v>
      </c>
      <c r="BL58" s="254">
        <f t="shared" si="58"/>
        <v>0</v>
      </c>
      <c r="BM58" s="254">
        <f t="shared" si="58"/>
        <v>0</v>
      </c>
      <c r="BN58" s="255">
        <f>SUM(BN55:BN57)</f>
        <v>0</v>
      </c>
      <c r="BO58" s="252">
        <f>+BN58/BI55-1</f>
        <v>-1</v>
      </c>
      <c r="BP58" s="253">
        <f>+BP55+BP56+BP57</f>
        <v>9883903.6846097726</v>
      </c>
      <c r="BQ58" s="254">
        <f t="shared" ref="BQ58:BT58" si="59">+BQ55+BQ56+BQ57</f>
        <v>8669171.9217712283</v>
      </c>
      <c r="BR58" s="254">
        <f t="shared" si="59"/>
        <v>1214731.7628385406</v>
      </c>
      <c r="BS58" s="254">
        <f t="shared" si="59"/>
        <v>0</v>
      </c>
      <c r="BT58" s="254">
        <f t="shared" si="59"/>
        <v>0</v>
      </c>
      <c r="BU58" s="255">
        <f>SUM(BU55:BU57)</f>
        <v>0</v>
      </c>
      <c r="BV58" s="252">
        <f>+BU58/BP55-1</f>
        <v>-1</v>
      </c>
      <c r="BW58" s="253">
        <f>+BW55+BW56+BW57</f>
        <v>7781031.7332319384</v>
      </c>
      <c r="BX58" s="254">
        <f t="shared" ref="BX58:CA58" si="60">+BX55+BX56+BX57</f>
        <v>6824742.9332177341</v>
      </c>
      <c r="BY58" s="254">
        <f t="shared" si="60"/>
        <v>956288.80001420493</v>
      </c>
      <c r="BZ58" s="254">
        <f t="shared" si="60"/>
        <v>0</v>
      </c>
      <c r="CA58" s="254">
        <f t="shared" si="60"/>
        <v>0</v>
      </c>
      <c r="CB58" s="255">
        <f>SUM(CB55:CB57)</f>
        <v>0</v>
      </c>
      <c r="CC58" s="252">
        <f>+CB58/BW55-1</f>
        <v>-1</v>
      </c>
      <c r="CD58" s="253">
        <f>+CD55+CD56+CD57</f>
        <v>6996979.9700914947</v>
      </c>
      <c r="CE58" s="254">
        <f t="shared" ref="CE58:CH58" si="61">+CE55+CE56+CE57</f>
        <v>6137051.1317672506</v>
      </c>
      <c r="CF58" s="254">
        <f t="shared" si="61"/>
        <v>859928.83832424448</v>
      </c>
      <c r="CG58" s="254">
        <f t="shared" si="61"/>
        <v>0</v>
      </c>
      <c r="CH58" s="254">
        <f t="shared" si="61"/>
        <v>0</v>
      </c>
      <c r="CI58" s="255">
        <f>SUM(CI55:CI57)</f>
        <v>0</v>
      </c>
      <c r="CJ58" s="252">
        <f>+CI58/CD55-1</f>
        <v>-1</v>
      </c>
      <c r="CK58" s="253">
        <f>+CK55+CK56+CK57</f>
        <v>6838909.642596676</v>
      </c>
      <c r="CL58" s="254">
        <f t="shared" ref="CL58:CO58" si="62">+CL55+CL56+CL57</f>
        <v>5998407.6475215461</v>
      </c>
      <c r="CM58" s="254">
        <f t="shared" si="62"/>
        <v>840501.9950751313</v>
      </c>
      <c r="CN58" s="254">
        <f t="shared" si="62"/>
        <v>0</v>
      </c>
      <c r="CO58" s="254">
        <f t="shared" si="62"/>
        <v>0</v>
      </c>
      <c r="CP58" s="255">
        <f>SUM(CP55:CP57)</f>
        <v>0</v>
      </c>
      <c r="CQ58" s="252">
        <f>+CP58/CK55-1</f>
        <v>-1</v>
      </c>
      <c r="CR58" s="155"/>
      <c r="CS58" s="256" t="e">
        <f t="shared" si="15"/>
        <v>#VALUE!</v>
      </c>
    </row>
    <row r="59" spans="1:101" s="105" customFormat="1" ht="14.25" customHeight="1" x14ac:dyDescent="0.2">
      <c r="B59" s="104"/>
      <c r="C59" s="104"/>
      <c r="D59" s="104"/>
      <c r="J59" s="104">
        <f>J58-'[2]RESUMO - ATUAL'!$P$14</f>
        <v>0</v>
      </c>
      <c r="Q59" s="105">
        <f>Q58-'[3]RESUMO - ATUAL'!$P$78</f>
        <v>0</v>
      </c>
      <c r="X59" s="105">
        <f>X58-'[3]RESUMO - ATUAL'!$P$142</f>
        <v>0</v>
      </c>
      <c r="AE59" s="105">
        <f>AE58-'[2]RESUMO - ATUAL'!$P$182</f>
        <v>0</v>
      </c>
      <c r="AL59" s="105">
        <f>AL58-'[2]RESUMO - ATUAL'!$P$238</f>
        <v>0</v>
      </c>
      <c r="AS59" s="104">
        <f>AS58-'[3]RESUMO - ATUAL'!$P$334</f>
        <v>0</v>
      </c>
      <c r="AZ59" s="105">
        <f>AZ58-'[3]RESUMO - ATUAL'!$P$398</f>
        <v>0</v>
      </c>
      <c r="BG59" s="105">
        <f>BG58-'[3]RESUMO - ATUAL'!$P$462</f>
        <v>0</v>
      </c>
      <c r="BN59" s="105">
        <f>BN58-'[3]RESUMO - ATUAL'!$P$526</f>
        <v>0</v>
      </c>
      <c r="BU59" s="105">
        <f>BU58-'[3]RESUMO - ATUAL'!$P$590</f>
        <v>0</v>
      </c>
      <c r="CB59" s="105">
        <f>CB58-'[3]RESUMO - ATUAL'!$P$654</f>
        <v>0</v>
      </c>
      <c r="CI59" s="105">
        <f>CI58-'[3]RESUMO - ATUAL'!$P$718</f>
        <v>0</v>
      </c>
      <c r="CP59" s="104">
        <f>CP58-'[3]RESUMO - ATUAL'!$P$782</f>
        <v>0</v>
      </c>
      <c r="CR59" s="104"/>
    </row>
    <row r="60" spans="1:101" ht="14.25" customHeight="1" x14ac:dyDescent="0.2">
      <c r="B60" s="156"/>
      <c r="C60" s="156"/>
      <c r="D60" s="156"/>
      <c r="CR60" s="155"/>
    </row>
    <row r="61" spans="1:101" ht="14.25" customHeight="1" x14ac:dyDescent="0.2">
      <c r="CR61" s="155"/>
    </row>
    <row r="62" spans="1:101" ht="14.25" customHeight="1" x14ac:dyDescent="0.2">
      <c r="B62" s="156"/>
      <c r="C62" s="156"/>
      <c r="D62" s="156"/>
      <c r="E62" s="156"/>
      <c r="F62" s="156"/>
      <c r="G62" s="156"/>
      <c r="H62" s="156"/>
      <c r="I62" s="156"/>
      <c r="J62" s="156"/>
      <c r="K62" s="156"/>
      <c r="CR62" s="155"/>
    </row>
    <row r="63" spans="1:101" ht="14.25" customHeight="1" x14ac:dyDescent="0.2">
      <c r="B63" s="139"/>
      <c r="C63" s="139"/>
      <c r="D63" s="139"/>
      <c r="E63" s="139"/>
      <c r="F63" s="139"/>
      <c r="G63" s="139"/>
      <c r="H63" s="139"/>
      <c r="I63" s="139"/>
      <c r="J63" s="139"/>
      <c r="K63" s="139"/>
      <c r="CR63" s="155"/>
    </row>
    <row r="64" spans="1:101" ht="14.25" customHeight="1" x14ac:dyDescent="0.2">
      <c r="B64" s="139"/>
      <c r="C64" s="139"/>
      <c r="D64" s="139"/>
      <c r="E64" s="139"/>
      <c r="F64" s="139"/>
      <c r="G64" s="139"/>
      <c r="H64" s="139"/>
      <c r="I64" s="139"/>
      <c r="J64" s="139"/>
      <c r="K64" s="139"/>
      <c r="L64" s="196"/>
      <c r="M64" s="196"/>
      <c r="N64" s="196"/>
      <c r="O64" s="196"/>
      <c r="P64" s="196"/>
      <c r="CR64" s="155"/>
    </row>
    <row r="65" spans="2:96" ht="14.25" customHeight="1" x14ac:dyDescent="0.2">
      <c r="B65" s="139"/>
      <c r="C65" s="139"/>
      <c r="D65" s="139"/>
      <c r="E65" s="139"/>
      <c r="F65" s="139"/>
      <c r="G65" s="139"/>
      <c r="H65" s="139"/>
      <c r="I65" s="139"/>
      <c r="J65" s="139"/>
      <c r="K65" s="139"/>
      <c r="CR65" s="155"/>
    </row>
    <row r="66" spans="2:96" ht="14.25" customHeight="1" x14ac:dyDescent="0.2">
      <c r="B66" s="139"/>
      <c r="C66" s="139"/>
      <c r="D66" s="139"/>
      <c r="E66" s="139"/>
      <c r="F66" s="139"/>
      <c r="G66" s="139"/>
      <c r="H66" s="139"/>
      <c r="I66" s="139"/>
      <c r="J66" s="139"/>
      <c r="K66" s="139"/>
      <c r="CR66" s="155"/>
    </row>
    <row r="67" spans="2:96" ht="14.25" customHeight="1" x14ac:dyDescent="0.2">
      <c r="B67" s="139"/>
      <c r="C67" s="139"/>
      <c r="D67" s="139"/>
      <c r="E67" s="139"/>
      <c r="F67" s="139"/>
      <c r="G67" s="139"/>
      <c r="H67" s="139"/>
      <c r="I67" s="139"/>
      <c r="J67" s="139"/>
      <c r="K67" s="139"/>
      <c r="CR67" s="155"/>
    </row>
    <row r="68" spans="2:96" ht="14.25" customHeight="1" x14ac:dyDescent="0.2">
      <c r="B68" s="139"/>
      <c r="C68" s="139"/>
      <c r="D68" s="139"/>
      <c r="E68" s="139"/>
      <c r="F68" s="139"/>
      <c r="G68" s="139"/>
      <c r="H68" s="139"/>
      <c r="I68" s="139"/>
      <c r="J68" s="139"/>
      <c r="K68" s="139"/>
      <c r="CR68" s="155"/>
    </row>
    <row r="69" spans="2:96" ht="14.25" customHeight="1" x14ac:dyDescent="0.2">
      <c r="B69" s="139" t="e">
        <f>+'[4]SLP+ROSA'!#REF!+'[4]STA MARIA'!B76+'[4]CB I'!B82+'[4]CB II'!B61+[4]IG!B88+[4]MJ!B74</f>
        <v>#REF!</v>
      </c>
      <c r="C69" s="139"/>
      <c r="D69" s="139"/>
      <c r="E69" s="139"/>
      <c r="F69" s="139"/>
      <c r="G69" s="139"/>
      <c r="H69" s="139"/>
      <c r="I69" s="139"/>
      <c r="J69" s="139"/>
      <c r="K69" s="139"/>
      <c r="L69" s="196" t="s">
        <v>209</v>
      </c>
      <c r="M69" s="196"/>
      <c r="N69" s="196"/>
      <c r="O69" s="196"/>
      <c r="P69" s="196"/>
      <c r="CR69" s="155"/>
    </row>
    <row r="70" spans="2:96" ht="14.25" customHeight="1" x14ac:dyDescent="0.2">
      <c r="B70" s="139" t="e">
        <f>+'[4]SLP+ROSA'!#REF!+'[4]STA ANA'!#REF!+[4]BOA!B75+'[4]CB I'!B83+[4]IG!B89+[4]PN!B84+[4]MJ!B75+'[4]RB I'!B86</f>
        <v>#REF!</v>
      </c>
      <c r="C70" s="139"/>
      <c r="D70" s="139"/>
      <c r="E70" s="139"/>
      <c r="F70" s="139"/>
      <c r="G70" s="139"/>
      <c r="H70" s="139"/>
      <c r="I70" s="139"/>
      <c r="J70" s="139"/>
      <c r="K70" s="139"/>
      <c r="L70" s="196" t="s">
        <v>210</v>
      </c>
      <c r="M70" s="196"/>
      <c r="N70" s="196"/>
      <c r="O70" s="196"/>
      <c r="P70" s="196"/>
      <c r="CR70" s="155"/>
    </row>
    <row r="71" spans="2:96" ht="14.25" customHeight="1" x14ac:dyDescent="0.2">
      <c r="B71" s="156" t="e">
        <f>B62-B65-B64-B66-B67-B69-B68-B70-B63</f>
        <v>#REF!</v>
      </c>
      <c r="C71" s="156"/>
      <c r="D71" s="156"/>
      <c r="E71" s="156"/>
      <c r="F71" s="156"/>
      <c r="G71" s="156"/>
      <c r="H71" s="156"/>
      <c r="I71" s="156"/>
      <c r="J71" s="156"/>
      <c r="K71" s="156"/>
      <c r="CR71" s="155"/>
    </row>
    <row r="72" spans="2:96" ht="14.25" customHeight="1" x14ac:dyDescent="0.2">
      <c r="B72" s="156" t="e">
        <f>+'[4]SLP+ROSA'!#REF!+'[4]STA ANA'!#REF!+[4]BOA!B78+'[4]STA MARIA'!B80+'[4]CB I'!#REF!+'[4]CB II'!B65+[4]IG!B92+[4]PN!B87+[4]MJ!B78+'[4]RB I'!B89</f>
        <v>#REF!</v>
      </c>
      <c r="C72" s="156"/>
      <c r="D72" s="156"/>
      <c r="E72" s="156"/>
      <c r="F72" s="156"/>
      <c r="G72" s="156"/>
      <c r="H72" s="156"/>
      <c r="I72" s="156"/>
      <c r="J72" s="156"/>
      <c r="K72" s="156"/>
      <c r="L72" s="196" t="s">
        <v>211</v>
      </c>
      <c r="M72" s="196"/>
      <c r="N72" s="196"/>
      <c r="O72" s="196"/>
      <c r="P72" s="196"/>
      <c r="CR72" s="155"/>
    </row>
    <row r="73" spans="2:96" ht="14.25" customHeight="1" x14ac:dyDescent="0.2">
      <c r="B73" s="104" t="e">
        <f>+B71/B72</f>
        <v>#REF!</v>
      </c>
      <c r="C73" s="104"/>
      <c r="D73" s="104"/>
      <c r="E73" s="104"/>
      <c r="F73" s="104"/>
      <c r="G73" s="104"/>
      <c r="H73" s="104"/>
      <c r="I73" s="104"/>
      <c r="J73" s="104"/>
      <c r="K73" s="104"/>
      <c r="L73" s="196" t="s">
        <v>212</v>
      </c>
      <c r="M73" s="196"/>
      <c r="N73" s="196"/>
      <c r="O73" s="196"/>
      <c r="P73" s="196"/>
      <c r="CR73" s="155"/>
    </row>
    <row r="74" spans="2:96" ht="14.25" customHeight="1" x14ac:dyDescent="0.2">
      <c r="CR74" s="155"/>
    </row>
    <row r="75" spans="2:96" ht="14.25" customHeight="1" x14ac:dyDescent="0.2">
      <c r="CR75" s="155"/>
    </row>
    <row r="76" spans="2:96" ht="14.25" customHeight="1" x14ac:dyDescent="0.2">
      <c r="CR76" s="155"/>
    </row>
    <row r="77" spans="2:96" ht="14.25" customHeight="1" x14ac:dyDescent="0.2">
      <c r="CR77" s="155"/>
    </row>
    <row r="78" spans="2:96" ht="14.25" customHeight="1" x14ac:dyDescent="0.2">
      <c r="CR78" s="155"/>
    </row>
    <row r="79" spans="2:96" ht="14.25" customHeight="1" x14ac:dyDescent="0.2">
      <c r="CR79" s="155"/>
    </row>
    <row r="80" spans="2:96" ht="14.25" customHeight="1" x14ac:dyDescent="0.2">
      <c r="CR80" s="155"/>
    </row>
    <row r="81" spans="96:96" ht="14.25" customHeight="1" x14ac:dyDescent="0.2">
      <c r="CR81" s="155"/>
    </row>
    <row r="82" spans="96:96" ht="14.25" customHeight="1" x14ac:dyDescent="0.2">
      <c r="CR82" s="155"/>
    </row>
    <row r="83" spans="96:96" ht="14.25" customHeight="1" x14ac:dyDescent="0.2">
      <c r="CR83" s="155"/>
    </row>
    <row r="84" spans="96:96" ht="14.25" customHeight="1" x14ac:dyDescent="0.2">
      <c r="CR84" s="155"/>
    </row>
    <row r="85" spans="96:96" ht="14.25" customHeight="1" x14ac:dyDescent="0.2">
      <c r="CR85" s="155"/>
    </row>
    <row r="86" spans="96:96" ht="14.25" customHeight="1" x14ac:dyDescent="0.2">
      <c r="CR86" s="155"/>
    </row>
    <row r="87" spans="96:96" ht="14.25" customHeight="1" x14ac:dyDescent="0.2">
      <c r="CR87" s="155"/>
    </row>
    <row r="88" spans="96:96" ht="14.25" customHeight="1" x14ac:dyDescent="0.2">
      <c r="CR88" s="155"/>
    </row>
    <row r="89" spans="96:96" ht="14.25" customHeight="1" x14ac:dyDescent="0.2">
      <c r="CR89" s="155"/>
    </row>
    <row r="90" spans="96:96" ht="14.25" customHeight="1" x14ac:dyDescent="0.2">
      <c r="CR90" s="155"/>
    </row>
    <row r="91" spans="96:96" ht="14.25" customHeight="1" x14ac:dyDescent="0.2">
      <c r="CR91" s="155"/>
    </row>
    <row r="92" spans="96:96" ht="14.25" customHeight="1" x14ac:dyDescent="0.2">
      <c r="CR92" s="155"/>
    </row>
    <row r="93" spans="96:96" ht="14.25" customHeight="1" x14ac:dyDescent="0.2">
      <c r="CR93" s="155"/>
    </row>
    <row r="94" spans="96:96" ht="14.25" customHeight="1" x14ac:dyDescent="0.2">
      <c r="CR94" s="155"/>
    </row>
    <row r="95" spans="96:96" ht="14.25" customHeight="1" x14ac:dyDescent="0.2">
      <c r="CR95" s="155"/>
    </row>
    <row r="96" spans="96:96" ht="14.25" customHeight="1" x14ac:dyDescent="0.2">
      <c r="CR96" s="155"/>
    </row>
    <row r="97" spans="96:96" ht="14.25" customHeight="1" x14ac:dyDescent="0.2">
      <c r="CR97" s="155"/>
    </row>
    <row r="98" spans="96:96" ht="14.25" customHeight="1" x14ac:dyDescent="0.2">
      <c r="CR98" s="155"/>
    </row>
    <row r="99" spans="96:96" ht="14.25" customHeight="1" x14ac:dyDescent="0.2">
      <c r="CR99" s="155"/>
    </row>
    <row r="100" spans="96:96" ht="14.25" customHeight="1" x14ac:dyDescent="0.2">
      <c r="CR100" s="155"/>
    </row>
    <row r="101" spans="96:96" ht="14.25" customHeight="1" x14ac:dyDescent="0.2">
      <c r="CR101" s="155"/>
    </row>
    <row r="102" spans="96:96" ht="14.25" customHeight="1" x14ac:dyDescent="0.2">
      <c r="CR102" s="155"/>
    </row>
    <row r="103" spans="96:96" ht="14.25" customHeight="1" x14ac:dyDescent="0.2">
      <c r="CR103" s="155"/>
    </row>
    <row r="104" spans="96:96" ht="14.25" customHeight="1" x14ac:dyDescent="0.2">
      <c r="CR104" s="155"/>
    </row>
    <row r="105" spans="96:96" ht="14.25" customHeight="1" x14ac:dyDescent="0.2">
      <c r="CR105" s="155"/>
    </row>
    <row r="106" spans="96:96" ht="14.25" customHeight="1" x14ac:dyDescent="0.2">
      <c r="CR106" s="155"/>
    </row>
    <row r="107" spans="96:96" ht="14.25" customHeight="1" x14ac:dyDescent="0.2">
      <c r="CR107" s="155"/>
    </row>
    <row r="108" spans="96:96" ht="14.25" customHeight="1" x14ac:dyDescent="0.2">
      <c r="CR108" s="155"/>
    </row>
    <row r="109" spans="96:96" ht="14.25" customHeight="1" x14ac:dyDescent="0.2">
      <c r="CR109" s="155"/>
    </row>
    <row r="110" spans="96:96" ht="14.25" customHeight="1" x14ac:dyDescent="0.2">
      <c r="CR110" s="155"/>
    </row>
    <row r="111" spans="96:96" ht="14.25" customHeight="1" x14ac:dyDescent="0.2">
      <c r="CR111" s="155"/>
    </row>
    <row r="112" spans="96:96" ht="14.25" customHeight="1" x14ac:dyDescent="0.2">
      <c r="CR112" s="155"/>
    </row>
    <row r="113" spans="96:96" ht="14.25" customHeight="1" x14ac:dyDescent="0.2">
      <c r="CR113" s="155"/>
    </row>
    <row r="114" spans="96:96" ht="14.25" customHeight="1" x14ac:dyDescent="0.2">
      <c r="CR114" s="155"/>
    </row>
    <row r="115" spans="96:96" ht="14.25" customHeight="1" x14ac:dyDescent="0.2">
      <c r="CR115" s="155"/>
    </row>
    <row r="116" spans="96:96" ht="14.25" customHeight="1" x14ac:dyDescent="0.2">
      <c r="CR116" s="155"/>
    </row>
    <row r="117" spans="96:96" ht="14.25" customHeight="1" x14ac:dyDescent="0.2">
      <c r="CR117" s="155"/>
    </row>
    <row r="118" spans="96:96" ht="14.25" customHeight="1" x14ac:dyDescent="0.2">
      <c r="CR118" s="155"/>
    </row>
    <row r="119" spans="96:96" ht="14.25" customHeight="1" x14ac:dyDescent="0.2">
      <c r="CR119" s="155"/>
    </row>
    <row r="120" spans="96:96" ht="14.25" customHeight="1" x14ac:dyDescent="0.2">
      <c r="CR120" s="155"/>
    </row>
    <row r="121" spans="96:96" ht="14.25" customHeight="1" x14ac:dyDescent="0.2">
      <c r="CR121" s="155"/>
    </row>
    <row r="122" spans="96:96" ht="14.25" customHeight="1" x14ac:dyDescent="0.2">
      <c r="CR122" s="155"/>
    </row>
    <row r="123" spans="96:96" ht="14.25" customHeight="1" x14ac:dyDescent="0.2">
      <c r="CR123" s="155"/>
    </row>
    <row r="124" spans="96:96" ht="14.25" customHeight="1" x14ac:dyDescent="0.2">
      <c r="CR124" s="155"/>
    </row>
    <row r="125" spans="96:96" ht="14.25" customHeight="1" x14ac:dyDescent="0.2">
      <c r="CR125" s="155"/>
    </row>
    <row r="126" spans="96:96" ht="14.25" customHeight="1" x14ac:dyDescent="0.2">
      <c r="CR126" s="155"/>
    </row>
    <row r="127" spans="96:96" ht="14.25" customHeight="1" x14ac:dyDescent="0.2">
      <c r="CR127" s="155"/>
    </row>
    <row r="128" spans="96:96" ht="14.25" customHeight="1" x14ac:dyDescent="0.2">
      <c r="CR128" s="155"/>
    </row>
    <row r="129" spans="96:96" ht="14.25" customHeight="1" x14ac:dyDescent="0.2">
      <c r="CR129" s="155"/>
    </row>
    <row r="130" spans="96:96" ht="14.25" customHeight="1" x14ac:dyDescent="0.2">
      <c r="CR130" s="155"/>
    </row>
    <row r="131" spans="96:96" ht="14.25" customHeight="1" x14ac:dyDescent="0.2">
      <c r="CR131" s="155"/>
    </row>
    <row r="132" spans="96:96" ht="14.25" customHeight="1" x14ac:dyDescent="0.2">
      <c r="CR132" s="155"/>
    </row>
    <row r="133" spans="96:96" ht="14.25" customHeight="1" x14ac:dyDescent="0.2">
      <c r="CR133" s="155"/>
    </row>
    <row r="134" spans="96:96" ht="14.25" customHeight="1" x14ac:dyDescent="0.2">
      <c r="CR134" s="155"/>
    </row>
    <row r="135" spans="96:96" ht="14.25" customHeight="1" x14ac:dyDescent="0.2">
      <c r="CR135" s="155"/>
    </row>
    <row r="136" spans="96:96" ht="14.25" customHeight="1" x14ac:dyDescent="0.2">
      <c r="CR136" s="155"/>
    </row>
    <row r="137" spans="96:96" ht="14.25" customHeight="1" x14ac:dyDescent="0.2">
      <c r="CR137" s="155"/>
    </row>
    <row r="138" spans="96:96" ht="14.25" customHeight="1" x14ac:dyDescent="0.2">
      <c r="CR138" s="155"/>
    </row>
    <row r="139" spans="96:96" ht="14.25" customHeight="1" x14ac:dyDescent="0.2">
      <c r="CR139" s="155"/>
    </row>
    <row r="140" spans="96:96" ht="14.25" customHeight="1" x14ac:dyDescent="0.2">
      <c r="CR140" s="155"/>
    </row>
    <row r="141" spans="96:96" ht="14.25" customHeight="1" x14ac:dyDescent="0.2">
      <c r="CR141" s="155"/>
    </row>
    <row r="142" spans="96:96" ht="14.25" customHeight="1" x14ac:dyDescent="0.2">
      <c r="CR142" s="155"/>
    </row>
    <row r="143" spans="96:96" ht="14.25" customHeight="1" x14ac:dyDescent="0.2">
      <c r="CR143" s="155"/>
    </row>
    <row r="144" spans="96:96" ht="14.25" customHeight="1" x14ac:dyDescent="0.2">
      <c r="CR144" s="155"/>
    </row>
    <row r="145" spans="96:96" ht="14.25" customHeight="1" x14ac:dyDescent="0.2">
      <c r="CR145" s="155"/>
    </row>
    <row r="146" spans="96:96" ht="14.25" customHeight="1" x14ac:dyDescent="0.2">
      <c r="CR146" s="155"/>
    </row>
    <row r="147" spans="96:96" ht="14.25" customHeight="1" x14ac:dyDescent="0.2">
      <c r="CR147" s="155"/>
    </row>
    <row r="148" spans="96:96" ht="14.25" customHeight="1" x14ac:dyDescent="0.2">
      <c r="CR148" s="155"/>
    </row>
    <row r="149" spans="96:96" ht="14.25" customHeight="1" x14ac:dyDescent="0.2">
      <c r="CR149" s="155"/>
    </row>
    <row r="150" spans="96:96" ht="14.25" customHeight="1" x14ac:dyDescent="0.2">
      <c r="CR150" s="155"/>
    </row>
    <row r="151" spans="96:96" ht="14.25" customHeight="1" x14ac:dyDescent="0.2">
      <c r="CR151" s="155"/>
    </row>
    <row r="152" spans="96:96" ht="14.25" customHeight="1" x14ac:dyDescent="0.2">
      <c r="CR152" s="155"/>
    </row>
    <row r="153" spans="96:96" ht="14.25" customHeight="1" x14ac:dyDescent="0.2">
      <c r="CR153" s="155"/>
    </row>
    <row r="154" spans="96:96" ht="14.25" customHeight="1" x14ac:dyDescent="0.2">
      <c r="CR154" s="155"/>
    </row>
    <row r="155" spans="96:96" ht="14.25" customHeight="1" x14ac:dyDescent="0.2">
      <c r="CR155" s="155"/>
    </row>
    <row r="156" spans="96:96" ht="14.25" customHeight="1" x14ac:dyDescent="0.2">
      <c r="CR156" s="155"/>
    </row>
    <row r="157" spans="96:96" ht="14.25" customHeight="1" x14ac:dyDescent="0.2">
      <c r="CR157" s="155"/>
    </row>
    <row r="158" spans="96:96" ht="14.25" customHeight="1" x14ac:dyDescent="0.2">
      <c r="CR158" s="155"/>
    </row>
    <row r="159" spans="96:96" ht="14.25" customHeight="1" x14ac:dyDescent="0.2">
      <c r="CR159" s="155"/>
    </row>
    <row r="160" spans="96:96" ht="14.25" customHeight="1" x14ac:dyDescent="0.2">
      <c r="CR160" s="155"/>
    </row>
    <row r="161" spans="96:96" ht="14.25" customHeight="1" x14ac:dyDescent="0.2">
      <c r="CR161" s="155"/>
    </row>
    <row r="162" spans="96:96" ht="14.25" customHeight="1" x14ac:dyDescent="0.2">
      <c r="CR162" s="155"/>
    </row>
    <row r="163" spans="96:96" ht="14.25" customHeight="1" x14ac:dyDescent="0.2">
      <c r="CR163" s="155"/>
    </row>
    <row r="164" spans="96:96" ht="14.25" customHeight="1" x14ac:dyDescent="0.2">
      <c r="CR164" s="155"/>
    </row>
    <row r="165" spans="96:96" ht="14.25" customHeight="1" x14ac:dyDescent="0.2">
      <c r="CR165" s="155"/>
    </row>
    <row r="166" spans="96:96" ht="14.25" customHeight="1" x14ac:dyDescent="0.2">
      <c r="CR166" s="155"/>
    </row>
    <row r="167" spans="96:96" ht="14.25" customHeight="1" x14ac:dyDescent="0.2">
      <c r="CR167" s="155"/>
    </row>
    <row r="168" spans="96:96" ht="14.25" customHeight="1" x14ac:dyDescent="0.2">
      <c r="CR168" s="155"/>
    </row>
    <row r="169" spans="96:96" ht="14.25" customHeight="1" x14ac:dyDescent="0.2">
      <c r="CR169" s="155"/>
    </row>
    <row r="170" spans="96:96" ht="14.25" customHeight="1" x14ac:dyDescent="0.2">
      <c r="CR170" s="155"/>
    </row>
    <row r="171" spans="96:96" ht="14.25" customHeight="1" x14ac:dyDescent="0.2">
      <c r="CR171" s="155"/>
    </row>
    <row r="172" spans="96:96" ht="14.25" customHeight="1" x14ac:dyDescent="0.2">
      <c r="CR172" s="155"/>
    </row>
    <row r="173" spans="96:96" ht="14.25" customHeight="1" x14ac:dyDescent="0.2">
      <c r="CR173" s="155"/>
    </row>
    <row r="174" spans="96:96" ht="14.25" customHeight="1" x14ac:dyDescent="0.2">
      <c r="CR174" s="155"/>
    </row>
    <row r="175" spans="96:96" ht="14.25" customHeight="1" x14ac:dyDescent="0.2">
      <c r="CR175" s="155"/>
    </row>
    <row r="176" spans="96:96" ht="14.25" customHeight="1" x14ac:dyDescent="0.2">
      <c r="CR176" s="155"/>
    </row>
    <row r="177" spans="96:96" ht="14.25" customHeight="1" x14ac:dyDescent="0.2">
      <c r="CR177" s="155"/>
    </row>
    <row r="178" spans="96:96" ht="14.25" customHeight="1" x14ac:dyDescent="0.2">
      <c r="CR178" s="155"/>
    </row>
    <row r="179" spans="96:96" ht="14.25" customHeight="1" x14ac:dyDescent="0.2">
      <c r="CR179" s="155"/>
    </row>
    <row r="180" spans="96:96" ht="14.25" customHeight="1" x14ac:dyDescent="0.2">
      <c r="CR180" s="155"/>
    </row>
    <row r="181" spans="96:96" ht="14.25" customHeight="1" x14ac:dyDescent="0.2">
      <c r="CR181" s="155"/>
    </row>
    <row r="182" spans="96:96" ht="14.25" customHeight="1" x14ac:dyDescent="0.2">
      <c r="CR182" s="155"/>
    </row>
    <row r="183" spans="96:96" ht="14.25" customHeight="1" x14ac:dyDescent="0.2">
      <c r="CR183" s="155"/>
    </row>
    <row r="184" spans="96:96" ht="14.25" customHeight="1" x14ac:dyDescent="0.2">
      <c r="CR184" s="155"/>
    </row>
    <row r="185" spans="96:96" ht="14.25" customHeight="1" x14ac:dyDescent="0.2">
      <c r="CR185" s="155"/>
    </row>
    <row r="186" spans="96:96" ht="14.25" customHeight="1" x14ac:dyDescent="0.2">
      <c r="CR186" s="155"/>
    </row>
    <row r="187" spans="96:96" ht="14.25" customHeight="1" x14ac:dyDescent="0.2">
      <c r="CR187" s="155"/>
    </row>
    <row r="188" spans="96:96" ht="14.25" customHeight="1" x14ac:dyDescent="0.2">
      <c r="CR188" s="155"/>
    </row>
    <row r="189" spans="96:96" ht="14.25" customHeight="1" x14ac:dyDescent="0.2">
      <c r="CR189" s="155"/>
    </row>
    <row r="190" spans="96:96" ht="14.25" customHeight="1" x14ac:dyDescent="0.2">
      <c r="CR190" s="155"/>
    </row>
    <row r="191" spans="96:96" ht="14.25" customHeight="1" x14ac:dyDescent="0.2">
      <c r="CR191" s="155"/>
    </row>
    <row r="192" spans="96:96" ht="14.25" customHeight="1" x14ac:dyDescent="0.2">
      <c r="CR192" s="155"/>
    </row>
    <row r="193" spans="96:96" ht="14.25" customHeight="1" x14ac:dyDescent="0.2">
      <c r="CR193" s="155"/>
    </row>
    <row r="194" spans="96:96" ht="14.25" customHeight="1" x14ac:dyDescent="0.2">
      <c r="CR194" s="155"/>
    </row>
    <row r="195" spans="96:96" ht="14.25" customHeight="1" x14ac:dyDescent="0.2">
      <c r="CR195" s="155"/>
    </row>
    <row r="196" spans="96:96" ht="14.25" customHeight="1" x14ac:dyDescent="0.2">
      <c r="CR196" s="155"/>
    </row>
    <row r="197" spans="96:96" ht="14.25" customHeight="1" x14ac:dyDescent="0.2">
      <c r="CR197" s="155"/>
    </row>
    <row r="198" spans="96:96" ht="14.25" customHeight="1" x14ac:dyDescent="0.2">
      <c r="CR198" s="155"/>
    </row>
    <row r="199" spans="96:96" ht="14.25" customHeight="1" x14ac:dyDescent="0.2">
      <c r="CR199" s="155"/>
    </row>
    <row r="200" spans="96:96" ht="14.25" customHeight="1" x14ac:dyDescent="0.2">
      <c r="CR200" s="155"/>
    </row>
    <row r="201" spans="96:96" ht="14.25" customHeight="1" x14ac:dyDescent="0.2">
      <c r="CR201" s="155"/>
    </row>
    <row r="202" spans="96:96" ht="14.25" customHeight="1" x14ac:dyDescent="0.2">
      <c r="CR202" s="155"/>
    </row>
    <row r="203" spans="96:96" ht="14.25" customHeight="1" x14ac:dyDescent="0.2">
      <c r="CR203" s="155"/>
    </row>
    <row r="204" spans="96:96" ht="14.25" customHeight="1" x14ac:dyDescent="0.2">
      <c r="CR204" s="155"/>
    </row>
    <row r="205" spans="96:96" ht="14.25" customHeight="1" x14ac:dyDescent="0.2">
      <c r="CR205" s="155"/>
    </row>
    <row r="206" spans="96:96" ht="14.25" customHeight="1" x14ac:dyDescent="0.2">
      <c r="CR206" s="155"/>
    </row>
    <row r="207" spans="96:96" ht="14.25" customHeight="1" x14ac:dyDescent="0.2">
      <c r="CR207" s="155"/>
    </row>
    <row r="208" spans="96:96" ht="14.25" customHeight="1" x14ac:dyDescent="0.2">
      <c r="CR208" s="155"/>
    </row>
    <row r="209" spans="96:96" ht="14.25" customHeight="1" x14ac:dyDescent="0.2">
      <c r="CR209" s="155"/>
    </row>
    <row r="210" spans="96:96" ht="14.25" customHeight="1" x14ac:dyDescent="0.2">
      <c r="CR210" s="155"/>
    </row>
    <row r="211" spans="96:96" ht="14.25" customHeight="1" x14ac:dyDescent="0.2">
      <c r="CR211" s="155"/>
    </row>
    <row r="212" spans="96:96" ht="14.25" customHeight="1" x14ac:dyDescent="0.2">
      <c r="CR212" s="155"/>
    </row>
    <row r="213" spans="96:96" ht="14.25" customHeight="1" x14ac:dyDescent="0.2">
      <c r="CR213" s="155"/>
    </row>
    <row r="214" spans="96:96" ht="14.25" customHeight="1" x14ac:dyDescent="0.2">
      <c r="CR214" s="155"/>
    </row>
    <row r="215" spans="96:96" ht="14.25" customHeight="1" x14ac:dyDescent="0.2">
      <c r="CR215" s="155"/>
    </row>
    <row r="216" spans="96:96" ht="14.25" customHeight="1" x14ac:dyDescent="0.2">
      <c r="CR216" s="155"/>
    </row>
    <row r="217" spans="96:96" ht="14.25" customHeight="1" x14ac:dyDescent="0.2">
      <c r="CR217" s="155"/>
    </row>
    <row r="218" spans="96:96" ht="14.25" customHeight="1" x14ac:dyDescent="0.2">
      <c r="CR218" s="155"/>
    </row>
    <row r="219" spans="96:96" ht="14.25" customHeight="1" x14ac:dyDescent="0.2">
      <c r="CR219" s="155"/>
    </row>
    <row r="220" spans="96:96" ht="14.25" customHeight="1" x14ac:dyDescent="0.2">
      <c r="CR220" s="155"/>
    </row>
    <row r="221" spans="96:96" ht="14.25" customHeight="1" x14ac:dyDescent="0.2">
      <c r="CR221" s="155"/>
    </row>
    <row r="222" spans="96:96" ht="14.25" customHeight="1" x14ac:dyDescent="0.2">
      <c r="CR222" s="155"/>
    </row>
    <row r="223" spans="96:96" ht="14.25" customHeight="1" x14ac:dyDescent="0.2">
      <c r="CR223" s="155"/>
    </row>
    <row r="224" spans="96:96" ht="14.25" customHeight="1" x14ac:dyDescent="0.2">
      <c r="CR224" s="155"/>
    </row>
    <row r="225" spans="96:96" ht="14.25" customHeight="1" x14ac:dyDescent="0.2">
      <c r="CR225" s="155"/>
    </row>
    <row r="226" spans="96:96" ht="14.25" customHeight="1" x14ac:dyDescent="0.2">
      <c r="CR226" s="155"/>
    </row>
    <row r="227" spans="96:96" ht="14.25" customHeight="1" x14ac:dyDescent="0.2">
      <c r="CR227" s="155"/>
    </row>
    <row r="228" spans="96:96" ht="14.25" customHeight="1" x14ac:dyDescent="0.2">
      <c r="CR228" s="155"/>
    </row>
    <row r="229" spans="96:96" ht="14.25" customHeight="1" x14ac:dyDescent="0.2">
      <c r="CR229" s="155"/>
    </row>
    <row r="230" spans="96:96" ht="14.25" customHeight="1" x14ac:dyDescent="0.2">
      <c r="CR230" s="155"/>
    </row>
    <row r="231" spans="96:96" ht="14.25" customHeight="1" x14ac:dyDescent="0.2">
      <c r="CR231" s="155"/>
    </row>
    <row r="232" spans="96:96" ht="14.25" customHeight="1" x14ac:dyDescent="0.2">
      <c r="CR232" s="155"/>
    </row>
    <row r="233" spans="96:96" ht="14.25" customHeight="1" x14ac:dyDescent="0.2">
      <c r="CR233" s="155"/>
    </row>
    <row r="234" spans="96:96" ht="14.25" customHeight="1" x14ac:dyDescent="0.2">
      <c r="CR234" s="155"/>
    </row>
    <row r="235" spans="96:96" ht="14.25" customHeight="1" x14ac:dyDescent="0.2">
      <c r="CR235" s="155"/>
    </row>
    <row r="236" spans="96:96" ht="14.25" customHeight="1" x14ac:dyDescent="0.2">
      <c r="CR236" s="155"/>
    </row>
    <row r="237" spans="96:96" ht="14.25" customHeight="1" x14ac:dyDescent="0.2">
      <c r="CR237" s="155"/>
    </row>
    <row r="238" spans="96:96" ht="14.25" customHeight="1" x14ac:dyDescent="0.2">
      <c r="CR238" s="155"/>
    </row>
    <row r="239" spans="96:96" ht="14.25" customHeight="1" x14ac:dyDescent="0.2">
      <c r="CR239" s="155"/>
    </row>
    <row r="240" spans="96:96" ht="14.25" customHeight="1" x14ac:dyDescent="0.2">
      <c r="CR240" s="155"/>
    </row>
    <row r="241" spans="96:96" ht="14.25" customHeight="1" x14ac:dyDescent="0.2">
      <c r="CR241" s="155"/>
    </row>
    <row r="242" spans="96:96" ht="14.25" customHeight="1" x14ac:dyDescent="0.2">
      <c r="CR242" s="155"/>
    </row>
    <row r="243" spans="96:96" ht="14.25" customHeight="1" x14ac:dyDescent="0.2">
      <c r="CR243" s="155"/>
    </row>
    <row r="244" spans="96:96" ht="14.25" customHeight="1" x14ac:dyDescent="0.2">
      <c r="CR244" s="155"/>
    </row>
    <row r="245" spans="96:96" ht="14.25" customHeight="1" x14ac:dyDescent="0.2">
      <c r="CR245" s="155"/>
    </row>
    <row r="246" spans="96:96" ht="14.25" customHeight="1" x14ac:dyDescent="0.2">
      <c r="CR246" s="155"/>
    </row>
    <row r="247" spans="96:96" ht="14.25" customHeight="1" x14ac:dyDescent="0.2">
      <c r="CR247" s="155"/>
    </row>
    <row r="248" spans="96:96" ht="14.25" customHeight="1" x14ac:dyDescent="0.2">
      <c r="CR248" s="155"/>
    </row>
    <row r="249" spans="96:96" ht="14.25" customHeight="1" x14ac:dyDescent="0.2">
      <c r="CR249" s="155"/>
    </row>
    <row r="250" spans="96:96" ht="14.25" customHeight="1" x14ac:dyDescent="0.2">
      <c r="CR250" s="155"/>
    </row>
    <row r="251" spans="96:96" ht="14.25" customHeight="1" x14ac:dyDescent="0.2">
      <c r="CR251" s="155"/>
    </row>
    <row r="252" spans="96:96" ht="14.25" customHeight="1" x14ac:dyDescent="0.2">
      <c r="CR252" s="155"/>
    </row>
    <row r="253" spans="96:96" ht="14.25" customHeight="1" x14ac:dyDescent="0.2">
      <c r="CR253" s="155"/>
    </row>
    <row r="254" spans="96:96" ht="14.25" customHeight="1" x14ac:dyDescent="0.2">
      <c r="CR254" s="155"/>
    </row>
    <row r="255" spans="96:96" ht="14.25" customHeight="1" x14ac:dyDescent="0.2">
      <c r="CR255" s="155"/>
    </row>
    <row r="256" spans="96:96" ht="14.25" customHeight="1" x14ac:dyDescent="0.2">
      <c r="CR256" s="155"/>
    </row>
    <row r="257" spans="96:96" ht="14.25" customHeight="1" x14ac:dyDescent="0.2">
      <c r="CR257" s="155"/>
    </row>
    <row r="258" spans="96:96" ht="14.25" customHeight="1" x14ac:dyDescent="0.2">
      <c r="CR258" s="155"/>
    </row>
    <row r="259" spans="96:96" ht="14.25" customHeight="1" x14ac:dyDescent="0.2">
      <c r="CR259" s="155"/>
    </row>
    <row r="260" spans="96:96" ht="14.25" customHeight="1" x14ac:dyDescent="0.2">
      <c r="CR260" s="155"/>
    </row>
    <row r="261" spans="96:96" ht="14.25" customHeight="1" x14ac:dyDescent="0.2">
      <c r="CR261" s="155"/>
    </row>
    <row r="262" spans="96:96" ht="14.25" customHeight="1" x14ac:dyDescent="0.2">
      <c r="CR262" s="155"/>
    </row>
    <row r="263" spans="96:96" ht="14.25" customHeight="1" x14ac:dyDescent="0.2">
      <c r="CR263" s="155"/>
    </row>
    <row r="264" spans="96:96" ht="14.25" customHeight="1" x14ac:dyDescent="0.2">
      <c r="CR264" s="155"/>
    </row>
    <row r="265" spans="96:96" ht="14.25" customHeight="1" x14ac:dyDescent="0.2">
      <c r="CR265" s="155"/>
    </row>
    <row r="266" spans="96:96" ht="14.25" customHeight="1" x14ac:dyDescent="0.2">
      <c r="CR266" s="155"/>
    </row>
    <row r="267" spans="96:96" ht="14.25" customHeight="1" x14ac:dyDescent="0.2">
      <c r="CR267" s="155"/>
    </row>
    <row r="268" spans="96:96" ht="14.25" customHeight="1" x14ac:dyDescent="0.2">
      <c r="CR268" s="155"/>
    </row>
    <row r="269" spans="96:96" ht="14.25" customHeight="1" x14ac:dyDescent="0.2">
      <c r="CR269" s="155"/>
    </row>
    <row r="270" spans="96:96" ht="14.25" customHeight="1" x14ac:dyDescent="0.2">
      <c r="CR270" s="155"/>
    </row>
    <row r="271" spans="96:96" ht="14.25" customHeight="1" x14ac:dyDescent="0.2">
      <c r="CR271" s="155"/>
    </row>
    <row r="272" spans="96:96" ht="14.25" customHeight="1" x14ac:dyDescent="0.2">
      <c r="CR272" s="155"/>
    </row>
    <row r="273" spans="96:96" ht="14.25" customHeight="1" x14ac:dyDescent="0.2">
      <c r="CR273" s="155"/>
    </row>
    <row r="274" spans="96:96" ht="14.25" customHeight="1" x14ac:dyDescent="0.2">
      <c r="CR274" s="155"/>
    </row>
    <row r="275" spans="96:96" ht="14.25" customHeight="1" x14ac:dyDescent="0.2">
      <c r="CR275" s="155"/>
    </row>
    <row r="276" spans="96:96" ht="14.25" customHeight="1" x14ac:dyDescent="0.2">
      <c r="CR276" s="155"/>
    </row>
    <row r="277" spans="96:96" ht="14.25" customHeight="1" x14ac:dyDescent="0.2">
      <c r="CR277" s="155"/>
    </row>
    <row r="278" spans="96:96" ht="14.25" customHeight="1" x14ac:dyDescent="0.2">
      <c r="CR278" s="155"/>
    </row>
    <row r="279" spans="96:96" ht="14.25" customHeight="1" x14ac:dyDescent="0.2">
      <c r="CR279" s="155"/>
    </row>
    <row r="280" spans="96:96" ht="14.25" customHeight="1" x14ac:dyDescent="0.2">
      <c r="CR280" s="155"/>
    </row>
    <row r="281" spans="96:96" ht="14.25" customHeight="1" x14ac:dyDescent="0.2">
      <c r="CR281" s="155"/>
    </row>
    <row r="282" spans="96:96" ht="14.25" customHeight="1" x14ac:dyDescent="0.2">
      <c r="CR282" s="155"/>
    </row>
    <row r="283" spans="96:96" ht="14.25" customHeight="1" x14ac:dyDescent="0.2">
      <c r="CR283" s="155"/>
    </row>
    <row r="284" spans="96:96" ht="14.25" customHeight="1" x14ac:dyDescent="0.2">
      <c r="CR284" s="155"/>
    </row>
    <row r="285" spans="96:96" ht="14.25" customHeight="1" x14ac:dyDescent="0.2">
      <c r="CR285" s="155"/>
    </row>
    <row r="286" spans="96:96" ht="14.25" customHeight="1" x14ac:dyDescent="0.2">
      <c r="CR286" s="155"/>
    </row>
    <row r="287" spans="96:96" ht="14.25" customHeight="1" x14ac:dyDescent="0.2">
      <c r="CR287" s="155"/>
    </row>
    <row r="288" spans="96:96" ht="14.25" customHeight="1" x14ac:dyDescent="0.2">
      <c r="CR288" s="155"/>
    </row>
    <row r="289" spans="96:96" ht="14.25" customHeight="1" x14ac:dyDescent="0.2">
      <c r="CR289" s="155"/>
    </row>
    <row r="290" spans="96:96" ht="14.25" customHeight="1" x14ac:dyDescent="0.2">
      <c r="CR290" s="155"/>
    </row>
    <row r="291" spans="96:96" ht="14.25" customHeight="1" x14ac:dyDescent="0.2">
      <c r="CR291" s="155"/>
    </row>
    <row r="292" spans="96:96" ht="14.25" customHeight="1" x14ac:dyDescent="0.2">
      <c r="CR292" s="155"/>
    </row>
    <row r="293" spans="96:96" ht="14.25" customHeight="1" x14ac:dyDescent="0.2">
      <c r="CR293" s="155"/>
    </row>
    <row r="294" spans="96:96" ht="14.25" customHeight="1" x14ac:dyDescent="0.2">
      <c r="CR294" s="155"/>
    </row>
    <row r="295" spans="96:96" ht="14.25" customHeight="1" x14ac:dyDescent="0.2">
      <c r="CR295" s="155"/>
    </row>
    <row r="296" spans="96:96" ht="14.25" customHeight="1" x14ac:dyDescent="0.2">
      <c r="CR296" s="155"/>
    </row>
    <row r="297" spans="96:96" ht="14.25" customHeight="1" x14ac:dyDescent="0.2">
      <c r="CR297" s="155"/>
    </row>
    <row r="298" spans="96:96" ht="14.25" customHeight="1" x14ac:dyDescent="0.2">
      <c r="CR298" s="155"/>
    </row>
    <row r="299" spans="96:96" ht="14.25" customHeight="1" x14ac:dyDescent="0.2">
      <c r="CR299" s="155"/>
    </row>
    <row r="300" spans="96:96" ht="14.25" customHeight="1" x14ac:dyDescent="0.2">
      <c r="CR300" s="155"/>
    </row>
    <row r="301" spans="96:96" ht="14.25" customHeight="1" x14ac:dyDescent="0.2">
      <c r="CR301" s="155"/>
    </row>
    <row r="302" spans="96:96" ht="14.25" customHeight="1" x14ac:dyDescent="0.2">
      <c r="CR302" s="155"/>
    </row>
    <row r="303" spans="96:96" ht="14.25" customHeight="1" x14ac:dyDescent="0.2">
      <c r="CR303" s="155"/>
    </row>
    <row r="304" spans="96:96" ht="14.25" customHeight="1" x14ac:dyDescent="0.2">
      <c r="CR304" s="155"/>
    </row>
    <row r="305" spans="96:96" ht="14.25" customHeight="1" x14ac:dyDescent="0.2">
      <c r="CR305" s="155"/>
    </row>
    <row r="306" spans="96:96" ht="14.25" customHeight="1" x14ac:dyDescent="0.2">
      <c r="CR306" s="155"/>
    </row>
    <row r="307" spans="96:96" ht="14.25" customHeight="1" x14ac:dyDescent="0.2">
      <c r="CR307" s="155"/>
    </row>
    <row r="308" spans="96:96" ht="14.25" customHeight="1" x14ac:dyDescent="0.2">
      <c r="CR308" s="155"/>
    </row>
    <row r="309" spans="96:96" ht="14.25" customHeight="1" x14ac:dyDescent="0.2">
      <c r="CR309" s="155"/>
    </row>
    <row r="310" spans="96:96" ht="14.25" customHeight="1" x14ac:dyDescent="0.2">
      <c r="CR310" s="155"/>
    </row>
    <row r="311" spans="96:96" ht="14.25" customHeight="1" x14ac:dyDescent="0.2">
      <c r="CR311" s="155"/>
    </row>
    <row r="312" spans="96:96" ht="14.25" customHeight="1" x14ac:dyDescent="0.2">
      <c r="CR312" s="155"/>
    </row>
    <row r="313" spans="96:96" ht="14.25" customHeight="1" x14ac:dyDescent="0.2">
      <c r="CR313" s="155"/>
    </row>
    <row r="314" spans="96:96" ht="14.25" customHeight="1" x14ac:dyDescent="0.2">
      <c r="CR314" s="155"/>
    </row>
    <row r="315" spans="96:96" ht="14.25" customHeight="1" x14ac:dyDescent="0.2">
      <c r="CR315" s="155"/>
    </row>
    <row r="316" spans="96:96" ht="14.25" customHeight="1" x14ac:dyDescent="0.2">
      <c r="CR316" s="155"/>
    </row>
    <row r="317" spans="96:96" ht="14.25" customHeight="1" x14ac:dyDescent="0.2">
      <c r="CR317" s="155"/>
    </row>
    <row r="318" spans="96:96" ht="14.25" customHeight="1" x14ac:dyDescent="0.2">
      <c r="CR318" s="155"/>
    </row>
    <row r="319" spans="96:96" ht="14.25" customHeight="1" x14ac:dyDescent="0.2">
      <c r="CR319" s="155"/>
    </row>
    <row r="320" spans="96:96" ht="14.25" customHeight="1" x14ac:dyDescent="0.2">
      <c r="CR320" s="155"/>
    </row>
    <row r="321" spans="96:96" ht="14.25" customHeight="1" x14ac:dyDescent="0.2">
      <c r="CR321" s="155"/>
    </row>
    <row r="322" spans="96:96" ht="14.25" customHeight="1" x14ac:dyDescent="0.2">
      <c r="CR322" s="155"/>
    </row>
    <row r="323" spans="96:96" ht="14.25" customHeight="1" x14ac:dyDescent="0.2">
      <c r="CR323" s="155"/>
    </row>
    <row r="324" spans="96:96" ht="14.25" customHeight="1" x14ac:dyDescent="0.2">
      <c r="CR324" s="155"/>
    </row>
    <row r="325" spans="96:96" ht="14.25" customHeight="1" x14ac:dyDescent="0.2">
      <c r="CR325" s="155"/>
    </row>
    <row r="326" spans="96:96" ht="14.25" customHeight="1" x14ac:dyDescent="0.2">
      <c r="CR326" s="155"/>
    </row>
    <row r="327" spans="96:96" ht="14.25" customHeight="1" x14ac:dyDescent="0.2">
      <c r="CR327" s="155"/>
    </row>
    <row r="328" spans="96:96" ht="14.25" customHeight="1" x14ac:dyDescent="0.2">
      <c r="CR328" s="155"/>
    </row>
    <row r="329" spans="96:96" ht="14.25" customHeight="1" x14ac:dyDescent="0.2">
      <c r="CR329" s="155"/>
    </row>
    <row r="330" spans="96:96" ht="14.25" customHeight="1" x14ac:dyDescent="0.2">
      <c r="CR330" s="155"/>
    </row>
    <row r="331" spans="96:96" ht="14.25" customHeight="1" x14ac:dyDescent="0.2">
      <c r="CR331" s="155"/>
    </row>
    <row r="332" spans="96:96" ht="14.25" customHeight="1" x14ac:dyDescent="0.2">
      <c r="CR332" s="155"/>
    </row>
    <row r="333" spans="96:96" ht="14.25" customHeight="1" x14ac:dyDescent="0.2">
      <c r="CR333" s="155"/>
    </row>
    <row r="334" spans="96:96" ht="14.25" customHeight="1" x14ac:dyDescent="0.2">
      <c r="CR334" s="155"/>
    </row>
    <row r="335" spans="96:96" ht="14.25" customHeight="1" x14ac:dyDescent="0.2">
      <c r="CR335" s="155"/>
    </row>
    <row r="336" spans="96:96" ht="14.25" customHeight="1" x14ac:dyDescent="0.2">
      <c r="CR336" s="155"/>
    </row>
    <row r="337" spans="96:96" ht="14.25" customHeight="1" x14ac:dyDescent="0.2">
      <c r="CR337" s="155"/>
    </row>
    <row r="338" spans="96:96" ht="14.25" customHeight="1" x14ac:dyDescent="0.2">
      <c r="CR338" s="155"/>
    </row>
    <row r="339" spans="96:96" ht="14.25" customHeight="1" x14ac:dyDescent="0.2">
      <c r="CR339" s="155"/>
    </row>
    <row r="340" spans="96:96" ht="14.25" customHeight="1" x14ac:dyDescent="0.2">
      <c r="CR340" s="155"/>
    </row>
    <row r="341" spans="96:96" ht="14.25" customHeight="1" x14ac:dyDescent="0.2">
      <c r="CR341" s="155"/>
    </row>
    <row r="342" spans="96:96" ht="14.25" customHeight="1" x14ac:dyDescent="0.2">
      <c r="CR342" s="155"/>
    </row>
    <row r="343" spans="96:96" ht="14.25" customHeight="1" x14ac:dyDescent="0.2">
      <c r="CR343" s="155"/>
    </row>
    <row r="344" spans="96:96" ht="14.25" customHeight="1" x14ac:dyDescent="0.2">
      <c r="CR344" s="155"/>
    </row>
    <row r="345" spans="96:96" ht="14.25" customHeight="1" x14ac:dyDescent="0.2">
      <c r="CR345" s="155"/>
    </row>
    <row r="346" spans="96:96" ht="14.25" customHeight="1" x14ac:dyDescent="0.2">
      <c r="CR346" s="155"/>
    </row>
    <row r="347" spans="96:96" ht="14.25" customHeight="1" x14ac:dyDescent="0.2">
      <c r="CR347" s="155"/>
    </row>
    <row r="348" spans="96:96" ht="14.25" customHeight="1" x14ac:dyDescent="0.2">
      <c r="CR348" s="155"/>
    </row>
    <row r="349" spans="96:96" ht="14.25" customHeight="1" x14ac:dyDescent="0.2">
      <c r="CR349" s="155"/>
    </row>
    <row r="350" spans="96:96" ht="14.25" customHeight="1" x14ac:dyDescent="0.2">
      <c r="CR350" s="155"/>
    </row>
    <row r="351" spans="96:96" ht="14.25" customHeight="1" x14ac:dyDescent="0.2">
      <c r="CR351" s="155"/>
    </row>
    <row r="352" spans="96:96" ht="14.25" customHeight="1" x14ac:dyDescent="0.2">
      <c r="CR352" s="155"/>
    </row>
    <row r="353" spans="96:96" ht="14.25" customHeight="1" x14ac:dyDescent="0.2">
      <c r="CR353" s="155"/>
    </row>
    <row r="354" spans="96:96" ht="14.25" customHeight="1" x14ac:dyDescent="0.2">
      <c r="CR354" s="155"/>
    </row>
    <row r="355" spans="96:96" ht="14.25" customHeight="1" x14ac:dyDescent="0.2">
      <c r="CR355" s="155"/>
    </row>
    <row r="356" spans="96:96" ht="14.25" customHeight="1" x14ac:dyDescent="0.2">
      <c r="CR356" s="155"/>
    </row>
    <row r="357" spans="96:96" ht="14.25" customHeight="1" x14ac:dyDescent="0.2">
      <c r="CR357" s="155"/>
    </row>
    <row r="358" spans="96:96" ht="14.25" customHeight="1" x14ac:dyDescent="0.2">
      <c r="CR358" s="155"/>
    </row>
    <row r="359" spans="96:96" ht="14.25" customHeight="1" x14ac:dyDescent="0.2">
      <c r="CR359" s="155"/>
    </row>
    <row r="360" spans="96:96" ht="14.25" customHeight="1" x14ac:dyDescent="0.2">
      <c r="CR360" s="155"/>
    </row>
    <row r="361" spans="96:96" ht="14.25" customHeight="1" x14ac:dyDescent="0.2">
      <c r="CR361" s="155"/>
    </row>
    <row r="362" spans="96:96" ht="14.25" customHeight="1" x14ac:dyDescent="0.2">
      <c r="CR362" s="155"/>
    </row>
    <row r="363" spans="96:96" ht="14.25" customHeight="1" x14ac:dyDescent="0.2">
      <c r="CR363" s="155"/>
    </row>
    <row r="364" spans="96:96" ht="14.25" customHeight="1" x14ac:dyDescent="0.2">
      <c r="CR364" s="155"/>
    </row>
    <row r="365" spans="96:96" ht="14.25" customHeight="1" x14ac:dyDescent="0.2">
      <c r="CR365" s="155"/>
    </row>
    <row r="366" spans="96:96" ht="14.25" customHeight="1" x14ac:dyDescent="0.2">
      <c r="CR366" s="155"/>
    </row>
    <row r="367" spans="96:96" ht="14.25" customHeight="1" x14ac:dyDescent="0.2">
      <c r="CR367" s="155"/>
    </row>
    <row r="368" spans="96:96" ht="14.25" customHeight="1" x14ac:dyDescent="0.2">
      <c r="CR368" s="155"/>
    </row>
    <row r="369" spans="96:96" ht="14.25" customHeight="1" x14ac:dyDescent="0.2">
      <c r="CR369" s="155"/>
    </row>
    <row r="370" spans="96:96" ht="14.25" customHeight="1" x14ac:dyDescent="0.2">
      <c r="CR370" s="155"/>
    </row>
    <row r="371" spans="96:96" ht="14.25" customHeight="1" x14ac:dyDescent="0.2">
      <c r="CR371" s="155"/>
    </row>
    <row r="372" spans="96:96" ht="14.25" customHeight="1" x14ac:dyDescent="0.2">
      <c r="CR372" s="155"/>
    </row>
    <row r="373" spans="96:96" ht="14.25" customHeight="1" x14ac:dyDescent="0.2">
      <c r="CR373" s="155"/>
    </row>
    <row r="374" spans="96:96" ht="14.25" customHeight="1" x14ac:dyDescent="0.2">
      <c r="CR374" s="155"/>
    </row>
    <row r="375" spans="96:96" ht="14.25" customHeight="1" x14ac:dyDescent="0.2">
      <c r="CR375" s="155"/>
    </row>
    <row r="376" spans="96:96" ht="14.25" customHeight="1" x14ac:dyDescent="0.2">
      <c r="CR376" s="155"/>
    </row>
    <row r="377" spans="96:96" ht="14.25" customHeight="1" x14ac:dyDescent="0.2">
      <c r="CR377" s="155"/>
    </row>
    <row r="378" spans="96:96" ht="14.25" customHeight="1" x14ac:dyDescent="0.2">
      <c r="CR378" s="155"/>
    </row>
    <row r="379" spans="96:96" ht="14.25" customHeight="1" x14ac:dyDescent="0.2">
      <c r="CR379" s="155"/>
    </row>
    <row r="380" spans="96:96" ht="14.25" customHeight="1" x14ac:dyDescent="0.2">
      <c r="CR380" s="155"/>
    </row>
    <row r="381" spans="96:96" ht="14.25" customHeight="1" x14ac:dyDescent="0.2">
      <c r="CR381" s="155"/>
    </row>
    <row r="382" spans="96:96" ht="14.25" customHeight="1" x14ac:dyDescent="0.2">
      <c r="CR382" s="155"/>
    </row>
    <row r="383" spans="96:96" ht="14.25" customHeight="1" x14ac:dyDescent="0.2">
      <c r="CR383" s="155"/>
    </row>
    <row r="384" spans="96:96" ht="14.25" customHeight="1" x14ac:dyDescent="0.2">
      <c r="CR384" s="155"/>
    </row>
    <row r="385" spans="96:96" ht="14.25" customHeight="1" x14ac:dyDescent="0.2">
      <c r="CR385" s="155"/>
    </row>
    <row r="386" spans="96:96" ht="14.25" customHeight="1" x14ac:dyDescent="0.2">
      <c r="CR386" s="155"/>
    </row>
    <row r="387" spans="96:96" ht="14.25" customHeight="1" x14ac:dyDescent="0.2">
      <c r="CR387" s="155"/>
    </row>
    <row r="388" spans="96:96" ht="14.25" customHeight="1" x14ac:dyDescent="0.2">
      <c r="CR388" s="155"/>
    </row>
    <row r="389" spans="96:96" ht="14.25" customHeight="1" x14ac:dyDescent="0.2">
      <c r="CR389" s="155"/>
    </row>
    <row r="390" spans="96:96" ht="14.25" customHeight="1" x14ac:dyDescent="0.2">
      <c r="CR390" s="155"/>
    </row>
    <row r="391" spans="96:96" ht="14.25" customHeight="1" x14ac:dyDescent="0.2">
      <c r="CR391" s="155"/>
    </row>
    <row r="392" spans="96:96" ht="14.25" customHeight="1" x14ac:dyDescent="0.2">
      <c r="CR392" s="155"/>
    </row>
    <row r="393" spans="96:96" ht="14.25" customHeight="1" x14ac:dyDescent="0.2">
      <c r="CR393" s="155"/>
    </row>
    <row r="394" spans="96:96" ht="14.25" customHeight="1" x14ac:dyDescent="0.2">
      <c r="CR394" s="155"/>
    </row>
    <row r="395" spans="96:96" ht="14.25" customHeight="1" x14ac:dyDescent="0.2">
      <c r="CR395" s="155"/>
    </row>
    <row r="396" spans="96:96" ht="14.25" customHeight="1" x14ac:dyDescent="0.2">
      <c r="CR396" s="155"/>
    </row>
    <row r="397" spans="96:96" ht="14.25" customHeight="1" x14ac:dyDescent="0.2">
      <c r="CR397" s="155"/>
    </row>
    <row r="398" spans="96:96" ht="14.25" customHeight="1" x14ac:dyDescent="0.2">
      <c r="CR398" s="155"/>
    </row>
    <row r="399" spans="96:96" ht="14.25" customHeight="1" x14ac:dyDescent="0.2">
      <c r="CR399" s="155"/>
    </row>
    <row r="400" spans="96:96" ht="14.25" customHeight="1" x14ac:dyDescent="0.2">
      <c r="CR400" s="155"/>
    </row>
    <row r="401" spans="96:96" ht="14.25" customHeight="1" x14ac:dyDescent="0.2">
      <c r="CR401" s="155"/>
    </row>
    <row r="402" spans="96:96" ht="14.25" customHeight="1" x14ac:dyDescent="0.2">
      <c r="CR402" s="155"/>
    </row>
    <row r="403" spans="96:96" ht="14.25" customHeight="1" x14ac:dyDescent="0.2">
      <c r="CR403" s="155"/>
    </row>
    <row r="404" spans="96:96" ht="14.25" customHeight="1" x14ac:dyDescent="0.2">
      <c r="CR404" s="155"/>
    </row>
    <row r="405" spans="96:96" ht="14.25" customHeight="1" x14ac:dyDescent="0.2">
      <c r="CR405" s="155"/>
    </row>
    <row r="406" spans="96:96" ht="14.25" customHeight="1" x14ac:dyDescent="0.2">
      <c r="CR406" s="155"/>
    </row>
    <row r="407" spans="96:96" ht="14.25" customHeight="1" x14ac:dyDescent="0.2">
      <c r="CR407" s="155"/>
    </row>
    <row r="408" spans="96:96" ht="14.25" customHeight="1" x14ac:dyDescent="0.2">
      <c r="CR408" s="155"/>
    </row>
    <row r="409" spans="96:96" ht="14.25" customHeight="1" x14ac:dyDescent="0.2">
      <c r="CR409" s="155"/>
    </row>
    <row r="410" spans="96:96" ht="14.25" customHeight="1" x14ac:dyDescent="0.2">
      <c r="CR410" s="155"/>
    </row>
    <row r="411" spans="96:96" ht="14.25" customHeight="1" x14ac:dyDescent="0.2">
      <c r="CR411" s="155"/>
    </row>
    <row r="412" spans="96:96" ht="14.25" customHeight="1" x14ac:dyDescent="0.2">
      <c r="CR412" s="155"/>
    </row>
    <row r="413" spans="96:96" ht="14.25" customHeight="1" x14ac:dyDescent="0.2">
      <c r="CR413" s="155"/>
    </row>
    <row r="414" spans="96:96" ht="14.25" customHeight="1" x14ac:dyDescent="0.2">
      <c r="CR414" s="155"/>
    </row>
    <row r="415" spans="96:96" ht="14.25" customHeight="1" x14ac:dyDescent="0.2">
      <c r="CR415" s="155"/>
    </row>
    <row r="416" spans="96:96" ht="14.25" customHeight="1" x14ac:dyDescent="0.2">
      <c r="CR416" s="155"/>
    </row>
    <row r="417" spans="96:96" ht="14.25" customHeight="1" x14ac:dyDescent="0.2">
      <c r="CR417" s="155"/>
    </row>
    <row r="418" spans="96:96" ht="14.25" customHeight="1" x14ac:dyDescent="0.2">
      <c r="CR418" s="155"/>
    </row>
    <row r="419" spans="96:96" ht="14.25" customHeight="1" x14ac:dyDescent="0.2">
      <c r="CR419" s="155"/>
    </row>
    <row r="420" spans="96:96" ht="14.25" customHeight="1" x14ac:dyDescent="0.2">
      <c r="CR420" s="155"/>
    </row>
    <row r="421" spans="96:96" ht="14.25" customHeight="1" x14ac:dyDescent="0.2">
      <c r="CR421" s="155"/>
    </row>
    <row r="422" spans="96:96" ht="14.25" customHeight="1" x14ac:dyDescent="0.2">
      <c r="CR422" s="155"/>
    </row>
    <row r="423" spans="96:96" ht="14.25" customHeight="1" x14ac:dyDescent="0.2">
      <c r="CR423" s="155"/>
    </row>
    <row r="424" spans="96:96" ht="14.25" customHeight="1" x14ac:dyDescent="0.2">
      <c r="CR424" s="155"/>
    </row>
    <row r="425" spans="96:96" ht="14.25" customHeight="1" x14ac:dyDescent="0.2">
      <c r="CR425" s="155"/>
    </row>
    <row r="426" spans="96:96" ht="14.25" customHeight="1" x14ac:dyDescent="0.2">
      <c r="CR426" s="155"/>
    </row>
    <row r="427" spans="96:96" ht="14.25" customHeight="1" x14ac:dyDescent="0.2">
      <c r="CR427" s="155"/>
    </row>
    <row r="428" spans="96:96" ht="14.25" customHeight="1" x14ac:dyDescent="0.2">
      <c r="CR428" s="155"/>
    </row>
    <row r="429" spans="96:96" ht="14.25" customHeight="1" x14ac:dyDescent="0.2">
      <c r="CR429" s="155"/>
    </row>
    <row r="430" spans="96:96" ht="14.25" customHeight="1" x14ac:dyDescent="0.2">
      <c r="CR430" s="155"/>
    </row>
    <row r="431" spans="96:96" ht="14.25" customHeight="1" x14ac:dyDescent="0.2">
      <c r="CR431" s="155"/>
    </row>
    <row r="432" spans="96:96" ht="14.25" customHeight="1" x14ac:dyDescent="0.2">
      <c r="CR432" s="155"/>
    </row>
    <row r="433" spans="96:96" ht="14.25" customHeight="1" x14ac:dyDescent="0.2">
      <c r="CR433" s="155"/>
    </row>
    <row r="434" spans="96:96" ht="14.25" customHeight="1" x14ac:dyDescent="0.2">
      <c r="CR434" s="155"/>
    </row>
    <row r="435" spans="96:96" ht="14.25" customHeight="1" x14ac:dyDescent="0.2">
      <c r="CR435" s="155"/>
    </row>
    <row r="436" spans="96:96" ht="14.25" customHeight="1" x14ac:dyDescent="0.2">
      <c r="CR436" s="155"/>
    </row>
    <row r="437" spans="96:96" ht="14.25" customHeight="1" x14ac:dyDescent="0.2">
      <c r="CR437" s="155"/>
    </row>
    <row r="438" spans="96:96" ht="14.25" customHeight="1" x14ac:dyDescent="0.2">
      <c r="CR438" s="155"/>
    </row>
    <row r="439" spans="96:96" ht="14.25" customHeight="1" x14ac:dyDescent="0.2">
      <c r="CR439" s="155"/>
    </row>
    <row r="440" spans="96:96" ht="14.25" customHeight="1" x14ac:dyDescent="0.2">
      <c r="CR440" s="155"/>
    </row>
    <row r="441" spans="96:96" ht="14.25" customHeight="1" x14ac:dyDescent="0.2">
      <c r="CR441" s="155"/>
    </row>
    <row r="442" spans="96:96" ht="14.25" customHeight="1" x14ac:dyDescent="0.2">
      <c r="CR442" s="155"/>
    </row>
    <row r="443" spans="96:96" ht="14.25" customHeight="1" x14ac:dyDescent="0.2">
      <c r="CR443" s="155"/>
    </row>
    <row r="444" spans="96:96" ht="14.25" customHeight="1" x14ac:dyDescent="0.2">
      <c r="CR444" s="155"/>
    </row>
    <row r="445" spans="96:96" ht="14.25" customHeight="1" x14ac:dyDescent="0.2">
      <c r="CR445" s="155"/>
    </row>
    <row r="446" spans="96:96" ht="14.25" customHeight="1" x14ac:dyDescent="0.2">
      <c r="CR446" s="155"/>
    </row>
    <row r="447" spans="96:96" ht="14.25" customHeight="1" x14ac:dyDescent="0.2">
      <c r="CR447" s="155"/>
    </row>
    <row r="448" spans="96:96" ht="14.25" customHeight="1" x14ac:dyDescent="0.2">
      <c r="CR448" s="155"/>
    </row>
    <row r="449" spans="96:96" ht="14.25" customHeight="1" x14ac:dyDescent="0.2">
      <c r="CR449" s="155"/>
    </row>
    <row r="450" spans="96:96" ht="14.25" customHeight="1" x14ac:dyDescent="0.2">
      <c r="CR450" s="155"/>
    </row>
    <row r="451" spans="96:96" ht="14.25" customHeight="1" x14ac:dyDescent="0.2">
      <c r="CR451" s="155"/>
    </row>
    <row r="452" spans="96:96" ht="14.25" customHeight="1" x14ac:dyDescent="0.2">
      <c r="CR452" s="155"/>
    </row>
    <row r="453" spans="96:96" ht="14.25" customHeight="1" x14ac:dyDescent="0.2">
      <c r="CR453" s="155"/>
    </row>
    <row r="454" spans="96:96" ht="14.25" customHeight="1" x14ac:dyDescent="0.2">
      <c r="CR454" s="155"/>
    </row>
    <row r="455" spans="96:96" ht="14.25" customHeight="1" x14ac:dyDescent="0.2">
      <c r="CR455" s="155"/>
    </row>
    <row r="456" spans="96:96" ht="14.25" customHeight="1" x14ac:dyDescent="0.2">
      <c r="CR456" s="155"/>
    </row>
    <row r="457" spans="96:96" ht="14.25" customHeight="1" x14ac:dyDescent="0.2">
      <c r="CR457" s="155"/>
    </row>
    <row r="458" spans="96:96" ht="14.25" customHeight="1" x14ac:dyDescent="0.2">
      <c r="CR458" s="155"/>
    </row>
    <row r="459" spans="96:96" ht="14.25" customHeight="1" x14ac:dyDescent="0.2">
      <c r="CR459" s="155"/>
    </row>
    <row r="460" spans="96:96" ht="14.25" customHeight="1" x14ac:dyDescent="0.2">
      <c r="CR460" s="155"/>
    </row>
    <row r="461" spans="96:96" ht="14.25" customHeight="1" x14ac:dyDescent="0.2">
      <c r="CR461" s="155"/>
    </row>
    <row r="462" spans="96:96" ht="14.25" customHeight="1" x14ac:dyDescent="0.2">
      <c r="CR462" s="155"/>
    </row>
    <row r="463" spans="96:96" ht="14.25" customHeight="1" x14ac:dyDescent="0.2">
      <c r="CR463" s="155"/>
    </row>
    <row r="464" spans="96:96" ht="14.25" customHeight="1" x14ac:dyDescent="0.2">
      <c r="CR464" s="155"/>
    </row>
    <row r="465" spans="96:96" ht="14.25" customHeight="1" x14ac:dyDescent="0.2">
      <c r="CR465" s="155"/>
    </row>
    <row r="466" spans="96:96" ht="14.25" customHeight="1" x14ac:dyDescent="0.2">
      <c r="CR466" s="155"/>
    </row>
    <row r="467" spans="96:96" ht="14.25" customHeight="1" x14ac:dyDescent="0.2">
      <c r="CR467" s="155"/>
    </row>
    <row r="468" spans="96:96" ht="14.25" customHeight="1" x14ac:dyDescent="0.2">
      <c r="CR468" s="155"/>
    </row>
    <row r="469" spans="96:96" ht="14.25" customHeight="1" x14ac:dyDescent="0.2">
      <c r="CR469" s="155"/>
    </row>
    <row r="470" spans="96:96" ht="14.25" customHeight="1" x14ac:dyDescent="0.2">
      <c r="CR470" s="155"/>
    </row>
    <row r="471" spans="96:96" ht="14.25" customHeight="1" x14ac:dyDescent="0.2">
      <c r="CR471" s="155"/>
    </row>
    <row r="472" spans="96:96" ht="14.25" customHeight="1" x14ac:dyDescent="0.2">
      <c r="CR472" s="155"/>
    </row>
    <row r="473" spans="96:96" ht="14.25" customHeight="1" x14ac:dyDescent="0.2">
      <c r="CR473" s="155"/>
    </row>
    <row r="474" spans="96:96" ht="14.25" customHeight="1" x14ac:dyDescent="0.2">
      <c r="CR474" s="155"/>
    </row>
    <row r="475" spans="96:96" ht="14.25" customHeight="1" x14ac:dyDescent="0.2">
      <c r="CR475" s="155"/>
    </row>
    <row r="476" spans="96:96" ht="14.25" customHeight="1" x14ac:dyDescent="0.2">
      <c r="CR476" s="155"/>
    </row>
    <row r="477" spans="96:96" ht="14.25" customHeight="1" x14ac:dyDescent="0.2">
      <c r="CR477" s="155"/>
    </row>
    <row r="478" spans="96:96" ht="14.25" customHeight="1" x14ac:dyDescent="0.2">
      <c r="CR478" s="155"/>
    </row>
    <row r="479" spans="96:96" ht="14.25" customHeight="1" x14ac:dyDescent="0.2">
      <c r="CR479" s="155"/>
    </row>
    <row r="480" spans="96:96" ht="14.25" customHeight="1" x14ac:dyDescent="0.2">
      <c r="CR480" s="155"/>
    </row>
    <row r="481" spans="96:96" ht="14.25" customHeight="1" x14ac:dyDescent="0.2">
      <c r="CR481" s="155"/>
    </row>
    <row r="482" spans="96:96" ht="14.25" customHeight="1" x14ac:dyDescent="0.2">
      <c r="CR482" s="155"/>
    </row>
    <row r="483" spans="96:96" ht="14.25" customHeight="1" x14ac:dyDescent="0.2">
      <c r="CR483" s="155"/>
    </row>
    <row r="484" spans="96:96" ht="14.25" customHeight="1" x14ac:dyDescent="0.2">
      <c r="CR484" s="155"/>
    </row>
    <row r="485" spans="96:96" ht="14.25" customHeight="1" x14ac:dyDescent="0.2">
      <c r="CR485" s="155"/>
    </row>
    <row r="486" spans="96:96" ht="14.25" customHeight="1" x14ac:dyDescent="0.2">
      <c r="CR486" s="155"/>
    </row>
    <row r="487" spans="96:96" ht="14.25" customHeight="1" x14ac:dyDescent="0.2">
      <c r="CR487" s="155"/>
    </row>
    <row r="488" spans="96:96" ht="14.25" customHeight="1" x14ac:dyDescent="0.2">
      <c r="CR488" s="155"/>
    </row>
    <row r="489" spans="96:96" ht="14.25" customHeight="1" x14ac:dyDescent="0.2">
      <c r="CR489" s="155"/>
    </row>
    <row r="490" spans="96:96" ht="14.25" customHeight="1" x14ac:dyDescent="0.2">
      <c r="CR490" s="155"/>
    </row>
    <row r="491" spans="96:96" ht="14.25" customHeight="1" x14ac:dyDescent="0.2">
      <c r="CR491" s="155"/>
    </row>
    <row r="492" spans="96:96" ht="14.25" customHeight="1" x14ac:dyDescent="0.2">
      <c r="CR492" s="155"/>
    </row>
    <row r="493" spans="96:96" ht="14.25" customHeight="1" x14ac:dyDescent="0.2">
      <c r="CR493" s="155"/>
    </row>
    <row r="494" spans="96:96" ht="14.25" customHeight="1" x14ac:dyDescent="0.2">
      <c r="CR494" s="155"/>
    </row>
    <row r="495" spans="96:96" ht="14.25" customHeight="1" x14ac:dyDescent="0.2">
      <c r="CR495" s="155"/>
    </row>
    <row r="496" spans="96:96" ht="14.25" customHeight="1" x14ac:dyDescent="0.2">
      <c r="CR496" s="155"/>
    </row>
    <row r="497" spans="96:96" ht="14.25" customHeight="1" x14ac:dyDescent="0.2">
      <c r="CR497" s="155"/>
    </row>
    <row r="498" spans="96:96" ht="14.25" customHeight="1" x14ac:dyDescent="0.2">
      <c r="CR498" s="155"/>
    </row>
    <row r="499" spans="96:96" ht="14.25" customHeight="1" x14ac:dyDescent="0.2">
      <c r="CR499" s="155"/>
    </row>
    <row r="500" spans="96:96" ht="14.25" customHeight="1" x14ac:dyDescent="0.2">
      <c r="CR500" s="155"/>
    </row>
    <row r="501" spans="96:96" ht="14.25" customHeight="1" x14ac:dyDescent="0.2">
      <c r="CR501" s="155"/>
    </row>
    <row r="502" spans="96:96" ht="14.25" customHeight="1" x14ac:dyDescent="0.2">
      <c r="CR502" s="155"/>
    </row>
    <row r="503" spans="96:96" ht="14.25" customHeight="1" x14ac:dyDescent="0.2">
      <c r="CR503" s="155"/>
    </row>
    <row r="504" spans="96:96" ht="14.25" customHeight="1" x14ac:dyDescent="0.2">
      <c r="CR504" s="155"/>
    </row>
    <row r="505" spans="96:96" ht="14.25" customHeight="1" x14ac:dyDescent="0.2">
      <c r="CR505" s="155"/>
    </row>
    <row r="506" spans="96:96" ht="14.25" customHeight="1" x14ac:dyDescent="0.2">
      <c r="CR506" s="155"/>
    </row>
    <row r="507" spans="96:96" ht="14.25" customHeight="1" x14ac:dyDescent="0.2">
      <c r="CR507" s="155"/>
    </row>
    <row r="508" spans="96:96" ht="14.25" customHeight="1" x14ac:dyDescent="0.2">
      <c r="CR508" s="155"/>
    </row>
    <row r="509" spans="96:96" ht="14.25" customHeight="1" x14ac:dyDescent="0.2">
      <c r="CR509" s="155"/>
    </row>
    <row r="510" spans="96:96" ht="14.25" customHeight="1" x14ac:dyDescent="0.2">
      <c r="CR510" s="155"/>
    </row>
    <row r="511" spans="96:96" ht="14.25" customHeight="1" x14ac:dyDescent="0.2">
      <c r="CR511" s="155"/>
    </row>
    <row r="512" spans="96:96" ht="14.25" customHeight="1" x14ac:dyDescent="0.2">
      <c r="CR512" s="155"/>
    </row>
    <row r="513" spans="96:96" ht="14.25" customHeight="1" x14ac:dyDescent="0.2">
      <c r="CR513" s="155"/>
    </row>
    <row r="514" spans="96:96" ht="14.25" customHeight="1" x14ac:dyDescent="0.2">
      <c r="CR514" s="155"/>
    </row>
    <row r="515" spans="96:96" ht="14.25" customHeight="1" x14ac:dyDescent="0.2">
      <c r="CR515" s="155"/>
    </row>
    <row r="516" spans="96:96" ht="14.25" customHeight="1" x14ac:dyDescent="0.2">
      <c r="CR516" s="155"/>
    </row>
    <row r="517" spans="96:96" ht="14.25" customHeight="1" x14ac:dyDescent="0.2">
      <c r="CR517" s="155"/>
    </row>
    <row r="518" spans="96:96" ht="14.25" customHeight="1" x14ac:dyDescent="0.2">
      <c r="CR518" s="155"/>
    </row>
    <row r="519" spans="96:96" ht="14.25" customHeight="1" x14ac:dyDescent="0.2">
      <c r="CR519" s="155"/>
    </row>
    <row r="520" spans="96:96" ht="14.25" customHeight="1" x14ac:dyDescent="0.2">
      <c r="CR520" s="155"/>
    </row>
    <row r="521" spans="96:96" ht="14.25" customHeight="1" x14ac:dyDescent="0.2">
      <c r="CR521" s="155"/>
    </row>
    <row r="522" spans="96:96" ht="14.25" customHeight="1" x14ac:dyDescent="0.2">
      <c r="CR522" s="155"/>
    </row>
    <row r="523" spans="96:96" ht="14.25" customHeight="1" x14ac:dyDescent="0.2">
      <c r="CR523" s="155"/>
    </row>
    <row r="524" spans="96:96" ht="14.25" customHeight="1" x14ac:dyDescent="0.2">
      <c r="CR524" s="155"/>
    </row>
    <row r="525" spans="96:96" ht="14.25" customHeight="1" x14ac:dyDescent="0.2">
      <c r="CR525" s="155"/>
    </row>
    <row r="526" spans="96:96" ht="14.25" customHeight="1" x14ac:dyDescent="0.2">
      <c r="CR526" s="155"/>
    </row>
    <row r="527" spans="96:96" ht="14.25" customHeight="1" x14ac:dyDescent="0.2">
      <c r="CR527" s="155"/>
    </row>
    <row r="528" spans="96:96" ht="14.25" customHeight="1" x14ac:dyDescent="0.2">
      <c r="CR528" s="155"/>
    </row>
    <row r="529" spans="96:96" ht="14.25" customHeight="1" x14ac:dyDescent="0.2">
      <c r="CR529" s="155"/>
    </row>
    <row r="530" spans="96:96" ht="14.25" customHeight="1" x14ac:dyDescent="0.2">
      <c r="CR530" s="155"/>
    </row>
    <row r="531" spans="96:96" ht="14.25" customHeight="1" x14ac:dyDescent="0.2">
      <c r="CR531" s="155"/>
    </row>
    <row r="532" spans="96:96" ht="14.25" customHeight="1" x14ac:dyDescent="0.2">
      <c r="CR532" s="155"/>
    </row>
    <row r="533" spans="96:96" ht="14.25" customHeight="1" x14ac:dyDescent="0.2">
      <c r="CR533" s="155"/>
    </row>
    <row r="534" spans="96:96" ht="14.25" customHeight="1" x14ac:dyDescent="0.2">
      <c r="CR534" s="155"/>
    </row>
    <row r="535" spans="96:96" ht="14.25" customHeight="1" x14ac:dyDescent="0.2">
      <c r="CR535" s="155"/>
    </row>
    <row r="536" spans="96:96" ht="14.25" customHeight="1" x14ac:dyDescent="0.2">
      <c r="CR536" s="155"/>
    </row>
    <row r="537" spans="96:96" ht="14.25" customHeight="1" x14ac:dyDescent="0.2">
      <c r="CR537" s="155"/>
    </row>
    <row r="538" spans="96:96" ht="14.25" customHeight="1" x14ac:dyDescent="0.2">
      <c r="CR538" s="155"/>
    </row>
    <row r="539" spans="96:96" ht="14.25" customHeight="1" x14ac:dyDescent="0.2">
      <c r="CR539" s="155"/>
    </row>
    <row r="540" spans="96:96" ht="14.25" customHeight="1" x14ac:dyDescent="0.2">
      <c r="CR540" s="155"/>
    </row>
    <row r="541" spans="96:96" ht="14.25" customHeight="1" x14ac:dyDescent="0.2">
      <c r="CR541" s="155"/>
    </row>
    <row r="542" spans="96:96" ht="14.25" customHeight="1" x14ac:dyDescent="0.2">
      <c r="CR542" s="155"/>
    </row>
    <row r="543" spans="96:96" ht="14.25" customHeight="1" x14ac:dyDescent="0.2">
      <c r="CR543" s="155"/>
    </row>
    <row r="544" spans="96:96" ht="14.25" customHeight="1" x14ac:dyDescent="0.2">
      <c r="CR544" s="155"/>
    </row>
    <row r="545" spans="96:96" ht="14.25" customHeight="1" x14ac:dyDescent="0.2">
      <c r="CR545" s="155"/>
    </row>
    <row r="546" spans="96:96" ht="14.25" customHeight="1" x14ac:dyDescent="0.2">
      <c r="CR546" s="155"/>
    </row>
    <row r="547" spans="96:96" ht="14.25" customHeight="1" x14ac:dyDescent="0.2">
      <c r="CR547" s="155"/>
    </row>
    <row r="548" spans="96:96" ht="14.25" customHeight="1" x14ac:dyDescent="0.2">
      <c r="CR548" s="155"/>
    </row>
    <row r="549" spans="96:96" ht="14.25" customHeight="1" x14ac:dyDescent="0.2">
      <c r="CR549" s="155"/>
    </row>
    <row r="550" spans="96:96" ht="14.25" customHeight="1" x14ac:dyDescent="0.2">
      <c r="CR550" s="155"/>
    </row>
    <row r="551" spans="96:96" ht="14.25" customHeight="1" x14ac:dyDescent="0.2">
      <c r="CR551" s="155"/>
    </row>
    <row r="552" spans="96:96" ht="14.25" customHeight="1" x14ac:dyDescent="0.2">
      <c r="CR552" s="155"/>
    </row>
    <row r="553" spans="96:96" ht="14.25" customHeight="1" x14ac:dyDescent="0.2">
      <c r="CR553" s="155"/>
    </row>
    <row r="554" spans="96:96" ht="14.25" customHeight="1" x14ac:dyDescent="0.2">
      <c r="CR554" s="155"/>
    </row>
    <row r="555" spans="96:96" ht="14.25" customHeight="1" x14ac:dyDescent="0.2">
      <c r="CR555" s="155"/>
    </row>
    <row r="556" spans="96:96" ht="14.25" customHeight="1" x14ac:dyDescent="0.2">
      <c r="CR556" s="155"/>
    </row>
    <row r="557" spans="96:96" ht="14.25" customHeight="1" x14ac:dyDescent="0.2">
      <c r="CR557" s="155"/>
    </row>
    <row r="558" spans="96:96" ht="14.25" customHeight="1" x14ac:dyDescent="0.2">
      <c r="CR558" s="155"/>
    </row>
    <row r="559" spans="96:96" ht="14.25" customHeight="1" x14ac:dyDescent="0.2">
      <c r="CR559" s="155"/>
    </row>
    <row r="560" spans="96:96" ht="14.25" customHeight="1" x14ac:dyDescent="0.2">
      <c r="CR560" s="155"/>
    </row>
    <row r="561" spans="96:96" ht="14.25" customHeight="1" x14ac:dyDescent="0.2">
      <c r="CR561" s="155"/>
    </row>
    <row r="562" spans="96:96" ht="14.25" customHeight="1" x14ac:dyDescent="0.2">
      <c r="CR562" s="155"/>
    </row>
    <row r="563" spans="96:96" ht="14.25" customHeight="1" x14ac:dyDescent="0.2">
      <c r="CR563" s="155"/>
    </row>
    <row r="564" spans="96:96" ht="14.25" customHeight="1" x14ac:dyDescent="0.2">
      <c r="CR564" s="155"/>
    </row>
    <row r="565" spans="96:96" ht="14.25" customHeight="1" x14ac:dyDescent="0.2">
      <c r="CR565" s="155"/>
    </row>
    <row r="566" spans="96:96" ht="14.25" customHeight="1" x14ac:dyDescent="0.2">
      <c r="CR566" s="155"/>
    </row>
    <row r="567" spans="96:96" ht="14.25" customHeight="1" x14ac:dyDescent="0.2">
      <c r="CR567" s="155"/>
    </row>
    <row r="568" spans="96:96" ht="14.25" customHeight="1" x14ac:dyDescent="0.2">
      <c r="CR568" s="155"/>
    </row>
    <row r="569" spans="96:96" ht="14.25" customHeight="1" x14ac:dyDescent="0.2">
      <c r="CR569" s="155"/>
    </row>
    <row r="570" spans="96:96" ht="14.25" customHeight="1" x14ac:dyDescent="0.2">
      <c r="CR570" s="155"/>
    </row>
    <row r="571" spans="96:96" ht="14.25" customHeight="1" x14ac:dyDescent="0.2">
      <c r="CR571" s="155"/>
    </row>
    <row r="572" spans="96:96" ht="14.25" customHeight="1" x14ac:dyDescent="0.2">
      <c r="CR572" s="155"/>
    </row>
    <row r="573" spans="96:96" ht="14.25" customHeight="1" x14ac:dyDescent="0.2">
      <c r="CR573" s="155"/>
    </row>
    <row r="574" spans="96:96" ht="14.25" customHeight="1" x14ac:dyDescent="0.2">
      <c r="CR574" s="155"/>
    </row>
    <row r="575" spans="96:96" ht="14.25" customHeight="1" x14ac:dyDescent="0.2">
      <c r="CR575" s="155"/>
    </row>
    <row r="576" spans="96:96" ht="14.25" customHeight="1" x14ac:dyDescent="0.2">
      <c r="CR576" s="155"/>
    </row>
    <row r="577" spans="96:96" ht="14.25" customHeight="1" x14ac:dyDescent="0.2">
      <c r="CR577" s="155"/>
    </row>
    <row r="578" spans="96:96" ht="14.25" customHeight="1" x14ac:dyDescent="0.2">
      <c r="CR578" s="155"/>
    </row>
    <row r="579" spans="96:96" ht="14.25" customHeight="1" x14ac:dyDescent="0.2">
      <c r="CR579" s="155"/>
    </row>
    <row r="580" spans="96:96" ht="14.25" customHeight="1" x14ac:dyDescent="0.2">
      <c r="CR580" s="155"/>
    </row>
    <row r="581" spans="96:96" ht="14.25" customHeight="1" x14ac:dyDescent="0.2">
      <c r="CR581" s="155"/>
    </row>
    <row r="582" spans="96:96" ht="14.25" customHeight="1" x14ac:dyDescent="0.2">
      <c r="CR582" s="155"/>
    </row>
    <row r="583" spans="96:96" ht="14.25" customHeight="1" x14ac:dyDescent="0.2">
      <c r="CR583" s="155"/>
    </row>
    <row r="584" spans="96:96" ht="14.25" customHeight="1" x14ac:dyDescent="0.2">
      <c r="CR584" s="155"/>
    </row>
    <row r="585" spans="96:96" ht="14.25" customHeight="1" x14ac:dyDescent="0.2">
      <c r="CR585" s="155"/>
    </row>
    <row r="586" spans="96:96" ht="14.25" customHeight="1" x14ac:dyDescent="0.2">
      <c r="CR586" s="155"/>
    </row>
    <row r="587" spans="96:96" ht="14.25" customHeight="1" x14ac:dyDescent="0.2">
      <c r="CR587" s="155"/>
    </row>
    <row r="588" spans="96:96" ht="14.25" customHeight="1" x14ac:dyDescent="0.2">
      <c r="CR588" s="155"/>
    </row>
    <row r="589" spans="96:96" ht="14.25" customHeight="1" x14ac:dyDescent="0.2">
      <c r="CR589" s="155"/>
    </row>
    <row r="590" spans="96:96" ht="14.25" customHeight="1" x14ac:dyDescent="0.2">
      <c r="CR590" s="155"/>
    </row>
    <row r="591" spans="96:96" ht="14.25" customHeight="1" x14ac:dyDescent="0.2">
      <c r="CR591" s="155"/>
    </row>
    <row r="592" spans="96:96" ht="14.25" customHeight="1" x14ac:dyDescent="0.2">
      <c r="CR592" s="155"/>
    </row>
    <row r="593" spans="96:96" ht="14.25" customHeight="1" x14ac:dyDescent="0.2">
      <c r="CR593" s="155"/>
    </row>
    <row r="594" spans="96:96" ht="14.25" customHeight="1" x14ac:dyDescent="0.2">
      <c r="CR594" s="155"/>
    </row>
    <row r="595" spans="96:96" ht="14.25" customHeight="1" x14ac:dyDescent="0.2">
      <c r="CR595" s="155"/>
    </row>
    <row r="596" spans="96:96" ht="14.25" customHeight="1" x14ac:dyDescent="0.2">
      <c r="CR596" s="155"/>
    </row>
    <row r="597" spans="96:96" ht="14.25" customHeight="1" x14ac:dyDescent="0.2">
      <c r="CR597" s="155"/>
    </row>
    <row r="598" spans="96:96" ht="14.25" customHeight="1" x14ac:dyDescent="0.2">
      <c r="CR598" s="155"/>
    </row>
    <row r="599" spans="96:96" ht="14.25" customHeight="1" x14ac:dyDescent="0.2">
      <c r="CR599" s="155"/>
    </row>
    <row r="600" spans="96:96" ht="14.25" customHeight="1" x14ac:dyDescent="0.2">
      <c r="CR600" s="155"/>
    </row>
    <row r="601" spans="96:96" ht="14.25" customHeight="1" x14ac:dyDescent="0.2">
      <c r="CR601" s="155"/>
    </row>
    <row r="602" spans="96:96" ht="14.25" customHeight="1" x14ac:dyDescent="0.2">
      <c r="CR602" s="155"/>
    </row>
    <row r="603" spans="96:96" ht="14.25" customHeight="1" x14ac:dyDescent="0.2">
      <c r="CR603" s="155"/>
    </row>
    <row r="604" spans="96:96" ht="14.25" customHeight="1" x14ac:dyDescent="0.2">
      <c r="CR604" s="155"/>
    </row>
    <row r="605" spans="96:96" ht="14.25" customHeight="1" x14ac:dyDescent="0.2">
      <c r="CR605" s="155"/>
    </row>
    <row r="606" spans="96:96" ht="14.25" customHeight="1" x14ac:dyDescent="0.2">
      <c r="CR606" s="155"/>
    </row>
    <row r="607" spans="96:96" ht="14.25" customHeight="1" x14ac:dyDescent="0.2">
      <c r="CR607" s="155"/>
    </row>
    <row r="608" spans="96:96" ht="14.25" customHeight="1" x14ac:dyDescent="0.2">
      <c r="CR608" s="155"/>
    </row>
    <row r="609" spans="96:96" ht="14.25" customHeight="1" x14ac:dyDescent="0.2">
      <c r="CR609" s="155"/>
    </row>
    <row r="610" spans="96:96" ht="14.25" customHeight="1" x14ac:dyDescent="0.2">
      <c r="CR610" s="155"/>
    </row>
    <row r="611" spans="96:96" ht="14.25" customHeight="1" x14ac:dyDescent="0.2">
      <c r="CR611" s="155"/>
    </row>
    <row r="612" spans="96:96" ht="14.25" customHeight="1" x14ac:dyDescent="0.2">
      <c r="CR612" s="155"/>
    </row>
    <row r="613" spans="96:96" ht="14.25" customHeight="1" x14ac:dyDescent="0.2">
      <c r="CR613" s="155"/>
    </row>
    <row r="614" spans="96:96" ht="14.25" customHeight="1" x14ac:dyDescent="0.2">
      <c r="CR614" s="155"/>
    </row>
    <row r="615" spans="96:96" ht="14.25" customHeight="1" x14ac:dyDescent="0.2">
      <c r="CR615" s="155"/>
    </row>
    <row r="616" spans="96:96" ht="14.25" customHeight="1" x14ac:dyDescent="0.2">
      <c r="CR616" s="155"/>
    </row>
    <row r="617" spans="96:96" ht="14.25" customHeight="1" x14ac:dyDescent="0.2">
      <c r="CR617" s="155"/>
    </row>
    <row r="618" spans="96:96" ht="14.25" customHeight="1" x14ac:dyDescent="0.2">
      <c r="CR618" s="155"/>
    </row>
    <row r="619" spans="96:96" ht="14.25" customHeight="1" x14ac:dyDescent="0.2">
      <c r="CR619" s="155"/>
    </row>
    <row r="620" spans="96:96" ht="14.25" customHeight="1" x14ac:dyDescent="0.2">
      <c r="CR620" s="155"/>
    </row>
    <row r="621" spans="96:96" ht="14.25" customHeight="1" x14ac:dyDescent="0.2">
      <c r="CR621" s="155"/>
    </row>
    <row r="622" spans="96:96" ht="14.25" customHeight="1" x14ac:dyDescent="0.2">
      <c r="CR622" s="155"/>
    </row>
    <row r="623" spans="96:96" ht="14.25" customHeight="1" x14ac:dyDescent="0.2">
      <c r="CR623" s="155"/>
    </row>
    <row r="624" spans="96:96" ht="14.25" customHeight="1" x14ac:dyDescent="0.2">
      <c r="CR624" s="155"/>
    </row>
    <row r="625" spans="96:96" ht="14.25" customHeight="1" x14ac:dyDescent="0.2">
      <c r="CR625" s="155"/>
    </row>
    <row r="626" spans="96:96" ht="14.25" customHeight="1" x14ac:dyDescent="0.2">
      <c r="CR626" s="155"/>
    </row>
    <row r="627" spans="96:96" ht="14.25" customHeight="1" x14ac:dyDescent="0.2">
      <c r="CR627" s="155"/>
    </row>
    <row r="628" spans="96:96" ht="14.25" customHeight="1" x14ac:dyDescent="0.2">
      <c r="CR628" s="155"/>
    </row>
    <row r="629" spans="96:96" ht="14.25" customHeight="1" x14ac:dyDescent="0.2">
      <c r="CR629" s="155"/>
    </row>
    <row r="630" spans="96:96" ht="14.25" customHeight="1" x14ac:dyDescent="0.2">
      <c r="CR630" s="155"/>
    </row>
    <row r="631" spans="96:96" ht="14.25" customHeight="1" x14ac:dyDescent="0.2">
      <c r="CR631" s="155"/>
    </row>
    <row r="632" spans="96:96" ht="14.25" customHeight="1" x14ac:dyDescent="0.2">
      <c r="CR632" s="155"/>
    </row>
    <row r="633" spans="96:96" ht="14.25" customHeight="1" x14ac:dyDescent="0.2">
      <c r="CR633" s="155"/>
    </row>
    <row r="634" spans="96:96" ht="14.25" customHeight="1" x14ac:dyDescent="0.2">
      <c r="CR634" s="155"/>
    </row>
    <row r="635" spans="96:96" ht="14.25" customHeight="1" x14ac:dyDescent="0.2">
      <c r="CR635" s="155"/>
    </row>
    <row r="636" spans="96:96" ht="14.25" customHeight="1" x14ac:dyDescent="0.2">
      <c r="CR636" s="155"/>
    </row>
    <row r="637" spans="96:96" ht="14.25" customHeight="1" x14ac:dyDescent="0.2">
      <c r="CR637" s="155"/>
    </row>
    <row r="638" spans="96:96" ht="14.25" customHeight="1" x14ac:dyDescent="0.2">
      <c r="CR638" s="155"/>
    </row>
    <row r="639" spans="96:96" ht="14.25" customHeight="1" x14ac:dyDescent="0.2">
      <c r="CR639" s="155"/>
    </row>
    <row r="640" spans="96:96" ht="14.25" customHeight="1" x14ac:dyDescent="0.2">
      <c r="CR640" s="155"/>
    </row>
    <row r="641" spans="96:96" ht="14.25" customHeight="1" x14ac:dyDescent="0.2">
      <c r="CR641" s="155"/>
    </row>
    <row r="642" spans="96:96" ht="14.25" customHeight="1" x14ac:dyDescent="0.2">
      <c r="CR642" s="155"/>
    </row>
    <row r="643" spans="96:96" ht="14.25" customHeight="1" x14ac:dyDescent="0.2">
      <c r="CR643" s="155"/>
    </row>
    <row r="644" spans="96:96" ht="14.25" customHeight="1" x14ac:dyDescent="0.2">
      <c r="CR644" s="155"/>
    </row>
    <row r="645" spans="96:96" ht="14.25" customHeight="1" x14ac:dyDescent="0.2">
      <c r="CR645" s="155"/>
    </row>
    <row r="646" spans="96:96" ht="14.25" customHeight="1" x14ac:dyDescent="0.2">
      <c r="CR646" s="155"/>
    </row>
    <row r="647" spans="96:96" ht="14.25" customHeight="1" x14ac:dyDescent="0.2">
      <c r="CR647" s="155"/>
    </row>
    <row r="648" spans="96:96" ht="14.25" customHeight="1" x14ac:dyDescent="0.2">
      <c r="CR648" s="155"/>
    </row>
    <row r="649" spans="96:96" ht="14.25" customHeight="1" x14ac:dyDescent="0.2">
      <c r="CR649" s="155"/>
    </row>
    <row r="650" spans="96:96" ht="14.25" customHeight="1" x14ac:dyDescent="0.2">
      <c r="CR650" s="155"/>
    </row>
    <row r="651" spans="96:96" ht="14.25" customHeight="1" x14ac:dyDescent="0.2">
      <c r="CR651" s="155"/>
    </row>
    <row r="652" spans="96:96" ht="14.25" customHeight="1" x14ac:dyDescent="0.2">
      <c r="CR652" s="155"/>
    </row>
    <row r="653" spans="96:96" ht="14.25" customHeight="1" x14ac:dyDescent="0.2">
      <c r="CR653" s="155"/>
    </row>
    <row r="654" spans="96:96" ht="14.25" customHeight="1" x14ac:dyDescent="0.2">
      <c r="CR654" s="155"/>
    </row>
    <row r="655" spans="96:96" ht="14.25" customHeight="1" x14ac:dyDescent="0.2">
      <c r="CR655" s="155"/>
    </row>
    <row r="656" spans="96:96" ht="14.25" customHeight="1" x14ac:dyDescent="0.2">
      <c r="CR656" s="155"/>
    </row>
    <row r="657" spans="96:96" ht="14.25" customHeight="1" x14ac:dyDescent="0.2">
      <c r="CR657" s="155"/>
    </row>
    <row r="658" spans="96:96" ht="14.25" customHeight="1" x14ac:dyDescent="0.2">
      <c r="CR658" s="155"/>
    </row>
    <row r="659" spans="96:96" ht="14.25" customHeight="1" x14ac:dyDescent="0.2">
      <c r="CR659" s="155"/>
    </row>
    <row r="660" spans="96:96" ht="14.25" customHeight="1" x14ac:dyDescent="0.2">
      <c r="CR660" s="155"/>
    </row>
    <row r="661" spans="96:96" ht="14.25" customHeight="1" x14ac:dyDescent="0.2">
      <c r="CR661" s="155"/>
    </row>
    <row r="662" spans="96:96" ht="14.25" customHeight="1" x14ac:dyDescent="0.2">
      <c r="CR662" s="155"/>
    </row>
    <row r="663" spans="96:96" ht="14.25" customHeight="1" x14ac:dyDescent="0.2">
      <c r="CR663" s="155"/>
    </row>
    <row r="664" spans="96:96" ht="14.25" customHeight="1" x14ac:dyDescent="0.2">
      <c r="CR664" s="155"/>
    </row>
    <row r="665" spans="96:96" ht="14.25" customHeight="1" x14ac:dyDescent="0.2">
      <c r="CR665" s="155"/>
    </row>
    <row r="666" spans="96:96" ht="14.25" customHeight="1" x14ac:dyDescent="0.2">
      <c r="CR666" s="155"/>
    </row>
    <row r="667" spans="96:96" ht="14.25" customHeight="1" x14ac:dyDescent="0.2">
      <c r="CR667" s="155"/>
    </row>
    <row r="668" spans="96:96" ht="14.25" customHeight="1" x14ac:dyDescent="0.2">
      <c r="CR668" s="155"/>
    </row>
    <row r="669" spans="96:96" ht="14.25" customHeight="1" x14ac:dyDescent="0.2">
      <c r="CR669" s="155"/>
    </row>
    <row r="670" spans="96:96" ht="14.25" customHeight="1" x14ac:dyDescent="0.2">
      <c r="CR670" s="155"/>
    </row>
    <row r="671" spans="96:96" ht="14.25" customHeight="1" x14ac:dyDescent="0.2">
      <c r="CR671" s="155"/>
    </row>
    <row r="672" spans="96:96" ht="14.25" customHeight="1" x14ac:dyDescent="0.2">
      <c r="CR672" s="155"/>
    </row>
    <row r="673" spans="96:96" ht="14.25" customHeight="1" x14ac:dyDescent="0.2">
      <c r="CR673" s="155"/>
    </row>
    <row r="674" spans="96:96" ht="14.25" customHeight="1" x14ac:dyDescent="0.2">
      <c r="CR674" s="155"/>
    </row>
    <row r="675" spans="96:96" ht="14.25" customHeight="1" x14ac:dyDescent="0.2">
      <c r="CR675" s="155"/>
    </row>
    <row r="676" spans="96:96" ht="14.25" customHeight="1" x14ac:dyDescent="0.2">
      <c r="CR676" s="155"/>
    </row>
    <row r="677" spans="96:96" ht="14.25" customHeight="1" x14ac:dyDescent="0.2">
      <c r="CR677" s="155"/>
    </row>
    <row r="678" spans="96:96" ht="14.25" customHeight="1" x14ac:dyDescent="0.2">
      <c r="CR678" s="155"/>
    </row>
    <row r="679" spans="96:96" ht="14.25" customHeight="1" x14ac:dyDescent="0.2">
      <c r="CR679" s="155"/>
    </row>
    <row r="680" spans="96:96" ht="14.25" customHeight="1" x14ac:dyDescent="0.2">
      <c r="CR680" s="155"/>
    </row>
    <row r="681" spans="96:96" ht="14.25" customHeight="1" x14ac:dyDescent="0.2">
      <c r="CR681" s="155"/>
    </row>
    <row r="682" spans="96:96" ht="14.25" customHeight="1" x14ac:dyDescent="0.2">
      <c r="CR682" s="155"/>
    </row>
    <row r="683" spans="96:96" ht="14.25" customHeight="1" x14ac:dyDescent="0.2">
      <c r="CR683" s="155"/>
    </row>
    <row r="684" spans="96:96" ht="14.25" customHeight="1" x14ac:dyDescent="0.2">
      <c r="CR684" s="155"/>
    </row>
    <row r="685" spans="96:96" ht="14.25" customHeight="1" x14ac:dyDescent="0.2">
      <c r="CR685" s="155"/>
    </row>
    <row r="686" spans="96:96" ht="14.25" customHeight="1" x14ac:dyDescent="0.2">
      <c r="CR686" s="155"/>
    </row>
    <row r="687" spans="96:96" ht="14.25" customHeight="1" x14ac:dyDescent="0.2">
      <c r="CR687" s="155"/>
    </row>
    <row r="688" spans="96:96" ht="14.25" customHeight="1" x14ac:dyDescent="0.2">
      <c r="CR688" s="155"/>
    </row>
    <row r="689" spans="96:96" ht="14.25" customHeight="1" x14ac:dyDescent="0.2">
      <c r="CR689" s="155"/>
    </row>
    <row r="690" spans="96:96" ht="14.25" customHeight="1" x14ac:dyDescent="0.2">
      <c r="CR690" s="155"/>
    </row>
    <row r="691" spans="96:96" ht="14.25" customHeight="1" x14ac:dyDescent="0.2">
      <c r="CR691" s="155"/>
    </row>
    <row r="692" spans="96:96" ht="14.25" customHeight="1" x14ac:dyDescent="0.2">
      <c r="CR692" s="155"/>
    </row>
    <row r="693" spans="96:96" ht="14.25" customHeight="1" x14ac:dyDescent="0.2">
      <c r="CR693" s="155"/>
    </row>
    <row r="694" spans="96:96" ht="14.25" customHeight="1" x14ac:dyDescent="0.2">
      <c r="CR694" s="155"/>
    </row>
    <row r="695" spans="96:96" ht="14.25" customHeight="1" x14ac:dyDescent="0.2">
      <c r="CR695" s="155"/>
    </row>
    <row r="696" spans="96:96" ht="14.25" customHeight="1" x14ac:dyDescent="0.2">
      <c r="CR696" s="155"/>
    </row>
    <row r="697" spans="96:96" ht="14.25" customHeight="1" x14ac:dyDescent="0.2">
      <c r="CR697" s="155"/>
    </row>
    <row r="698" spans="96:96" ht="14.25" customHeight="1" x14ac:dyDescent="0.2">
      <c r="CR698" s="155"/>
    </row>
    <row r="699" spans="96:96" ht="14.25" customHeight="1" x14ac:dyDescent="0.2">
      <c r="CR699" s="155"/>
    </row>
    <row r="700" spans="96:96" ht="14.25" customHeight="1" x14ac:dyDescent="0.2">
      <c r="CR700" s="155"/>
    </row>
    <row r="701" spans="96:96" ht="14.25" customHeight="1" x14ac:dyDescent="0.2">
      <c r="CR701" s="155"/>
    </row>
    <row r="702" spans="96:96" ht="14.25" customHeight="1" x14ac:dyDescent="0.2">
      <c r="CR702" s="155"/>
    </row>
    <row r="703" spans="96:96" ht="14.25" customHeight="1" x14ac:dyDescent="0.2">
      <c r="CR703" s="155"/>
    </row>
    <row r="704" spans="96:96" ht="14.25" customHeight="1" x14ac:dyDescent="0.2">
      <c r="CR704" s="155"/>
    </row>
    <row r="705" spans="96:96" ht="14.25" customHeight="1" x14ac:dyDescent="0.2">
      <c r="CR705" s="155"/>
    </row>
    <row r="706" spans="96:96" ht="14.25" customHeight="1" x14ac:dyDescent="0.2">
      <c r="CR706" s="155"/>
    </row>
    <row r="707" spans="96:96" ht="14.25" customHeight="1" x14ac:dyDescent="0.2">
      <c r="CR707" s="155"/>
    </row>
    <row r="708" spans="96:96" ht="14.25" customHeight="1" x14ac:dyDescent="0.2">
      <c r="CR708" s="155"/>
    </row>
    <row r="709" spans="96:96" ht="14.25" customHeight="1" x14ac:dyDescent="0.2">
      <c r="CR709" s="155"/>
    </row>
    <row r="710" spans="96:96" ht="14.25" customHeight="1" x14ac:dyDescent="0.2">
      <c r="CR710" s="155"/>
    </row>
    <row r="711" spans="96:96" ht="14.25" customHeight="1" x14ac:dyDescent="0.2">
      <c r="CR711" s="155"/>
    </row>
    <row r="712" spans="96:96" ht="14.25" customHeight="1" x14ac:dyDescent="0.2">
      <c r="CR712" s="155"/>
    </row>
    <row r="713" spans="96:96" ht="14.25" customHeight="1" x14ac:dyDescent="0.2">
      <c r="CR713" s="155"/>
    </row>
    <row r="714" spans="96:96" ht="14.25" customHeight="1" x14ac:dyDescent="0.2">
      <c r="CR714" s="155"/>
    </row>
    <row r="715" spans="96:96" ht="14.25" customHeight="1" x14ac:dyDescent="0.2">
      <c r="CR715" s="155"/>
    </row>
    <row r="716" spans="96:96" ht="14.25" customHeight="1" x14ac:dyDescent="0.2">
      <c r="CR716" s="155"/>
    </row>
    <row r="717" spans="96:96" ht="14.25" customHeight="1" x14ac:dyDescent="0.2">
      <c r="CR717" s="155"/>
    </row>
    <row r="718" spans="96:96" ht="14.25" customHeight="1" x14ac:dyDescent="0.2">
      <c r="CR718" s="155"/>
    </row>
    <row r="719" spans="96:96" ht="14.25" customHeight="1" x14ac:dyDescent="0.2">
      <c r="CR719" s="155"/>
    </row>
    <row r="720" spans="96:96" ht="14.25" customHeight="1" x14ac:dyDescent="0.2">
      <c r="CR720" s="155"/>
    </row>
    <row r="721" spans="96:96" ht="14.25" customHeight="1" x14ac:dyDescent="0.2">
      <c r="CR721" s="155"/>
    </row>
    <row r="722" spans="96:96" ht="14.25" customHeight="1" x14ac:dyDescent="0.2">
      <c r="CR722" s="155"/>
    </row>
    <row r="723" spans="96:96" ht="14.25" customHeight="1" x14ac:dyDescent="0.2">
      <c r="CR723" s="155"/>
    </row>
    <row r="724" spans="96:96" ht="14.25" customHeight="1" x14ac:dyDescent="0.2">
      <c r="CR724" s="155"/>
    </row>
    <row r="725" spans="96:96" ht="14.25" customHeight="1" x14ac:dyDescent="0.2">
      <c r="CR725" s="155"/>
    </row>
    <row r="726" spans="96:96" ht="14.25" customHeight="1" x14ac:dyDescent="0.2">
      <c r="CR726" s="155"/>
    </row>
    <row r="727" spans="96:96" ht="14.25" customHeight="1" x14ac:dyDescent="0.2">
      <c r="CR727" s="155"/>
    </row>
    <row r="728" spans="96:96" ht="14.25" customHeight="1" x14ac:dyDescent="0.2">
      <c r="CR728" s="155"/>
    </row>
    <row r="729" spans="96:96" ht="14.25" customHeight="1" x14ac:dyDescent="0.2">
      <c r="CR729" s="155"/>
    </row>
    <row r="730" spans="96:96" ht="14.25" customHeight="1" x14ac:dyDescent="0.2">
      <c r="CR730" s="155"/>
    </row>
    <row r="731" spans="96:96" ht="14.25" customHeight="1" x14ac:dyDescent="0.2">
      <c r="CR731" s="155"/>
    </row>
    <row r="732" spans="96:96" ht="14.25" customHeight="1" x14ac:dyDescent="0.2">
      <c r="CR732" s="155"/>
    </row>
    <row r="733" spans="96:96" ht="14.25" customHeight="1" x14ac:dyDescent="0.2">
      <c r="CR733" s="155"/>
    </row>
    <row r="734" spans="96:96" ht="14.25" customHeight="1" x14ac:dyDescent="0.2">
      <c r="CR734" s="155"/>
    </row>
    <row r="735" spans="96:96" ht="14.25" customHeight="1" x14ac:dyDescent="0.2">
      <c r="CR735" s="155"/>
    </row>
    <row r="736" spans="96:96" ht="14.25" customHeight="1" x14ac:dyDescent="0.2">
      <c r="CR736" s="155"/>
    </row>
    <row r="737" spans="96:96" ht="14.25" customHeight="1" x14ac:dyDescent="0.2">
      <c r="CR737" s="155"/>
    </row>
    <row r="738" spans="96:96" ht="14.25" customHeight="1" x14ac:dyDescent="0.2">
      <c r="CR738" s="155"/>
    </row>
    <row r="739" spans="96:96" ht="14.25" customHeight="1" x14ac:dyDescent="0.2">
      <c r="CR739" s="155"/>
    </row>
    <row r="740" spans="96:96" ht="14.25" customHeight="1" x14ac:dyDescent="0.2">
      <c r="CR740" s="155"/>
    </row>
    <row r="741" spans="96:96" ht="14.25" customHeight="1" x14ac:dyDescent="0.2">
      <c r="CR741" s="155"/>
    </row>
    <row r="742" spans="96:96" ht="14.25" customHeight="1" x14ac:dyDescent="0.2">
      <c r="CR742" s="155"/>
    </row>
    <row r="743" spans="96:96" ht="14.25" customHeight="1" x14ac:dyDescent="0.2">
      <c r="CR743" s="155"/>
    </row>
    <row r="744" spans="96:96" ht="14.25" customHeight="1" x14ac:dyDescent="0.2">
      <c r="CR744" s="155"/>
    </row>
    <row r="745" spans="96:96" ht="14.25" customHeight="1" x14ac:dyDescent="0.2">
      <c r="CR745" s="155"/>
    </row>
    <row r="746" spans="96:96" ht="14.25" customHeight="1" x14ac:dyDescent="0.2">
      <c r="CR746" s="155"/>
    </row>
    <row r="747" spans="96:96" ht="14.25" customHeight="1" x14ac:dyDescent="0.2">
      <c r="CR747" s="155"/>
    </row>
    <row r="748" spans="96:96" ht="14.25" customHeight="1" x14ac:dyDescent="0.2">
      <c r="CR748" s="155"/>
    </row>
    <row r="749" spans="96:96" ht="14.25" customHeight="1" x14ac:dyDescent="0.2">
      <c r="CR749" s="155"/>
    </row>
    <row r="750" spans="96:96" ht="14.25" customHeight="1" x14ac:dyDescent="0.2">
      <c r="CR750" s="155"/>
    </row>
    <row r="751" spans="96:96" ht="14.25" customHeight="1" x14ac:dyDescent="0.2">
      <c r="CR751" s="155"/>
    </row>
    <row r="752" spans="96:96" ht="14.25" customHeight="1" x14ac:dyDescent="0.2">
      <c r="CR752" s="155"/>
    </row>
    <row r="753" spans="96:96" ht="14.25" customHeight="1" x14ac:dyDescent="0.2">
      <c r="CR753" s="155"/>
    </row>
    <row r="754" spans="96:96" ht="14.25" customHeight="1" x14ac:dyDescent="0.2">
      <c r="CR754" s="155"/>
    </row>
    <row r="755" spans="96:96" ht="14.25" customHeight="1" x14ac:dyDescent="0.2">
      <c r="CR755" s="155"/>
    </row>
    <row r="756" spans="96:96" ht="14.25" customHeight="1" x14ac:dyDescent="0.2">
      <c r="CR756" s="155"/>
    </row>
    <row r="757" spans="96:96" ht="14.25" customHeight="1" x14ac:dyDescent="0.2">
      <c r="CR757" s="155"/>
    </row>
    <row r="758" spans="96:96" ht="14.25" customHeight="1" x14ac:dyDescent="0.2">
      <c r="CR758" s="155"/>
    </row>
    <row r="759" spans="96:96" ht="14.25" customHeight="1" x14ac:dyDescent="0.2">
      <c r="CR759" s="155"/>
    </row>
    <row r="760" spans="96:96" ht="14.25" customHeight="1" x14ac:dyDescent="0.2">
      <c r="CR760" s="155"/>
    </row>
    <row r="761" spans="96:96" ht="14.25" customHeight="1" x14ac:dyDescent="0.2">
      <c r="CR761" s="155"/>
    </row>
    <row r="762" spans="96:96" ht="14.25" customHeight="1" x14ac:dyDescent="0.2">
      <c r="CR762" s="155"/>
    </row>
    <row r="763" spans="96:96" ht="14.25" customHeight="1" x14ac:dyDescent="0.2">
      <c r="CR763" s="155"/>
    </row>
    <row r="764" spans="96:96" ht="14.25" customHeight="1" x14ac:dyDescent="0.2">
      <c r="CR764" s="155"/>
    </row>
    <row r="765" spans="96:96" ht="14.25" customHeight="1" x14ac:dyDescent="0.2">
      <c r="CR765" s="155"/>
    </row>
    <row r="766" spans="96:96" ht="14.25" customHeight="1" x14ac:dyDescent="0.2">
      <c r="CR766" s="155"/>
    </row>
    <row r="767" spans="96:96" ht="14.25" customHeight="1" x14ac:dyDescent="0.2">
      <c r="CR767" s="155"/>
    </row>
    <row r="768" spans="96:96" ht="14.25" customHeight="1" x14ac:dyDescent="0.2">
      <c r="CR768" s="155"/>
    </row>
    <row r="769" spans="96:96" ht="14.25" customHeight="1" x14ac:dyDescent="0.2">
      <c r="CR769" s="155"/>
    </row>
    <row r="770" spans="96:96" ht="14.25" customHeight="1" x14ac:dyDescent="0.2">
      <c r="CR770" s="155"/>
    </row>
    <row r="771" spans="96:96" ht="14.25" customHeight="1" x14ac:dyDescent="0.2">
      <c r="CR771" s="155"/>
    </row>
    <row r="772" spans="96:96" ht="14.25" customHeight="1" x14ac:dyDescent="0.2">
      <c r="CR772" s="155"/>
    </row>
    <row r="773" spans="96:96" ht="14.25" customHeight="1" x14ac:dyDescent="0.2">
      <c r="CR773" s="155"/>
    </row>
    <row r="774" spans="96:96" ht="14.25" customHeight="1" x14ac:dyDescent="0.2">
      <c r="CR774" s="155"/>
    </row>
    <row r="775" spans="96:96" ht="14.25" customHeight="1" x14ac:dyDescent="0.2">
      <c r="CR775" s="155"/>
    </row>
    <row r="776" spans="96:96" ht="14.25" customHeight="1" x14ac:dyDescent="0.2">
      <c r="CR776" s="155"/>
    </row>
    <row r="777" spans="96:96" ht="14.25" customHeight="1" x14ac:dyDescent="0.2">
      <c r="CR777" s="155"/>
    </row>
    <row r="778" spans="96:96" ht="14.25" customHeight="1" x14ac:dyDescent="0.2">
      <c r="CR778" s="155"/>
    </row>
    <row r="779" spans="96:96" ht="14.25" customHeight="1" x14ac:dyDescent="0.2">
      <c r="CR779" s="155"/>
    </row>
    <row r="780" spans="96:96" ht="14.25" customHeight="1" x14ac:dyDescent="0.2">
      <c r="CR780" s="155"/>
    </row>
    <row r="781" spans="96:96" ht="14.25" customHeight="1" x14ac:dyDescent="0.2">
      <c r="CR781" s="155"/>
    </row>
    <row r="782" spans="96:96" ht="14.25" customHeight="1" x14ac:dyDescent="0.2">
      <c r="CR782" s="155"/>
    </row>
    <row r="783" spans="96:96" ht="14.25" customHeight="1" x14ac:dyDescent="0.2">
      <c r="CR783" s="155"/>
    </row>
    <row r="784" spans="96:96" ht="14.25" customHeight="1" x14ac:dyDescent="0.2">
      <c r="CR784" s="155"/>
    </row>
    <row r="785" spans="96:96" ht="14.25" customHeight="1" x14ac:dyDescent="0.2">
      <c r="CR785" s="155"/>
    </row>
    <row r="786" spans="96:96" ht="14.25" customHeight="1" x14ac:dyDescent="0.2">
      <c r="CR786" s="155"/>
    </row>
    <row r="787" spans="96:96" ht="14.25" customHeight="1" x14ac:dyDescent="0.2">
      <c r="CR787" s="155"/>
    </row>
    <row r="788" spans="96:96" ht="14.25" customHeight="1" x14ac:dyDescent="0.2">
      <c r="CR788" s="155"/>
    </row>
    <row r="789" spans="96:96" ht="14.25" customHeight="1" x14ac:dyDescent="0.2">
      <c r="CR789" s="155"/>
    </row>
    <row r="790" spans="96:96" ht="14.25" customHeight="1" x14ac:dyDescent="0.2">
      <c r="CR790" s="155"/>
    </row>
    <row r="791" spans="96:96" ht="14.25" customHeight="1" x14ac:dyDescent="0.2">
      <c r="CR791" s="155"/>
    </row>
    <row r="792" spans="96:96" ht="14.25" customHeight="1" x14ac:dyDescent="0.2">
      <c r="CR792" s="155"/>
    </row>
    <row r="793" spans="96:96" ht="14.25" customHeight="1" x14ac:dyDescent="0.2">
      <c r="CR793" s="155"/>
    </row>
    <row r="794" spans="96:96" ht="14.25" customHeight="1" x14ac:dyDescent="0.2">
      <c r="CR794" s="155"/>
    </row>
    <row r="795" spans="96:96" ht="14.25" customHeight="1" x14ac:dyDescent="0.2">
      <c r="CR795" s="155"/>
    </row>
    <row r="796" spans="96:96" ht="14.25" customHeight="1" x14ac:dyDescent="0.2">
      <c r="CR796" s="155"/>
    </row>
    <row r="797" spans="96:96" ht="14.25" customHeight="1" x14ac:dyDescent="0.2">
      <c r="CR797" s="155"/>
    </row>
    <row r="798" spans="96:96" ht="14.25" customHeight="1" x14ac:dyDescent="0.2">
      <c r="CR798" s="155"/>
    </row>
    <row r="799" spans="96:96" ht="14.25" customHeight="1" x14ac:dyDescent="0.2">
      <c r="CR799" s="155"/>
    </row>
    <row r="800" spans="96:96" ht="14.25" customHeight="1" x14ac:dyDescent="0.2">
      <c r="CR800" s="155"/>
    </row>
    <row r="801" spans="96:96" ht="14.25" customHeight="1" x14ac:dyDescent="0.2">
      <c r="CR801" s="155"/>
    </row>
    <row r="802" spans="96:96" ht="14.25" customHeight="1" x14ac:dyDescent="0.2">
      <c r="CR802" s="155"/>
    </row>
    <row r="803" spans="96:96" ht="14.25" customHeight="1" x14ac:dyDescent="0.2">
      <c r="CR803" s="155"/>
    </row>
    <row r="804" spans="96:96" ht="14.25" customHeight="1" x14ac:dyDescent="0.2">
      <c r="CR804" s="155"/>
    </row>
    <row r="805" spans="96:96" ht="14.25" customHeight="1" x14ac:dyDescent="0.2">
      <c r="CR805" s="155"/>
    </row>
    <row r="806" spans="96:96" ht="14.25" customHeight="1" x14ac:dyDescent="0.2">
      <c r="CR806" s="155"/>
    </row>
    <row r="807" spans="96:96" ht="14.25" customHeight="1" x14ac:dyDescent="0.2">
      <c r="CR807" s="155"/>
    </row>
    <row r="808" spans="96:96" ht="14.25" customHeight="1" x14ac:dyDescent="0.2">
      <c r="CR808" s="155"/>
    </row>
    <row r="809" spans="96:96" ht="14.25" customHeight="1" x14ac:dyDescent="0.2">
      <c r="CR809" s="155"/>
    </row>
    <row r="810" spans="96:96" ht="14.25" customHeight="1" x14ac:dyDescent="0.2">
      <c r="CR810" s="155"/>
    </row>
    <row r="811" spans="96:96" ht="14.25" customHeight="1" x14ac:dyDescent="0.2">
      <c r="CR811" s="155"/>
    </row>
    <row r="812" spans="96:96" ht="14.25" customHeight="1" x14ac:dyDescent="0.2">
      <c r="CR812" s="155"/>
    </row>
    <row r="813" spans="96:96" ht="14.25" customHeight="1" x14ac:dyDescent="0.2">
      <c r="CR813" s="155"/>
    </row>
    <row r="814" spans="96:96" ht="14.25" customHeight="1" x14ac:dyDescent="0.2">
      <c r="CR814" s="155"/>
    </row>
    <row r="815" spans="96:96" ht="14.25" customHeight="1" x14ac:dyDescent="0.2">
      <c r="CR815" s="155"/>
    </row>
    <row r="816" spans="96:96" ht="14.25" customHeight="1" x14ac:dyDescent="0.2">
      <c r="CR816" s="155"/>
    </row>
    <row r="817" spans="96:96" ht="14.25" customHeight="1" x14ac:dyDescent="0.2">
      <c r="CR817" s="155"/>
    </row>
    <row r="818" spans="96:96" ht="14.25" customHeight="1" x14ac:dyDescent="0.2">
      <c r="CR818" s="155"/>
    </row>
    <row r="819" spans="96:96" ht="14.25" customHeight="1" x14ac:dyDescent="0.2">
      <c r="CR819" s="155"/>
    </row>
    <row r="820" spans="96:96" ht="14.25" customHeight="1" x14ac:dyDescent="0.2">
      <c r="CR820" s="155"/>
    </row>
    <row r="821" spans="96:96" ht="14.25" customHeight="1" x14ac:dyDescent="0.2">
      <c r="CR821" s="155"/>
    </row>
    <row r="822" spans="96:96" ht="14.25" customHeight="1" x14ac:dyDescent="0.2">
      <c r="CR822" s="155"/>
    </row>
    <row r="823" spans="96:96" ht="14.25" customHeight="1" x14ac:dyDescent="0.2">
      <c r="CR823" s="155"/>
    </row>
    <row r="824" spans="96:96" ht="14.25" customHeight="1" x14ac:dyDescent="0.2">
      <c r="CR824" s="155"/>
    </row>
    <row r="825" spans="96:96" ht="14.25" customHeight="1" x14ac:dyDescent="0.2">
      <c r="CR825" s="155"/>
    </row>
    <row r="826" spans="96:96" ht="14.25" customHeight="1" x14ac:dyDescent="0.2">
      <c r="CR826" s="155"/>
    </row>
    <row r="827" spans="96:96" ht="14.25" customHeight="1" x14ac:dyDescent="0.2">
      <c r="CR827" s="155"/>
    </row>
    <row r="828" spans="96:96" ht="14.25" customHeight="1" x14ac:dyDescent="0.2">
      <c r="CR828" s="155"/>
    </row>
    <row r="829" spans="96:96" ht="14.25" customHeight="1" x14ac:dyDescent="0.2">
      <c r="CR829" s="155"/>
    </row>
    <row r="830" spans="96:96" ht="14.25" customHeight="1" x14ac:dyDescent="0.2">
      <c r="CR830" s="155"/>
    </row>
    <row r="831" spans="96:96" ht="14.25" customHeight="1" x14ac:dyDescent="0.2">
      <c r="CR831" s="155"/>
    </row>
    <row r="832" spans="96:96" ht="14.25" customHeight="1" x14ac:dyDescent="0.2">
      <c r="CR832" s="155"/>
    </row>
    <row r="833" spans="96:96" ht="14.25" customHeight="1" x14ac:dyDescent="0.2">
      <c r="CR833" s="155"/>
    </row>
    <row r="834" spans="96:96" ht="14.25" customHeight="1" x14ac:dyDescent="0.2">
      <c r="CR834" s="155"/>
    </row>
    <row r="835" spans="96:96" ht="14.25" customHeight="1" x14ac:dyDescent="0.2">
      <c r="CR835" s="155"/>
    </row>
    <row r="836" spans="96:96" ht="14.25" customHeight="1" x14ac:dyDescent="0.2">
      <c r="CR836" s="155"/>
    </row>
    <row r="837" spans="96:96" ht="14.25" customHeight="1" x14ac:dyDescent="0.2">
      <c r="CR837" s="155"/>
    </row>
    <row r="838" spans="96:96" ht="14.25" customHeight="1" x14ac:dyDescent="0.2">
      <c r="CR838" s="155"/>
    </row>
    <row r="839" spans="96:96" ht="14.25" customHeight="1" x14ac:dyDescent="0.2">
      <c r="CR839" s="155"/>
    </row>
    <row r="840" spans="96:96" ht="14.25" customHeight="1" x14ac:dyDescent="0.2">
      <c r="CR840" s="155"/>
    </row>
    <row r="841" spans="96:96" ht="14.25" customHeight="1" x14ac:dyDescent="0.2">
      <c r="CR841" s="155"/>
    </row>
    <row r="842" spans="96:96" ht="14.25" customHeight="1" x14ac:dyDescent="0.2">
      <c r="CR842" s="155"/>
    </row>
    <row r="843" spans="96:96" ht="14.25" customHeight="1" x14ac:dyDescent="0.2">
      <c r="CR843" s="155"/>
    </row>
    <row r="844" spans="96:96" ht="14.25" customHeight="1" x14ac:dyDescent="0.2">
      <c r="CR844" s="155"/>
    </row>
    <row r="845" spans="96:96" ht="14.25" customHeight="1" x14ac:dyDescent="0.2">
      <c r="CR845" s="155"/>
    </row>
    <row r="846" spans="96:96" ht="14.25" customHeight="1" x14ac:dyDescent="0.2">
      <c r="CR846" s="155"/>
    </row>
    <row r="847" spans="96:96" ht="14.25" customHeight="1" x14ac:dyDescent="0.2">
      <c r="CR847" s="155"/>
    </row>
    <row r="848" spans="96:96" ht="14.25" customHeight="1" x14ac:dyDescent="0.2">
      <c r="CR848" s="155"/>
    </row>
    <row r="849" spans="96:96" ht="14.25" customHeight="1" x14ac:dyDescent="0.2">
      <c r="CR849" s="155"/>
    </row>
    <row r="850" spans="96:96" ht="14.25" customHeight="1" x14ac:dyDescent="0.2">
      <c r="CR850" s="155"/>
    </row>
    <row r="851" spans="96:96" ht="14.25" customHeight="1" x14ac:dyDescent="0.2">
      <c r="CR851" s="155"/>
    </row>
    <row r="852" spans="96:96" ht="14.25" customHeight="1" x14ac:dyDescent="0.2">
      <c r="CR852" s="155"/>
    </row>
    <row r="853" spans="96:96" ht="14.25" customHeight="1" x14ac:dyDescent="0.2">
      <c r="CR853" s="155"/>
    </row>
    <row r="854" spans="96:96" ht="14.25" customHeight="1" x14ac:dyDescent="0.2">
      <c r="CR854" s="155"/>
    </row>
    <row r="855" spans="96:96" ht="14.25" customHeight="1" x14ac:dyDescent="0.2">
      <c r="CR855" s="155"/>
    </row>
    <row r="856" spans="96:96" ht="14.25" customHeight="1" x14ac:dyDescent="0.2">
      <c r="CR856" s="155"/>
    </row>
    <row r="857" spans="96:96" ht="14.25" customHeight="1" x14ac:dyDescent="0.2">
      <c r="CR857" s="155"/>
    </row>
    <row r="858" spans="96:96" ht="14.25" customHeight="1" x14ac:dyDescent="0.2">
      <c r="CR858" s="155"/>
    </row>
    <row r="859" spans="96:96" ht="14.25" customHeight="1" x14ac:dyDescent="0.2">
      <c r="CR859" s="155"/>
    </row>
    <row r="860" spans="96:96" ht="14.25" customHeight="1" x14ac:dyDescent="0.2">
      <c r="CR860" s="155"/>
    </row>
    <row r="861" spans="96:96" ht="14.25" customHeight="1" x14ac:dyDescent="0.2">
      <c r="CR861" s="155"/>
    </row>
    <row r="862" spans="96:96" ht="14.25" customHeight="1" x14ac:dyDescent="0.2">
      <c r="CR862" s="155"/>
    </row>
    <row r="863" spans="96:96" ht="14.25" customHeight="1" x14ac:dyDescent="0.2">
      <c r="CR863" s="155"/>
    </row>
    <row r="864" spans="96:96" ht="14.25" customHeight="1" x14ac:dyDescent="0.2">
      <c r="CR864" s="155"/>
    </row>
    <row r="865" spans="96:96" ht="14.25" customHeight="1" x14ac:dyDescent="0.2">
      <c r="CR865" s="155"/>
    </row>
    <row r="866" spans="96:96" ht="14.25" customHeight="1" x14ac:dyDescent="0.2">
      <c r="CR866" s="155"/>
    </row>
    <row r="867" spans="96:96" ht="14.25" customHeight="1" x14ac:dyDescent="0.2">
      <c r="CR867" s="155"/>
    </row>
    <row r="868" spans="96:96" ht="14.25" customHeight="1" x14ac:dyDescent="0.2">
      <c r="CR868" s="155"/>
    </row>
    <row r="869" spans="96:96" ht="14.25" customHeight="1" x14ac:dyDescent="0.2">
      <c r="CR869" s="155"/>
    </row>
    <row r="870" spans="96:96" ht="14.25" customHeight="1" x14ac:dyDescent="0.2">
      <c r="CR870" s="155"/>
    </row>
    <row r="871" spans="96:96" ht="14.25" customHeight="1" x14ac:dyDescent="0.2">
      <c r="CR871" s="155"/>
    </row>
    <row r="872" spans="96:96" ht="14.25" customHeight="1" x14ac:dyDescent="0.2">
      <c r="CR872" s="155"/>
    </row>
    <row r="873" spans="96:96" ht="14.25" customHeight="1" x14ac:dyDescent="0.2">
      <c r="CR873" s="155"/>
    </row>
    <row r="874" spans="96:96" ht="14.25" customHeight="1" x14ac:dyDescent="0.2">
      <c r="CR874" s="155"/>
    </row>
    <row r="875" spans="96:96" ht="14.25" customHeight="1" x14ac:dyDescent="0.2">
      <c r="CR875" s="155"/>
    </row>
    <row r="876" spans="96:96" ht="14.25" customHeight="1" x14ac:dyDescent="0.2">
      <c r="CR876" s="155"/>
    </row>
    <row r="877" spans="96:96" ht="14.25" customHeight="1" x14ac:dyDescent="0.2">
      <c r="CR877" s="155"/>
    </row>
    <row r="878" spans="96:96" ht="14.25" customHeight="1" x14ac:dyDescent="0.2">
      <c r="CR878" s="155"/>
    </row>
    <row r="879" spans="96:96" ht="14.25" customHeight="1" x14ac:dyDescent="0.2">
      <c r="CR879" s="155"/>
    </row>
    <row r="880" spans="96:96" ht="14.25" customHeight="1" x14ac:dyDescent="0.2">
      <c r="CR880" s="155"/>
    </row>
    <row r="881" spans="96:96" ht="14.25" customHeight="1" x14ac:dyDescent="0.2">
      <c r="CR881" s="155"/>
    </row>
    <row r="882" spans="96:96" ht="14.25" customHeight="1" x14ac:dyDescent="0.2">
      <c r="CR882" s="155"/>
    </row>
    <row r="883" spans="96:96" ht="14.25" customHeight="1" x14ac:dyDescent="0.2">
      <c r="CR883" s="155"/>
    </row>
    <row r="884" spans="96:96" ht="14.25" customHeight="1" x14ac:dyDescent="0.2">
      <c r="CR884" s="155"/>
    </row>
    <row r="885" spans="96:96" ht="14.25" customHeight="1" x14ac:dyDescent="0.2">
      <c r="CR885" s="155"/>
    </row>
    <row r="886" spans="96:96" ht="14.25" customHeight="1" x14ac:dyDescent="0.2">
      <c r="CR886" s="155"/>
    </row>
    <row r="887" spans="96:96" ht="14.25" customHeight="1" x14ac:dyDescent="0.2">
      <c r="CR887" s="155"/>
    </row>
    <row r="888" spans="96:96" ht="14.25" customHeight="1" x14ac:dyDescent="0.2">
      <c r="CR888" s="155"/>
    </row>
    <row r="889" spans="96:96" ht="14.25" customHeight="1" x14ac:dyDescent="0.2">
      <c r="CR889" s="155"/>
    </row>
    <row r="890" spans="96:96" ht="14.25" customHeight="1" x14ac:dyDescent="0.2">
      <c r="CR890" s="155"/>
    </row>
    <row r="891" spans="96:96" ht="14.25" customHeight="1" x14ac:dyDescent="0.2">
      <c r="CR891" s="155"/>
    </row>
    <row r="892" spans="96:96" ht="14.25" customHeight="1" x14ac:dyDescent="0.2">
      <c r="CR892" s="155"/>
    </row>
    <row r="893" spans="96:96" ht="14.25" customHeight="1" x14ac:dyDescent="0.2">
      <c r="CR893" s="155"/>
    </row>
    <row r="894" spans="96:96" ht="14.25" customHeight="1" x14ac:dyDescent="0.2">
      <c r="CR894" s="155"/>
    </row>
    <row r="895" spans="96:96" ht="14.25" customHeight="1" x14ac:dyDescent="0.2">
      <c r="CR895" s="155"/>
    </row>
    <row r="896" spans="96:96" ht="14.25" customHeight="1" x14ac:dyDescent="0.2">
      <c r="CR896" s="155"/>
    </row>
    <row r="897" spans="96:96" ht="14.25" customHeight="1" x14ac:dyDescent="0.2">
      <c r="CR897" s="155"/>
    </row>
    <row r="898" spans="96:96" ht="14.25" customHeight="1" x14ac:dyDescent="0.2">
      <c r="CR898" s="155"/>
    </row>
    <row r="899" spans="96:96" ht="14.25" customHeight="1" x14ac:dyDescent="0.2">
      <c r="CR899" s="155"/>
    </row>
    <row r="900" spans="96:96" ht="14.25" customHeight="1" x14ac:dyDescent="0.2">
      <c r="CR900" s="155"/>
    </row>
    <row r="901" spans="96:96" ht="14.25" customHeight="1" x14ac:dyDescent="0.2">
      <c r="CR901" s="155"/>
    </row>
    <row r="902" spans="96:96" ht="14.25" customHeight="1" x14ac:dyDescent="0.2">
      <c r="CR902" s="155"/>
    </row>
    <row r="903" spans="96:96" ht="14.25" customHeight="1" x14ac:dyDescent="0.2">
      <c r="CR903" s="155"/>
    </row>
    <row r="904" spans="96:96" ht="14.25" customHeight="1" x14ac:dyDescent="0.2">
      <c r="CR904" s="155"/>
    </row>
    <row r="905" spans="96:96" ht="14.25" customHeight="1" x14ac:dyDescent="0.2">
      <c r="CR905" s="155"/>
    </row>
    <row r="906" spans="96:96" ht="14.25" customHeight="1" x14ac:dyDescent="0.2">
      <c r="CR906" s="155"/>
    </row>
    <row r="907" spans="96:96" ht="14.25" customHeight="1" x14ac:dyDescent="0.2">
      <c r="CR907" s="155"/>
    </row>
    <row r="908" spans="96:96" ht="14.25" customHeight="1" x14ac:dyDescent="0.2">
      <c r="CR908" s="155"/>
    </row>
    <row r="909" spans="96:96" ht="14.25" customHeight="1" x14ac:dyDescent="0.2">
      <c r="CR909" s="155"/>
    </row>
    <row r="910" spans="96:96" ht="14.25" customHeight="1" x14ac:dyDescent="0.2">
      <c r="CR910" s="155"/>
    </row>
    <row r="911" spans="96:96" ht="14.25" customHeight="1" x14ac:dyDescent="0.2">
      <c r="CR911" s="155"/>
    </row>
    <row r="912" spans="96:96" ht="14.25" customHeight="1" x14ac:dyDescent="0.2">
      <c r="CR912" s="155"/>
    </row>
    <row r="913" spans="96:96" ht="14.25" customHeight="1" x14ac:dyDescent="0.2">
      <c r="CR913" s="155"/>
    </row>
    <row r="914" spans="96:96" ht="14.25" customHeight="1" x14ac:dyDescent="0.2">
      <c r="CR914" s="155"/>
    </row>
    <row r="915" spans="96:96" ht="14.25" customHeight="1" x14ac:dyDescent="0.2">
      <c r="CR915" s="155"/>
    </row>
    <row r="916" spans="96:96" ht="14.25" customHeight="1" x14ac:dyDescent="0.2">
      <c r="CR916" s="155"/>
    </row>
    <row r="917" spans="96:96" ht="14.25" customHeight="1" x14ac:dyDescent="0.2">
      <c r="CR917" s="155"/>
    </row>
    <row r="918" spans="96:96" ht="14.25" customHeight="1" x14ac:dyDescent="0.2">
      <c r="CR918" s="155"/>
    </row>
    <row r="919" spans="96:96" ht="14.25" customHeight="1" x14ac:dyDescent="0.2">
      <c r="CR919" s="155"/>
    </row>
    <row r="920" spans="96:96" ht="14.25" customHeight="1" x14ac:dyDescent="0.2">
      <c r="CR920" s="155"/>
    </row>
    <row r="921" spans="96:96" ht="14.25" customHeight="1" x14ac:dyDescent="0.2">
      <c r="CR921" s="155"/>
    </row>
    <row r="922" spans="96:96" ht="14.25" customHeight="1" x14ac:dyDescent="0.2">
      <c r="CR922" s="155"/>
    </row>
    <row r="923" spans="96:96" ht="14.25" customHeight="1" x14ac:dyDescent="0.2">
      <c r="CR923" s="155"/>
    </row>
    <row r="924" spans="96:96" ht="14.25" customHeight="1" x14ac:dyDescent="0.2">
      <c r="CR924" s="155"/>
    </row>
    <row r="925" spans="96:96" ht="14.25" customHeight="1" x14ac:dyDescent="0.2">
      <c r="CR925" s="155"/>
    </row>
    <row r="926" spans="96:96" ht="14.25" customHeight="1" x14ac:dyDescent="0.2">
      <c r="CR926" s="155"/>
    </row>
    <row r="927" spans="96:96" ht="14.25" customHeight="1" x14ac:dyDescent="0.2">
      <c r="CR927" s="155"/>
    </row>
    <row r="928" spans="96:96" ht="14.25" customHeight="1" x14ac:dyDescent="0.2">
      <c r="CR928" s="155"/>
    </row>
    <row r="929" spans="96:96" ht="14.25" customHeight="1" x14ac:dyDescent="0.2">
      <c r="CR929" s="155"/>
    </row>
    <row r="930" spans="96:96" ht="14.25" customHeight="1" x14ac:dyDescent="0.2">
      <c r="CR930" s="155"/>
    </row>
    <row r="931" spans="96:96" ht="14.25" customHeight="1" x14ac:dyDescent="0.2">
      <c r="CR931" s="155"/>
    </row>
    <row r="932" spans="96:96" ht="14.25" customHeight="1" x14ac:dyDescent="0.2">
      <c r="CR932" s="155"/>
    </row>
    <row r="933" spans="96:96" ht="14.25" customHeight="1" x14ac:dyDescent="0.2">
      <c r="CR933" s="155"/>
    </row>
    <row r="934" spans="96:96" ht="14.25" customHeight="1" x14ac:dyDescent="0.2">
      <c r="CR934" s="155"/>
    </row>
    <row r="935" spans="96:96" ht="14.25" customHeight="1" x14ac:dyDescent="0.2">
      <c r="CR935" s="155"/>
    </row>
    <row r="936" spans="96:96" ht="14.25" customHeight="1" x14ac:dyDescent="0.2">
      <c r="CR936" s="155"/>
    </row>
    <row r="937" spans="96:96" ht="14.25" customHeight="1" x14ac:dyDescent="0.2">
      <c r="CR937" s="155"/>
    </row>
    <row r="938" spans="96:96" ht="14.25" customHeight="1" x14ac:dyDescent="0.2">
      <c r="CR938" s="155"/>
    </row>
    <row r="939" spans="96:96" ht="14.25" customHeight="1" x14ac:dyDescent="0.2">
      <c r="CR939" s="155"/>
    </row>
    <row r="940" spans="96:96" ht="14.25" customHeight="1" x14ac:dyDescent="0.2">
      <c r="CR940" s="155"/>
    </row>
    <row r="941" spans="96:96" ht="14.25" customHeight="1" x14ac:dyDescent="0.2">
      <c r="CR941" s="155"/>
    </row>
    <row r="942" spans="96:96" ht="14.25" customHeight="1" x14ac:dyDescent="0.2">
      <c r="CR942" s="155"/>
    </row>
    <row r="943" spans="96:96" ht="14.25" customHeight="1" x14ac:dyDescent="0.2">
      <c r="CR943" s="155"/>
    </row>
    <row r="944" spans="96:96" ht="14.25" customHeight="1" x14ac:dyDescent="0.2">
      <c r="CR944" s="155"/>
    </row>
    <row r="945" spans="96:96" ht="14.25" customHeight="1" x14ac:dyDescent="0.2">
      <c r="CR945" s="155"/>
    </row>
    <row r="946" spans="96:96" ht="14.25" customHeight="1" x14ac:dyDescent="0.2">
      <c r="CR946" s="155"/>
    </row>
    <row r="947" spans="96:96" ht="14.25" customHeight="1" x14ac:dyDescent="0.2">
      <c r="CR947" s="155"/>
    </row>
    <row r="948" spans="96:96" ht="14.25" customHeight="1" x14ac:dyDescent="0.2">
      <c r="CR948" s="155"/>
    </row>
    <row r="949" spans="96:96" ht="14.25" customHeight="1" x14ac:dyDescent="0.2">
      <c r="CR949" s="155"/>
    </row>
    <row r="950" spans="96:96" ht="14.25" customHeight="1" x14ac:dyDescent="0.2">
      <c r="CR950" s="155"/>
    </row>
    <row r="951" spans="96:96" ht="14.25" customHeight="1" x14ac:dyDescent="0.2">
      <c r="CR951" s="155"/>
    </row>
    <row r="952" spans="96:96" ht="14.25" customHeight="1" x14ac:dyDescent="0.2">
      <c r="CR952" s="155"/>
    </row>
    <row r="953" spans="96:96" ht="14.25" customHeight="1" x14ac:dyDescent="0.2">
      <c r="CR953" s="155"/>
    </row>
    <row r="954" spans="96:96" ht="14.25" customHeight="1" x14ac:dyDescent="0.2">
      <c r="CR954" s="155"/>
    </row>
    <row r="955" spans="96:96" ht="14.25" customHeight="1" x14ac:dyDescent="0.2">
      <c r="CR955" s="155"/>
    </row>
    <row r="956" spans="96:96" ht="14.25" customHeight="1" x14ac:dyDescent="0.2">
      <c r="CR956" s="155"/>
    </row>
    <row r="957" spans="96:96" ht="14.25" customHeight="1" x14ac:dyDescent="0.2">
      <c r="CR957" s="155"/>
    </row>
    <row r="958" spans="96:96" ht="14.25" customHeight="1" x14ac:dyDescent="0.2">
      <c r="CR958" s="155"/>
    </row>
    <row r="959" spans="96:96" ht="14.25" customHeight="1" x14ac:dyDescent="0.2">
      <c r="CR959" s="155"/>
    </row>
    <row r="960" spans="96:96" ht="14.25" customHeight="1" x14ac:dyDescent="0.2">
      <c r="CR960" s="155"/>
    </row>
    <row r="961" spans="96:96" ht="14.25" customHeight="1" x14ac:dyDescent="0.2">
      <c r="CR961" s="155"/>
    </row>
    <row r="962" spans="96:96" ht="14.25" customHeight="1" x14ac:dyDescent="0.2">
      <c r="CR962" s="155"/>
    </row>
    <row r="963" spans="96:96" ht="14.25" customHeight="1" x14ac:dyDescent="0.2">
      <c r="CR963" s="155"/>
    </row>
    <row r="964" spans="96:96" ht="14.25" customHeight="1" x14ac:dyDescent="0.2">
      <c r="CR964" s="155"/>
    </row>
    <row r="965" spans="96:96" ht="14.25" customHeight="1" x14ac:dyDescent="0.2">
      <c r="CR965" s="155"/>
    </row>
    <row r="966" spans="96:96" ht="14.25" customHeight="1" x14ac:dyDescent="0.2">
      <c r="CR966" s="155"/>
    </row>
    <row r="967" spans="96:96" ht="14.25" customHeight="1" x14ac:dyDescent="0.2">
      <c r="CR967" s="155"/>
    </row>
    <row r="968" spans="96:96" ht="14.25" customHeight="1" x14ac:dyDescent="0.2">
      <c r="CR968" s="155"/>
    </row>
    <row r="969" spans="96:96" ht="14.25" customHeight="1" x14ac:dyDescent="0.2">
      <c r="CR969" s="155"/>
    </row>
    <row r="970" spans="96:96" ht="14.25" customHeight="1" x14ac:dyDescent="0.2">
      <c r="CR970" s="155"/>
    </row>
    <row r="971" spans="96:96" ht="14.25" customHeight="1" x14ac:dyDescent="0.2">
      <c r="CR971" s="155"/>
    </row>
    <row r="972" spans="96:96" ht="14.25" customHeight="1" x14ac:dyDescent="0.2">
      <c r="CR972" s="155"/>
    </row>
    <row r="973" spans="96:96" ht="14.25" customHeight="1" x14ac:dyDescent="0.2">
      <c r="CR973" s="155"/>
    </row>
    <row r="974" spans="96:96" ht="14.25" customHeight="1" x14ac:dyDescent="0.2">
      <c r="CR974" s="155"/>
    </row>
    <row r="975" spans="96:96" ht="14.25" customHeight="1" x14ac:dyDescent="0.2">
      <c r="CR975" s="155"/>
    </row>
    <row r="976" spans="96:96" ht="14.25" customHeight="1" x14ac:dyDescent="0.2">
      <c r="CR976" s="155"/>
    </row>
    <row r="977" spans="96:96" ht="14.25" customHeight="1" x14ac:dyDescent="0.2">
      <c r="CR977" s="155"/>
    </row>
    <row r="978" spans="96:96" ht="14.25" customHeight="1" x14ac:dyDescent="0.2">
      <c r="CR978" s="155"/>
    </row>
    <row r="979" spans="96:96" ht="14.25" customHeight="1" x14ac:dyDescent="0.2">
      <c r="CR979" s="155"/>
    </row>
    <row r="980" spans="96:96" ht="14.25" customHeight="1" x14ac:dyDescent="0.2">
      <c r="CR980" s="155"/>
    </row>
    <row r="981" spans="96:96" ht="14.25" customHeight="1" x14ac:dyDescent="0.2">
      <c r="CR981" s="155"/>
    </row>
    <row r="982" spans="96:96" ht="14.25" customHeight="1" x14ac:dyDescent="0.2">
      <c r="CR982" s="155"/>
    </row>
    <row r="983" spans="96:96" ht="14.25" customHeight="1" x14ac:dyDescent="0.2">
      <c r="CR983" s="155"/>
    </row>
    <row r="984" spans="96:96" ht="14.25" customHeight="1" x14ac:dyDescent="0.2">
      <c r="CR984" s="155"/>
    </row>
    <row r="985" spans="96:96" ht="14.25" customHeight="1" x14ac:dyDescent="0.2">
      <c r="CR985" s="155"/>
    </row>
    <row r="986" spans="96:96" ht="14.25" customHeight="1" x14ac:dyDescent="0.2">
      <c r="CR986" s="155"/>
    </row>
    <row r="987" spans="96:96" ht="14.25" customHeight="1" x14ac:dyDescent="0.2">
      <c r="CR987" s="155"/>
    </row>
    <row r="988" spans="96:96" ht="14.25" customHeight="1" x14ac:dyDescent="0.2">
      <c r="CR988" s="155"/>
    </row>
    <row r="989" spans="96:96" ht="14.25" customHeight="1" x14ac:dyDescent="0.2">
      <c r="CR989" s="155"/>
    </row>
    <row r="990" spans="96:96" ht="14.25" customHeight="1" x14ac:dyDescent="0.2">
      <c r="CR990" s="155"/>
    </row>
    <row r="991" spans="96:96" ht="14.25" customHeight="1" x14ac:dyDescent="0.2">
      <c r="CR991" s="155"/>
    </row>
    <row r="992" spans="96:96" ht="14.25" customHeight="1" x14ac:dyDescent="0.2">
      <c r="CR992" s="155"/>
    </row>
    <row r="993" spans="96:96" ht="14.25" customHeight="1" x14ac:dyDescent="0.2">
      <c r="CR993" s="155"/>
    </row>
    <row r="994" spans="96:96" ht="14.25" customHeight="1" x14ac:dyDescent="0.2">
      <c r="CR994" s="155"/>
    </row>
    <row r="995" spans="96:96" ht="14.25" customHeight="1" x14ac:dyDescent="0.2">
      <c r="CR995" s="155"/>
    </row>
    <row r="996" spans="96:96" ht="14.25" customHeight="1" x14ac:dyDescent="0.2">
      <c r="CR996" s="155"/>
    </row>
    <row r="997" spans="96:96" ht="14.25" customHeight="1" x14ac:dyDescent="0.2">
      <c r="CR997" s="155"/>
    </row>
    <row r="998" spans="96:96" ht="14.25" customHeight="1" x14ac:dyDescent="0.2">
      <c r="CR998" s="155"/>
    </row>
    <row r="999" spans="96:96" ht="14.25" customHeight="1" x14ac:dyDescent="0.2">
      <c r="CR999" s="155"/>
    </row>
    <row r="1000" spans="96:96" ht="14.25" customHeight="1" x14ac:dyDescent="0.2">
      <c r="CR1000" s="155"/>
    </row>
  </sheetData>
  <mergeCells count="14">
    <mergeCell ref="BP2:BV2"/>
    <mergeCell ref="BW2:CC2"/>
    <mergeCell ref="CD2:CJ2"/>
    <mergeCell ref="CK2:CQ2"/>
    <mergeCell ref="CD1:CK1"/>
    <mergeCell ref="AN2:AT2"/>
    <mergeCell ref="AU2:BA2"/>
    <mergeCell ref="BB2:BH2"/>
    <mergeCell ref="BI2:BO2"/>
    <mergeCell ref="B2:K2"/>
    <mergeCell ref="L2:R2"/>
    <mergeCell ref="S2:Y2"/>
    <mergeCell ref="Z2:AF2"/>
    <mergeCell ref="AG2:AM2"/>
  </mergeCells>
  <printOptions horizontalCentered="1"/>
  <pageMargins left="9.8425196850393706E-2" right="9.8425196850393706E-2" top="0.59055118110236227" bottom="0.39370078740157483" header="0" footer="0"/>
  <pageSetup paperSize="9" scale="43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14</vt:i4>
      </vt:variant>
    </vt:vector>
  </HeadingPairs>
  <TitlesOfParts>
    <vt:vector size="28" baseType="lpstr">
      <vt:lpstr>SLP</vt:lpstr>
      <vt:lpstr>ROSA</vt:lpstr>
      <vt:lpstr>STA ANA</vt:lpstr>
      <vt:lpstr>BOA</vt:lpstr>
      <vt:lpstr>STA MARIA</vt:lpstr>
      <vt:lpstr>CB I</vt:lpstr>
      <vt:lpstr>IG</vt:lpstr>
      <vt:lpstr>PN</vt:lpstr>
      <vt:lpstr>MJ</vt:lpstr>
      <vt:lpstr>RB I</vt:lpstr>
      <vt:lpstr>SF I</vt:lpstr>
      <vt:lpstr>STA CLARA</vt:lpstr>
      <vt:lpstr>FUNIL</vt:lpstr>
      <vt:lpstr>TOTAL PRODUÇÃO</vt:lpstr>
      <vt:lpstr>BOA!Print_Area</vt:lpstr>
      <vt:lpstr>'CB I'!Print_Area</vt:lpstr>
      <vt:lpstr>FUNIL!Print_Area</vt:lpstr>
      <vt:lpstr>IG!Print_Area</vt:lpstr>
      <vt:lpstr>MJ!Print_Area</vt:lpstr>
      <vt:lpstr>PN!Print_Area</vt:lpstr>
      <vt:lpstr>'RB I'!Print_Area</vt:lpstr>
      <vt:lpstr>ROSA!Print_Area</vt:lpstr>
      <vt:lpstr>'SF I'!Print_Area</vt:lpstr>
      <vt:lpstr>SLP!Print_Area</vt:lpstr>
      <vt:lpstr>'STA ANA'!Print_Area</vt:lpstr>
      <vt:lpstr>'STA CLARA'!Print_Area</vt:lpstr>
      <vt:lpstr>'STA MARIA'!Print_Area</vt:lpstr>
      <vt:lpstr>'TOTAL PRODUÇÃO'!Print_Area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Castro</dc:creator>
  <cp:lastModifiedBy>Rodolfo Castro</cp:lastModifiedBy>
  <dcterms:created xsi:type="dcterms:W3CDTF">2024-10-24T18:29:27Z</dcterms:created>
  <dcterms:modified xsi:type="dcterms:W3CDTF">2024-10-25T18:20:23Z</dcterms:modified>
</cp:coreProperties>
</file>